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Direct Testimony Exhibits-FILING 200xxx\I. UE_AVA Dir Evidence-(Oct20)\3. UE_AVA WP's (Oct20)\19. UE__Miller WP(AVA-Oct20)\Electronic\"/>
    </mc:Choice>
  </mc:AlternateContent>
  <xr:revisionPtr revIDLastSave="0" documentId="8_{C323C55C-3656-4C7C-8C20-D1E12D7F7F69}" xr6:coauthVersionLast="44" xr6:coauthVersionMax="44" xr10:uidLastSave="{00000000-0000-0000-0000-000000000000}"/>
  <bookViews>
    <workbookView xWindow="-108" yWindow="-108" windowWidth="23256" windowHeight="12576" xr2:uid="{00000000-000D-0000-FFFF-FFFF00000000}"/>
  </bookViews>
  <sheets>
    <sheet name="Pres &amp; Prop Rev" sheetId="1" r:id="rId1"/>
    <sheet name="Rate Design" sheetId="14" r:id="rId2"/>
    <sheet name="Exh 1" sheetId="18" r:id="rId3"/>
    <sheet name="Exh 2" sheetId="47" r:id="rId4"/>
    <sheet name="Exh 3" sheetId="20" r:id="rId5"/>
    <sheet name="ROR" sheetId="48" r:id="rId6"/>
    <sheet name="Rate Spread GRC" sheetId="41" r:id="rId7"/>
    <sheet name="Bill Determ" sheetId="5" r:id="rId8"/>
    <sheet name="Tax Adj" sheetId="38" r:id="rId9"/>
    <sheet name="Bill Impact" sheetId="30" r:id="rId10"/>
    <sheet name="LIRAP" sheetId="46" r:id="rId11"/>
    <sheet name="WA Sch 25" sheetId="6" r:id="rId12"/>
    <sheet name="Lighting summary" sheetId="7" r:id="rId13"/>
    <sheet name="St Lts" sheetId="9" r:id="rId14"/>
    <sheet name="Area Lts" sheetId="10" r:id="rId15"/>
    <sheet name="Capital Recovery Factor Calc" sheetId="32" r:id="rId16"/>
    <sheet name="Block Data" sheetId="27" r:id="rId17"/>
    <sheet name="REVRUNS 12ME1219" sheetId="37" r:id="rId18"/>
  </sheets>
  <externalReferences>
    <externalReference r:id="rId19"/>
    <externalReference r:id="rId20"/>
  </externalReferences>
  <definedNames>
    <definedName name="_xlnm._FilterDatabase" localSheetId="14" hidden="1">'Area Lts'!$D$7:$D$91</definedName>
    <definedName name="_xlnm._FilterDatabase" localSheetId="13" hidden="1">'St Lts'!$D$7:$D$135</definedName>
    <definedName name="Base1_Billing2">'Pres &amp; Prop Rev'!$N$8</definedName>
    <definedName name="ERM">'Rate Design'!$D$45</definedName>
    <definedName name="_xlnm.Extract" localSheetId="14">'Area Lts'!#REF!</definedName>
    <definedName name="_xlnm.Print_Area" localSheetId="14">'Area Lts'!$I$1:$AH$55</definedName>
    <definedName name="_xlnm.Print_Area" localSheetId="7">'Bill Determ'!$A$1:$G$59</definedName>
    <definedName name="_xlnm.Print_Area" localSheetId="9">'Bill Impact'!$A$1:$M$24</definedName>
    <definedName name="_xlnm.Print_Area" localSheetId="16">'Block Data'!$A$3:$O$101</definedName>
    <definedName name="_xlnm.Print_Area" localSheetId="15">'Capital Recovery Factor Calc'!$F$5:$P$40</definedName>
    <definedName name="_xlnm.Print_Area" localSheetId="2">'Exh 1'!$A$1:$P$37</definedName>
    <definedName name="_xlnm.Print_Area" localSheetId="3">'Exh 2'!$A$1:$L$20</definedName>
    <definedName name="_xlnm.Print_Area" localSheetId="4">'Exh 3'!$A$1:$N$64</definedName>
    <definedName name="_xlnm.Print_Area" localSheetId="12">'Lighting summary'!$B$1:$J$24</definedName>
    <definedName name="_xlnm.Print_Area" localSheetId="10">LIRAP!$B$6:$K$34</definedName>
    <definedName name="_xlnm.Print_Area" localSheetId="0">'Pres &amp; Prop Rev'!$A$1:$I$295</definedName>
    <definedName name="_xlnm.Print_Area" localSheetId="1">'Rate Design'!$A$49:$J$107</definedName>
    <definedName name="_xlnm.Print_Area" localSheetId="6">'Rate Spread GRC'!$A$3:$H$27</definedName>
    <definedName name="_xlnm.Print_Area" localSheetId="17">'REVRUNS 12ME1219'!$A$281:$P$329</definedName>
    <definedName name="_xlnm.Print_Area" localSheetId="5">ROR!$B$1:$I$48</definedName>
    <definedName name="_xlnm.Print_Area" localSheetId="13">'St Lts'!$I$1:$AC$103</definedName>
    <definedName name="_xlnm.Print_Area" localSheetId="8">'Tax Adj'!$A$3:$G$27</definedName>
    <definedName name="_xlnm.Print_Area" localSheetId="11">'WA Sch 25'!$A$1:$S$116</definedName>
    <definedName name="_xlnm.Print_Titles" localSheetId="14">'Area Lts'!$I:$L</definedName>
    <definedName name="_xlnm.Print_Titles" localSheetId="1">'Rate Design'!$1:$2</definedName>
    <definedName name="_xlnm.Print_Titles" localSheetId="13">'St Lts'!$I:$L</definedName>
    <definedName name="Print1" localSheetId="14">'Area Lts'!$M$1:$T$55</definedName>
    <definedName name="Print1" localSheetId="13">'St Lts'!$M$1:$AC$102</definedName>
    <definedName name="Print1">'St Lts'!$M$1:$AC$104</definedName>
    <definedName name="Print2" localSheetId="14">'Area Lts'!$AA$1:$AH$55</definedName>
    <definedName name="Print2" localSheetId="13">'St Lts'!$AE$1:$AU$102</definedName>
    <definedName name="Print2">'St Lts'!$AE$1:$AU$102</definedName>
    <definedName name="PrintHeader" localSheetId="0">'Pres &amp; Prop Rev'!$P$6</definedName>
    <definedName name="Rates_Base_Present">'Rate Design'!$D$4:$J$11</definedName>
    <definedName name="Rates_Base_Proposed">'Rate Design'!$D$26:$J$33</definedName>
    <definedName name="Rates_Billing_Present">'Rate Design'!$D$14:$J$21</definedName>
    <definedName name="Rates_Billing_Proposed">'Rate Design'!$D$36:$J$43</definedName>
    <definedName name="Sch25_Annual_excess_kva">'WA Sch 25'!$P$68:$P$92</definedName>
    <definedName name="Sch25_Annual_kva">'WA Sch 25'!$P$41:$P$65</definedName>
    <definedName name="Sch25_Annual_kW">'WA Sch 25'!$P$68:$P$92</definedName>
    <definedName name="Sch25_Annual_kWh">'WA Sch 25'!$P$4:$P$37</definedName>
    <definedName name="Sch25_kWh">'WA Sch 25'!$D$4:$O$37</definedName>
    <definedName name="Sch25_n">'WA Sch 25'!$A$4:$A$37</definedName>
    <definedName name="Sch25_nD">'WA Sch 25'!$A$68:$A$92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7" i="46" l="1"/>
  <c r="AC103" i="9" l="1"/>
  <c r="K20" i="47" l="1"/>
  <c r="E20" i="47"/>
  <c r="I9" i="30" l="1"/>
  <c r="H9" i="30"/>
  <c r="O21" i="32" l="1"/>
  <c r="X22" i="38" l="1"/>
  <c r="X23" i="38"/>
  <c r="X21" i="38"/>
  <c r="X16" i="38"/>
  <c r="X17" i="38"/>
  <c r="X15" i="38"/>
  <c r="S28" i="38"/>
  <c r="S27" i="38"/>
  <c r="S22" i="38"/>
  <c r="S21" i="38"/>
  <c r="S16" i="38"/>
  <c r="S17" i="38"/>
  <c r="S15" i="38"/>
  <c r="P48" i="10" l="1"/>
  <c r="V79" i="9" l="1"/>
  <c r="AL143" i="9" l="1"/>
  <c r="AL142" i="9"/>
  <c r="AL1" i="9" l="1"/>
  <c r="G9" i="30"/>
  <c r="M52" i="20"/>
  <c r="S58" i="20"/>
  <c r="S59" i="20"/>
  <c r="S57" i="20"/>
  <c r="L43" i="20"/>
  <c r="S43" i="20" s="1"/>
  <c r="L44" i="20"/>
  <c r="S44" i="20" s="1"/>
  <c r="L42" i="20"/>
  <c r="S42" i="20" s="1"/>
  <c r="S34" i="20"/>
  <c r="S33" i="20"/>
  <c r="S24" i="20"/>
  <c r="S23" i="20"/>
  <c r="S17" i="20"/>
  <c r="S18" i="20"/>
  <c r="S16" i="20"/>
  <c r="S49" i="20"/>
  <c r="M57" i="20"/>
  <c r="L58" i="20"/>
  <c r="L59" i="20"/>
  <c r="L57" i="20"/>
  <c r="L34" i="20"/>
  <c r="L33" i="20"/>
  <c r="L24" i="20"/>
  <c r="L23" i="20"/>
  <c r="L17" i="20"/>
  <c r="L18" i="20"/>
  <c r="M18" i="20" s="1"/>
  <c r="M16" i="20"/>
  <c r="L16" i="20"/>
  <c r="AK1" i="9"/>
  <c r="L15" i="47" l="1"/>
  <c r="L16" i="47"/>
  <c r="L17" i="47"/>
  <c r="L18" i="47"/>
  <c r="L19" i="47"/>
  <c r="I74" i="48"/>
  <c r="H74" i="48"/>
  <c r="G74" i="48"/>
  <c r="F74" i="48"/>
  <c r="E74" i="48"/>
  <c r="D74" i="48"/>
  <c r="C74" i="48"/>
  <c r="I67" i="48"/>
  <c r="H67" i="48"/>
  <c r="G67" i="48"/>
  <c r="F67" i="48"/>
  <c r="E67" i="48"/>
  <c r="D67" i="48"/>
  <c r="I56" i="48"/>
  <c r="H56" i="48"/>
  <c r="G56" i="48"/>
  <c r="F56" i="48"/>
  <c r="E56" i="48"/>
  <c r="D56" i="48"/>
  <c r="C54" i="48"/>
  <c r="C52" i="48"/>
  <c r="C45" i="48"/>
  <c r="B43" i="48"/>
  <c r="C35" i="48"/>
  <c r="C27" i="48"/>
  <c r="C31" i="48" s="1"/>
  <c r="C23" i="48"/>
  <c r="C16" i="48"/>
  <c r="C65" i="48" s="1"/>
  <c r="C15" i="48"/>
  <c r="I14" i="48"/>
  <c r="I73" i="48" s="1"/>
  <c r="H14" i="48"/>
  <c r="H43" i="48" s="1"/>
  <c r="G14" i="48"/>
  <c r="G43" i="48" s="1"/>
  <c r="F14" i="48"/>
  <c r="F43" i="48" s="1"/>
  <c r="E14" i="48"/>
  <c r="E43" i="48" s="1"/>
  <c r="D14" i="48"/>
  <c r="D66" i="48" s="1"/>
  <c r="I12" i="48"/>
  <c r="I19" i="48" s="1"/>
  <c r="I20" i="48" s="1"/>
  <c r="D19" i="47" s="1"/>
  <c r="H12" i="48"/>
  <c r="H19" i="48" s="1"/>
  <c r="H20" i="48" s="1"/>
  <c r="D18" i="47" s="1"/>
  <c r="G12" i="48"/>
  <c r="G19" i="48" s="1"/>
  <c r="G20" i="48" s="1"/>
  <c r="D17" i="47" s="1"/>
  <c r="F12" i="48"/>
  <c r="F19" i="48" s="1"/>
  <c r="F20" i="48" s="1"/>
  <c r="D16" i="47" s="1"/>
  <c r="E12" i="48"/>
  <c r="E19" i="48" s="1"/>
  <c r="E20" i="48" s="1"/>
  <c r="D15" i="47" s="1"/>
  <c r="D12" i="48"/>
  <c r="D19" i="48" s="1"/>
  <c r="D20" i="48" s="1"/>
  <c r="D14" i="47" s="1"/>
  <c r="C11" i="48"/>
  <c r="C10" i="48"/>
  <c r="C29" i="48" s="1"/>
  <c r="D29" i="48" s="1"/>
  <c r="C8" i="48"/>
  <c r="I43" i="48" l="1"/>
  <c r="C14" i="48"/>
  <c r="C17" i="48" s="1"/>
  <c r="C67" i="48"/>
  <c r="I65" i="48"/>
  <c r="C72" i="48"/>
  <c r="I72" i="48" s="1"/>
  <c r="C30" i="48"/>
  <c r="C75" i="48" s="1"/>
  <c r="C56" i="48"/>
  <c r="C57" i="48" s="1"/>
  <c r="D65" i="48"/>
  <c r="E66" i="48"/>
  <c r="E65" i="48"/>
  <c r="F66" i="48"/>
  <c r="D73" i="48"/>
  <c r="D43" i="48"/>
  <c r="F65" i="48"/>
  <c r="G66" i="48"/>
  <c r="E73" i="48"/>
  <c r="G65" i="48"/>
  <c r="H66" i="48"/>
  <c r="F73" i="48"/>
  <c r="D26" i="48"/>
  <c r="K37" i="48" s="1"/>
  <c r="H65" i="48"/>
  <c r="I66" i="48"/>
  <c r="C68" i="48"/>
  <c r="G73" i="48"/>
  <c r="C12" i="48"/>
  <c r="H73" i="48"/>
  <c r="C66" i="48" l="1"/>
  <c r="C43" i="48"/>
  <c r="D72" i="48"/>
  <c r="F72" i="48"/>
  <c r="C44" i="48"/>
  <c r="E72" i="48"/>
  <c r="G72" i="48"/>
  <c r="H72" i="48"/>
  <c r="C19" i="48"/>
  <c r="C20" i="48" s="1"/>
  <c r="D20" i="47" s="1"/>
  <c r="J43" i="48"/>
  <c r="C73" i="48"/>
  <c r="C64" i="48" l="1"/>
  <c r="C32" i="48"/>
  <c r="C71" i="48" s="1"/>
  <c r="C33" i="48"/>
  <c r="F39" i="48"/>
  <c r="D32" i="48"/>
  <c r="C21" i="48"/>
  <c r="F20" i="47" s="1"/>
  <c r="F21" i="48"/>
  <c r="F16" i="47" s="1"/>
  <c r="I21" i="48"/>
  <c r="F19" i="47" s="1"/>
  <c r="G21" i="48"/>
  <c r="F17" i="47" s="1"/>
  <c r="H21" i="48"/>
  <c r="F18" i="47" s="1"/>
  <c r="D21" i="48"/>
  <c r="F14" i="47" s="1"/>
  <c r="E21" i="48"/>
  <c r="F15" i="47" s="1"/>
  <c r="I64" i="48"/>
  <c r="H64" i="48"/>
  <c r="G64" i="48"/>
  <c r="C69" i="48"/>
  <c r="C80" i="48" s="1"/>
  <c r="F64" i="48"/>
  <c r="E64" i="48"/>
  <c r="D64" i="48"/>
  <c r="G39" i="48" l="1"/>
  <c r="G38" i="48" s="1"/>
  <c r="J17" i="47" s="1"/>
  <c r="H39" i="48"/>
  <c r="H40" i="48" s="1"/>
  <c r="I39" i="48"/>
  <c r="I38" i="48" s="1"/>
  <c r="J19" i="47" s="1"/>
  <c r="C39" i="48"/>
  <c r="E39" i="48"/>
  <c r="E38" i="48" s="1"/>
  <c r="J15" i="47" s="1"/>
  <c r="I68" i="48"/>
  <c r="I69" i="48" s="1"/>
  <c r="I80" i="48" s="1"/>
  <c r="C38" i="48"/>
  <c r="C40" i="48"/>
  <c r="E59" i="48"/>
  <c r="E61" i="48"/>
  <c r="D68" i="48"/>
  <c r="D69" i="48" s="1"/>
  <c r="D80" i="48" s="1"/>
  <c r="E40" i="48"/>
  <c r="E68" i="48"/>
  <c r="E69" i="48" s="1"/>
  <c r="E80" i="48" s="1"/>
  <c r="H61" i="48"/>
  <c r="H59" i="48"/>
  <c r="G71" i="48"/>
  <c r="H71" i="48"/>
  <c r="C76" i="48"/>
  <c r="F71" i="48"/>
  <c r="E71" i="48"/>
  <c r="D71" i="48"/>
  <c r="I71" i="48"/>
  <c r="F38" i="48"/>
  <c r="J16" i="47" s="1"/>
  <c r="F40" i="48"/>
  <c r="G61" i="48"/>
  <c r="G59" i="48"/>
  <c r="F68" i="48"/>
  <c r="F69" i="48" s="1"/>
  <c r="F80" i="48" s="1"/>
  <c r="I59" i="48"/>
  <c r="I61" i="48"/>
  <c r="G68" i="48"/>
  <c r="G69" i="48" s="1"/>
  <c r="G80" i="48" s="1"/>
  <c r="F59" i="48"/>
  <c r="F61" i="48"/>
  <c r="H68" i="48"/>
  <c r="H69" i="48" s="1"/>
  <c r="H80" i="48" s="1"/>
  <c r="I40" i="48" l="1"/>
  <c r="H38" i="48"/>
  <c r="J18" i="47" s="1"/>
  <c r="G40" i="48"/>
  <c r="G41" i="48" s="1"/>
  <c r="G42" i="48" s="1"/>
  <c r="G45" i="48" s="1"/>
  <c r="G46" i="48" s="1"/>
  <c r="D39" i="48"/>
  <c r="J39" i="48" s="1"/>
  <c r="H41" i="48"/>
  <c r="H42" i="48" s="1"/>
  <c r="H45" i="48" s="1"/>
  <c r="H46" i="48" s="1"/>
  <c r="I41" i="48"/>
  <c r="I42" i="48" s="1"/>
  <c r="I45" i="48" s="1"/>
  <c r="I49" i="48" s="1"/>
  <c r="E41" i="48"/>
  <c r="E42" i="48" s="1"/>
  <c r="E45" i="48" s="1"/>
  <c r="E46" i="48" s="1"/>
  <c r="C37" i="48"/>
  <c r="L20" i="47" s="1"/>
  <c r="J20" i="47"/>
  <c r="F41" i="48"/>
  <c r="F42" i="48" s="1"/>
  <c r="F45" i="48" s="1"/>
  <c r="F46" i="48" s="1"/>
  <c r="I75" i="48"/>
  <c r="I76" i="48" s="1"/>
  <c r="I78" i="48" s="1"/>
  <c r="D75" i="48"/>
  <c r="D76" i="48" s="1"/>
  <c r="D78" i="48" s="1"/>
  <c r="G75" i="48"/>
  <c r="G76" i="48" s="1"/>
  <c r="G78" i="48" s="1"/>
  <c r="E75" i="48"/>
  <c r="E76" i="48" s="1"/>
  <c r="E78" i="48" s="1"/>
  <c r="F75" i="48"/>
  <c r="F76" i="48" s="1"/>
  <c r="F78" i="48" s="1"/>
  <c r="C41" i="48"/>
  <c r="H75" i="48"/>
  <c r="H76" i="48" s="1"/>
  <c r="H78" i="48" s="1"/>
  <c r="I46" i="48" l="1"/>
  <c r="I47" i="48" s="1"/>
  <c r="H19" i="47" s="1"/>
  <c r="I57" i="48"/>
  <c r="I53" i="48"/>
  <c r="I55" i="48" s="1"/>
  <c r="D40" i="48"/>
  <c r="D41" i="48" s="1"/>
  <c r="D42" i="48" s="1"/>
  <c r="D45" i="48" s="1"/>
  <c r="D57" i="48" s="1"/>
  <c r="D37" i="48"/>
  <c r="L14" i="47" s="1"/>
  <c r="D38" i="48"/>
  <c r="J14" i="47" s="1"/>
  <c r="E53" i="48"/>
  <c r="E55" i="48" s="1"/>
  <c r="H53" i="48"/>
  <c r="H55" i="48" s="1"/>
  <c r="H57" i="48"/>
  <c r="H49" i="48"/>
  <c r="G49" i="48"/>
  <c r="G57" i="48"/>
  <c r="G53" i="48"/>
  <c r="G55" i="48" s="1"/>
  <c r="F57" i="48"/>
  <c r="F53" i="48"/>
  <c r="F55" i="48" s="1"/>
  <c r="E49" i="48"/>
  <c r="E57" i="48"/>
  <c r="C78" i="48"/>
  <c r="F49" i="48"/>
  <c r="E81" i="48"/>
  <c r="E82" i="48" s="1"/>
  <c r="E83" i="48" s="1"/>
  <c r="E47" i="48"/>
  <c r="H15" i="47" s="1"/>
  <c r="E50" i="48"/>
  <c r="C42" i="48"/>
  <c r="G81" i="48"/>
  <c r="G82" i="48" s="1"/>
  <c r="G83" i="48" s="1"/>
  <c r="G47" i="48"/>
  <c r="H17" i="47" s="1"/>
  <c r="G50" i="48"/>
  <c r="F81" i="48"/>
  <c r="F82" i="48" s="1"/>
  <c r="F83" i="48" s="1"/>
  <c r="F47" i="48"/>
  <c r="H16" i="47" s="1"/>
  <c r="F50" i="48"/>
  <c r="I81" i="48"/>
  <c r="I82" i="48" s="1"/>
  <c r="I83" i="48" s="1"/>
  <c r="H47" i="48"/>
  <c r="H18" i="47" s="1"/>
  <c r="H81" i="48"/>
  <c r="H82" i="48" s="1"/>
  <c r="H83" i="48" s="1"/>
  <c r="H50" i="48"/>
  <c r="D59" i="48" l="1"/>
  <c r="I50" i="48"/>
  <c r="D61" i="48"/>
  <c r="J40" i="48"/>
  <c r="J41" i="48"/>
  <c r="D46" i="48"/>
  <c r="D47" i="48" s="1"/>
  <c r="H14" i="47" s="1"/>
  <c r="J45" i="48"/>
  <c r="D49" i="48"/>
  <c r="C49" i="48" s="1"/>
  <c r="D53" i="48"/>
  <c r="D55" i="48" s="1"/>
  <c r="C46" i="48"/>
  <c r="J42" i="48"/>
  <c r="C53" i="48" l="1"/>
  <c r="C55" i="48" s="1"/>
  <c r="D50" i="48"/>
  <c r="C50" i="48" s="1"/>
  <c r="D81" i="48"/>
  <c r="D82" i="48" s="1"/>
  <c r="D83" i="48" s="1"/>
  <c r="C81" i="48"/>
  <c r="C82" i="48" s="1"/>
  <c r="C83" i="48" s="1"/>
  <c r="C47" i="48"/>
  <c r="H20" i="47" s="1"/>
  <c r="J46" i="48"/>
  <c r="G44" i="48"/>
  <c r="D44" i="48"/>
  <c r="E44" i="48"/>
  <c r="F44" i="48"/>
  <c r="H44" i="48"/>
  <c r="I44" i="48"/>
  <c r="J44" i="48" l="1"/>
  <c r="H26" i="18" l="1"/>
  <c r="H24" i="18"/>
  <c r="H20" i="18"/>
  <c r="H18" i="18"/>
  <c r="H16" i="18"/>
  <c r="H15" i="14"/>
  <c r="H16" i="14"/>
  <c r="G17" i="14"/>
  <c r="G16" i="14"/>
  <c r="G15" i="14"/>
  <c r="F15" i="14"/>
  <c r="F16" i="14"/>
  <c r="E16" i="14"/>
  <c r="E15" i="14"/>
  <c r="D15" i="14"/>
  <c r="D16" i="14"/>
  <c r="D17" i="14"/>
  <c r="T76" i="9" l="1"/>
  <c r="V12" i="6" l="1"/>
  <c r="F56" i="18" l="1"/>
  <c r="K56" i="18" s="1"/>
  <c r="BF2" i="9" l="1"/>
  <c r="BE1" i="9"/>
  <c r="BE4" i="9" l="1"/>
  <c r="BF4" i="9" s="1"/>
  <c r="G75" i="10"/>
  <c r="G53" i="10" l="1"/>
  <c r="G54" i="10"/>
  <c r="G55" i="10"/>
  <c r="G56" i="10"/>
  <c r="G57" i="10"/>
  <c r="G58" i="10"/>
  <c r="G59" i="10"/>
  <c r="G60" i="10"/>
  <c r="G61" i="10"/>
  <c r="G62" i="10"/>
  <c r="G63" i="10"/>
  <c r="G64" i="10"/>
  <c r="G65" i="10"/>
  <c r="G66" i="10"/>
  <c r="G67" i="10"/>
  <c r="G68" i="10"/>
  <c r="G69" i="10"/>
  <c r="G70" i="10"/>
  <c r="G71" i="10"/>
  <c r="G72" i="10"/>
  <c r="G73" i="10"/>
  <c r="G74" i="10"/>
  <c r="G76" i="10"/>
  <c r="G77" i="10"/>
  <c r="G78" i="10"/>
  <c r="G79" i="10"/>
  <c r="G80" i="10"/>
  <c r="G81" i="10"/>
  <c r="G82" i="10"/>
  <c r="G83" i="10"/>
  <c r="G84" i="10"/>
  <c r="G85" i="10"/>
  <c r="G86" i="10"/>
  <c r="G87" i="10"/>
  <c r="G88" i="10"/>
  <c r="G89" i="10"/>
  <c r="G90" i="10"/>
  <c r="G91" i="10"/>
  <c r="G92" i="10"/>
  <c r="G93" i="10"/>
  <c r="G52" i="10"/>
  <c r="Q45" i="10"/>
  <c r="G38" i="10"/>
  <c r="G39" i="10"/>
  <c r="G40" i="10"/>
  <c r="G41" i="10"/>
  <c r="G42" i="10"/>
  <c r="G43" i="10"/>
  <c r="G44" i="10"/>
  <c r="G45" i="10"/>
  <c r="G46" i="10"/>
  <c r="G47" i="10"/>
  <c r="G48" i="10"/>
  <c r="G49" i="10"/>
  <c r="G37" i="10"/>
  <c r="G36" i="10"/>
  <c r="Q48" i="10"/>
  <c r="G25" i="10" l="1"/>
  <c r="G23" i="10"/>
  <c r="G20" i="10"/>
  <c r="T48" i="9" l="1"/>
  <c r="T45" i="9"/>
  <c r="T89" i="9"/>
  <c r="BE79" i="9" l="1"/>
  <c r="BI79" i="9" s="1"/>
  <c r="G99" i="9"/>
  <c r="E131" i="9" l="1"/>
  <c r="E136" i="9" s="1"/>
  <c r="G104" i="9"/>
  <c r="G105" i="9"/>
  <c r="G106" i="9"/>
  <c r="G107" i="9"/>
  <c r="G108" i="9"/>
  <c r="G109" i="9"/>
  <c r="G110" i="9"/>
  <c r="G111" i="9"/>
  <c r="G112" i="9"/>
  <c r="G113" i="9"/>
  <c r="G114" i="9"/>
  <c r="G115" i="9"/>
  <c r="G116" i="9"/>
  <c r="G117" i="9"/>
  <c r="G118" i="9"/>
  <c r="G119" i="9"/>
  <c r="G120" i="9"/>
  <c r="G121" i="9"/>
  <c r="G122" i="9"/>
  <c r="G123" i="9"/>
  <c r="G124" i="9"/>
  <c r="G125" i="9"/>
  <c r="E86" i="9"/>
  <c r="E85" i="9"/>
  <c r="E82" i="9"/>
  <c r="E74" i="9"/>
  <c r="E73" i="9"/>
  <c r="E72" i="9"/>
  <c r="E53" i="9"/>
  <c r="E52" i="9"/>
  <c r="E51" i="9"/>
  <c r="E29" i="9"/>
  <c r="E28" i="9"/>
  <c r="E27" i="9"/>
  <c r="P147" i="6"/>
  <c r="D109" i="6"/>
  <c r="D143" i="6"/>
  <c r="E133" i="6"/>
  <c r="F133" i="6"/>
  <c r="G133" i="6"/>
  <c r="H133" i="6"/>
  <c r="I133" i="6"/>
  <c r="J133" i="6"/>
  <c r="K133" i="6"/>
  <c r="L133" i="6"/>
  <c r="M133" i="6"/>
  <c r="N133" i="6"/>
  <c r="O133" i="6"/>
  <c r="E134" i="6"/>
  <c r="F134" i="6"/>
  <c r="G134" i="6"/>
  <c r="H134" i="6"/>
  <c r="I134" i="6"/>
  <c r="J134" i="6"/>
  <c r="K134" i="6"/>
  <c r="L134" i="6"/>
  <c r="M134" i="6"/>
  <c r="N134" i="6"/>
  <c r="O134" i="6"/>
  <c r="E135" i="6"/>
  <c r="F135" i="6"/>
  <c r="G135" i="6"/>
  <c r="H135" i="6"/>
  <c r="I135" i="6"/>
  <c r="J135" i="6"/>
  <c r="K135" i="6"/>
  <c r="L135" i="6"/>
  <c r="M135" i="6"/>
  <c r="N135" i="6"/>
  <c r="O135" i="6"/>
  <c r="E136" i="6"/>
  <c r="F136" i="6"/>
  <c r="G136" i="6"/>
  <c r="H136" i="6"/>
  <c r="I136" i="6"/>
  <c r="J136" i="6"/>
  <c r="K136" i="6"/>
  <c r="L136" i="6"/>
  <c r="M136" i="6"/>
  <c r="N136" i="6"/>
  <c r="O136" i="6"/>
  <c r="E137" i="6"/>
  <c r="F137" i="6"/>
  <c r="G137" i="6"/>
  <c r="H137" i="6"/>
  <c r="I137" i="6"/>
  <c r="J137" i="6"/>
  <c r="K137" i="6"/>
  <c r="L137" i="6"/>
  <c r="M137" i="6"/>
  <c r="N137" i="6"/>
  <c r="O137" i="6"/>
  <c r="E138" i="6"/>
  <c r="F138" i="6"/>
  <c r="G138" i="6"/>
  <c r="H138" i="6"/>
  <c r="I138" i="6"/>
  <c r="J138" i="6"/>
  <c r="K138" i="6"/>
  <c r="L138" i="6"/>
  <c r="M138" i="6"/>
  <c r="N138" i="6"/>
  <c r="O138" i="6"/>
  <c r="E139" i="6"/>
  <c r="F139" i="6"/>
  <c r="G139" i="6"/>
  <c r="H139" i="6"/>
  <c r="I139" i="6"/>
  <c r="J139" i="6"/>
  <c r="K139" i="6"/>
  <c r="L139" i="6"/>
  <c r="M139" i="6"/>
  <c r="N139" i="6"/>
  <c r="O139" i="6"/>
  <c r="E140" i="6"/>
  <c r="F140" i="6"/>
  <c r="G140" i="6"/>
  <c r="H140" i="6"/>
  <c r="I140" i="6"/>
  <c r="J140" i="6"/>
  <c r="K140" i="6"/>
  <c r="L140" i="6"/>
  <c r="M140" i="6"/>
  <c r="N140" i="6"/>
  <c r="O140" i="6"/>
  <c r="E141" i="6"/>
  <c r="F141" i="6"/>
  <c r="G141" i="6"/>
  <c r="H141" i="6"/>
  <c r="I141" i="6"/>
  <c r="J141" i="6"/>
  <c r="K141" i="6"/>
  <c r="L141" i="6"/>
  <c r="M141" i="6"/>
  <c r="N141" i="6"/>
  <c r="O141" i="6"/>
  <c r="E142" i="6"/>
  <c r="F142" i="6"/>
  <c r="G142" i="6"/>
  <c r="H142" i="6"/>
  <c r="I142" i="6"/>
  <c r="J142" i="6"/>
  <c r="K142" i="6"/>
  <c r="L142" i="6"/>
  <c r="M142" i="6"/>
  <c r="N142" i="6"/>
  <c r="O142" i="6"/>
  <c r="D134" i="6"/>
  <c r="D135" i="6"/>
  <c r="D136" i="6"/>
  <c r="D137" i="6"/>
  <c r="D138" i="6"/>
  <c r="D139" i="6"/>
  <c r="D140" i="6"/>
  <c r="D141" i="6"/>
  <c r="D142" i="6"/>
  <c r="E124" i="6"/>
  <c r="F124" i="6"/>
  <c r="G124" i="6"/>
  <c r="H124" i="6"/>
  <c r="I124" i="6"/>
  <c r="J124" i="6"/>
  <c r="K124" i="6"/>
  <c r="L124" i="6"/>
  <c r="M124" i="6"/>
  <c r="N124" i="6"/>
  <c r="O124" i="6"/>
  <c r="E125" i="6"/>
  <c r="F125" i="6"/>
  <c r="G125" i="6"/>
  <c r="H125" i="6"/>
  <c r="I125" i="6"/>
  <c r="J125" i="6"/>
  <c r="K125" i="6"/>
  <c r="L125" i="6"/>
  <c r="M125" i="6"/>
  <c r="N125" i="6"/>
  <c r="O125" i="6"/>
  <c r="E126" i="6"/>
  <c r="F126" i="6"/>
  <c r="G126" i="6"/>
  <c r="H126" i="6"/>
  <c r="I126" i="6"/>
  <c r="J126" i="6"/>
  <c r="K126" i="6"/>
  <c r="L126" i="6"/>
  <c r="M126" i="6"/>
  <c r="N126" i="6"/>
  <c r="O126" i="6"/>
  <c r="E127" i="6"/>
  <c r="F127" i="6"/>
  <c r="G127" i="6"/>
  <c r="H127" i="6"/>
  <c r="I127" i="6"/>
  <c r="J127" i="6"/>
  <c r="K127" i="6"/>
  <c r="L127" i="6"/>
  <c r="M127" i="6"/>
  <c r="N127" i="6"/>
  <c r="O127" i="6"/>
  <c r="E128" i="6"/>
  <c r="F128" i="6"/>
  <c r="G128" i="6"/>
  <c r="H128" i="6"/>
  <c r="I128" i="6"/>
  <c r="J128" i="6"/>
  <c r="K128" i="6"/>
  <c r="L128" i="6"/>
  <c r="M128" i="6"/>
  <c r="N128" i="6"/>
  <c r="O128" i="6"/>
  <c r="E129" i="6"/>
  <c r="F129" i="6"/>
  <c r="G129" i="6"/>
  <c r="H129" i="6"/>
  <c r="I129" i="6"/>
  <c r="J129" i="6"/>
  <c r="K129" i="6"/>
  <c r="L129" i="6"/>
  <c r="M129" i="6"/>
  <c r="N129" i="6"/>
  <c r="O129" i="6"/>
  <c r="E130" i="6"/>
  <c r="F130" i="6"/>
  <c r="G130" i="6"/>
  <c r="H130" i="6"/>
  <c r="I130" i="6"/>
  <c r="J130" i="6"/>
  <c r="K130" i="6"/>
  <c r="L130" i="6"/>
  <c r="M130" i="6"/>
  <c r="N130" i="6"/>
  <c r="O130" i="6"/>
  <c r="E131" i="6"/>
  <c r="F131" i="6"/>
  <c r="G131" i="6"/>
  <c r="H131" i="6"/>
  <c r="I131" i="6"/>
  <c r="J131" i="6"/>
  <c r="K131" i="6"/>
  <c r="L131" i="6"/>
  <c r="M131" i="6"/>
  <c r="N131" i="6"/>
  <c r="O131" i="6"/>
  <c r="D125" i="6"/>
  <c r="D126" i="6"/>
  <c r="D127" i="6"/>
  <c r="D128" i="6"/>
  <c r="D129" i="6"/>
  <c r="D130" i="6"/>
  <c r="D131" i="6"/>
  <c r="D124" i="6"/>
  <c r="D149" i="6"/>
  <c r="D132" i="6"/>
  <c r="E132" i="6"/>
  <c r="F132" i="6"/>
  <c r="G132" i="6"/>
  <c r="H132" i="6"/>
  <c r="I132" i="6"/>
  <c r="J132" i="6"/>
  <c r="K132" i="6"/>
  <c r="L132" i="6"/>
  <c r="M132" i="6"/>
  <c r="N132" i="6"/>
  <c r="O132" i="6"/>
  <c r="T144" i="6"/>
  <c r="T145" i="6"/>
  <c r="T146" i="6"/>
  <c r="E146" i="6" l="1"/>
  <c r="F146" i="6"/>
  <c r="G146" i="6"/>
  <c r="H146" i="6"/>
  <c r="I146" i="6"/>
  <c r="J146" i="6"/>
  <c r="K146" i="6"/>
  <c r="L146" i="6"/>
  <c r="M146" i="6"/>
  <c r="N146" i="6"/>
  <c r="O146" i="6"/>
  <c r="D146" i="6"/>
  <c r="D145" i="6"/>
  <c r="E145" i="6"/>
  <c r="F145" i="6"/>
  <c r="G145" i="6"/>
  <c r="H145" i="6"/>
  <c r="I145" i="6"/>
  <c r="J145" i="6"/>
  <c r="K145" i="6"/>
  <c r="L145" i="6"/>
  <c r="M145" i="6"/>
  <c r="N145" i="6"/>
  <c r="O145" i="6"/>
  <c r="B125" i="6"/>
  <c r="B126" i="6"/>
  <c r="B127" i="6"/>
  <c r="B128" i="6"/>
  <c r="B129" i="6"/>
  <c r="B130" i="6"/>
  <c r="B131" i="6"/>
  <c r="B132" i="6"/>
  <c r="B133" i="6"/>
  <c r="B134" i="6"/>
  <c r="B135" i="6"/>
  <c r="B136" i="6"/>
  <c r="B137" i="6"/>
  <c r="B138" i="6"/>
  <c r="B139" i="6"/>
  <c r="B140" i="6"/>
  <c r="B141" i="6"/>
  <c r="B142" i="6"/>
  <c r="B143" i="6"/>
  <c r="B144" i="6"/>
  <c r="B145" i="6"/>
  <c r="B146" i="6"/>
  <c r="B124" i="6"/>
  <c r="D115" i="6"/>
  <c r="G113" i="6"/>
  <c r="H113" i="6"/>
  <c r="K113" i="6"/>
  <c r="L113" i="6"/>
  <c r="O113" i="6"/>
  <c r="D113" i="6"/>
  <c r="D89" i="6"/>
  <c r="E89" i="6"/>
  <c r="F89" i="6"/>
  <c r="G89" i="6"/>
  <c r="H89" i="6"/>
  <c r="I89" i="6"/>
  <c r="J89" i="6"/>
  <c r="K89" i="6"/>
  <c r="L89" i="6"/>
  <c r="M89" i="6"/>
  <c r="N89" i="6"/>
  <c r="O89" i="6"/>
  <c r="D90" i="6"/>
  <c r="E90" i="6"/>
  <c r="F90" i="6"/>
  <c r="G90" i="6"/>
  <c r="H90" i="6"/>
  <c r="I90" i="6"/>
  <c r="J90" i="6"/>
  <c r="K90" i="6"/>
  <c r="L90" i="6"/>
  <c r="M90" i="6"/>
  <c r="N90" i="6"/>
  <c r="O90" i="6"/>
  <c r="B69" i="6"/>
  <c r="B70" i="6"/>
  <c r="B71" i="6"/>
  <c r="B72" i="6"/>
  <c r="B73" i="6"/>
  <c r="B74" i="6"/>
  <c r="B75" i="6"/>
  <c r="B76" i="6"/>
  <c r="B77" i="6"/>
  <c r="B78" i="6"/>
  <c r="B79" i="6"/>
  <c r="B80" i="6"/>
  <c r="B81" i="6"/>
  <c r="B82" i="6"/>
  <c r="B83" i="6"/>
  <c r="B84" i="6"/>
  <c r="B85" i="6"/>
  <c r="B86" i="6"/>
  <c r="B87" i="6"/>
  <c r="B88" i="6"/>
  <c r="B89" i="6"/>
  <c r="B90" i="6"/>
  <c r="Q62" i="6"/>
  <c r="Q63" i="6"/>
  <c r="P62" i="6"/>
  <c r="P63" i="6"/>
  <c r="E64" i="6"/>
  <c r="E118" i="6" s="1"/>
  <c r="F64" i="6"/>
  <c r="F118" i="6" s="1"/>
  <c r="G64" i="6"/>
  <c r="G118" i="6" s="1"/>
  <c r="H64" i="6"/>
  <c r="H118" i="6" s="1"/>
  <c r="I64" i="6"/>
  <c r="I113" i="6" s="1"/>
  <c r="J64" i="6"/>
  <c r="J113" i="6" s="1"/>
  <c r="K64" i="6"/>
  <c r="K118" i="6" s="1"/>
  <c r="L64" i="6"/>
  <c r="L118" i="6" s="1"/>
  <c r="M64" i="6"/>
  <c r="M118" i="6" s="1"/>
  <c r="N64" i="6"/>
  <c r="N118" i="6" s="1"/>
  <c r="O64" i="6"/>
  <c r="O118" i="6" s="1"/>
  <c r="D64" i="6"/>
  <c r="D118" i="6" s="1"/>
  <c r="B42" i="6"/>
  <c r="B43" i="6"/>
  <c r="B44" i="6"/>
  <c r="B45" i="6"/>
  <c r="B46" i="6"/>
  <c r="B47" i="6"/>
  <c r="B48" i="6"/>
  <c r="B49" i="6"/>
  <c r="B50" i="6"/>
  <c r="B51" i="6"/>
  <c r="B52" i="6"/>
  <c r="B53" i="6"/>
  <c r="B54" i="6"/>
  <c r="B55" i="6"/>
  <c r="B56" i="6"/>
  <c r="B57" i="6"/>
  <c r="B58" i="6"/>
  <c r="B59" i="6"/>
  <c r="B60" i="6"/>
  <c r="B61" i="6"/>
  <c r="B62" i="6"/>
  <c r="B63" i="6"/>
  <c r="B41" i="6"/>
  <c r="E27" i="6"/>
  <c r="F27" i="6"/>
  <c r="G27" i="6"/>
  <c r="H27" i="6"/>
  <c r="I27" i="6"/>
  <c r="J27" i="6"/>
  <c r="K27" i="6"/>
  <c r="L27" i="6"/>
  <c r="M27" i="6"/>
  <c r="N27" i="6"/>
  <c r="O27" i="6"/>
  <c r="D27" i="6"/>
  <c r="Q26" i="6"/>
  <c r="P26" i="6"/>
  <c r="Q25" i="6"/>
  <c r="P25" i="6"/>
  <c r="N113" i="6" l="1"/>
  <c r="F113" i="6"/>
  <c r="M113" i="6"/>
  <c r="E113" i="6"/>
  <c r="J118" i="6"/>
  <c r="I118" i="6"/>
  <c r="P89" i="6"/>
  <c r="P90" i="6"/>
  <c r="R26" i="6"/>
  <c r="S26" i="6" s="1"/>
  <c r="R25" i="6"/>
  <c r="S25" i="6" s="1"/>
  <c r="F120" i="1"/>
  <c r="D99" i="27"/>
  <c r="E99" i="27"/>
  <c r="F99" i="27"/>
  <c r="G99" i="27"/>
  <c r="H99" i="27"/>
  <c r="I99" i="27"/>
  <c r="J99" i="27"/>
  <c r="K99" i="27"/>
  <c r="L99" i="27"/>
  <c r="M99" i="27"/>
  <c r="N99" i="27"/>
  <c r="C99" i="27"/>
  <c r="D49" i="27"/>
  <c r="E49" i="27"/>
  <c r="F49" i="27"/>
  <c r="G49" i="27"/>
  <c r="H49" i="27"/>
  <c r="I49" i="27"/>
  <c r="J49" i="27"/>
  <c r="K49" i="27"/>
  <c r="L49" i="27"/>
  <c r="M49" i="27"/>
  <c r="N49" i="27"/>
  <c r="C49" i="27"/>
  <c r="D75" i="27"/>
  <c r="E75" i="27"/>
  <c r="F75" i="27"/>
  <c r="G75" i="27"/>
  <c r="H75" i="27"/>
  <c r="I75" i="27"/>
  <c r="J75" i="27"/>
  <c r="K75" i="27"/>
  <c r="L75" i="27"/>
  <c r="M75" i="27"/>
  <c r="N75" i="27"/>
  <c r="C75" i="27"/>
  <c r="D71" i="27"/>
  <c r="E71" i="27"/>
  <c r="F71" i="27"/>
  <c r="G71" i="27"/>
  <c r="H71" i="27"/>
  <c r="I71" i="27"/>
  <c r="J71" i="27"/>
  <c r="K71" i="27"/>
  <c r="L71" i="27"/>
  <c r="M71" i="27"/>
  <c r="N71" i="27"/>
  <c r="C71" i="27"/>
  <c r="D45" i="27"/>
  <c r="E45" i="27"/>
  <c r="F45" i="27"/>
  <c r="G45" i="27"/>
  <c r="H45" i="27"/>
  <c r="I45" i="27"/>
  <c r="J45" i="27"/>
  <c r="K45" i="27"/>
  <c r="L45" i="27"/>
  <c r="M45" i="27"/>
  <c r="N45" i="27"/>
  <c r="C45" i="27"/>
  <c r="E388" i="37"/>
  <c r="F388" i="37" s="1"/>
  <c r="G388" i="37" s="1"/>
  <c r="H388" i="37" s="1"/>
  <c r="I388" i="37" s="1"/>
  <c r="J388" i="37" s="1"/>
  <c r="K388" i="37" s="1"/>
  <c r="L388" i="37" s="1"/>
  <c r="M388" i="37" s="1"/>
  <c r="N388" i="37" s="1"/>
  <c r="O388" i="37" s="1"/>
  <c r="P387" i="37"/>
  <c r="E385" i="37"/>
  <c r="F385" i="37" s="1"/>
  <c r="G385" i="37" s="1"/>
  <c r="H385" i="37" s="1"/>
  <c r="I385" i="37" s="1"/>
  <c r="J385" i="37" s="1"/>
  <c r="K385" i="37" s="1"/>
  <c r="L385" i="37" s="1"/>
  <c r="M385" i="37" s="1"/>
  <c r="N385" i="37" s="1"/>
  <c r="O385" i="37" s="1"/>
  <c r="P384" i="37"/>
  <c r="E382" i="37"/>
  <c r="F382" i="37" s="1"/>
  <c r="G382" i="37" s="1"/>
  <c r="H382" i="37" s="1"/>
  <c r="I382" i="37" s="1"/>
  <c r="J382" i="37" s="1"/>
  <c r="K382" i="37" s="1"/>
  <c r="L382" i="37" s="1"/>
  <c r="M382" i="37" s="1"/>
  <c r="N382" i="37" s="1"/>
  <c r="O382" i="37" s="1"/>
  <c r="P381" i="37"/>
  <c r="E379" i="37"/>
  <c r="F379" i="37" s="1"/>
  <c r="G379" i="37" s="1"/>
  <c r="H379" i="37" s="1"/>
  <c r="I379" i="37" s="1"/>
  <c r="J379" i="37" s="1"/>
  <c r="K379" i="37" s="1"/>
  <c r="L379" i="37" s="1"/>
  <c r="M379" i="37" s="1"/>
  <c r="N379" i="37" s="1"/>
  <c r="O379" i="37" s="1"/>
  <c r="E378" i="37"/>
  <c r="F378" i="37" s="1"/>
  <c r="G378" i="37" s="1"/>
  <c r="H378" i="37" s="1"/>
  <c r="I378" i="37" s="1"/>
  <c r="J378" i="37" s="1"/>
  <c r="K378" i="37" s="1"/>
  <c r="L378" i="37" s="1"/>
  <c r="M378" i="37" s="1"/>
  <c r="N378" i="37" s="1"/>
  <c r="O378" i="37" s="1"/>
  <c r="F377" i="37"/>
  <c r="G377" i="37" s="1"/>
  <c r="H377" i="37" s="1"/>
  <c r="I377" i="37" s="1"/>
  <c r="J377" i="37" s="1"/>
  <c r="K377" i="37" s="1"/>
  <c r="L377" i="37" s="1"/>
  <c r="M377" i="37" s="1"/>
  <c r="N377" i="37" s="1"/>
  <c r="O377" i="37" s="1"/>
  <c r="E377" i="37"/>
  <c r="F376" i="37"/>
  <c r="G376" i="37" s="1"/>
  <c r="H376" i="37" s="1"/>
  <c r="I376" i="37" s="1"/>
  <c r="J376" i="37" s="1"/>
  <c r="K376" i="37" s="1"/>
  <c r="L376" i="37" s="1"/>
  <c r="M376" i="37" s="1"/>
  <c r="N376" i="37" s="1"/>
  <c r="O376" i="37" s="1"/>
  <c r="E376" i="37"/>
  <c r="P375" i="37"/>
  <c r="P374" i="37"/>
  <c r="P373" i="37"/>
  <c r="P372" i="37"/>
  <c r="E370" i="37"/>
  <c r="F370" i="37" s="1"/>
  <c r="G370" i="37" s="1"/>
  <c r="H370" i="37" s="1"/>
  <c r="I370" i="37" s="1"/>
  <c r="J370" i="37" s="1"/>
  <c r="K370" i="37" s="1"/>
  <c r="L370" i="37" s="1"/>
  <c r="M370" i="37" s="1"/>
  <c r="N370" i="37" s="1"/>
  <c r="O370" i="37" s="1"/>
  <c r="E369" i="37"/>
  <c r="F369" i="37" s="1"/>
  <c r="G369" i="37" s="1"/>
  <c r="H369" i="37" s="1"/>
  <c r="I369" i="37" s="1"/>
  <c r="J369" i="37" s="1"/>
  <c r="K369" i="37" s="1"/>
  <c r="L369" i="37" s="1"/>
  <c r="M369" i="37" s="1"/>
  <c r="N369" i="37" s="1"/>
  <c r="O369" i="37" s="1"/>
  <c r="G368" i="37"/>
  <c r="H368" i="37" s="1"/>
  <c r="I368" i="37" s="1"/>
  <c r="J368" i="37" s="1"/>
  <c r="K368" i="37" s="1"/>
  <c r="L368" i="37" s="1"/>
  <c r="M368" i="37" s="1"/>
  <c r="N368" i="37" s="1"/>
  <c r="O368" i="37" s="1"/>
  <c r="F368" i="37"/>
  <c r="E368" i="37"/>
  <c r="P367" i="37"/>
  <c r="P366" i="37"/>
  <c r="P365" i="37"/>
  <c r="E363" i="37"/>
  <c r="F363" i="37" s="1"/>
  <c r="G363" i="37" s="1"/>
  <c r="H363" i="37" s="1"/>
  <c r="I363" i="37" s="1"/>
  <c r="J363" i="37" s="1"/>
  <c r="K363" i="37" s="1"/>
  <c r="L363" i="37" s="1"/>
  <c r="M363" i="37" s="1"/>
  <c r="N363" i="37" s="1"/>
  <c r="O363" i="37" s="1"/>
  <c r="E362" i="37"/>
  <c r="F362" i="37" s="1"/>
  <c r="G362" i="37" s="1"/>
  <c r="H362" i="37" s="1"/>
  <c r="I362" i="37" s="1"/>
  <c r="J362" i="37" s="1"/>
  <c r="K362" i="37" s="1"/>
  <c r="L362" i="37" s="1"/>
  <c r="M362" i="37" s="1"/>
  <c r="N362" i="37" s="1"/>
  <c r="O362" i="37" s="1"/>
  <c r="G361" i="37"/>
  <c r="H361" i="37" s="1"/>
  <c r="I361" i="37" s="1"/>
  <c r="J361" i="37" s="1"/>
  <c r="K361" i="37" s="1"/>
  <c r="L361" i="37" s="1"/>
  <c r="M361" i="37" s="1"/>
  <c r="N361" i="37" s="1"/>
  <c r="O361" i="37" s="1"/>
  <c r="F361" i="37"/>
  <c r="E361" i="37"/>
  <c r="P360" i="37"/>
  <c r="P359" i="37"/>
  <c r="P358" i="37"/>
  <c r="E356" i="37"/>
  <c r="F356" i="37" s="1"/>
  <c r="G356" i="37" s="1"/>
  <c r="H356" i="37" s="1"/>
  <c r="I356" i="37" s="1"/>
  <c r="J356" i="37" s="1"/>
  <c r="K356" i="37" s="1"/>
  <c r="L356" i="37" s="1"/>
  <c r="M356" i="37" s="1"/>
  <c r="N356" i="37" s="1"/>
  <c r="O356" i="37" s="1"/>
  <c r="E355" i="37"/>
  <c r="F355" i="37" s="1"/>
  <c r="G355" i="37" s="1"/>
  <c r="H355" i="37" s="1"/>
  <c r="I355" i="37" s="1"/>
  <c r="J355" i="37" s="1"/>
  <c r="K355" i="37" s="1"/>
  <c r="L355" i="37" s="1"/>
  <c r="M355" i="37" s="1"/>
  <c r="N355" i="37" s="1"/>
  <c r="O355" i="37" s="1"/>
  <c r="P354" i="37"/>
  <c r="P353" i="37"/>
  <c r="E351" i="37"/>
  <c r="F351" i="37" s="1"/>
  <c r="G351" i="37" s="1"/>
  <c r="H351" i="37" s="1"/>
  <c r="I351" i="37" s="1"/>
  <c r="J351" i="37" s="1"/>
  <c r="K351" i="37" s="1"/>
  <c r="L351" i="37" s="1"/>
  <c r="M351" i="37" s="1"/>
  <c r="N351" i="37" s="1"/>
  <c r="O351" i="37" s="1"/>
  <c r="E350" i="37"/>
  <c r="F350" i="37" s="1"/>
  <c r="G350" i="37" s="1"/>
  <c r="H350" i="37" s="1"/>
  <c r="I350" i="37" s="1"/>
  <c r="J350" i="37" s="1"/>
  <c r="K350" i="37" s="1"/>
  <c r="L350" i="37" s="1"/>
  <c r="M350" i="37" s="1"/>
  <c r="N350" i="37" s="1"/>
  <c r="O350" i="37" s="1"/>
  <c r="P349" i="37"/>
  <c r="P348" i="37"/>
  <c r="E319" i="37" l="1"/>
  <c r="F319" i="37"/>
  <c r="G319" i="37"/>
  <c r="H319" i="37"/>
  <c r="I319" i="37"/>
  <c r="J319" i="37"/>
  <c r="K319" i="37"/>
  <c r="L319" i="37"/>
  <c r="M319" i="37"/>
  <c r="N319" i="37"/>
  <c r="O319" i="37"/>
  <c r="P319" i="37"/>
  <c r="D319" i="37"/>
  <c r="E322" i="37"/>
  <c r="F322" i="37"/>
  <c r="G322" i="37"/>
  <c r="H322" i="37"/>
  <c r="I322" i="37"/>
  <c r="J322" i="37"/>
  <c r="K322" i="37"/>
  <c r="L322" i="37"/>
  <c r="M322" i="37"/>
  <c r="N322" i="37"/>
  <c r="O322" i="37"/>
  <c r="E323" i="37"/>
  <c r="F323" i="37"/>
  <c r="G323" i="37"/>
  <c r="H323" i="37"/>
  <c r="I323" i="37"/>
  <c r="J323" i="37"/>
  <c r="K323" i="37"/>
  <c r="L323" i="37"/>
  <c r="M323" i="37"/>
  <c r="N323" i="37"/>
  <c r="O323" i="37"/>
  <c r="E324" i="37"/>
  <c r="F324" i="37"/>
  <c r="G324" i="37"/>
  <c r="H324" i="37"/>
  <c r="I324" i="37"/>
  <c r="J324" i="37"/>
  <c r="K324" i="37"/>
  <c r="L324" i="37"/>
  <c r="M324" i="37"/>
  <c r="N324" i="37"/>
  <c r="O324" i="37"/>
  <c r="E325" i="37"/>
  <c r="F325" i="37"/>
  <c r="G325" i="37"/>
  <c r="H325" i="37"/>
  <c r="I325" i="37"/>
  <c r="J325" i="37"/>
  <c r="K325" i="37"/>
  <c r="L325" i="37"/>
  <c r="M325" i="37"/>
  <c r="N325" i="37"/>
  <c r="O325" i="37"/>
  <c r="E326" i="37"/>
  <c r="F326" i="37"/>
  <c r="G326" i="37"/>
  <c r="H326" i="37"/>
  <c r="I326" i="37"/>
  <c r="J326" i="37"/>
  <c r="K326" i="37"/>
  <c r="L326" i="37"/>
  <c r="M326" i="37"/>
  <c r="N326" i="37"/>
  <c r="O326" i="37"/>
  <c r="D326" i="37"/>
  <c r="D325" i="37"/>
  <c r="D324" i="37"/>
  <c r="P324" i="37" s="1"/>
  <c r="D323" i="37"/>
  <c r="P323" i="37" s="1"/>
  <c r="D322" i="37"/>
  <c r="P325" i="37" l="1"/>
  <c r="I327" i="37"/>
  <c r="G327" i="37"/>
  <c r="G328" i="37" s="1"/>
  <c r="O327" i="37"/>
  <c r="P322" i="37"/>
  <c r="H328" i="37"/>
  <c r="J327" i="37"/>
  <c r="J328" i="37" s="1"/>
  <c r="I328" i="37"/>
  <c r="P326" i="37"/>
  <c r="D327" i="37"/>
  <c r="D328" i="37" s="1"/>
  <c r="H327" i="37"/>
  <c r="K327" i="37"/>
  <c r="K328" i="37" s="1"/>
  <c r="N327" i="37"/>
  <c r="N328" i="37" s="1"/>
  <c r="F327" i="37"/>
  <c r="F328" i="37" s="1"/>
  <c r="M327" i="37"/>
  <c r="M328" i="37" s="1"/>
  <c r="E327" i="37"/>
  <c r="E328" i="37" s="1"/>
  <c r="L327" i="37"/>
  <c r="L328" i="37" s="1"/>
  <c r="P255" i="37"/>
  <c r="P256" i="37"/>
  <c r="P257" i="37"/>
  <c r="P258" i="37"/>
  <c r="P259" i="37"/>
  <c r="P260" i="37"/>
  <c r="P261" i="37"/>
  <c r="P253" i="37"/>
  <c r="P254" i="37"/>
  <c r="E262" i="37"/>
  <c r="F262" i="37"/>
  <c r="G262" i="37"/>
  <c r="H262" i="37"/>
  <c r="I262" i="37"/>
  <c r="J262" i="37"/>
  <c r="K262" i="37"/>
  <c r="L262" i="37"/>
  <c r="M262" i="37"/>
  <c r="N262" i="37"/>
  <c r="O262" i="37"/>
  <c r="D262" i="37"/>
  <c r="P244" i="37"/>
  <c r="P246" i="37"/>
  <c r="P247" i="37"/>
  <c r="P248" i="37"/>
  <c r="P249" i="37"/>
  <c r="P250" i="37"/>
  <c r="P251" i="37"/>
  <c r="P245" i="37"/>
  <c r="E252" i="37"/>
  <c r="F252" i="37"/>
  <c r="G252" i="37"/>
  <c r="H252" i="37"/>
  <c r="I252" i="37"/>
  <c r="J252" i="37"/>
  <c r="K252" i="37"/>
  <c r="L252" i="37"/>
  <c r="M252" i="37"/>
  <c r="N252" i="37"/>
  <c r="O252" i="37"/>
  <c r="D252" i="37"/>
  <c r="P235" i="37"/>
  <c r="P237" i="37"/>
  <c r="P238" i="37"/>
  <c r="P239" i="37"/>
  <c r="P240" i="37"/>
  <c r="P241" i="37"/>
  <c r="P242" i="37"/>
  <c r="P236" i="37"/>
  <c r="E243" i="37"/>
  <c r="F243" i="37"/>
  <c r="G243" i="37"/>
  <c r="H243" i="37"/>
  <c r="I243" i="37"/>
  <c r="J243" i="37"/>
  <c r="K243" i="37"/>
  <c r="L243" i="37"/>
  <c r="M243" i="37"/>
  <c r="N243" i="37"/>
  <c r="O243" i="37"/>
  <c r="D243" i="37"/>
  <c r="P228" i="37"/>
  <c r="P229" i="37"/>
  <c r="P230" i="37"/>
  <c r="P231" i="37"/>
  <c r="P232" i="37"/>
  <c r="P233" i="37"/>
  <c r="P226" i="37"/>
  <c r="P227" i="37"/>
  <c r="E234" i="37"/>
  <c r="F234" i="37"/>
  <c r="G234" i="37"/>
  <c r="H234" i="37"/>
  <c r="I234" i="37"/>
  <c r="J234" i="37"/>
  <c r="K234" i="37"/>
  <c r="L234" i="37"/>
  <c r="M234" i="37"/>
  <c r="N234" i="37"/>
  <c r="O234" i="37"/>
  <c r="D234" i="37"/>
  <c r="P217" i="37"/>
  <c r="P219" i="37"/>
  <c r="P220" i="37"/>
  <c r="P221" i="37"/>
  <c r="P222" i="37"/>
  <c r="P223" i="37"/>
  <c r="P224" i="37"/>
  <c r="P218" i="37"/>
  <c r="E225" i="37"/>
  <c r="F225" i="37"/>
  <c r="G225" i="37"/>
  <c r="H225" i="37"/>
  <c r="I225" i="37"/>
  <c r="J225" i="37"/>
  <c r="K225" i="37"/>
  <c r="L225" i="37"/>
  <c r="M225" i="37"/>
  <c r="N225" i="37"/>
  <c r="O225" i="37"/>
  <c r="D225" i="37"/>
  <c r="P209" i="37"/>
  <c r="P210" i="37"/>
  <c r="P211" i="37"/>
  <c r="P212" i="37"/>
  <c r="P213" i="37"/>
  <c r="P214" i="37"/>
  <c r="P215" i="37"/>
  <c r="P208" i="37"/>
  <c r="E216" i="37"/>
  <c r="F216" i="37"/>
  <c r="G216" i="37"/>
  <c r="H216" i="37"/>
  <c r="I216" i="37"/>
  <c r="J216" i="37"/>
  <c r="K216" i="37"/>
  <c r="L216" i="37"/>
  <c r="M216" i="37"/>
  <c r="N216" i="37"/>
  <c r="O216" i="37"/>
  <c r="D216" i="37"/>
  <c r="E207" i="37"/>
  <c r="F207" i="37"/>
  <c r="G207" i="37"/>
  <c r="H207" i="37"/>
  <c r="I207" i="37"/>
  <c r="J207" i="37"/>
  <c r="K207" i="37"/>
  <c r="L207" i="37"/>
  <c r="M207" i="37"/>
  <c r="N207" i="37"/>
  <c r="O207" i="37"/>
  <c r="D207" i="37"/>
  <c r="P201" i="37"/>
  <c r="P202" i="37"/>
  <c r="P203" i="37"/>
  <c r="P204" i="37"/>
  <c r="P205" i="37"/>
  <c r="P206" i="37"/>
  <c r="P199" i="37"/>
  <c r="P200" i="37"/>
  <c r="P186" i="37"/>
  <c r="E198" i="37"/>
  <c r="F198" i="37"/>
  <c r="G198" i="37"/>
  <c r="H198" i="37"/>
  <c r="I198" i="37"/>
  <c r="J198" i="37"/>
  <c r="K198" i="37"/>
  <c r="L198" i="37"/>
  <c r="M198" i="37"/>
  <c r="N198" i="37"/>
  <c r="O198" i="37"/>
  <c r="D198" i="37"/>
  <c r="P185" i="37"/>
  <c r="P187" i="37"/>
  <c r="P188" i="37"/>
  <c r="P189" i="37"/>
  <c r="P190" i="37"/>
  <c r="P191" i="37"/>
  <c r="P192" i="37"/>
  <c r="P193" i="37"/>
  <c r="P194" i="37"/>
  <c r="P195" i="37"/>
  <c r="P196" i="37"/>
  <c r="P197" i="37"/>
  <c r="E184" i="37"/>
  <c r="F184" i="37"/>
  <c r="G184" i="37"/>
  <c r="H184" i="37"/>
  <c r="I184" i="37"/>
  <c r="J184" i="37"/>
  <c r="K184" i="37"/>
  <c r="L184" i="37"/>
  <c r="M184" i="37"/>
  <c r="N184" i="37"/>
  <c r="O184" i="37"/>
  <c r="D184" i="37"/>
  <c r="P171" i="37"/>
  <c r="P172" i="37"/>
  <c r="P174" i="37"/>
  <c r="P175" i="37"/>
  <c r="P176" i="37"/>
  <c r="P177" i="37"/>
  <c r="P178" i="37"/>
  <c r="P179" i="37"/>
  <c r="P180" i="37"/>
  <c r="P181" i="37"/>
  <c r="P182" i="37"/>
  <c r="P183" i="37"/>
  <c r="P173" i="37"/>
  <c r="P162" i="37"/>
  <c r="P163" i="37"/>
  <c r="P164" i="37"/>
  <c r="P165" i="37"/>
  <c r="P166" i="37"/>
  <c r="P167" i="37"/>
  <c r="P168" i="37"/>
  <c r="P169" i="37"/>
  <c r="P159" i="37"/>
  <c r="P160" i="37"/>
  <c r="P161" i="37"/>
  <c r="E170" i="37"/>
  <c r="F170" i="37"/>
  <c r="G170" i="37"/>
  <c r="H170" i="37"/>
  <c r="I170" i="37"/>
  <c r="J170" i="37"/>
  <c r="K170" i="37"/>
  <c r="L170" i="37"/>
  <c r="M170" i="37"/>
  <c r="N170" i="37"/>
  <c r="O170" i="37"/>
  <c r="D170" i="37"/>
  <c r="P144" i="37"/>
  <c r="P145" i="37"/>
  <c r="P147" i="37"/>
  <c r="P148" i="37"/>
  <c r="P149" i="37"/>
  <c r="P150" i="37"/>
  <c r="P151" i="37"/>
  <c r="P152" i="37"/>
  <c r="P153" i="37"/>
  <c r="P154" i="37"/>
  <c r="P155" i="37"/>
  <c r="P156" i="37"/>
  <c r="P157" i="37"/>
  <c r="P146" i="37"/>
  <c r="E158" i="37"/>
  <c r="F158" i="37"/>
  <c r="G158" i="37"/>
  <c r="H158" i="37"/>
  <c r="I158" i="37"/>
  <c r="J158" i="37"/>
  <c r="K158" i="37"/>
  <c r="L158" i="37"/>
  <c r="M158" i="37"/>
  <c r="N158" i="37"/>
  <c r="O158" i="37"/>
  <c r="D158" i="37"/>
  <c r="P132" i="37"/>
  <c r="P143" i="37" s="1"/>
  <c r="P131" i="37"/>
  <c r="E143" i="37"/>
  <c r="F143" i="37"/>
  <c r="G143" i="37"/>
  <c r="H143" i="37"/>
  <c r="I143" i="37"/>
  <c r="J143" i="37"/>
  <c r="K143" i="37"/>
  <c r="L143" i="37"/>
  <c r="M143" i="37"/>
  <c r="N143" i="37"/>
  <c r="O143" i="37"/>
  <c r="D143" i="37"/>
  <c r="E113" i="37"/>
  <c r="F113" i="37"/>
  <c r="G113" i="37"/>
  <c r="H113" i="37"/>
  <c r="I113" i="37"/>
  <c r="J113" i="37"/>
  <c r="K113" i="37"/>
  <c r="L113" i="37"/>
  <c r="M113" i="37"/>
  <c r="N113" i="37"/>
  <c r="O113" i="37"/>
  <c r="D113" i="37"/>
  <c r="P99" i="37"/>
  <c r="P100" i="37"/>
  <c r="P101" i="37"/>
  <c r="P103" i="37"/>
  <c r="P104" i="37"/>
  <c r="P105" i="37"/>
  <c r="P106" i="37"/>
  <c r="P107" i="37"/>
  <c r="P108" i="37"/>
  <c r="P109" i="37"/>
  <c r="P110" i="37"/>
  <c r="P111" i="37"/>
  <c r="P112" i="37"/>
  <c r="P102" i="37"/>
  <c r="P114" i="37"/>
  <c r="P115" i="37"/>
  <c r="P116" i="37"/>
  <c r="P118" i="37"/>
  <c r="P119" i="37"/>
  <c r="P120" i="37"/>
  <c r="P121" i="37"/>
  <c r="P122" i="37"/>
  <c r="P123" i="37"/>
  <c r="P124" i="37"/>
  <c r="P125" i="37"/>
  <c r="P126" i="37"/>
  <c r="P127" i="37"/>
  <c r="P117" i="37"/>
  <c r="E128" i="37"/>
  <c r="F128" i="37"/>
  <c r="G128" i="37"/>
  <c r="H128" i="37"/>
  <c r="I128" i="37"/>
  <c r="J128" i="37"/>
  <c r="K128" i="37"/>
  <c r="L128" i="37"/>
  <c r="M128" i="37"/>
  <c r="N128" i="37"/>
  <c r="O128" i="37"/>
  <c r="D128" i="37"/>
  <c r="E98" i="37"/>
  <c r="F98" i="37"/>
  <c r="G98" i="37"/>
  <c r="H98" i="37"/>
  <c r="I98" i="37"/>
  <c r="J98" i="37"/>
  <c r="K98" i="37"/>
  <c r="L98" i="37"/>
  <c r="M98" i="37"/>
  <c r="N98" i="37"/>
  <c r="O98" i="37"/>
  <c r="D98" i="37"/>
  <c r="P84" i="37"/>
  <c r="P85" i="37"/>
  <c r="P86" i="37"/>
  <c r="P87" i="37"/>
  <c r="P89" i="37"/>
  <c r="P90" i="37"/>
  <c r="P91" i="37"/>
  <c r="P92" i="37"/>
  <c r="P93" i="37"/>
  <c r="P94" i="37"/>
  <c r="P95" i="37"/>
  <c r="P96" i="37"/>
  <c r="P97" i="37"/>
  <c r="P88" i="37"/>
  <c r="E83" i="37"/>
  <c r="F83" i="37"/>
  <c r="G83" i="37"/>
  <c r="H83" i="37"/>
  <c r="I83" i="37"/>
  <c r="J83" i="37"/>
  <c r="K83" i="37"/>
  <c r="L83" i="37"/>
  <c r="M83" i="37"/>
  <c r="N83" i="37"/>
  <c r="O83" i="37"/>
  <c r="D83" i="37"/>
  <c r="P71" i="37"/>
  <c r="P72" i="37"/>
  <c r="P73" i="37"/>
  <c r="P74" i="37"/>
  <c r="P75" i="37"/>
  <c r="P76" i="37"/>
  <c r="P77" i="37"/>
  <c r="P78" i="37"/>
  <c r="P79" i="37"/>
  <c r="P80" i="37"/>
  <c r="P81" i="37"/>
  <c r="P82" i="37"/>
  <c r="P70" i="37"/>
  <c r="E68" i="37"/>
  <c r="F68" i="37"/>
  <c r="G68" i="37"/>
  <c r="H68" i="37"/>
  <c r="I68" i="37"/>
  <c r="J68" i="37"/>
  <c r="K68" i="37"/>
  <c r="L68" i="37"/>
  <c r="M68" i="37"/>
  <c r="N68" i="37"/>
  <c r="O68" i="37"/>
  <c r="D68" i="37"/>
  <c r="P56" i="37"/>
  <c r="P57" i="37"/>
  <c r="P58" i="37"/>
  <c r="P59" i="37"/>
  <c r="P60" i="37"/>
  <c r="P61" i="37"/>
  <c r="P62" i="37"/>
  <c r="P63" i="37"/>
  <c r="P64" i="37"/>
  <c r="P65" i="37"/>
  <c r="P66" i="37"/>
  <c r="P55" i="37"/>
  <c r="P113" i="37" l="1"/>
  <c r="P83" i="37"/>
  <c r="P328" i="37"/>
  <c r="P330" i="37" s="1"/>
  <c r="L275" i="37"/>
  <c r="P207" i="37"/>
  <c r="P184" i="37"/>
  <c r="P198" i="37"/>
  <c r="P243" i="37"/>
  <c r="I275" i="37"/>
  <c r="O275" i="37"/>
  <c r="G275" i="37"/>
  <c r="D275" i="37"/>
  <c r="M275" i="37"/>
  <c r="E275" i="37"/>
  <c r="N275" i="37"/>
  <c r="F275" i="37"/>
  <c r="K275" i="37"/>
  <c r="J275" i="37"/>
  <c r="H275" i="37"/>
  <c r="P68" i="37"/>
  <c r="P262" i="37"/>
  <c r="P252" i="37"/>
  <c r="P234" i="37"/>
  <c r="P225" i="37"/>
  <c r="P216" i="37"/>
  <c r="P170" i="37"/>
  <c r="P158" i="37"/>
  <c r="P128" i="37"/>
  <c r="P98" i="37"/>
  <c r="I21" i="32"/>
  <c r="T94" i="9"/>
  <c r="T75" i="9"/>
  <c r="P275" i="37" l="1"/>
  <c r="T51" i="9"/>
  <c r="C114" i="6" l="1"/>
  <c r="D114" i="6" s="1"/>
  <c r="L28" i="18" l="1"/>
  <c r="J50" i="20" l="1"/>
  <c r="E119" i="6" l="1"/>
  <c r="F119" i="6"/>
  <c r="G119" i="6"/>
  <c r="H119" i="6"/>
  <c r="I119" i="6"/>
  <c r="J119" i="6"/>
  <c r="K119" i="6"/>
  <c r="L119" i="6"/>
  <c r="M119" i="6"/>
  <c r="N119" i="6"/>
  <c r="O119" i="6"/>
  <c r="E120" i="6"/>
  <c r="F120" i="6"/>
  <c r="G120" i="6"/>
  <c r="H120" i="6"/>
  <c r="I120" i="6"/>
  <c r="J120" i="6"/>
  <c r="K120" i="6"/>
  <c r="L120" i="6"/>
  <c r="M120" i="6"/>
  <c r="N120" i="6"/>
  <c r="O120" i="6"/>
  <c r="D120" i="6"/>
  <c r="D119" i="6"/>
  <c r="G70" i="14"/>
  <c r="P120" i="6" l="1"/>
  <c r="P119" i="6"/>
  <c r="J26" i="18" l="1"/>
  <c r="J24" i="18"/>
  <c r="J20" i="18"/>
  <c r="J18" i="18"/>
  <c r="J16" i="18"/>
  <c r="J22" i="18"/>
  <c r="H44" i="18"/>
  <c r="H45" i="18" s="1"/>
  <c r="H46" i="18" s="1"/>
  <c r="Q46" i="10" l="1"/>
  <c r="Q44" i="10"/>
  <c r="Q43" i="10"/>
  <c r="E140" i="9" l="1"/>
  <c r="E141" i="9"/>
  <c r="O34" i="32" l="1"/>
  <c r="P327" i="37" l="1"/>
  <c r="F46" i="18" l="1"/>
  <c r="F45" i="18"/>
  <c r="F44" i="18"/>
  <c r="F43" i="18"/>
  <c r="F65" i="18" l="1"/>
  <c r="T127" i="9" l="1"/>
  <c r="G127" i="9" l="1"/>
  <c r="G126" i="9"/>
  <c r="AX143" i="9"/>
  <c r="F138" i="9"/>
  <c r="E11" i="9"/>
  <c r="BE15" i="9" l="1"/>
  <c r="BE22" i="9"/>
  <c r="BE25" i="9"/>
  <c r="BE6" i="9"/>
  <c r="BE17" i="9"/>
  <c r="BE18" i="9"/>
  <c r="BE24" i="9"/>
  <c r="BE9" i="9"/>
  <c r="BE16" i="9"/>
  <c r="BE26" i="9"/>
  <c r="BE5" i="9"/>
  <c r="BE8" i="9"/>
  <c r="BE12" i="9"/>
  <c r="BE20" i="9"/>
  <c r="BE14" i="9"/>
  <c r="BE10" i="9"/>
  <c r="BE11" i="9"/>
  <c r="BE21" i="9"/>
  <c r="BE23" i="9"/>
  <c r="BE7" i="9"/>
  <c r="BE13" i="9"/>
  <c r="BE19" i="9"/>
  <c r="BE127" i="9"/>
  <c r="BE118" i="9"/>
  <c r="BE119" i="9"/>
  <c r="BE146" i="9"/>
  <c r="BE148" i="9"/>
  <c r="BE150" i="9"/>
  <c r="BE151" i="9"/>
  <c r="BE149" i="9"/>
  <c r="BE145" i="9"/>
  <c r="H28" i="18"/>
  <c r="AQ98" i="9" l="1"/>
  <c r="AQ99" i="9"/>
  <c r="G75" i="9"/>
  <c r="G74" i="9"/>
  <c r="G71" i="9"/>
  <c r="G70" i="9"/>
  <c r="G68" i="9"/>
  <c r="T93" i="9"/>
  <c r="T126" i="9"/>
  <c r="T90" i="9"/>
  <c r="T92" i="9"/>
  <c r="G35" i="10" l="1"/>
  <c r="G34" i="10"/>
  <c r="G33" i="10"/>
  <c r="G32" i="10"/>
  <c r="G31" i="10"/>
  <c r="G30" i="10"/>
  <c r="G29" i="10"/>
  <c r="G28" i="10"/>
  <c r="G27" i="10"/>
  <c r="G26" i="10"/>
  <c r="G24" i="10"/>
  <c r="G22" i="10"/>
  <c r="G21" i="10"/>
  <c r="Q47" i="10"/>
  <c r="Q41" i="10"/>
  <c r="Q40" i="10"/>
  <c r="P31" i="10"/>
  <c r="Q31" i="10" s="1"/>
  <c r="J31" i="10"/>
  <c r="Q42" i="10" l="1"/>
  <c r="P49" i="10" l="1"/>
  <c r="N17" i="7" l="1"/>
  <c r="N16" i="7"/>
  <c r="N15" i="7"/>
  <c r="N14" i="7"/>
  <c r="N13" i="7"/>
  <c r="N12" i="7"/>
  <c r="N11" i="7"/>
  <c r="G37" i="5"/>
  <c r="D107" i="6"/>
  <c r="P146" i="6" l="1"/>
  <c r="P145" i="6"/>
  <c r="D80" i="27" l="1"/>
  <c r="E80" i="27"/>
  <c r="F80" i="27"/>
  <c r="G80" i="27"/>
  <c r="H80" i="27"/>
  <c r="I80" i="27"/>
  <c r="J80" i="27"/>
  <c r="K80" i="27"/>
  <c r="L80" i="27"/>
  <c r="M80" i="27"/>
  <c r="N80" i="27"/>
  <c r="D81" i="27"/>
  <c r="E81" i="27"/>
  <c r="F81" i="27"/>
  <c r="G81" i="27"/>
  <c r="H81" i="27"/>
  <c r="I81" i="27"/>
  <c r="J81" i="27"/>
  <c r="K81" i="27"/>
  <c r="L81" i="27"/>
  <c r="M81" i="27"/>
  <c r="N81" i="27"/>
  <c r="D82" i="27"/>
  <c r="E82" i="27"/>
  <c r="F82" i="27"/>
  <c r="G82" i="27"/>
  <c r="H82" i="27"/>
  <c r="I82" i="27"/>
  <c r="J82" i="27"/>
  <c r="K82" i="27"/>
  <c r="L82" i="27"/>
  <c r="M82" i="27"/>
  <c r="N82" i="27"/>
  <c r="C82" i="27"/>
  <c r="C81" i="27"/>
  <c r="C80" i="27"/>
  <c r="D54" i="27"/>
  <c r="E54" i="27"/>
  <c r="F54" i="27"/>
  <c r="G54" i="27"/>
  <c r="H54" i="27"/>
  <c r="I54" i="27"/>
  <c r="J54" i="27"/>
  <c r="K54" i="27"/>
  <c r="L54" i="27"/>
  <c r="M54" i="27"/>
  <c r="N54" i="27"/>
  <c r="D55" i="27"/>
  <c r="E55" i="27"/>
  <c r="F55" i="27"/>
  <c r="G55" i="27"/>
  <c r="H55" i="27"/>
  <c r="I55" i="27"/>
  <c r="J55" i="27"/>
  <c r="K55" i="27"/>
  <c r="L55" i="27"/>
  <c r="M55" i="27"/>
  <c r="N55" i="27"/>
  <c r="C55" i="27"/>
  <c r="C54" i="27"/>
  <c r="D28" i="27"/>
  <c r="E28" i="27"/>
  <c r="F28" i="27"/>
  <c r="G28" i="27"/>
  <c r="H28" i="27"/>
  <c r="I28" i="27"/>
  <c r="J28" i="27"/>
  <c r="K28" i="27"/>
  <c r="L28" i="27"/>
  <c r="M28" i="27"/>
  <c r="N28" i="27"/>
  <c r="D29" i="27"/>
  <c r="E29" i="27"/>
  <c r="F29" i="27"/>
  <c r="G29" i="27"/>
  <c r="H29" i="27"/>
  <c r="I29" i="27"/>
  <c r="J29" i="27"/>
  <c r="K29" i="27"/>
  <c r="L29" i="27"/>
  <c r="M29" i="27"/>
  <c r="N29" i="27"/>
  <c r="C29" i="27"/>
  <c r="C28" i="27"/>
  <c r="E282" i="37"/>
  <c r="F282" i="37"/>
  <c r="G282" i="37"/>
  <c r="H282" i="37"/>
  <c r="I282" i="37"/>
  <c r="J282" i="37"/>
  <c r="K282" i="37"/>
  <c r="L282" i="37"/>
  <c r="M282" i="37"/>
  <c r="N282" i="37"/>
  <c r="O282" i="37"/>
  <c r="E283" i="37"/>
  <c r="F283" i="37"/>
  <c r="G283" i="37"/>
  <c r="H283" i="37"/>
  <c r="I283" i="37"/>
  <c r="J283" i="37"/>
  <c r="K283" i="37"/>
  <c r="L283" i="37"/>
  <c r="M283" i="37"/>
  <c r="N283" i="37"/>
  <c r="O283" i="37"/>
  <c r="E284" i="37"/>
  <c r="F284" i="37"/>
  <c r="G284" i="37"/>
  <c r="H284" i="37"/>
  <c r="I284" i="37"/>
  <c r="J284" i="37"/>
  <c r="K284" i="37"/>
  <c r="L284" i="37"/>
  <c r="M284" i="37"/>
  <c r="N284" i="37"/>
  <c r="O284" i="37"/>
  <c r="E285" i="37"/>
  <c r="F285" i="37"/>
  <c r="G285" i="37"/>
  <c r="H285" i="37"/>
  <c r="I285" i="37"/>
  <c r="J285" i="37"/>
  <c r="K285" i="37"/>
  <c r="L285" i="37"/>
  <c r="M285" i="37"/>
  <c r="N285" i="37"/>
  <c r="O285" i="37"/>
  <c r="E286" i="37"/>
  <c r="F286" i="37"/>
  <c r="G286" i="37"/>
  <c r="H286" i="37"/>
  <c r="I286" i="37"/>
  <c r="J286" i="37"/>
  <c r="K286" i="37"/>
  <c r="L286" i="37"/>
  <c r="M286" i="37"/>
  <c r="N286" i="37"/>
  <c r="O286" i="37"/>
  <c r="E287" i="37"/>
  <c r="F287" i="37"/>
  <c r="G287" i="37"/>
  <c r="H287" i="37"/>
  <c r="I287" i="37"/>
  <c r="J287" i="37"/>
  <c r="K287" i="37"/>
  <c r="L287" i="37"/>
  <c r="M287" i="37"/>
  <c r="N287" i="37"/>
  <c r="O287" i="37"/>
  <c r="D287" i="37"/>
  <c r="D286" i="37"/>
  <c r="D285" i="37"/>
  <c r="D284" i="37"/>
  <c r="D283" i="37"/>
  <c r="D282" i="37"/>
  <c r="P287" i="37" l="1"/>
  <c r="N288" i="37"/>
  <c r="N290" i="37" s="1"/>
  <c r="J288" i="37"/>
  <c r="J290" i="37" s="1"/>
  <c r="F288" i="37"/>
  <c r="F290" i="37" s="1"/>
  <c r="M288" i="37"/>
  <c r="M290" i="37" s="1"/>
  <c r="I288" i="37"/>
  <c r="I290" i="37" s="1"/>
  <c r="E288" i="37"/>
  <c r="E290" i="37" s="1"/>
  <c r="L288" i="37"/>
  <c r="L290" i="37" s="1"/>
  <c r="H288" i="37"/>
  <c r="H290" i="37" s="1"/>
  <c r="O288" i="37"/>
  <c r="O290" i="37" s="1"/>
  <c r="K288" i="37"/>
  <c r="K290" i="37" s="1"/>
  <c r="G288" i="37"/>
  <c r="G290" i="37" s="1"/>
  <c r="P285" i="37"/>
  <c r="P286" i="37"/>
  <c r="P284" i="37"/>
  <c r="P283" i="37"/>
  <c r="P282" i="37"/>
  <c r="D288" i="37"/>
  <c r="D290" i="37" s="1"/>
  <c r="F50" i="18" l="1"/>
  <c r="F59" i="18"/>
  <c r="K59" i="18" s="1"/>
  <c r="P288" i="37"/>
  <c r="O11" i="37" l="1"/>
  <c r="O12" i="37"/>
  <c r="O13" i="37"/>
  <c r="O14" i="37"/>
  <c r="O15" i="37"/>
  <c r="O16" i="37"/>
  <c r="O17" i="37"/>
  <c r="O18" i="37"/>
  <c r="O19" i="37"/>
  <c r="O20" i="37"/>
  <c r="O21" i="37"/>
  <c r="O22" i="37"/>
  <c r="O23" i="37"/>
  <c r="O24" i="37"/>
  <c r="O25" i="37"/>
  <c r="O26" i="37"/>
  <c r="O27" i="37"/>
  <c r="O28" i="37"/>
  <c r="O29" i="37"/>
  <c r="O30" i="37"/>
  <c r="O31" i="37"/>
  <c r="O10" i="37"/>
  <c r="D32" i="37"/>
  <c r="E32" i="37"/>
  <c r="F32" i="37"/>
  <c r="G32" i="37"/>
  <c r="H32" i="37"/>
  <c r="I32" i="37"/>
  <c r="J32" i="37"/>
  <c r="K32" i="37"/>
  <c r="L32" i="37"/>
  <c r="M32" i="37"/>
  <c r="N32" i="37"/>
  <c r="C32" i="37"/>
  <c r="AL38" i="9" l="1"/>
  <c r="AL91" i="9"/>
  <c r="B95" i="1"/>
  <c r="P11" i="37" l="1"/>
  <c r="P12" i="37"/>
  <c r="P13" i="37"/>
  <c r="P14" i="37"/>
  <c r="P15" i="37"/>
  <c r="P16" i="37"/>
  <c r="P17" i="37"/>
  <c r="P18" i="37"/>
  <c r="P19" i="37"/>
  <c r="P20" i="37"/>
  <c r="P21" i="37"/>
  <c r="P22" i="37"/>
  <c r="P23" i="37"/>
  <c r="P24" i="37"/>
  <c r="P10" i="37"/>
  <c r="P32" i="37" l="1"/>
  <c r="Q42" i="6" l="1"/>
  <c r="H63" i="14" l="1"/>
  <c r="D14" i="41" l="1"/>
  <c r="C42" i="6" l="1"/>
  <c r="C43" i="6"/>
  <c r="C44" i="6"/>
  <c r="C45" i="6"/>
  <c r="C46" i="6"/>
  <c r="C47" i="6"/>
  <c r="C48" i="6"/>
  <c r="C49" i="6"/>
  <c r="C50" i="6"/>
  <c r="C51" i="6"/>
  <c r="C52" i="6"/>
  <c r="C53" i="6"/>
  <c r="C54" i="6"/>
  <c r="C55" i="6"/>
  <c r="C56" i="6"/>
  <c r="C57" i="6"/>
  <c r="C58" i="6"/>
  <c r="C59" i="6"/>
  <c r="C60" i="6"/>
  <c r="C61" i="6"/>
  <c r="C41" i="6"/>
  <c r="D58" i="20" l="1"/>
  <c r="D23" i="38" l="1"/>
  <c r="D19" i="38"/>
  <c r="D13" i="38"/>
  <c r="A2" i="10" l="1"/>
  <c r="D42" i="5" l="1"/>
  <c r="E42" i="5" s="1"/>
  <c r="D21" i="38" l="1"/>
  <c r="D15" i="38" l="1"/>
  <c r="D17" i="38"/>
  <c r="G45" i="7"/>
  <c r="P30" i="6" l="1"/>
  <c r="P31" i="6"/>
  <c r="P32" i="6"/>
  <c r="P33" i="6"/>
  <c r="P34" i="6"/>
  <c r="P35" i="6"/>
  <c r="P29" i="6"/>
  <c r="F36"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H134" i="1" l="1"/>
  <c r="F134" i="1"/>
  <c r="E134" i="1"/>
  <c r="D13" i="27"/>
  <c r="E13" i="27"/>
  <c r="F13" i="27"/>
  <c r="G13" i="27"/>
  <c r="H13" i="27"/>
  <c r="I13" i="27"/>
  <c r="J13" i="27"/>
  <c r="K13" i="27"/>
  <c r="L13" i="27"/>
  <c r="M13" i="27"/>
  <c r="D31" i="27"/>
  <c r="E31" i="27"/>
  <c r="F31" i="27"/>
  <c r="G31" i="27"/>
  <c r="H31" i="27"/>
  <c r="I31" i="27"/>
  <c r="J31" i="27"/>
  <c r="K31" i="27"/>
  <c r="L31" i="27"/>
  <c r="M31" i="27"/>
  <c r="N31" i="27"/>
  <c r="D57" i="27"/>
  <c r="E57" i="27"/>
  <c r="F57" i="27"/>
  <c r="G57" i="27"/>
  <c r="H57" i="27"/>
  <c r="I57" i="27"/>
  <c r="J57" i="27"/>
  <c r="K57" i="27"/>
  <c r="L57" i="27"/>
  <c r="M57" i="27"/>
  <c r="N57" i="27"/>
  <c r="D84" i="27"/>
  <c r="E84" i="27"/>
  <c r="F84" i="27"/>
  <c r="G84" i="27"/>
  <c r="H84" i="27"/>
  <c r="I84" i="27"/>
  <c r="J84" i="27"/>
  <c r="K84" i="27"/>
  <c r="L84" i="27"/>
  <c r="M84" i="27"/>
  <c r="N84" i="27"/>
  <c r="C84" i="27"/>
  <c r="C57" i="27"/>
  <c r="C31" i="27"/>
  <c r="C13" i="27"/>
  <c r="D36" i="37"/>
  <c r="D11" i="27" s="1"/>
  <c r="E36" i="37"/>
  <c r="E11" i="27" s="1"/>
  <c r="F36" i="37"/>
  <c r="F11" i="27" s="1"/>
  <c r="G36" i="37"/>
  <c r="G11" i="27" s="1"/>
  <c r="H36" i="37"/>
  <c r="H11" i="27" s="1"/>
  <c r="I36" i="37"/>
  <c r="I11" i="27" s="1"/>
  <c r="J36" i="37"/>
  <c r="J11" i="27" s="1"/>
  <c r="K36" i="37"/>
  <c r="K11" i="27" s="1"/>
  <c r="L36" i="37"/>
  <c r="L11" i="27" s="1"/>
  <c r="M36" i="37"/>
  <c r="M11" i="27" s="1"/>
  <c r="N36" i="37"/>
  <c r="N11" i="27" s="1"/>
  <c r="D37" i="37"/>
  <c r="E37" i="37"/>
  <c r="F37" i="37"/>
  <c r="G37" i="37"/>
  <c r="H37" i="37"/>
  <c r="I37" i="37"/>
  <c r="J37" i="37"/>
  <c r="K37" i="37"/>
  <c r="L37" i="37"/>
  <c r="M37" i="37"/>
  <c r="N37" i="37"/>
  <c r="D38" i="37"/>
  <c r="E38" i="37"/>
  <c r="F38" i="37"/>
  <c r="G38" i="37"/>
  <c r="H38" i="37"/>
  <c r="I38" i="37"/>
  <c r="J38" i="37"/>
  <c r="K38" i="37"/>
  <c r="L38" i="37"/>
  <c r="M38" i="37"/>
  <c r="N38" i="37"/>
  <c r="D39" i="37"/>
  <c r="E39" i="37"/>
  <c r="F39" i="37"/>
  <c r="G39" i="37"/>
  <c r="H39" i="37"/>
  <c r="I39" i="37"/>
  <c r="J39" i="37"/>
  <c r="K39" i="37"/>
  <c r="L39" i="37"/>
  <c r="M39" i="37"/>
  <c r="N39" i="37"/>
  <c r="D40" i="37"/>
  <c r="E40" i="37"/>
  <c r="F40" i="37"/>
  <c r="G40" i="37"/>
  <c r="H40" i="37"/>
  <c r="I40" i="37"/>
  <c r="J40" i="37"/>
  <c r="K40" i="37"/>
  <c r="L40" i="37"/>
  <c r="M40" i="37"/>
  <c r="N40" i="37"/>
  <c r="D41" i="37"/>
  <c r="E41" i="37"/>
  <c r="F41" i="37"/>
  <c r="G41" i="37"/>
  <c r="H41" i="37"/>
  <c r="I41" i="37"/>
  <c r="J41" i="37"/>
  <c r="K41" i="37"/>
  <c r="L41" i="37"/>
  <c r="M41" i="37"/>
  <c r="N41" i="37"/>
  <c r="C41" i="37"/>
  <c r="C40" i="37"/>
  <c r="C39" i="37"/>
  <c r="C38" i="37"/>
  <c r="C37" i="37"/>
  <c r="C36" i="37"/>
  <c r="C11" i="27" s="1"/>
  <c r="D42" i="37" l="1"/>
  <c r="N13" i="27"/>
  <c r="D134" i="1"/>
  <c r="P40" i="37"/>
  <c r="F41" i="5" s="1"/>
  <c r="P41" i="37"/>
  <c r="B82" i="5" s="1"/>
  <c r="L42" i="37"/>
  <c r="H42" i="37"/>
  <c r="P38" i="37"/>
  <c r="F25" i="5" s="1"/>
  <c r="J42" i="37"/>
  <c r="F42" i="37"/>
  <c r="N42" i="37"/>
  <c r="M42" i="37"/>
  <c r="I42" i="37"/>
  <c r="E42" i="37"/>
  <c r="P37" i="37"/>
  <c r="F15" i="5" s="1"/>
  <c r="K42" i="37"/>
  <c r="G42" i="37"/>
  <c r="P36" i="37"/>
  <c r="F9" i="5" s="1"/>
  <c r="P39" i="37"/>
  <c r="B80" i="5" s="1"/>
  <c r="O36" i="37"/>
  <c r="O38" i="37"/>
  <c r="O40" i="37"/>
  <c r="C42" i="37"/>
  <c r="O37" i="37"/>
  <c r="O39" i="37"/>
  <c r="O41" i="37"/>
  <c r="K65" i="18"/>
  <c r="F62" i="18" l="1"/>
  <c r="I12" i="1"/>
  <c r="I35" i="1" s="1"/>
  <c r="B69" i="5"/>
  <c r="P42" i="37"/>
  <c r="B78" i="5" s="1"/>
  <c r="B64" i="5"/>
  <c r="O42" i="37"/>
  <c r="G8" i="10" l="1"/>
  <c r="G73" i="9" l="1"/>
  <c r="G62" i="9" l="1"/>
  <c r="P110" i="6" l="1"/>
  <c r="G107" i="6" l="1"/>
  <c r="F115" i="6" l="1"/>
  <c r="P41" i="6" l="1"/>
  <c r="P42" i="6"/>
  <c r="P43" i="6"/>
  <c r="P44" i="6"/>
  <c r="P45" i="6"/>
  <c r="P46" i="6"/>
  <c r="P47" i="6"/>
  <c r="P48" i="6"/>
  <c r="P49" i="6"/>
  <c r="P50" i="6"/>
  <c r="P51" i="6"/>
  <c r="P52" i="6"/>
  <c r="P53" i="6"/>
  <c r="P54" i="6"/>
  <c r="P55" i="6"/>
  <c r="P56" i="6"/>
  <c r="P57" i="6"/>
  <c r="P58" i="6"/>
  <c r="P59" i="6"/>
  <c r="P60" i="6"/>
  <c r="P61" i="6"/>
  <c r="P64" i="6" l="1"/>
  <c r="D12" i="14"/>
  <c r="G60" i="9" l="1"/>
  <c r="G58" i="9"/>
  <c r="T73" i="9"/>
  <c r="G55" i="9"/>
  <c r="T70" i="9"/>
  <c r="G52" i="9"/>
  <c r="T67" i="9"/>
  <c r="G49" i="9"/>
  <c r="T64" i="9"/>
  <c r="G46" i="9"/>
  <c r="T61" i="9"/>
  <c r="G43" i="9"/>
  <c r="G41" i="9"/>
  <c r="T56" i="9"/>
  <c r="G37" i="9"/>
  <c r="T53" i="9"/>
  <c r="G35" i="9"/>
  <c r="G31" i="9"/>
  <c r="T47" i="9"/>
  <c r="G28" i="9"/>
  <c r="T44" i="9"/>
  <c r="G26" i="9"/>
  <c r="T42" i="9"/>
  <c r="T39" i="9" l="1"/>
  <c r="G23" i="9"/>
  <c r="T36" i="9"/>
  <c r="G20" i="9"/>
  <c r="T120" i="9"/>
  <c r="G17" i="9"/>
  <c r="T33" i="9"/>
  <c r="G15" i="9"/>
  <c r="G67" i="9" l="1"/>
  <c r="G59" i="9" l="1"/>
  <c r="T71" i="9"/>
  <c r="T68" i="9"/>
  <c r="T65" i="9"/>
  <c r="T62" i="9"/>
  <c r="AL99" i="9"/>
  <c r="AL100" i="9"/>
  <c r="AL98" i="9"/>
  <c r="G32" i="9"/>
  <c r="T40" i="9"/>
  <c r="G24" i="9"/>
  <c r="T37" i="9"/>
  <c r="G21" i="9"/>
  <c r="C12" i="27" l="1"/>
  <c r="F58" i="20" l="1"/>
  <c r="H58" i="20" s="1"/>
  <c r="BE94" i="9" l="1"/>
  <c r="BE92" i="9" l="1"/>
  <c r="BE117" i="9"/>
  <c r="BE74" i="9"/>
  <c r="BE76" i="9"/>
  <c r="BE120" i="9"/>
  <c r="BE51" i="9"/>
  <c r="BE125" i="9"/>
  <c r="BE33" i="9"/>
  <c r="BE75" i="9"/>
  <c r="BE68" i="9"/>
  <c r="BE71" i="9"/>
  <c r="BE62" i="9"/>
  <c r="BE65" i="9"/>
  <c r="BE48" i="9"/>
  <c r="BE123" i="9"/>
  <c r="BE40" i="9"/>
  <c r="BE45" i="9"/>
  <c r="BE121" i="9"/>
  <c r="BE37" i="9"/>
  <c r="K62" i="18" l="1"/>
  <c r="D52" i="7" l="1"/>
  <c r="G50" i="7" l="1"/>
  <c r="G51" i="7"/>
  <c r="J49" i="10" l="1"/>
  <c r="I34" i="32" l="1"/>
  <c r="I36" i="32" s="1"/>
  <c r="K50" i="18" l="1"/>
  <c r="K46" i="18"/>
  <c r="F52" i="7"/>
  <c r="G49" i="7"/>
  <c r="G48" i="7"/>
  <c r="G46" i="7"/>
  <c r="G47" i="7"/>
  <c r="C52" i="7" l="1"/>
  <c r="G52" i="7" s="1"/>
  <c r="Q39" i="10" l="1"/>
  <c r="Q38" i="10"/>
  <c r="P37" i="10"/>
  <c r="Q37" i="10" s="1"/>
  <c r="P36" i="10"/>
  <c r="Q36" i="10" s="1"/>
  <c r="P35" i="10"/>
  <c r="Q35" i="10" s="1"/>
  <c r="P34" i="10"/>
  <c r="Q34" i="10" s="1"/>
  <c r="P33" i="10"/>
  <c r="Q33" i="10" s="1"/>
  <c r="P32" i="10"/>
  <c r="Q32" i="10" s="1"/>
  <c r="P30" i="10"/>
  <c r="Q30" i="10" s="1"/>
  <c r="P29" i="10"/>
  <c r="Q29" i="10" s="1"/>
  <c r="O36" i="32" l="1"/>
  <c r="M16" i="32"/>
  <c r="O15" i="32"/>
  <c r="O24" i="32" s="1"/>
  <c r="O14" i="32"/>
  <c r="O26" i="32" s="1"/>
  <c r="O13" i="32"/>
  <c r="O25" i="32" s="1"/>
  <c r="O27" i="32" l="1"/>
  <c r="M40" i="32" s="1"/>
  <c r="O16" i="32"/>
  <c r="G61" i="9" l="1"/>
  <c r="G56" i="9"/>
  <c r="G53" i="9"/>
  <c r="G50" i="9"/>
  <c r="G47" i="9"/>
  <c r="G44" i="9"/>
  <c r="G34" i="9"/>
  <c r="G29" i="9"/>
  <c r="G18" i="9"/>
  <c r="P152" i="6" l="1"/>
  <c r="F153" i="6"/>
  <c r="G153" i="6"/>
  <c r="H153" i="6"/>
  <c r="H163" i="6" s="1"/>
  <c r="I153" i="6"/>
  <c r="J153" i="6"/>
  <c r="K153" i="6"/>
  <c r="L153" i="6"/>
  <c r="M153" i="6"/>
  <c r="N153" i="6"/>
  <c r="O153" i="6"/>
  <c r="E153" i="6"/>
  <c r="D153" i="6"/>
  <c r="F166" i="6"/>
  <c r="H168" i="6" l="1"/>
  <c r="P153" i="6"/>
  <c r="J39" i="10"/>
  <c r="J38" i="10"/>
  <c r="J37" i="10"/>
  <c r="J36" i="10"/>
  <c r="J35" i="10"/>
  <c r="J34" i="10"/>
  <c r="J33" i="10"/>
  <c r="J32" i="10"/>
  <c r="J30" i="10"/>
  <c r="J29" i="10"/>
  <c r="G38" i="9" l="1"/>
  <c r="BE144" i="9" l="1"/>
  <c r="BE143" i="9"/>
  <c r="BE36" i="9"/>
  <c r="BE39" i="9"/>
  <c r="BE42" i="9"/>
  <c r="BE44" i="9"/>
  <c r="BE47" i="9"/>
  <c r="BE140" i="9"/>
  <c r="BE50" i="9"/>
  <c r="BE53" i="9"/>
  <c r="BE56" i="9"/>
  <c r="BE142" i="9"/>
  <c r="BE122" i="9"/>
  <c r="BE61" i="9"/>
  <c r="BE64" i="9"/>
  <c r="BE67" i="9"/>
  <c r="BE70" i="9"/>
  <c r="BE73" i="9"/>
  <c r="BE112" i="9"/>
  <c r="BE96" i="9"/>
  <c r="BE88" i="9"/>
  <c r="BE86" i="9"/>
  <c r="BE82" i="9"/>
  <c r="BE77" i="9"/>
  <c r="BE69" i="9"/>
  <c r="BE59" i="9"/>
  <c r="BE57" i="9"/>
  <c r="BE52" i="9"/>
  <c r="BE43" i="9"/>
  <c r="BE34" i="9"/>
  <c r="BE29" i="9"/>
  <c r="BE97" i="9"/>
  <c r="BE91" i="9"/>
  <c r="BE87" i="9"/>
  <c r="BE83" i="9"/>
  <c r="BE78" i="9"/>
  <c r="BE114" i="9"/>
  <c r="BE60" i="9"/>
  <c r="BE110" i="9"/>
  <c r="BE128" i="9"/>
  <c r="BE46" i="9"/>
  <c r="BE35" i="9"/>
  <c r="BE30" i="9"/>
  <c r="BE116" i="9"/>
  <c r="BE84" i="9"/>
  <c r="BE80" i="9"/>
  <c r="BE72" i="9"/>
  <c r="BE63" i="9"/>
  <c r="BE58" i="9"/>
  <c r="BE55" i="9"/>
  <c r="BE49" i="9"/>
  <c r="BE38" i="9"/>
  <c r="BE31" i="9"/>
  <c r="BE27" i="9"/>
  <c r="BE95" i="9"/>
  <c r="BE124" i="9"/>
  <c r="BE85" i="9"/>
  <c r="BE81" i="9"/>
  <c r="BE115" i="9"/>
  <c r="BE66" i="9"/>
  <c r="BE113" i="9"/>
  <c r="BE152" i="9"/>
  <c r="BE111" i="9"/>
  <c r="BE41" i="9"/>
  <c r="BE32" i="9"/>
  <c r="BE28" i="9"/>
  <c r="BE54" i="9"/>
  <c r="E154" i="6"/>
  <c r="F154" i="6"/>
  <c r="G154" i="6"/>
  <c r="H154" i="6"/>
  <c r="I154" i="6"/>
  <c r="J154" i="6"/>
  <c r="K154" i="6"/>
  <c r="L154" i="6"/>
  <c r="M154" i="6"/>
  <c r="N154" i="6"/>
  <c r="O154" i="6"/>
  <c r="D154" i="6"/>
  <c r="D155" i="6"/>
  <c r="O165" i="6" l="1"/>
  <c r="E155" i="6"/>
  <c r="F155" i="6"/>
  <c r="G155" i="6"/>
  <c r="H155" i="6"/>
  <c r="I155" i="6"/>
  <c r="J155" i="6"/>
  <c r="K155" i="6"/>
  <c r="L155" i="6"/>
  <c r="M155" i="6"/>
  <c r="N155" i="6"/>
  <c r="O155" i="6"/>
  <c r="E156" i="6"/>
  <c r="F156" i="6"/>
  <c r="G156" i="6"/>
  <c r="H156" i="6"/>
  <c r="I156" i="6"/>
  <c r="J156" i="6"/>
  <c r="K156" i="6"/>
  <c r="L156" i="6"/>
  <c r="M156" i="6"/>
  <c r="N156" i="6"/>
  <c r="O156" i="6"/>
  <c r="E157" i="6"/>
  <c r="F157" i="6"/>
  <c r="G157" i="6"/>
  <c r="H157" i="6"/>
  <c r="I157" i="6"/>
  <c r="J157" i="6"/>
  <c r="K157" i="6"/>
  <c r="L157" i="6"/>
  <c r="M157" i="6"/>
  <c r="N157" i="6"/>
  <c r="O157" i="6"/>
  <c r="E158" i="6"/>
  <c r="F158" i="6"/>
  <c r="G158" i="6"/>
  <c r="H158" i="6"/>
  <c r="I158" i="6"/>
  <c r="J158" i="6"/>
  <c r="K158" i="6"/>
  <c r="L158" i="6"/>
  <c r="M158" i="6"/>
  <c r="N158" i="6"/>
  <c r="O158" i="6"/>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E166" i="6"/>
  <c r="G166" i="6"/>
  <c r="H166" i="6"/>
  <c r="I166" i="6"/>
  <c r="J166" i="6"/>
  <c r="K166" i="6"/>
  <c r="L166" i="6"/>
  <c r="M166" i="6"/>
  <c r="N166" i="6"/>
  <c r="O166" i="6"/>
  <c r="E167" i="6"/>
  <c r="F167" i="6"/>
  <c r="G167" i="6"/>
  <c r="H167" i="6"/>
  <c r="I167" i="6"/>
  <c r="J167" i="6"/>
  <c r="K167" i="6"/>
  <c r="L167" i="6"/>
  <c r="M167" i="6"/>
  <c r="N167" i="6"/>
  <c r="O167" i="6"/>
  <c r="E168" i="6"/>
  <c r="F168" i="6"/>
  <c r="G168" i="6"/>
  <c r="I168" i="6"/>
  <c r="J168" i="6"/>
  <c r="K168" i="6"/>
  <c r="L168" i="6"/>
  <c r="M168" i="6"/>
  <c r="N168" i="6"/>
  <c r="O168" i="6"/>
  <c r="E169" i="6"/>
  <c r="F169" i="6"/>
  <c r="G169" i="6"/>
  <c r="H169" i="6"/>
  <c r="I169" i="6"/>
  <c r="J169" i="6"/>
  <c r="K169" i="6"/>
  <c r="L169" i="6"/>
  <c r="M169" i="6"/>
  <c r="N169" i="6"/>
  <c r="O169" i="6"/>
  <c r="E170" i="6"/>
  <c r="F170" i="6"/>
  <c r="G170" i="6"/>
  <c r="H170" i="6"/>
  <c r="I170" i="6"/>
  <c r="J170" i="6"/>
  <c r="K170" i="6"/>
  <c r="L170" i="6"/>
  <c r="M170" i="6"/>
  <c r="N170" i="6"/>
  <c r="O170" i="6"/>
  <c r="E171" i="6"/>
  <c r="F171" i="6"/>
  <c r="G171" i="6"/>
  <c r="H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D156" i="6"/>
  <c r="D157" i="6"/>
  <c r="D158" i="6"/>
  <c r="D159" i="6"/>
  <c r="D160" i="6"/>
  <c r="D161" i="6"/>
  <c r="D162" i="6"/>
  <c r="D163" i="6"/>
  <c r="D164" i="6"/>
  <c r="D165" i="6"/>
  <c r="D166" i="6"/>
  <c r="D167" i="6"/>
  <c r="D168" i="6"/>
  <c r="D169" i="6"/>
  <c r="D170" i="6"/>
  <c r="D171" i="6"/>
  <c r="D172" i="6"/>
  <c r="D173" i="6"/>
  <c r="D174" i="6"/>
  <c r="D175" i="6"/>
  <c r="P173" i="6" l="1"/>
  <c r="P169" i="6"/>
  <c r="P165" i="6"/>
  <c r="P161" i="6"/>
  <c r="P157" i="6"/>
  <c r="P170" i="6"/>
  <c r="P162" i="6"/>
  <c r="P175" i="6"/>
  <c r="P171" i="6"/>
  <c r="P167" i="6"/>
  <c r="P163" i="6"/>
  <c r="P159" i="6"/>
  <c r="P174" i="6"/>
  <c r="P166" i="6"/>
  <c r="P158" i="6"/>
  <c r="P155" i="6"/>
  <c r="P172" i="6"/>
  <c r="P168" i="6"/>
  <c r="P164" i="6"/>
  <c r="P160" i="6"/>
  <c r="P156" i="6"/>
  <c r="G16" i="32"/>
  <c r="I15" i="32"/>
  <c r="I24" i="32" s="1"/>
  <c r="I14" i="32"/>
  <c r="I13" i="32"/>
  <c r="I25" i="32" s="1"/>
  <c r="D34" i="32"/>
  <c r="D36" i="32" s="1"/>
  <c r="D21" i="32"/>
  <c r="B16" i="32"/>
  <c r="D15" i="32"/>
  <c r="D14" i="32"/>
  <c r="D13" i="32"/>
  <c r="D25" i="32" s="1"/>
  <c r="D24" i="32" l="1"/>
  <c r="I26" i="32"/>
  <c r="I27" i="32" s="1"/>
  <c r="G40" i="32" s="1"/>
  <c r="D26" i="32"/>
  <c r="I16" i="32"/>
  <c r="D16" i="32"/>
  <c r="D27" i="32" l="1"/>
  <c r="B40" i="32" s="1"/>
  <c r="P16" i="20"/>
  <c r="P23" i="20" s="1"/>
  <c r="P24" i="20" s="1"/>
  <c r="P33" i="20" l="1"/>
  <c r="P34" i="20" s="1"/>
  <c r="P42" i="20"/>
  <c r="P44" i="20" s="1"/>
  <c r="P17" i="20"/>
  <c r="P18" i="20"/>
  <c r="P57" i="20"/>
  <c r="P59" i="20" s="1"/>
  <c r="P43" i="20" l="1"/>
  <c r="O16" i="20" l="1"/>
  <c r="O42" i="20" l="1"/>
  <c r="O57" i="20"/>
  <c r="O23" i="20"/>
  <c r="O33" i="20"/>
  <c r="E76" i="6" l="1"/>
  <c r="D76" i="6"/>
  <c r="F76" i="6"/>
  <c r="E142" i="9"/>
  <c r="G129" i="9"/>
  <c r="G130" i="9"/>
  <c r="G79" i="9"/>
  <c r="D111" i="6" l="1"/>
  <c r="F109" i="6"/>
  <c r="E109" i="6"/>
  <c r="F47" i="18" l="1"/>
  <c r="P105" i="6" l="1"/>
  <c r="P104" i="6"/>
  <c r="P103" i="6"/>
  <c r="P99" i="6"/>
  <c r="P98" i="6"/>
  <c r="P97" i="6"/>
  <c r="M36" i="6"/>
  <c r="N36" i="6"/>
  <c r="O36" i="6"/>
  <c r="D36" i="6"/>
  <c r="E36" i="6"/>
  <c r="G36" i="6"/>
  <c r="H36" i="6"/>
  <c r="I36" i="6"/>
  <c r="J36" i="6"/>
  <c r="L36" i="6"/>
  <c r="K36" i="6"/>
  <c r="P36" i="6" l="1"/>
  <c r="R72" i="27"/>
  <c r="R56" i="27"/>
  <c r="S55" i="27" s="1"/>
  <c r="R46" i="27"/>
  <c r="R30" i="27"/>
  <c r="S28" i="27" s="1"/>
  <c r="M46" i="27"/>
  <c r="M72" i="27"/>
  <c r="R10" i="27"/>
  <c r="R83" i="27"/>
  <c r="S82" i="27" s="1"/>
  <c r="O82" i="27" s="1"/>
  <c r="C10" i="27"/>
  <c r="C14" i="27" s="1"/>
  <c r="D12" i="27"/>
  <c r="E12" i="27"/>
  <c r="F12" i="27"/>
  <c r="G12" i="27"/>
  <c r="H12" i="27"/>
  <c r="I12" i="27"/>
  <c r="J12" i="27"/>
  <c r="K12" i="27"/>
  <c r="L12" i="27"/>
  <c r="M12" i="27"/>
  <c r="N12" i="27"/>
  <c r="N101" i="27"/>
  <c r="M101" i="27"/>
  <c r="L101" i="27"/>
  <c r="K101" i="27"/>
  <c r="J101" i="27"/>
  <c r="I101" i="27"/>
  <c r="H101" i="27"/>
  <c r="G101" i="27"/>
  <c r="F101" i="27"/>
  <c r="E101" i="27"/>
  <c r="D101" i="27"/>
  <c r="C101" i="27"/>
  <c r="O99" i="27"/>
  <c r="O84" i="27"/>
  <c r="E44" i="5" s="1"/>
  <c r="N83" i="27"/>
  <c r="N85" i="27" s="1"/>
  <c r="L83" i="27"/>
  <c r="L85" i="27" s="1"/>
  <c r="L87" i="27" s="1"/>
  <c r="L92" i="27" s="1"/>
  <c r="K83" i="27"/>
  <c r="K85" i="27" s="1"/>
  <c r="J83" i="27"/>
  <c r="J85" i="27" s="1"/>
  <c r="I83" i="27"/>
  <c r="I85" i="27" s="1"/>
  <c r="H83" i="27"/>
  <c r="H85" i="27" s="1"/>
  <c r="G83" i="27"/>
  <c r="G85" i="27" s="1"/>
  <c r="F83" i="27"/>
  <c r="F85" i="27" s="1"/>
  <c r="E83" i="27"/>
  <c r="E85" i="27" s="1"/>
  <c r="D83" i="27"/>
  <c r="D85" i="27" s="1"/>
  <c r="C83" i="27"/>
  <c r="N77" i="27"/>
  <c r="M77" i="27"/>
  <c r="L77" i="27"/>
  <c r="K77" i="27"/>
  <c r="J77" i="27"/>
  <c r="I77" i="27"/>
  <c r="H77" i="27"/>
  <c r="G77" i="27"/>
  <c r="F77" i="27"/>
  <c r="E77" i="27"/>
  <c r="D77" i="27"/>
  <c r="C77" i="27"/>
  <c r="O75" i="27"/>
  <c r="N72" i="27"/>
  <c r="L72" i="27"/>
  <c r="K72" i="27"/>
  <c r="J72" i="27"/>
  <c r="I72" i="27"/>
  <c r="H72" i="27"/>
  <c r="G72" i="27"/>
  <c r="F72" i="27"/>
  <c r="E72" i="27"/>
  <c r="D72" i="27"/>
  <c r="C72" i="27"/>
  <c r="O71" i="27"/>
  <c r="P71" i="27" s="1"/>
  <c r="O70" i="27"/>
  <c r="O57" i="27"/>
  <c r="D29" i="5" s="1"/>
  <c r="N56" i="27"/>
  <c r="N58" i="27" s="1"/>
  <c r="L56" i="27"/>
  <c r="L58" i="27" s="1"/>
  <c r="K56" i="27"/>
  <c r="K58" i="27" s="1"/>
  <c r="J56" i="27"/>
  <c r="J58" i="27" s="1"/>
  <c r="I56" i="27"/>
  <c r="I58" i="27" s="1"/>
  <c r="H56" i="27"/>
  <c r="H58" i="27" s="1"/>
  <c r="G56" i="27"/>
  <c r="G58" i="27" s="1"/>
  <c r="D56" i="27"/>
  <c r="D58" i="27" s="1"/>
  <c r="C56" i="27"/>
  <c r="F56"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P45" i="27" s="1"/>
  <c r="N30" i="27"/>
  <c r="L30" i="27"/>
  <c r="K30" i="27"/>
  <c r="J30" i="27"/>
  <c r="I30" i="27"/>
  <c r="H30" i="27"/>
  <c r="G30" i="27"/>
  <c r="F30" i="27"/>
  <c r="E30" i="27"/>
  <c r="D30" i="27"/>
  <c r="C30" i="27"/>
  <c r="O11" i="27"/>
  <c r="N10" i="27"/>
  <c r="L10" i="27"/>
  <c r="K10" i="27"/>
  <c r="J10" i="27"/>
  <c r="I10" i="27"/>
  <c r="H10" i="27"/>
  <c r="G10" i="27"/>
  <c r="F10" i="27"/>
  <c r="E10" i="27"/>
  <c r="D10" i="27"/>
  <c r="S8" i="27" l="1"/>
  <c r="S7" i="27"/>
  <c r="C16" i="27"/>
  <c r="E15" i="5"/>
  <c r="E25" i="5"/>
  <c r="S9" i="27"/>
  <c r="S54" i="27"/>
  <c r="S56" i="27" s="1"/>
  <c r="D88" i="27"/>
  <c r="D93" i="27" s="1"/>
  <c r="D87" i="27"/>
  <c r="D89" i="27"/>
  <c r="D94" i="27" s="1"/>
  <c r="G88" i="27"/>
  <c r="G93" i="27" s="1"/>
  <c r="G87" i="27"/>
  <c r="G89" i="27"/>
  <c r="G94" i="27" s="1"/>
  <c r="F88" i="27"/>
  <c r="F93" i="27" s="1"/>
  <c r="F89" i="27"/>
  <c r="F94" i="27" s="1"/>
  <c r="F87" i="27"/>
  <c r="J88" i="27"/>
  <c r="J93" i="27" s="1"/>
  <c r="J87" i="27"/>
  <c r="J89" i="27"/>
  <c r="J94" i="27" s="1"/>
  <c r="L89" i="27"/>
  <c r="L94" i="27" s="1"/>
  <c r="L88" i="27"/>
  <c r="L93" i="27" s="1"/>
  <c r="K87" i="27"/>
  <c r="K89" i="27"/>
  <c r="K94" i="27" s="1"/>
  <c r="K88" i="27"/>
  <c r="K93" i="27" s="1"/>
  <c r="E89" i="27"/>
  <c r="E94" i="27" s="1"/>
  <c r="E88" i="27"/>
  <c r="E93" i="27" s="1"/>
  <c r="E87" i="27"/>
  <c r="I87" i="27"/>
  <c r="I88" i="27"/>
  <c r="I93" i="27" s="1"/>
  <c r="I89" i="27"/>
  <c r="I94" i="27" s="1"/>
  <c r="N89" i="27"/>
  <c r="N94" i="27" s="1"/>
  <c r="N88" i="27"/>
  <c r="N93" i="27" s="1"/>
  <c r="N87" i="27"/>
  <c r="H87" i="27"/>
  <c r="H89" i="27"/>
  <c r="H94" i="27" s="1"/>
  <c r="H88" i="27"/>
  <c r="H93" i="27" s="1"/>
  <c r="S80" i="27"/>
  <c r="O80" i="27" s="1"/>
  <c r="S29" i="27"/>
  <c r="S30" i="27" s="1"/>
  <c r="I60" i="27"/>
  <c r="I61" i="27"/>
  <c r="I65" i="27" s="1"/>
  <c r="N61" i="27"/>
  <c r="N65" i="27" s="1"/>
  <c r="N60" i="27"/>
  <c r="H60" i="27"/>
  <c r="H61" i="27"/>
  <c r="H65" i="27" s="1"/>
  <c r="L60" i="27"/>
  <c r="L64" i="27" s="1"/>
  <c r="L61" i="27"/>
  <c r="O55" i="27"/>
  <c r="D60" i="27"/>
  <c r="D64" i="27" s="1"/>
  <c r="D61" i="27"/>
  <c r="J60" i="27"/>
  <c r="J61" i="27"/>
  <c r="J65" i="27" s="1"/>
  <c r="G60" i="27"/>
  <c r="G64" i="27" s="1"/>
  <c r="G61" i="27"/>
  <c r="K60" i="27"/>
  <c r="K61" i="27"/>
  <c r="K65" i="27" s="1"/>
  <c r="O44" i="27"/>
  <c r="O46" i="27" s="1"/>
  <c r="E14" i="27"/>
  <c r="E17" i="27" s="1"/>
  <c r="E22" i="27" s="1"/>
  <c r="I14" i="27"/>
  <c r="I18" i="27" s="1"/>
  <c r="I23" i="27" s="1"/>
  <c r="S81" i="27"/>
  <c r="O81" i="27" s="1"/>
  <c r="O77" i="27"/>
  <c r="P77" i="27" s="1"/>
  <c r="G25" i="5"/>
  <c r="O51" i="27"/>
  <c r="P51" i="27" s="1"/>
  <c r="G15" i="5"/>
  <c r="O101" i="27"/>
  <c r="P101" i="27" s="1"/>
  <c r="G41" i="5"/>
  <c r="H14" i="27"/>
  <c r="L14" i="27"/>
  <c r="D14" i="27"/>
  <c r="N14" i="27"/>
  <c r="F14" i="27"/>
  <c r="J14" i="27"/>
  <c r="K14" i="27"/>
  <c r="O31" i="27"/>
  <c r="D18" i="5" s="1"/>
  <c r="G14" i="27"/>
  <c r="O28" i="27"/>
  <c r="O13" i="27"/>
  <c r="E10" i="5" s="1"/>
  <c r="O72"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58" i="27"/>
  <c r="C32" i="27"/>
  <c r="C35" i="27" s="1"/>
  <c r="C39" i="27" s="1"/>
  <c r="E56" i="27"/>
  <c r="E58" i="27" s="1"/>
  <c r="C58" i="27"/>
  <c r="C85" i="27"/>
  <c r="S10" i="27" l="1"/>
  <c r="I17" i="27"/>
  <c r="I22" i="27" s="1"/>
  <c r="I16" i="27"/>
  <c r="C17" i="27"/>
  <c r="C18" i="27"/>
  <c r="C23" i="27" s="1"/>
  <c r="H92" i="27"/>
  <c r="H95" i="27" s="1"/>
  <c r="H96" i="27" s="1"/>
  <c r="H90" i="27"/>
  <c r="E92" i="27"/>
  <c r="E95" i="27" s="1"/>
  <c r="E96" i="27" s="1"/>
  <c r="E90" i="27"/>
  <c r="L95" i="27"/>
  <c r="L96" i="27" s="1"/>
  <c r="L90" i="27"/>
  <c r="F90" i="27"/>
  <c r="F92" i="27"/>
  <c r="F95" i="27" s="1"/>
  <c r="F96" i="27" s="1"/>
  <c r="G90" i="27"/>
  <c r="G92" i="27"/>
  <c r="G95" i="27" s="1"/>
  <c r="G96" i="27" s="1"/>
  <c r="N92" i="27"/>
  <c r="N95" i="27" s="1"/>
  <c r="N96" i="27" s="1"/>
  <c r="N90" i="27"/>
  <c r="K90" i="27"/>
  <c r="K92" i="27"/>
  <c r="K95" i="27" s="1"/>
  <c r="K96" i="27" s="1"/>
  <c r="C87" i="27"/>
  <c r="C88" i="27"/>
  <c r="C93" i="27" s="1"/>
  <c r="C89" i="27"/>
  <c r="C94" i="27" s="1"/>
  <c r="I92" i="27"/>
  <c r="I95" i="27" s="1"/>
  <c r="I96" i="27" s="1"/>
  <c r="I90" i="27"/>
  <c r="D92" i="27"/>
  <c r="D95" i="27" s="1"/>
  <c r="D96" i="27" s="1"/>
  <c r="D90" i="27"/>
  <c r="J90" i="27"/>
  <c r="J92" i="27"/>
  <c r="J95" i="27" s="1"/>
  <c r="J96" i="27" s="1"/>
  <c r="E18" i="27"/>
  <c r="E23" i="27" s="1"/>
  <c r="E16" i="27"/>
  <c r="E21" i="27" s="1"/>
  <c r="M83" i="27"/>
  <c r="O83" i="27"/>
  <c r="F61" i="27"/>
  <c r="F65" i="27" s="1"/>
  <c r="F60" i="27"/>
  <c r="G62" i="27"/>
  <c r="G65" i="27"/>
  <c r="G66" i="27" s="1"/>
  <c r="G67" i="27" s="1"/>
  <c r="D62" i="27"/>
  <c r="D65" i="27"/>
  <c r="H64" i="27"/>
  <c r="H66" i="27" s="1"/>
  <c r="H67" i="27" s="1"/>
  <c r="H62" i="27"/>
  <c r="I62" i="27"/>
  <c r="I64" i="27"/>
  <c r="I66" i="27" s="1"/>
  <c r="I67" i="27" s="1"/>
  <c r="K64" i="27"/>
  <c r="K66" i="27" s="1"/>
  <c r="K67" i="27" s="1"/>
  <c r="K62" i="27"/>
  <c r="J64" i="27"/>
  <c r="J66" i="27" s="1"/>
  <c r="J67" i="27" s="1"/>
  <c r="J62" i="27"/>
  <c r="E60" i="27"/>
  <c r="E61" i="27"/>
  <c r="E65" i="27" s="1"/>
  <c r="C60" i="27"/>
  <c r="C61" i="27"/>
  <c r="L62" i="27"/>
  <c r="L65" i="27"/>
  <c r="L66" i="27" s="1"/>
  <c r="L67" i="27" s="1"/>
  <c r="N64" i="27"/>
  <c r="N66" i="27" s="1"/>
  <c r="N67" i="27" s="1"/>
  <c r="N62" i="27"/>
  <c r="H38" i="27"/>
  <c r="G38" i="27"/>
  <c r="N38" i="27"/>
  <c r="D38" i="27"/>
  <c r="L34" i="27"/>
  <c r="J34" i="27"/>
  <c r="H35" i="27"/>
  <c r="H39" i="27" s="1"/>
  <c r="E34" i="27"/>
  <c r="G35" i="27"/>
  <c r="G39" i="27" s="1"/>
  <c r="I34" i="27"/>
  <c r="F34" i="27"/>
  <c r="N35" i="27"/>
  <c r="N39" i="27" s="1"/>
  <c r="K34" i="27"/>
  <c r="D35" i="27"/>
  <c r="D39" i="27" s="1"/>
  <c r="S83" i="27"/>
  <c r="C34" i="27"/>
  <c r="M56" i="27"/>
  <c r="O54"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I19" i="27" l="1"/>
  <c r="I21" i="27"/>
  <c r="I24" i="27" s="1"/>
  <c r="I25" i="27" s="1"/>
  <c r="C19" i="27"/>
  <c r="E24" i="27"/>
  <c r="E25" i="27" s="1"/>
  <c r="C22" i="27"/>
  <c r="C24" i="27" s="1"/>
  <c r="C25" i="27" s="1"/>
  <c r="E19" i="27"/>
  <c r="C92" i="27"/>
  <c r="C95" i="27" s="1"/>
  <c r="C96" i="27" s="1"/>
  <c r="C90" i="27"/>
  <c r="M85" i="27"/>
  <c r="O85" i="27" s="1"/>
  <c r="P85" i="27" s="1"/>
  <c r="C62" i="27"/>
  <c r="C64" i="27"/>
  <c r="F64" i="27"/>
  <c r="F66" i="27" s="1"/>
  <c r="F67" i="27" s="1"/>
  <c r="F62" i="27"/>
  <c r="M58" i="27"/>
  <c r="C65" i="27"/>
  <c r="E62" i="27"/>
  <c r="E64" i="27"/>
  <c r="E66" i="27" s="1"/>
  <c r="E67" i="27" s="1"/>
  <c r="D66" i="27"/>
  <c r="D67" i="27" s="1"/>
  <c r="C36" i="27"/>
  <c r="C38" i="27"/>
  <c r="E36" i="27"/>
  <c r="E38" i="27"/>
  <c r="N36" i="27"/>
  <c r="H36" i="27"/>
  <c r="K36" i="27"/>
  <c r="K38" i="27"/>
  <c r="L38" i="27"/>
  <c r="L36" i="27"/>
  <c r="I38" i="27"/>
  <c r="I36" i="27"/>
  <c r="J36" i="27"/>
  <c r="J38" i="27"/>
  <c r="D36" i="27"/>
  <c r="G36" i="27"/>
  <c r="F36" i="27"/>
  <c r="F38" i="27"/>
  <c r="O56"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B81" i="5"/>
  <c r="O14" i="27" l="1"/>
  <c r="P14" i="27" s="1"/>
  <c r="O16" i="27"/>
  <c r="M87" i="27"/>
  <c r="M92" i="27" s="1"/>
  <c r="M89" i="27"/>
  <c r="M94" i="27" s="1"/>
  <c r="O94" i="27" s="1"/>
  <c r="M88" i="27"/>
  <c r="C66" i="27"/>
  <c r="C67" i="27" s="1"/>
  <c r="M60" i="27"/>
  <c r="O58" i="27"/>
  <c r="P58" i="27" s="1"/>
  <c r="M61" i="27"/>
  <c r="E40" i="27"/>
  <c r="E41" i="27" s="1"/>
  <c r="J40" i="27"/>
  <c r="J41" i="27" s="1"/>
  <c r="N40" i="27"/>
  <c r="N41" i="27" s="1"/>
  <c r="I40" i="27"/>
  <c r="I41" i="27" s="1"/>
  <c r="K40" i="27"/>
  <c r="K41" i="27" s="1"/>
  <c r="C40" i="27"/>
  <c r="C41" i="27" s="1"/>
  <c r="F40" i="27"/>
  <c r="F41" i="27" s="1"/>
  <c r="H40" i="27"/>
  <c r="H41" i="27" s="1"/>
  <c r="D24" i="27"/>
  <c r="D25" i="27" s="1"/>
  <c r="M17" i="27"/>
  <c r="M18" i="27"/>
  <c r="J115" i="6"/>
  <c r="D41" i="5" l="1"/>
  <c r="D43" i="5" s="1"/>
  <c r="O89" i="27"/>
  <c r="O87" i="27"/>
  <c r="M90" i="27"/>
  <c r="M93" i="27"/>
  <c r="O93" i="27" s="1"/>
  <c r="O88" i="27"/>
  <c r="O92" i="27"/>
  <c r="M65" i="27"/>
  <c r="O65" i="27" s="1"/>
  <c r="C25" i="5" s="1"/>
  <c r="O61" i="27"/>
  <c r="M62" i="27"/>
  <c r="M64" i="27"/>
  <c r="O60" i="27"/>
  <c r="M22" i="27"/>
  <c r="O22" i="27" s="1"/>
  <c r="C9" i="5" s="1"/>
  <c r="O17" i="27"/>
  <c r="M23" i="27"/>
  <c r="O23" i="27" s="1"/>
  <c r="D9" i="5" s="1"/>
  <c r="O18" i="27"/>
  <c r="L40" i="27"/>
  <c r="L41" i="27" s="1"/>
  <c r="G40" i="27"/>
  <c r="G41" i="27" s="1"/>
  <c r="M19" i="27"/>
  <c r="M21" i="27"/>
  <c r="C41" i="5" l="1"/>
  <c r="C43" i="5" s="1"/>
  <c r="O90" i="27"/>
  <c r="M95" i="27"/>
  <c r="M96" i="27" s="1"/>
  <c r="O95" i="27"/>
  <c r="P92" i="27" s="1"/>
  <c r="B41" i="5"/>
  <c r="B43" i="5" s="1"/>
  <c r="H8" i="1" s="1"/>
  <c r="O62" i="27"/>
  <c r="O19" i="27"/>
  <c r="M66" i="27"/>
  <c r="M67" i="27" s="1"/>
  <c r="O64" i="27"/>
  <c r="M24" i="27"/>
  <c r="M25" i="27" s="1"/>
  <c r="O21" i="27"/>
  <c r="E41" i="5" l="1"/>
  <c r="E43" i="5" s="1"/>
  <c r="O96" i="27"/>
  <c r="P95" i="27"/>
  <c r="P94" i="27"/>
  <c r="P93" i="27"/>
  <c r="O66" i="27"/>
  <c r="O67" i="27" s="1"/>
  <c r="B25" i="5"/>
  <c r="D40" i="27"/>
  <c r="D41" i="27" s="1"/>
  <c r="O24" i="27"/>
  <c r="O25" i="27" s="1"/>
  <c r="B9" i="5"/>
  <c r="E125" i="14" l="1"/>
  <c r="D126" i="14"/>
  <c r="D127" i="14" s="1"/>
  <c r="E126" i="14"/>
  <c r="E127" i="14" l="1"/>
  <c r="O115" i="6"/>
  <c r="Q50" i="20" l="1"/>
  <c r="Q51" i="20"/>
  <c r="Q49" i="20"/>
  <c r="V14" i="18" l="1"/>
  <c r="F27" i="5" l="1"/>
  <c r="G27" i="5"/>
  <c r="G28" i="5" s="1"/>
  <c r="F119" i="1" s="1"/>
  <c r="E28" i="5"/>
  <c r="F27" i="1" s="1"/>
  <c r="E17" i="5"/>
  <c r="E27" i="1" s="1"/>
  <c r="G17" i="5"/>
  <c r="E119" i="1" s="1"/>
  <c r="D16" i="5"/>
  <c r="D19" i="5" l="1"/>
  <c r="B27" i="5"/>
  <c r="B28" i="5" s="1"/>
  <c r="F8" i="1" s="1"/>
  <c r="C134" i="1"/>
  <c r="D27" i="5" l="1"/>
  <c r="D31" i="5" s="1"/>
  <c r="F50" i="1" l="1"/>
  <c r="C28" i="5"/>
  <c r="Q41" i="6"/>
  <c r="F9" i="1" l="1"/>
  <c r="D28" i="5"/>
  <c r="D26" i="5"/>
  <c r="D30" i="5" l="1"/>
  <c r="B68" i="5"/>
  <c r="L19" i="7" l="1"/>
  <c r="J37" i="7" s="1"/>
  <c r="K37" i="7" s="1"/>
  <c r="L17" i="7"/>
  <c r="L16" i="7"/>
  <c r="AD1" i="10" s="1"/>
  <c r="L15" i="7"/>
  <c r="AO1" i="9" s="1"/>
  <c r="L14" i="7"/>
  <c r="AN1" i="9" s="1"/>
  <c r="L13" i="7"/>
  <c r="AM1" i="9" s="1"/>
  <c r="AD48" i="10" l="1"/>
  <c r="AE48" i="10" s="1"/>
  <c r="AD45" i="10"/>
  <c r="AE45" i="10" s="1"/>
  <c r="AD38" i="10"/>
  <c r="AE38" i="10" s="1"/>
  <c r="AD39" i="10"/>
  <c r="AE39" i="10" s="1"/>
  <c r="AD44" i="10"/>
  <c r="AD46" i="10"/>
  <c r="AD43" i="10"/>
  <c r="AD8" i="10"/>
  <c r="AD42" i="10"/>
  <c r="AE42" i="10" s="1"/>
  <c r="AD40" i="10"/>
  <c r="AE40" i="10" s="1"/>
  <c r="AD47" i="10"/>
  <c r="AD41" i="10"/>
  <c r="J36" i="7"/>
  <c r="K36" i="7" s="1"/>
  <c r="AE43" i="10" l="1"/>
  <c r="AE46" i="10"/>
  <c r="AE44" i="10"/>
  <c r="AE41" i="10"/>
  <c r="AE47" i="10"/>
  <c r="K45" i="18"/>
  <c r="K44" i="18"/>
  <c r="D32" i="5"/>
  <c r="D33" i="5" s="1"/>
  <c r="F18" i="1" s="1"/>
  <c r="D20" i="5"/>
  <c r="K43" i="18" l="1"/>
  <c r="K47" i="18" s="1"/>
  <c r="N19" i="7" l="1"/>
  <c r="F28" i="5"/>
  <c r="F25" i="1" s="1"/>
  <c r="F277" i="1" s="1"/>
  <c r="F17" i="5"/>
  <c r="E25" i="1" s="1"/>
  <c r="F244" i="1" s="1"/>
  <c r="B263" i="1" l="1"/>
  <c r="B295" i="1"/>
  <c r="F48" i="1"/>
  <c r="Z1" i="10" l="1"/>
  <c r="E74" i="14" l="1"/>
  <c r="I38" i="1"/>
  <c r="H38" i="1"/>
  <c r="G38" i="1"/>
  <c r="F38" i="1"/>
  <c r="E38" i="1"/>
  <c r="D38" i="1"/>
  <c r="E82" i="14" l="1"/>
  <c r="E85" i="14" s="1"/>
  <c r="C38" i="1"/>
  <c r="I142" i="1" l="1"/>
  <c r="I21" i="1" s="1"/>
  <c r="Q61" i="6"/>
  <c r="Q60" i="6"/>
  <c r="Q59" i="6"/>
  <c r="Q58" i="6"/>
  <c r="Q57" i="6"/>
  <c r="Q56" i="6"/>
  <c r="Q55" i="6"/>
  <c r="Q54" i="6"/>
  <c r="Q53" i="6"/>
  <c r="Q52" i="6"/>
  <c r="Q51" i="6"/>
  <c r="Q50" i="6"/>
  <c r="Q49" i="6"/>
  <c r="Q48" i="6"/>
  <c r="Q47" i="6"/>
  <c r="Q46" i="6"/>
  <c r="Q45" i="6"/>
  <c r="Q44" i="6"/>
  <c r="Q43"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3" i="6"/>
  <c r="Q23" i="6"/>
  <c r="P24" i="6"/>
  <c r="Q24" i="6"/>
  <c r="Q27" i="6" l="1"/>
  <c r="Q155" i="6"/>
  <c r="P27" i="6"/>
  <c r="F114" i="6"/>
  <c r="Q171" i="6"/>
  <c r="Q163" i="6"/>
  <c r="Q159" i="6"/>
  <c r="Q175" i="6"/>
  <c r="Q167" i="6"/>
  <c r="R17" i="6"/>
  <c r="R22" i="6"/>
  <c r="S22" i="6" s="1"/>
  <c r="R14" i="6"/>
  <c r="R10" i="6"/>
  <c r="R6" i="6"/>
  <c r="R5" i="6"/>
  <c r="R15" i="6"/>
  <c r="R13" i="6"/>
  <c r="R11" i="6"/>
  <c r="R9" i="6"/>
  <c r="R7" i="6"/>
  <c r="R24" i="6"/>
  <c r="R20" i="6"/>
  <c r="R18" i="6"/>
  <c r="R12" i="6"/>
  <c r="R8" i="6"/>
  <c r="R4" i="6"/>
  <c r="Q172" i="6"/>
  <c r="Q168" i="6"/>
  <c r="Q174" i="6"/>
  <c r="Q170" i="6"/>
  <c r="Q166" i="6"/>
  <c r="Q164" i="6"/>
  <c r="Q162" i="6"/>
  <c r="Q160" i="6"/>
  <c r="Q158" i="6"/>
  <c r="Q156" i="6"/>
  <c r="O114" i="6"/>
  <c r="H114" i="6"/>
  <c r="Q173" i="6"/>
  <c r="Q169" i="6"/>
  <c r="Q165" i="6"/>
  <c r="Q161" i="6"/>
  <c r="Q157" i="6"/>
  <c r="R23" i="6"/>
  <c r="R21" i="6"/>
  <c r="R19" i="6"/>
  <c r="R16" i="6"/>
  <c r="R27" i="6" l="1"/>
  <c r="S15" i="6"/>
  <c r="S20" i="6"/>
  <c r="S24" i="6"/>
  <c r="S16" i="6"/>
  <c r="S4" i="6"/>
  <c r="S19" i="6"/>
  <c r="S18" i="6"/>
  <c r="S21" i="6"/>
  <c r="S8" i="6"/>
  <c r="S11" i="6"/>
  <c r="S5" i="6"/>
  <c r="S10" i="6"/>
  <c r="S17" i="6"/>
  <c r="S7" i="6"/>
  <c r="S23" i="6"/>
  <c r="S12" i="6"/>
  <c r="S9" i="6"/>
  <c r="S13" i="6"/>
  <c r="S6" i="6"/>
  <c r="S14" i="6"/>
  <c r="G39" i="9"/>
  <c r="S27" i="6" l="1"/>
  <c r="S28" i="6" s="1"/>
  <c r="D36" i="7"/>
  <c r="I39" i="7"/>
  <c r="K62" i="14" l="1"/>
  <c r="J38" i="7" l="1"/>
  <c r="K38" i="7" l="1"/>
  <c r="J39" i="7"/>
  <c r="Q27" i="10" l="1"/>
  <c r="I56" i="10" l="1"/>
  <c r="N10" i="1"/>
  <c r="L57" i="1" s="1"/>
  <c r="L58" i="1" s="1"/>
  <c r="E198" i="1"/>
  <c r="E50" i="1"/>
  <c r="E57" i="14" s="1"/>
  <c r="E172" i="1"/>
  <c r="E33" i="1"/>
  <c r="E34" i="1"/>
  <c r="E35" i="1"/>
  <c r="D274" i="1"/>
  <c r="D275" i="1"/>
  <c r="D283" i="1" s="1"/>
  <c r="F198" i="1"/>
  <c r="F57" i="14"/>
  <c r="F172" i="1"/>
  <c r="F173" i="1"/>
  <c r="F33" i="1"/>
  <c r="F52" i="14" s="1"/>
  <c r="F34" i="1"/>
  <c r="F35" i="1"/>
  <c r="D25" i="5"/>
  <c r="G41" i="1"/>
  <c r="G128" i="1"/>
  <c r="H31" i="1"/>
  <c r="H119" i="1"/>
  <c r="H172" i="1" s="1"/>
  <c r="H72" i="14" s="1"/>
  <c r="H33" i="1"/>
  <c r="H52" i="14" s="1"/>
  <c r="H34" i="1"/>
  <c r="H35" i="1"/>
  <c r="AK79" i="9"/>
  <c r="AL79" i="9"/>
  <c r="AM79" i="9"/>
  <c r="AN79" i="9"/>
  <c r="I41" i="1"/>
  <c r="I181" i="1" s="1"/>
  <c r="I128" i="1"/>
  <c r="D8" i="1"/>
  <c r="D221" i="1" s="1"/>
  <c r="D9" i="1"/>
  <c r="D10" i="1"/>
  <c r="D198" i="1"/>
  <c r="D165" i="1"/>
  <c r="D34" i="1"/>
  <c r="D169" i="1" s="1"/>
  <c r="D35" i="1"/>
  <c r="E9" i="5"/>
  <c r="G34" i="1"/>
  <c r="G35" i="1"/>
  <c r="G21" i="1"/>
  <c r="G44" i="1" s="1"/>
  <c r="G54" i="14" s="1"/>
  <c r="Q4" i="10"/>
  <c r="Q5" i="10"/>
  <c r="Q98" i="10"/>
  <c r="Q6" i="10"/>
  <c r="Q7" i="10"/>
  <c r="Q8" i="10"/>
  <c r="Q9" i="10"/>
  <c r="Q10" i="10"/>
  <c r="Q11" i="10"/>
  <c r="Q12" i="10"/>
  <c r="Q13" i="10"/>
  <c r="Q14" i="10"/>
  <c r="Q15" i="10"/>
  <c r="Q16" i="10"/>
  <c r="Q17" i="10"/>
  <c r="Q18" i="10"/>
  <c r="Q19" i="10"/>
  <c r="Q20" i="10"/>
  <c r="Q21" i="10"/>
  <c r="Q99" i="10"/>
  <c r="Q22" i="10"/>
  <c r="Q23" i="10"/>
  <c r="Q24" i="10"/>
  <c r="Q25" i="10"/>
  <c r="Q26" i="10"/>
  <c r="Q100" i="10"/>
  <c r="Q101" i="10"/>
  <c r="Q102" i="10"/>
  <c r="Q28" i="10"/>
  <c r="Q103" i="10"/>
  <c r="D59" i="20"/>
  <c r="D57" i="20"/>
  <c r="D55" i="20"/>
  <c r="D47" i="20"/>
  <c r="D46" i="20"/>
  <c r="D44" i="20"/>
  <c r="D43" i="20"/>
  <c r="D42" i="20"/>
  <c r="D37" i="20"/>
  <c r="D36" i="20"/>
  <c r="D34" i="20"/>
  <c r="D33" i="20"/>
  <c r="D27" i="20"/>
  <c r="D24" i="20"/>
  <c r="D23" i="20"/>
  <c r="D21" i="20"/>
  <c r="D18" i="20"/>
  <c r="D17" i="20"/>
  <c r="D16" i="20"/>
  <c r="D14" i="20"/>
  <c r="B9" i="30" s="1"/>
  <c r="B2" i="1"/>
  <c r="C210" i="1"/>
  <c r="D26" i="14"/>
  <c r="N14" i="20" s="1"/>
  <c r="Q14" i="20" s="1"/>
  <c r="E26" i="14"/>
  <c r="N21" i="20" s="1"/>
  <c r="Q21" i="20" s="1"/>
  <c r="H26" i="14"/>
  <c r="N55" i="20" s="1"/>
  <c r="Q55" i="20" s="1"/>
  <c r="E32" i="14"/>
  <c r="E42" i="14" s="1"/>
  <c r="M27" i="20" s="1"/>
  <c r="F31" i="14"/>
  <c r="N36" i="20" s="1"/>
  <c r="Q36" i="20" s="1"/>
  <c r="F32" i="14"/>
  <c r="F42" i="14" s="1"/>
  <c r="M37" i="20" s="1"/>
  <c r="G31" i="14"/>
  <c r="G32" i="14"/>
  <c r="Q97" i="10"/>
  <c r="F7" i="7"/>
  <c r="C7" i="7"/>
  <c r="F59" i="20"/>
  <c r="H59" i="20" s="1"/>
  <c r="F57" i="20"/>
  <c r="H57" i="20" s="1"/>
  <c r="F34" i="20"/>
  <c r="H34" i="20" s="1"/>
  <c r="F24" i="20"/>
  <c r="H24" i="20" s="1"/>
  <c r="F33" i="20"/>
  <c r="H33" i="20" s="1"/>
  <c r="F23" i="20"/>
  <c r="H23" i="20" s="1"/>
  <c r="F44" i="20"/>
  <c r="F43" i="20"/>
  <c r="F42" i="20"/>
  <c r="F18" i="20"/>
  <c r="H18" i="20" s="1"/>
  <c r="F17" i="20"/>
  <c r="H17" i="20" s="1"/>
  <c r="D9" i="30" s="1"/>
  <c r="F16" i="20"/>
  <c r="G7" i="10"/>
  <c r="G9" i="10"/>
  <c r="G10" i="10"/>
  <c r="G11" i="10"/>
  <c r="G12" i="10"/>
  <c r="G13" i="10"/>
  <c r="G14" i="10"/>
  <c r="G15" i="10"/>
  <c r="G16" i="10"/>
  <c r="G17" i="10"/>
  <c r="G18" i="10"/>
  <c r="G19" i="10"/>
  <c r="E50" i="10"/>
  <c r="G50" i="10"/>
  <c r="E94" i="10"/>
  <c r="G94" i="10"/>
  <c r="G7" i="9"/>
  <c r="G8" i="9"/>
  <c r="G9" i="9"/>
  <c r="G10" i="9"/>
  <c r="G12" i="9"/>
  <c r="G13" i="9"/>
  <c r="G14" i="9"/>
  <c r="G16" i="9"/>
  <c r="G19" i="9"/>
  <c r="G22" i="9"/>
  <c r="G25" i="9"/>
  <c r="G27" i="9"/>
  <c r="G30" i="9"/>
  <c r="G33" i="9"/>
  <c r="G36" i="9"/>
  <c r="G40" i="9"/>
  <c r="G42" i="9"/>
  <c r="G45" i="9"/>
  <c r="G48" i="9"/>
  <c r="G51" i="9"/>
  <c r="G54" i="9"/>
  <c r="G57" i="9"/>
  <c r="G63" i="9"/>
  <c r="G64" i="9"/>
  <c r="G65" i="9"/>
  <c r="G66" i="9"/>
  <c r="G69" i="9"/>
  <c r="G72" i="9"/>
  <c r="G76" i="9"/>
  <c r="G77" i="9"/>
  <c r="G78" i="9"/>
  <c r="G80" i="9"/>
  <c r="G81" i="9"/>
  <c r="G82" i="9"/>
  <c r="G83" i="9"/>
  <c r="G84" i="9"/>
  <c r="G85" i="9"/>
  <c r="AV100" i="9"/>
  <c r="G86" i="9"/>
  <c r="G87" i="9"/>
  <c r="E93" i="9"/>
  <c r="G88" i="9"/>
  <c r="G89" i="9"/>
  <c r="G90" i="9"/>
  <c r="G91" i="9"/>
  <c r="G92" i="9"/>
  <c r="G93" i="9"/>
  <c r="G94" i="9"/>
  <c r="G95" i="9"/>
  <c r="G96" i="9"/>
  <c r="G97" i="9"/>
  <c r="G98" i="9"/>
  <c r="G100" i="9"/>
  <c r="E101" i="9"/>
  <c r="G101" i="9"/>
  <c r="G102" i="9"/>
  <c r="G103" i="9"/>
  <c r="G128" i="9"/>
  <c r="G131" i="9"/>
  <c r="G132" i="9"/>
  <c r="G133" i="9"/>
  <c r="G134" i="9"/>
  <c r="G135" i="9"/>
  <c r="G136" i="9"/>
  <c r="G137" i="9"/>
  <c r="D7" i="7"/>
  <c r="G7" i="7"/>
  <c r="R1" i="6"/>
  <c r="S1" i="6"/>
  <c r="D37" i="6"/>
  <c r="E37" i="6"/>
  <c r="M37" i="6"/>
  <c r="O37" i="6"/>
  <c r="D40" i="6"/>
  <c r="E40" i="6"/>
  <c r="R63" i="6" s="1"/>
  <c r="F40" i="6"/>
  <c r="G40" i="6"/>
  <c r="H40" i="6"/>
  <c r="I40" i="6"/>
  <c r="J40" i="6"/>
  <c r="K40" i="6"/>
  <c r="L40" i="6"/>
  <c r="M40" i="6"/>
  <c r="R62" i="6" s="1"/>
  <c r="N40" i="6"/>
  <c r="O40" i="6"/>
  <c r="P66" i="6"/>
  <c r="D67" i="6"/>
  <c r="E67" i="6"/>
  <c r="F67" i="6"/>
  <c r="G67" i="6"/>
  <c r="H67" i="6"/>
  <c r="I67" i="6"/>
  <c r="J67" i="6"/>
  <c r="K67" i="6"/>
  <c r="L67" i="6"/>
  <c r="M67" i="6"/>
  <c r="N67" i="6"/>
  <c r="O67" i="6"/>
  <c r="B68" i="6"/>
  <c r="C68" i="6"/>
  <c r="D68" i="6"/>
  <c r="E68" i="6"/>
  <c r="F68" i="6"/>
  <c r="G68" i="6"/>
  <c r="H68" i="6"/>
  <c r="I68" i="6"/>
  <c r="J68" i="6"/>
  <c r="K68" i="6"/>
  <c r="L68" i="6"/>
  <c r="M68" i="6"/>
  <c r="N68" i="6"/>
  <c r="O68" i="6"/>
  <c r="C69" i="6"/>
  <c r="D69" i="6"/>
  <c r="E69" i="6"/>
  <c r="F69" i="6"/>
  <c r="G69" i="6"/>
  <c r="H69" i="6"/>
  <c r="I69" i="6"/>
  <c r="J69" i="6"/>
  <c r="K69" i="6"/>
  <c r="L69" i="6"/>
  <c r="M69" i="6"/>
  <c r="N69" i="6"/>
  <c r="O69" i="6"/>
  <c r="C70" i="6"/>
  <c r="D70" i="6"/>
  <c r="E70" i="6"/>
  <c r="F70" i="6"/>
  <c r="G70" i="6"/>
  <c r="H70" i="6"/>
  <c r="I70" i="6"/>
  <c r="J70" i="6"/>
  <c r="K70" i="6"/>
  <c r="L70" i="6"/>
  <c r="M70" i="6"/>
  <c r="N70" i="6"/>
  <c r="O70" i="6"/>
  <c r="C71" i="6"/>
  <c r="D71" i="6"/>
  <c r="E71" i="6"/>
  <c r="F71" i="6"/>
  <c r="G71" i="6"/>
  <c r="H71" i="6"/>
  <c r="I71" i="6"/>
  <c r="J71" i="6"/>
  <c r="K71" i="6"/>
  <c r="L71" i="6"/>
  <c r="M71" i="6"/>
  <c r="N71" i="6"/>
  <c r="O71" i="6"/>
  <c r="C72" i="6"/>
  <c r="D72" i="6"/>
  <c r="E72" i="6"/>
  <c r="F72" i="6"/>
  <c r="G72" i="6"/>
  <c r="H72" i="6"/>
  <c r="I72" i="6"/>
  <c r="J72" i="6"/>
  <c r="K72" i="6"/>
  <c r="L72" i="6"/>
  <c r="M72" i="6"/>
  <c r="N72" i="6"/>
  <c r="O72" i="6"/>
  <c r="C73" i="6"/>
  <c r="D73" i="6"/>
  <c r="E73" i="6"/>
  <c r="F73" i="6"/>
  <c r="G73" i="6"/>
  <c r="H73" i="6"/>
  <c r="I73" i="6"/>
  <c r="J73" i="6"/>
  <c r="K73" i="6"/>
  <c r="L73" i="6"/>
  <c r="M73" i="6"/>
  <c r="N73" i="6"/>
  <c r="O73" i="6"/>
  <c r="C74" i="6"/>
  <c r="D74" i="6"/>
  <c r="E74" i="6"/>
  <c r="F74" i="6"/>
  <c r="G74" i="6"/>
  <c r="H74" i="6"/>
  <c r="I74" i="6"/>
  <c r="J74" i="6"/>
  <c r="K74" i="6"/>
  <c r="L74" i="6"/>
  <c r="M74" i="6"/>
  <c r="N74" i="6"/>
  <c r="O74" i="6"/>
  <c r="D75" i="6"/>
  <c r="E75" i="6"/>
  <c r="F75" i="6"/>
  <c r="G75" i="6"/>
  <c r="H75" i="6"/>
  <c r="I75" i="6"/>
  <c r="J75" i="6"/>
  <c r="K75" i="6"/>
  <c r="L75" i="6"/>
  <c r="M75" i="6"/>
  <c r="N75" i="6"/>
  <c r="O75" i="6"/>
  <c r="C76" i="6"/>
  <c r="G76" i="6"/>
  <c r="H76" i="6"/>
  <c r="I76" i="6"/>
  <c r="J76" i="6"/>
  <c r="K76" i="6"/>
  <c r="L76" i="6"/>
  <c r="M76" i="6"/>
  <c r="N76" i="6"/>
  <c r="O76" i="6"/>
  <c r="C77" i="6"/>
  <c r="D77" i="6"/>
  <c r="D133" i="6" s="1"/>
  <c r="E77" i="6"/>
  <c r="F77" i="6"/>
  <c r="G77" i="6"/>
  <c r="H77" i="6"/>
  <c r="I77" i="6"/>
  <c r="J77" i="6"/>
  <c r="K77" i="6"/>
  <c r="L77" i="6"/>
  <c r="M77" i="6"/>
  <c r="N77" i="6"/>
  <c r="O77" i="6"/>
  <c r="C78" i="6"/>
  <c r="D78" i="6"/>
  <c r="E78" i="6"/>
  <c r="F78" i="6"/>
  <c r="G78" i="6"/>
  <c r="H78" i="6"/>
  <c r="I78" i="6"/>
  <c r="J78" i="6"/>
  <c r="K78" i="6"/>
  <c r="L78" i="6"/>
  <c r="M78" i="6"/>
  <c r="N78" i="6"/>
  <c r="O78" i="6"/>
  <c r="C79" i="6"/>
  <c r="D79" i="6"/>
  <c r="E79" i="6"/>
  <c r="F79" i="6"/>
  <c r="G79" i="6"/>
  <c r="H79" i="6"/>
  <c r="I79" i="6"/>
  <c r="J79" i="6"/>
  <c r="K79" i="6"/>
  <c r="L79" i="6"/>
  <c r="M79" i="6"/>
  <c r="N79" i="6"/>
  <c r="O79" i="6"/>
  <c r="C80" i="6"/>
  <c r="D80" i="6"/>
  <c r="E80" i="6"/>
  <c r="F80" i="6"/>
  <c r="G80" i="6"/>
  <c r="H80" i="6"/>
  <c r="I80" i="6"/>
  <c r="J80" i="6"/>
  <c r="K80" i="6"/>
  <c r="L80" i="6"/>
  <c r="M80" i="6"/>
  <c r="N80" i="6"/>
  <c r="O80" i="6"/>
  <c r="C81" i="6"/>
  <c r="D81" i="6"/>
  <c r="E81" i="6"/>
  <c r="F81" i="6"/>
  <c r="G81" i="6"/>
  <c r="H81" i="6"/>
  <c r="I81" i="6"/>
  <c r="J81" i="6"/>
  <c r="K81" i="6"/>
  <c r="L81" i="6"/>
  <c r="M81" i="6"/>
  <c r="N81" i="6"/>
  <c r="O81" i="6"/>
  <c r="C82" i="6"/>
  <c r="D82" i="6"/>
  <c r="E82" i="6"/>
  <c r="F82" i="6"/>
  <c r="G82" i="6"/>
  <c r="H82" i="6"/>
  <c r="I82" i="6"/>
  <c r="J82" i="6"/>
  <c r="K82" i="6"/>
  <c r="L82" i="6"/>
  <c r="M82" i="6"/>
  <c r="N82" i="6"/>
  <c r="O82" i="6"/>
  <c r="C83" i="6"/>
  <c r="D83" i="6"/>
  <c r="E83" i="6"/>
  <c r="F83" i="6"/>
  <c r="G83" i="6"/>
  <c r="H83" i="6"/>
  <c r="I83" i="6"/>
  <c r="J83" i="6"/>
  <c r="K83" i="6"/>
  <c r="L83" i="6"/>
  <c r="M83" i="6"/>
  <c r="N83" i="6"/>
  <c r="O83" i="6"/>
  <c r="C84" i="6"/>
  <c r="D84" i="6"/>
  <c r="E84" i="6"/>
  <c r="F84" i="6"/>
  <c r="G84" i="6"/>
  <c r="H84" i="6"/>
  <c r="I84" i="6"/>
  <c r="J84" i="6"/>
  <c r="K84" i="6"/>
  <c r="L84" i="6"/>
  <c r="M84" i="6"/>
  <c r="N84" i="6"/>
  <c r="O84" i="6"/>
  <c r="C85" i="6"/>
  <c r="D85" i="6"/>
  <c r="E85" i="6"/>
  <c r="F85" i="6"/>
  <c r="G85" i="6"/>
  <c r="H85" i="6"/>
  <c r="I85" i="6"/>
  <c r="J85" i="6"/>
  <c r="K85" i="6"/>
  <c r="L85" i="6"/>
  <c r="M85" i="6"/>
  <c r="N85" i="6"/>
  <c r="O85" i="6"/>
  <c r="C86" i="6"/>
  <c r="D86" i="6"/>
  <c r="E86" i="6"/>
  <c r="F86" i="6"/>
  <c r="G86" i="6"/>
  <c r="H86" i="6"/>
  <c r="I86" i="6"/>
  <c r="J86" i="6"/>
  <c r="K86" i="6"/>
  <c r="L86" i="6"/>
  <c r="M86" i="6"/>
  <c r="N86" i="6"/>
  <c r="O86" i="6"/>
  <c r="C87" i="6"/>
  <c r="D87" i="6"/>
  <c r="E87" i="6"/>
  <c r="E143" i="6" s="1"/>
  <c r="F87" i="6"/>
  <c r="F143" i="6" s="1"/>
  <c r="G87" i="6"/>
  <c r="G143" i="6" s="1"/>
  <c r="H87" i="6"/>
  <c r="H143" i="6" s="1"/>
  <c r="I87" i="6"/>
  <c r="I143" i="6" s="1"/>
  <c r="J87" i="6"/>
  <c r="J143" i="6" s="1"/>
  <c r="K87" i="6"/>
  <c r="K143" i="6" s="1"/>
  <c r="L87" i="6"/>
  <c r="L143" i="6" s="1"/>
  <c r="M87" i="6"/>
  <c r="M143" i="6" s="1"/>
  <c r="N87" i="6"/>
  <c r="N143" i="6" s="1"/>
  <c r="O87" i="6"/>
  <c r="O143" i="6" s="1"/>
  <c r="C88" i="6"/>
  <c r="D88" i="6"/>
  <c r="D144" i="6" s="1"/>
  <c r="E88" i="6"/>
  <c r="E144" i="6" s="1"/>
  <c r="F88" i="6"/>
  <c r="F144" i="6" s="1"/>
  <c r="G88" i="6"/>
  <c r="G144" i="6" s="1"/>
  <c r="H88" i="6"/>
  <c r="H144" i="6" s="1"/>
  <c r="I88" i="6"/>
  <c r="I144" i="6" s="1"/>
  <c r="J88" i="6"/>
  <c r="J144" i="6" s="1"/>
  <c r="K88" i="6"/>
  <c r="K144" i="6" s="1"/>
  <c r="L88" i="6"/>
  <c r="L144" i="6" s="1"/>
  <c r="M88" i="6"/>
  <c r="M144" i="6" s="1"/>
  <c r="N88" i="6"/>
  <c r="N144" i="6" s="1"/>
  <c r="O88" i="6"/>
  <c r="O144" i="6" s="1"/>
  <c r="D96" i="6"/>
  <c r="E96" i="6"/>
  <c r="F96" i="6"/>
  <c r="G96" i="6"/>
  <c r="H96" i="6"/>
  <c r="I96" i="6"/>
  <c r="J96" i="6"/>
  <c r="K96" i="6"/>
  <c r="L96" i="6"/>
  <c r="M96" i="6"/>
  <c r="N96" i="6"/>
  <c r="O96" i="6"/>
  <c r="D100" i="6"/>
  <c r="E100" i="6"/>
  <c r="F100" i="6"/>
  <c r="G100" i="6"/>
  <c r="H100" i="6"/>
  <c r="I100" i="6"/>
  <c r="J100" i="6"/>
  <c r="K100" i="6"/>
  <c r="L100" i="6"/>
  <c r="M100" i="6"/>
  <c r="N100" i="6"/>
  <c r="O100" i="6"/>
  <c r="D101" i="6"/>
  <c r="E101" i="6"/>
  <c r="F101" i="6"/>
  <c r="G101" i="6"/>
  <c r="H101" i="6"/>
  <c r="I101" i="6"/>
  <c r="J101" i="6"/>
  <c r="K101" i="6"/>
  <c r="L101" i="6"/>
  <c r="M101" i="6"/>
  <c r="N101" i="6"/>
  <c r="O101" i="6"/>
  <c r="D106" i="6"/>
  <c r="E106" i="6"/>
  <c r="F106" i="6"/>
  <c r="G106" i="6"/>
  <c r="H106" i="6"/>
  <c r="I106" i="6"/>
  <c r="J106" i="6"/>
  <c r="K106" i="6"/>
  <c r="L106" i="6"/>
  <c r="M106" i="6"/>
  <c r="N106" i="6"/>
  <c r="O106" i="6"/>
  <c r="E107" i="6"/>
  <c r="F107" i="6"/>
  <c r="H107" i="6"/>
  <c r="I107" i="6"/>
  <c r="J107" i="6"/>
  <c r="K107" i="6"/>
  <c r="L107" i="6"/>
  <c r="M107" i="6"/>
  <c r="N107" i="6"/>
  <c r="O107" i="6"/>
  <c r="D14" i="14"/>
  <c r="C119" i="14" s="1"/>
  <c r="A16" i="20"/>
  <c r="D74" i="14"/>
  <c r="D82" i="14" s="1"/>
  <c r="D85" i="14" s="1"/>
  <c r="A17" i="20"/>
  <c r="D75" i="14"/>
  <c r="D83" i="14" s="1"/>
  <c r="D86" i="14" s="1"/>
  <c r="A18" i="20"/>
  <c r="D76" i="14"/>
  <c r="D84" i="14" s="1"/>
  <c r="D87" i="14" s="1"/>
  <c r="E14" i="14"/>
  <c r="F21" i="20" s="1"/>
  <c r="A23" i="20"/>
  <c r="E27" i="14"/>
  <c r="E37" i="14" s="1"/>
  <c r="A24" i="20"/>
  <c r="E75" i="14"/>
  <c r="E83" i="14" s="1"/>
  <c r="E86" i="14" s="1"/>
  <c r="T38" i="14"/>
  <c r="A26" i="20"/>
  <c r="A27" i="20"/>
  <c r="E20" i="14"/>
  <c r="F27" i="20" s="1"/>
  <c r="A33" i="20"/>
  <c r="F74" i="14"/>
  <c r="A34" i="20"/>
  <c r="F75" i="14"/>
  <c r="F83" i="14" s="1"/>
  <c r="F86" i="14" s="1"/>
  <c r="U38" i="14"/>
  <c r="A36" i="20"/>
  <c r="F19" i="14"/>
  <c r="F36" i="20" s="1"/>
  <c r="A37" i="20"/>
  <c r="F20" i="14"/>
  <c r="F37" i="20" s="1"/>
  <c r="E38" i="20"/>
  <c r="J38" i="20"/>
  <c r="S38" i="20" s="1"/>
  <c r="A42" i="20"/>
  <c r="G74" i="14"/>
  <c r="G82" i="14" s="1"/>
  <c r="G85" i="14" s="1"/>
  <c r="A43" i="20"/>
  <c r="G75" i="14"/>
  <c r="V38" i="14"/>
  <c r="A44" i="20"/>
  <c r="G76" i="14"/>
  <c r="G84" i="14" s="1"/>
  <c r="G87" i="14" s="1"/>
  <c r="V39" i="14"/>
  <c r="A46" i="20"/>
  <c r="G19" i="14"/>
  <c r="A47" i="20"/>
  <c r="G20" i="14"/>
  <c r="E49" i="20"/>
  <c r="J49" i="20"/>
  <c r="E50" i="20"/>
  <c r="S50" i="20"/>
  <c r="E51" i="20"/>
  <c r="J51" i="20"/>
  <c r="S51" i="20" s="1"/>
  <c r="H14" i="14"/>
  <c r="F55" i="20" s="1"/>
  <c r="H74" i="14"/>
  <c r="H82" i="14" s="1"/>
  <c r="H85" i="14" s="1"/>
  <c r="H75" i="14"/>
  <c r="H83" i="14" s="1"/>
  <c r="H86" i="14" s="1"/>
  <c r="W38" i="14"/>
  <c r="D15" i="18"/>
  <c r="E12" i="14"/>
  <c r="F12" i="14"/>
  <c r="G12" i="14"/>
  <c r="H12" i="14"/>
  <c r="F14" i="14"/>
  <c r="G14" i="14"/>
  <c r="N15" i="14"/>
  <c r="O15" i="14"/>
  <c r="P15" i="14"/>
  <c r="Q15" i="14"/>
  <c r="N16" i="14"/>
  <c r="O16" i="14"/>
  <c r="P16" i="14"/>
  <c r="Q16" i="14"/>
  <c r="N17" i="14"/>
  <c r="O17" i="14"/>
  <c r="P17" i="14"/>
  <c r="Q17" i="14"/>
  <c r="N20" i="14"/>
  <c r="O20" i="14"/>
  <c r="P20" i="14"/>
  <c r="Q20" i="14"/>
  <c r="D24" i="14"/>
  <c r="E24" i="14"/>
  <c r="F24" i="14"/>
  <c r="G24" i="14"/>
  <c r="H24" i="14"/>
  <c r="F26" i="14"/>
  <c r="F36" i="14" s="1"/>
  <c r="G26" i="14"/>
  <c r="G36" i="14" s="1"/>
  <c r="D31" i="14"/>
  <c r="E31" i="14"/>
  <c r="H31" i="14"/>
  <c r="D32" i="14"/>
  <c r="H32" i="14"/>
  <c r="D34" i="14"/>
  <c r="E34" i="14"/>
  <c r="F34" i="14"/>
  <c r="G34" i="14"/>
  <c r="H34" i="14"/>
  <c r="N37" i="14"/>
  <c r="O37" i="14"/>
  <c r="P37" i="14"/>
  <c r="Q37" i="14"/>
  <c r="N38" i="14"/>
  <c r="O38" i="14"/>
  <c r="P38" i="14"/>
  <c r="Q38" i="14"/>
  <c r="S38" i="14"/>
  <c r="N39" i="14"/>
  <c r="O39" i="14"/>
  <c r="P39" i="14"/>
  <c r="Q39" i="14"/>
  <c r="S39" i="14"/>
  <c r="T39" i="14"/>
  <c r="U39" i="14"/>
  <c r="W39" i="14"/>
  <c r="S40" i="14"/>
  <c r="T40" i="14"/>
  <c r="U40" i="14"/>
  <c r="V40" i="14"/>
  <c r="W40" i="14"/>
  <c r="N42" i="14"/>
  <c r="O42" i="14"/>
  <c r="P42" i="14"/>
  <c r="Q42" i="14"/>
  <c r="E52" i="14"/>
  <c r="D57" i="14"/>
  <c r="H57" i="14"/>
  <c r="D61" i="14"/>
  <c r="D63" i="14" s="1"/>
  <c r="E61" i="14"/>
  <c r="E63" i="14" s="1"/>
  <c r="F61" i="14"/>
  <c r="F63" i="14" s="1"/>
  <c r="G61" i="14"/>
  <c r="G63" i="14" s="1"/>
  <c r="L62" i="14"/>
  <c r="M62" i="14"/>
  <c r="D65" i="14"/>
  <c r="D67" i="14" s="1"/>
  <c r="E65" i="14"/>
  <c r="F65" i="14"/>
  <c r="F67" i="14" s="1"/>
  <c r="G65" i="14"/>
  <c r="G67" i="14" s="1"/>
  <c r="H65" i="14"/>
  <c r="H67" i="14" s="1"/>
  <c r="K66" i="14"/>
  <c r="L66" i="14"/>
  <c r="M66" i="14"/>
  <c r="E67" i="14"/>
  <c r="D68" i="14"/>
  <c r="D70" i="14" s="1"/>
  <c r="F70" i="14"/>
  <c r="H68" i="14"/>
  <c r="H70" i="14" s="1"/>
  <c r="K69" i="14"/>
  <c r="L69" i="14"/>
  <c r="M69" i="14"/>
  <c r="E70" i="14"/>
  <c r="D72" i="14"/>
  <c r="E76" i="14"/>
  <c r="E84" i="14" s="1"/>
  <c r="E87" i="14" s="1"/>
  <c r="E29" i="14" s="1"/>
  <c r="F76" i="14"/>
  <c r="F84" i="14" s="1"/>
  <c r="F87" i="14" s="1"/>
  <c r="F29" i="14" s="1"/>
  <c r="H76" i="14"/>
  <c r="H84" i="14" s="1"/>
  <c r="H87" i="14" s="1"/>
  <c r="H29" i="14" s="1"/>
  <c r="M79" i="14"/>
  <c r="M83" i="14"/>
  <c r="M86" i="14" s="1"/>
  <c r="M85" i="14"/>
  <c r="N86" i="14"/>
  <c r="M87" i="14"/>
  <c r="G90" i="14"/>
  <c r="A95" i="14"/>
  <c r="F100" i="14"/>
  <c r="G100" i="14"/>
  <c r="D101" i="14"/>
  <c r="H101" i="14"/>
  <c r="G103" i="14"/>
  <c r="C169" i="1"/>
  <c r="C116" i="1"/>
  <c r="C108" i="14"/>
  <c r="F108" i="14"/>
  <c r="B109" i="14"/>
  <c r="N9" i="1"/>
  <c r="P6" i="1" s="1"/>
  <c r="I31" i="1"/>
  <c r="I32" i="1"/>
  <c r="I33" i="1"/>
  <c r="I34" i="1"/>
  <c r="I44" i="1"/>
  <c r="L55" i="1"/>
  <c r="L56" i="1"/>
  <c r="C112" i="1"/>
  <c r="C145" i="1"/>
  <c r="C165" i="1"/>
  <c r="B209" i="1"/>
  <c r="B264" i="1"/>
  <c r="D38" i="7"/>
  <c r="J114" i="6"/>
  <c r="L114" i="6"/>
  <c r="N114" i="6"/>
  <c r="E114" i="6"/>
  <c r="G114" i="6"/>
  <c r="I114" i="6"/>
  <c r="K114" i="6"/>
  <c r="M114" i="6"/>
  <c r="E115" i="6"/>
  <c r="G115" i="6"/>
  <c r="I115" i="6"/>
  <c r="K115" i="6"/>
  <c r="M115" i="6"/>
  <c r="H115" i="6"/>
  <c r="L115" i="6"/>
  <c r="N115" i="6"/>
  <c r="H9" i="1"/>
  <c r="AD50" i="10"/>
  <c r="AD51" i="10"/>
  <c r="AD52" i="10"/>
  <c r="F31" i="1"/>
  <c r="E59" i="1"/>
  <c r="G63" i="1"/>
  <c r="H64" i="1"/>
  <c r="I59" i="1"/>
  <c r="E63" i="1"/>
  <c r="I64" i="1"/>
  <c r="G69" i="1"/>
  <c r="I62" i="1"/>
  <c r="D69" i="1"/>
  <c r="F59" i="1"/>
  <c r="F69" i="1"/>
  <c r="D63" i="1"/>
  <c r="I70" i="1"/>
  <c r="E70" i="1"/>
  <c r="H63" i="1"/>
  <c r="F64" i="1"/>
  <c r="G62" i="1"/>
  <c r="E62" i="1"/>
  <c r="H70" i="1"/>
  <c r="D70" i="1"/>
  <c r="H59" i="1"/>
  <c r="E69" i="1"/>
  <c r="F62" i="1"/>
  <c r="G70" i="1"/>
  <c r="F70" i="1"/>
  <c r="I69" i="1"/>
  <c r="H69" i="1"/>
  <c r="D59" i="1"/>
  <c r="D64" i="1"/>
  <c r="D62" i="1"/>
  <c r="G59" i="1"/>
  <c r="G64" i="1"/>
  <c r="E64" i="1"/>
  <c r="H62" i="1"/>
  <c r="I63" i="1"/>
  <c r="F63" i="1"/>
  <c r="M79" i="9" l="1"/>
  <c r="N79" i="9"/>
  <c r="O79" i="9"/>
  <c r="P79" i="9"/>
  <c r="Q79" i="9"/>
  <c r="W49" i="10"/>
  <c r="N49" i="10"/>
  <c r="V49" i="10"/>
  <c r="AO26" i="9"/>
  <c r="AO79" i="9"/>
  <c r="N45" i="10"/>
  <c r="M45" i="10"/>
  <c r="W45" i="10"/>
  <c r="V45" i="10"/>
  <c r="V48" i="10"/>
  <c r="M48" i="10"/>
  <c r="W48" i="10"/>
  <c r="N48" i="10"/>
  <c r="AE6" i="9"/>
  <c r="AH7" i="9"/>
  <c r="AF9" i="9"/>
  <c r="AR9" i="9" s="1"/>
  <c r="AI10" i="9"/>
  <c r="AG12" i="9"/>
  <c r="AE14" i="9"/>
  <c r="AH15" i="9"/>
  <c r="AF17" i="9"/>
  <c r="AR17" i="9" s="1"/>
  <c r="AI18" i="9"/>
  <c r="AG20" i="9"/>
  <c r="AE22" i="9"/>
  <c r="AH23" i="9"/>
  <c r="AF25" i="9"/>
  <c r="AR25" i="9" s="1"/>
  <c r="AI26" i="9"/>
  <c r="N6" i="9"/>
  <c r="Z6" i="9" s="1"/>
  <c r="Q7" i="9"/>
  <c r="AC7" i="9" s="1"/>
  <c r="O9" i="9"/>
  <c r="AA9" i="9" s="1"/>
  <c r="M11" i="9"/>
  <c r="P12" i="9"/>
  <c r="AB12" i="9" s="1"/>
  <c r="N14" i="9"/>
  <c r="Z14" i="9" s="1"/>
  <c r="Q15" i="9"/>
  <c r="AC15" i="9" s="1"/>
  <c r="O17" i="9"/>
  <c r="AA17" i="9" s="1"/>
  <c r="M19" i="9"/>
  <c r="P20" i="9"/>
  <c r="AB20" i="9" s="1"/>
  <c r="N22" i="9"/>
  <c r="Z22" i="9" s="1"/>
  <c r="Q23" i="9"/>
  <c r="AC23" i="9" s="1"/>
  <c r="O25" i="9"/>
  <c r="AA25" i="9" s="1"/>
  <c r="AH5" i="9"/>
  <c r="M5" i="9"/>
  <c r="AF6" i="9"/>
  <c r="AR6" i="9" s="1"/>
  <c r="AI7" i="9"/>
  <c r="AG9" i="9"/>
  <c r="AE11" i="9"/>
  <c r="AH12" i="9"/>
  <c r="AF14" i="9"/>
  <c r="AR14" i="9" s="1"/>
  <c r="AI15" i="9"/>
  <c r="AG17" i="9"/>
  <c r="AE19" i="9"/>
  <c r="AH20" i="9"/>
  <c r="AF22" i="9"/>
  <c r="AR22" i="9" s="1"/>
  <c r="AI23" i="9"/>
  <c r="AG25" i="9"/>
  <c r="O6" i="9"/>
  <c r="AA6" i="9" s="1"/>
  <c r="M8" i="9"/>
  <c r="P9" i="9"/>
  <c r="AB9" i="9" s="1"/>
  <c r="N11" i="9"/>
  <c r="Z11" i="9" s="1"/>
  <c r="Q12" i="9"/>
  <c r="AC12" i="9" s="1"/>
  <c r="O14" i="9"/>
  <c r="AA14" i="9" s="1"/>
  <c r="M16" i="9"/>
  <c r="P17" i="9"/>
  <c r="AB17" i="9" s="1"/>
  <c r="N19" i="9"/>
  <c r="Z19" i="9" s="1"/>
  <c r="Q20" i="9"/>
  <c r="AC20" i="9" s="1"/>
  <c r="O22" i="9"/>
  <c r="AA22" i="9" s="1"/>
  <c r="M24" i="9"/>
  <c r="P25" i="9"/>
  <c r="AB25" i="9" s="1"/>
  <c r="AG5" i="9"/>
  <c r="AG6" i="9"/>
  <c r="AE8" i="9"/>
  <c r="AH9" i="9"/>
  <c r="AF11" i="9"/>
  <c r="AR11" i="9" s="1"/>
  <c r="AI12" i="9"/>
  <c r="AG14" i="9"/>
  <c r="AE16" i="9"/>
  <c r="AH17" i="9"/>
  <c r="AF19" i="9"/>
  <c r="AR19" i="9" s="1"/>
  <c r="AI20" i="9"/>
  <c r="AG22" i="9"/>
  <c r="AE24" i="9"/>
  <c r="AH25" i="9"/>
  <c r="P6" i="9"/>
  <c r="AB6" i="9" s="1"/>
  <c r="N8" i="9"/>
  <c r="Z8" i="9" s="1"/>
  <c r="Q9" i="9"/>
  <c r="AC9" i="9" s="1"/>
  <c r="O11" i="9"/>
  <c r="AA11" i="9" s="1"/>
  <c r="M13" i="9"/>
  <c r="P14" i="9"/>
  <c r="AB14" i="9" s="1"/>
  <c r="N16" i="9"/>
  <c r="Z16" i="9" s="1"/>
  <c r="Q17" i="9"/>
  <c r="AC17" i="9" s="1"/>
  <c r="O19" i="9"/>
  <c r="AA19" i="9" s="1"/>
  <c r="M21" i="9"/>
  <c r="P22" i="9"/>
  <c r="AB22" i="9" s="1"/>
  <c r="N24" i="9"/>
  <c r="Z24" i="9" s="1"/>
  <c r="Q25" i="9"/>
  <c r="AF5" i="9"/>
  <c r="AR5" i="9" s="1"/>
  <c r="Q5" i="9"/>
  <c r="AC5" i="9" s="1"/>
  <c r="AF15" i="9"/>
  <c r="AR15" i="9" s="1"/>
  <c r="AE20" i="9"/>
  <c r="AG26" i="9"/>
  <c r="AH6" i="9"/>
  <c r="AF8" i="9"/>
  <c r="AR8" i="9" s="1"/>
  <c r="AI9" i="9"/>
  <c r="AG11" i="9"/>
  <c r="AE13" i="9"/>
  <c r="AH14" i="9"/>
  <c r="AF16" i="9"/>
  <c r="AR16" i="9" s="1"/>
  <c r="AI17" i="9"/>
  <c r="AG19" i="9"/>
  <c r="AE21" i="9"/>
  <c r="AH22" i="9"/>
  <c r="AF24" i="9"/>
  <c r="AR24" i="9" s="1"/>
  <c r="AI25" i="9"/>
  <c r="Q6" i="9"/>
  <c r="AC6" i="9" s="1"/>
  <c r="O8" i="9"/>
  <c r="AA8" i="9" s="1"/>
  <c r="M10" i="9"/>
  <c r="P11" i="9"/>
  <c r="AB11" i="9" s="1"/>
  <c r="N13" i="9"/>
  <c r="Z13" i="9" s="1"/>
  <c r="Q14" i="9"/>
  <c r="AC14" i="9" s="1"/>
  <c r="O16" i="9"/>
  <c r="AA16" i="9" s="1"/>
  <c r="M18" i="9"/>
  <c r="P19" i="9"/>
  <c r="AB19" i="9" s="1"/>
  <c r="N21" i="9"/>
  <c r="Z21" i="9" s="1"/>
  <c r="Q22" i="9"/>
  <c r="AC22" i="9" s="1"/>
  <c r="O24" i="9"/>
  <c r="AA24" i="9" s="1"/>
  <c r="M26" i="9"/>
  <c r="AE5" i="9"/>
  <c r="AG10" i="9"/>
  <c r="AG18" i="9"/>
  <c r="AI24" i="9"/>
  <c r="AI6" i="9"/>
  <c r="AG8" i="9"/>
  <c r="AE10" i="9"/>
  <c r="AH11" i="9"/>
  <c r="AF13" i="9"/>
  <c r="AR13" i="9" s="1"/>
  <c r="AI14" i="9"/>
  <c r="AG16" i="9"/>
  <c r="AE18" i="9"/>
  <c r="AH19" i="9"/>
  <c r="AF21" i="9"/>
  <c r="AR21" i="9" s="1"/>
  <c r="AI22" i="9"/>
  <c r="AG24" i="9"/>
  <c r="AE26" i="9"/>
  <c r="M7" i="9"/>
  <c r="P8" i="9"/>
  <c r="AB8" i="9" s="1"/>
  <c r="N10" i="9"/>
  <c r="Z10" i="9" s="1"/>
  <c r="Q11" i="9"/>
  <c r="AC11" i="9" s="1"/>
  <c r="O13" i="9"/>
  <c r="AA13" i="9" s="1"/>
  <c r="M15" i="9"/>
  <c r="P16" i="9"/>
  <c r="AB16" i="9" s="1"/>
  <c r="N18" i="9"/>
  <c r="Z18" i="9" s="1"/>
  <c r="Q19" i="9"/>
  <c r="AC19" i="9" s="1"/>
  <c r="O21" i="9"/>
  <c r="AA21" i="9" s="1"/>
  <c r="M23" i="9"/>
  <c r="P24" i="9"/>
  <c r="AB24" i="9" s="1"/>
  <c r="N26" i="9"/>
  <c r="Z26" i="9" s="1"/>
  <c r="AH13" i="9"/>
  <c r="AF23" i="9"/>
  <c r="AR23" i="9" s="1"/>
  <c r="AE7" i="9"/>
  <c r="AH8" i="9"/>
  <c r="AF10" i="9"/>
  <c r="AR10" i="9" s="1"/>
  <c r="AI11" i="9"/>
  <c r="AG13" i="9"/>
  <c r="AE15" i="9"/>
  <c r="AH16" i="9"/>
  <c r="AF18" i="9"/>
  <c r="AR18" i="9" s="1"/>
  <c r="AI19" i="9"/>
  <c r="AG21" i="9"/>
  <c r="AE23" i="9"/>
  <c r="AH24" i="9"/>
  <c r="AF26" i="9"/>
  <c r="AR26" i="9" s="1"/>
  <c r="N7" i="9"/>
  <c r="Z7" i="9" s="1"/>
  <c r="Q8" i="9"/>
  <c r="AC8" i="9" s="1"/>
  <c r="O10" i="9"/>
  <c r="AA10" i="9" s="1"/>
  <c r="M12" i="9"/>
  <c r="P13" i="9"/>
  <c r="AB13" i="9" s="1"/>
  <c r="N15" i="9"/>
  <c r="Z15" i="9" s="1"/>
  <c r="Q16" i="9"/>
  <c r="AC16" i="9" s="1"/>
  <c r="O18" i="9"/>
  <c r="AA18" i="9" s="1"/>
  <c r="M20" i="9"/>
  <c r="P21" i="9"/>
  <c r="AB21" i="9" s="1"/>
  <c r="N23" i="9"/>
  <c r="Z23" i="9" s="1"/>
  <c r="Q24" i="9"/>
  <c r="AC24" i="9" s="1"/>
  <c r="O26" i="9"/>
  <c r="AA26" i="9" s="1"/>
  <c r="P5" i="9"/>
  <c r="AB5" i="9" s="1"/>
  <c r="AF7" i="9"/>
  <c r="AR7" i="9" s="1"/>
  <c r="AI8" i="9"/>
  <c r="AE12" i="9"/>
  <c r="AI16" i="9"/>
  <c r="AH21" i="9"/>
  <c r="AG7" i="9"/>
  <c r="AE9" i="9"/>
  <c r="AH10" i="9"/>
  <c r="AF12" i="9"/>
  <c r="AR12" i="9" s="1"/>
  <c r="AI13" i="9"/>
  <c r="AG15" i="9"/>
  <c r="AE17" i="9"/>
  <c r="AH18" i="9"/>
  <c r="AF20" i="9"/>
  <c r="AR20" i="9" s="1"/>
  <c r="AI21" i="9"/>
  <c r="AG23" i="9"/>
  <c r="AE25" i="9"/>
  <c r="AH26" i="9"/>
  <c r="M6" i="9"/>
  <c r="P7" i="9"/>
  <c r="AB7" i="9" s="1"/>
  <c r="N9" i="9"/>
  <c r="Z9" i="9" s="1"/>
  <c r="Q10" i="9"/>
  <c r="AC10" i="9" s="1"/>
  <c r="O12" i="9"/>
  <c r="AA12" i="9" s="1"/>
  <c r="M14" i="9"/>
  <c r="P15" i="9"/>
  <c r="AB15" i="9" s="1"/>
  <c r="N17" i="9"/>
  <c r="Z17" i="9" s="1"/>
  <c r="Q18" i="9"/>
  <c r="AC18" i="9" s="1"/>
  <c r="O20" i="9"/>
  <c r="AA20" i="9" s="1"/>
  <c r="M22" i="9"/>
  <c r="P23" i="9"/>
  <c r="AB23" i="9" s="1"/>
  <c r="N25" i="9"/>
  <c r="Z25" i="9" s="1"/>
  <c r="Q26" i="9"/>
  <c r="AC26" i="9" s="1"/>
  <c r="AI5" i="9"/>
  <c r="N5" i="9"/>
  <c r="Z5" i="9" s="1"/>
  <c r="O7" i="9"/>
  <c r="AA7" i="9" s="1"/>
  <c r="N20" i="9"/>
  <c r="Z20" i="9" s="1"/>
  <c r="M9" i="9"/>
  <c r="Q21" i="9"/>
  <c r="AC21" i="9" s="1"/>
  <c r="P10" i="9"/>
  <c r="AB10" i="9" s="1"/>
  <c r="O23" i="9"/>
  <c r="AA23" i="9" s="1"/>
  <c r="P26" i="9"/>
  <c r="AB26" i="9" s="1"/>
  <c r="N12" i="9"/>
  <c r="Z12" i="9" s="1"/>
  <c r="M25" i="9"/>
  <c r="Y25" i="9" s="1"/>
  <c r="P18" i="9"/>
  <c r="AB18" i="9" s="1"/>
  <c r="Q13" i="9"/>
  <c r="AC13" i="9" s="1"/>
  <c r="O15" i="9"/>
  <c r="AA15" i="9" s="1"/>
  <c r="M17" i="9"/>
  <c r="O5" i="9"/>
  <c r="AA5" i="9" s="1"/>
  <c r="AO12" i="9"/>
  <c r="AO14" i="9"/>
  <c r="AO20" i="9"/>
  <c r="AO10" i="9"/>
  <c r="AO23" i="9"/>
  <c r="AO21" i="9"/>
  <c r="AO7" i="9"/>
  <c r="AO13" i="9"/>
  <c r="AO19" i="9"/>
  <c r="AO5" i="9"/>
  <c r="AO15" i="9"/>
  <c r="AO25" i="9"/>
  <c r="AO17" i="9"/>
  <c r="AO22" i="9"/>
  <c r="AO24" i="9"/>
  <c r="AO8" i="9"/>
  <c r="AO11" i="9"/>
  <c r="AO16" i="9"/>
  <c r="AO18" i="9"/>
  <c r="AO9" i="9"/>
  <c r="AO6" i="9"/>
  <c r="AN10" i="9"/>
  <c r="AN23" i="9"/>
  <c r="AN21" i="9"/>
  <c r="AN7" i="9"/>
  <c r="AN13" i="9"/>
  <c r="AN19" i="9"/>
  <c r="AN15" i="9"/>
  <c r="AN25" i="9"/>
  <c r="AN5" i="9"/>
  <c r="AN17" i="9"/>
  <c r="AN22" i="9"/>
  <c r="AN24" i="9"/>
  <c r="AN6" i="9"/>
  <c r="AN9" i="9"/>
  <c r="AN12" i="9"/>
  <c r="AN14" i="9"/>
  <c r="AN20" i="9"/>
  <c r="AN26" i="9"/>
  <c r="AN8" i="9"/>
  <c r="AN18" i="9"/>
  <c r="AN11" i="9"/>
  <c r="AN16" i="9"/>
  <c r="AM88" i="9"/>
  <c r="AM21" i="9"/>
  <c r="AM7" i="9"/>
  <c r="AM13" i="9"/>
  <c r="AM19" i="9"/>
  <c r="AM15" i="9"/>
  <c r="AM25" i="9"/>
  <c r="AM17" i="9"/>
  <c r="AM22" i="9"/>
  <c r="AM24" i="9"/>
  <c r="AM6" i="9"/>
  <c r="AM9" i="9"/>
  <c r="AM8" i="9"/>
  <c r="AM11" i="9"/>
  <c r="AM16" i="9"/>
  <c r="AM18" i="9"/>
  <c r="AM5" i="9"/>
  <c r="AM10" i="9"/>
  <c r="AM23" i="9"/>
  <c r="AM12" i="9"/>
  <c r="AM14" i="9"/>
  <c r="AM20" i="9"/>
  <c r="AM26" i="9"/>
  <c r="AK7" i="9"/>
  <c r="AK13" i="9"/>
  <c r="AK19" i="9"/>
  <c r="AK15" i="9"/>
  <c r="AK25" i="9"/>
  <c r="AK17" i="9"/>
  <c r="AK22" i="9"/>
  <c r="AK24" i="9"/>
  <c r="AK6" i="9"/>
  <c r="AK9" i="9"/>
  <c r="AK8" i="9"/>
  <c r="AK11" i="9"/>
  <c r="AK16" i="9"/>
  <c r="AK18" i="9"/>
  <c r="AK12" i="9"/>
  <c r="AK14" i="9"/>
  <c r="AK20" i="9"/>
  <c r="AK26" i="9"/>
  <c r="AK21" i="9"/>
  <c r="AK23" i="9"/>
  <c r="AK5" i="9"/>
  <c r="AK10" i="9"/>
  <c r="AL74" i="9"/>
  <c r="AL75" i="9" s="1"/>
  <c r="AL50" i="9"/>
  <c r="AL51" i="9" s="1"/>
  <c r="AL59" i="9"/>
  <c r="AL148" i="9"/>
  <c r="G117" i="1"/>
  <c r="G113" i="1"/>
  <c r="O91" i="6"/>
  <c r="G91" i="6"/>
  <c r="F91" i="6"/>
  <c r="M91" i="6"/>
  <c r="E91" i="6"/>
  <c r="N91" i="6"/>
  <c r="L91" i="6"/>
  <c r="D91" i="6"/>
  <c r="H91" i="6"/>
  <c r="K91" i="6"/>
  <c r="J91" i="6"/>
  <c r="I91" i="6"/>
  <c r="E118" i="1"/>
  <c r="G121" i="6"/>
  <c r="V46" i="10"/>
  <c r="V44" i="10"/>
  <c r="W44" i="10"/>
  <c r="W46" i="10"/>
  <c r="M121" i="6"/>
  <c r="E121" i="6"/>
  <c r="E116" i="6"/>
  <c r="L121" i="6"/>
  <c r="L116" i="6"/>
  <c r="D116" i="6"/>
  <c r="J121" i="6"/>
  <c r="R41" i="6"/>
  <c r="AL119" i="9"/>
  <c r="AL118" i="9"/>
  <c r="AL141" i="9"/>
  <c r="AL76" i="9" s="1"/>
  <c r="N121" i="6"/>
  <c r="N116" i="6"/>
  <c r="I121" i="6"/>
  <c r="O121" i="6"/>
  <c r="F121" i="6"/>
  <c r="F116" i="6"/>
  <c r="K121" i="6"/>
  <c r="K116" i="6"/>
  <c r="H121" i="6"/>
  <c r="R50" i="20"/>
  <c r="AO127" i="9"/>
  <c r="AO119" i="9"/>
  <c r="AO118" i="9"/>
  <c r="AK127" i="9"/>
  <c r="AK119" i="9"/>
  <c r="AK118" i="9"/>
  <c r="AM127" i="9"/>
  <c r="AM118" i="9"/>
  <c r="AM119" i="9"/>
  <c r="AN127" i="9"/>
  <c r="AN118" i="9"/>
  <c r="AN119" i="9"/>
  <c r="M46" i="10"/>
  <c r="N43" i="10"/>
  <c r="AB43" i="10" s="1"/>
  <c r="AH43" i="10" s="1"/>
  <c r="N46" i="10"/>
  <c r="M44" i="10"/>
  <c r="N44" i="10"/>
  <c r="M43" i="10"/>
  <c r="AA43" i="10" s="1"/>
  <c r="AG43" i="10" s="1"/>
  <c r="V43" i="10"/>
  <c r="W43" i="10"/>
  <c r="P119" i="9"/>
  <c r="AG118" i="9"/>
  <c r="M118" i="9"/>
  <c r="AH118" i="9"/>
  <c r="AF118" i="9"/>
  <c r="O118" i="9"/>
  <c r="AA118" i="9" s="1"/>
  <c r="Q119" i="9"/>
  <c r="P118" i="9"/>
  <c r="AB118" i="9" s="1"/>
  <c r="Q118" i="9"/>
  <c r="AC118" i="9" s="1"/>
  <c r="M119" i="9"/>
  <c r="O119" i="9"/>
  <c r="N119" i="9"/>
  <c r="AI118" i="9"/>
  <c r="AE118" i="9"/>
  <c r="N118" i="9"/>
  <c r="Z118" i="9" s="1"/>
  <c r="M127" i="9"/>
  <c r="Q127" i="9"/>
  <c r="N127" i="9"/>
  <c r="O127" i="9"/>
  <c r="P127" i="9"/>
  <c r="E149" i="6"/>
  <c r="F149" i="6"/>
  <c r="E28" i="14"/>
  <c r="E38" i="14" s="1"/>
  <c r="AL117" i="9"/>
  <c r="AL84" i="9"/>
  <c r="AL69" i="9"/>
  <c r="AL46" i="9"/>
  <c r="AM151" i="9"/>
  <c r="AM150" i="9"/>
  <c r="AO151" i="9"/>
  <c r="AO150" i="9"/>
  <c r="AK151" i="9"/>
  <c r="AK150" i="9"/>
  <c r="Q151" i="9"/>
  <c r="AC151" i="9" s="1"/>
  <c r="AG151" i="9"/>
  <c r="N151" i="9"/>
  <c r="Z151" i="9" s="1"/>
  <c r="AH150" i="9"/>
  <c r="N150" i="9"/>
  <c r="Z150" i="9" s="1"/>
  <c r="AF151" i="9"/>
  <c r="AR151" i="9" s="1"/>
  <c r="M151" i="9"/>
  <c r="AG150" i="9"/>
  <c r="M150" i="9"/>
  <c r="AI151" i="9"/>
  <c r="AE151" i="9"/>
  <c r="P151" i="9"/>
  <c r="AB151" i="9" s="1"/>
  <c r="AF150" i="9"/>
  <c r="AR150" i="9" s="1"/>
  <c r="AV150" i="9" s="1"/>
  <c r="AW150" i="9" s="1"/>
  <c r="P150" i="9"/>
  <c r="AB150" i="9" s="1"/>
  <c r="Q150" i="9"/>
  <c r="AC150" i="9" s="1"/>
  <c r="AH151" i="9"/>
  <c r="O151" i="9"/>
  <c r="AA151" i="9" s="1"/>
  <c r="AI150" i="9"/>
  <c r="AE150" i="9"/>
  <c r="O150" i="9"/>
  <c r="AA150" i="9" s="1"/>
  <c r="AN150" i="9"/>
  <c r="AN151" i="9"/>
  <c r="AG146" i="9"/>
  <c r="P146" i="9"/>
  <c r="AB146" i="9" s="1"/>
  <c r="AG145" i="9"/>
  <c r="P145" i="9"/>
  <c r="AB145" i="9" s="1"/>
  <c r="AF146" i="9"/>
  <c r="AR146" i="9" s="1"/>
  <c r="O146" i="9"/>
  <c r="AA146" i="9" s="1"/>
  <c r="AF145" i="9"/>
  <c r="AR145" i="9" s="1"/>
  <c r="O145" i="9"/>
  <c r="AA145" i="9" s="1"/>
  <c r="AI146" i="9"/>
  <c r="AE146" i="9"/>
  <c r="N146" i="9"/>
  <c r="Z146" i="9" s="1"/>
  <c r="AI145" i="9"/>
  <c r="AE145" i="9"/>
  <c r="N145" i="9"/>
  <c r="Z145" i="9" s="1"/>
  <c r="AH146" i="9"/>
  <c r="Q146" i="9"/>
  <c r="AC146" i="9" s="1"/>
  <c r="M146" i="9"/>
  <c r="AH145" i="9"/>
  <c r="Q145" i="9"/>
  <c r="AC145" i="9" s="1"/>
  <c r="M145" i="9"/>
  <c r="AN146" i="9"/>
  <c r="AN145" i="9"/>
  <c r="AM146" i="9"/>
  <c r="AM145" i="9"/>
  <c r="AL94" i="9"/>
  <c r="AL89" i="9"/>
  <c r="AO146" i="9"/>
  <c r="AO145" i="9"/>
  <c r="AK146" i="9"/>
  <c r="AK145" i="9"/>
  <c r="AO89" i="9"/>
  <c r="AO94" i="9"/>
  <c r="AK89" i="9"/>
  <c r="AK94" i="9"/>
  <c r="AM89" i="9"/>
  <c r="AM94" i="9"/>
  <c r="O94" i="9"/>
  <c r="AA94" i="9" s="1"/>
  <c r="N94" i="9"/>
  <c r="Z94" i="9" s="1"/>
  <c r="Q94" i="9"/>
  <c r="AC94" i="9" s="1"/>
  <c r="M94" i="9"/>
  <c r="P94" i="9"/>
  <c r="AB94" i="9" s="1"/>
  <c r="AN89" i="9"/>
  <c r="AN94" i="9"/>
  <c r="M89" i="9"/>
  <c r="Q89" i="9"/>
  <c r="AC89" i="9" s="1"/>
  <c r="AH89" i="9"/>
  <c r="O89" i="9"/>
  <c r="AA89" i="9" s="1"/>
  <c r="AF89" i="9"/>
  <c r="AG89" i="9"/>
  <c r="N89" i="9"/>
  <c r="Z89" i="9" s="1"/>
  <c r="AE89" i="9"/>
  <c r="AI89" i="9"/>
  <c r="P89" i="9"/>
  <c r="AB89" i="9" s="1"/>
  <c r="M49" i="10"/>
  <c r="W42" i="10"/>
  <c r="M42" i="10"/>
  <c r="AA42" i="10" s="1"/>
  <c r="W47" i="10"/>
  <c r="W41" i="10"/>
  <c r="M40" i="10"/>
  <c r="N42" i="10"/>
  <c r="M41" i="10"/>
  <c r="N47" i="10"/>
  <c r="V42" i="10"/>
  <c r="W40" i="10"/>
  <c r="N40" i="10"/>
  <c r="M47" i="10"/>
  <c r="N41" i="10"/>
  <c r="V40" i="10"/>
  <c r="V47" i="10"/>
  <c r="V41" i="10"/>
  <c r="V31" i="10"/>
  <c r="M31" i="10"/>
  <c r="W31" i="10"/>
  <c r="N31" i="10"/>
  <c r="F46" i="20"/>
  <c r="E46" i="20" s="1"/>
  <c r="F47" i="20"/>
  <c r="H16" i="20"/>
  <c r="C9" i="30" s="1"/>
  <c r="E16" i="20"/>
  <c r="E58" i="20"/>
  <c r="U58" i="20" s="1"/>
  <c r="AM76" i="9"/>
  <c r="AM117" i="9"/>
  <c r="AM92" i="9"/>
  <c r="AO76" i="9"/>
  <c r="AO92" i="9"/>
  <c r="AO117" i="9"/>
  <c r="AK76" i="9"/>
  <c r="AK92" i="9"/>
  <c r="AK117" i="9"/>
  <c r="AN76" i="9"/>
  <c r="AN92" i="9"/>
  <c r="AN117" i="9"/>
  <c r="H109" i="6"/>
  <c r="H111" i="6" s="1"/>
  <c r="M18" i="10"/>
  <c r="S18" i="10" s="1"/>
  <c r="P92" i="9"/>
  <c r="AB92" i="9" s="1"/>
  <c r="M117" i="9"/>
  <c r="Q117" i="9"/>
  <c r="AC117" i="9" s="1"/>
  <c r="N92" i="9"/>
  <c r="O117" i="9"/>
  <c r="AA117" i="9" s="1"/>
  <c r="O92" i="9"/>
  <c r="AA92" i="9" s="1"/>
  <c r="P117" i="9"/>
  <c r="AB117" i="9" s="1"/>
  <c r="M92" i="9"/>
  <c r="Q92" i="9"/>
  <c r="AC92" i="9" s="1"/>
  <c r="N117" i="9"/>
  <c r="Z117" i="9" s="1"/>
  <c r="N52" i="10"/>
  <c r="T52" i="10" s="1"/>
  <c r="O76" i="9"/>
  <c r="N76" i="9"/>
  <c r="Q76" i="9"/>
  <c r="M76" i="9"/>
  <c r="P76" i="9"/>
  <c r="AO51" i="9"/>
  <c r="AO74" i="9"/>
  <c r="AK51" i="9"/>
  <c r="AK74" i="9"/>
  <c r="AM51" i="9"/>
  <c r="AM74" i="9"/>
  <c r="AF74" i="9"/>
  <c r="O74" i="9"/>
  <c r="AA74" i="9" s="1"/>
  <c r="AI74" i="9"/>
  <c r="AE74" i="9"/>
  <c r="N74" i="9"/>
  <c r="Z74" i="9" s="1"/>
  <c r="AH74" i="9"/>
  <c r="Q74" i="9"/>
  <c r="AC74" i="9" s="1"/>
  <c r="M74" i="9"/>
  <c r="AG74" i="9"/>
  <c r="P74" i="9"/>
  <c r="AB74" i="9" s="1"/>
  <c r="AN51" i="9"/>
  <c r="AN74" i="9"/>
  <c r="N51" i="9"/>
  <c r="Z51" i="9" s="1"/>
  <c r="AH51" i="9"/>
  <c r="AE51" i="9"/>
  <c r="AI51" i="9"/>
  <c r="P51" i="9"/>
  <c r="AB51" i="9" s="1"/>
  <c r="AF51" i="9"/>
  <c r="M51" i="9"/>
  <c r="Q51" i="9"/>
  <c r="AC51" i="9" s="1"/>
  <c r="AG51" i="9"/>
  <c r="O51" i="9"/>
  <c r="AA51" i="9" s="1"/>
  <c r="AO125" i="9"/>
  <c r="AO120" i="9"/>
  <c r="AK125" i="9"/>
  <c r="AK120" i="9"/>
  <c r="AM125" i="9"/>
  <c r="AM120" i="9"/>
  <c r="AG120" i="9"/>
  <c r="P120" i="9"/>
  <c r="AB120" i="9" s="1"/>
  <c r="AI120" i="9"/>
  <c r="N120" i="9"/>
  <c r="Z120" i="9" s="1"/>
  <c r="Q120" i="9"/>
  <c r="AC120" i="9" s="1"/>
  <c r="AF120" i="9"/>
  <c r="O120" i="9"/>
  <c r="AA120" i="9" s="1"/>
  <c r="AE120" i="9"/>
  <c r="AH120" i="9"/>
  <c r="M120" i="9"/>
  <c r="AN125" i="9"/>
  <c r="AN120" i="9"/>
  <c r="P125" i="9"/>
  <c r="AB125" i="9" s="1"/>
  <c r="M125" i="9"/>
  <c r="Q125" i="9"/>
  <c r="AC125" i="9" s="1"/>
  <c r="N125" i="9"/>
  <c r="O125" i="9"/>
  <c r="AA125" i="9" s="1"/>
  <c r="D31" i="1"/>
  <c r="D50" i="14" s="1"/>
  <c r="AM75" i="9"/>
  <c r="AO75" i="9"/>
  <c r="AK75" i="9"/>
  <c r="P75" i="9"/>
  <c r="M75" i="9"/>
  <c r="N75" i="9"/>
  <c r="O75" i="9"/>
  <c r="Q75" i="9"/>
  <c r="AN75" i="9"/>
  <c r="P71" i="9"/>
  <c r="M71" i="9"/>
  <c r="Q71" i="9"/>
  <c r="N71" i="9"/>
  <c r="O71" i="9"/>
  <c r="AN68" i="9"/>
  <c r="AN71" i="9"/>
  <c r="AM68" i="9"/>
  <c r="AM71" i="9"/>
  <c r="AO68" i="9"/>
  <c r="AO71" i="9"/>
  <c r="AK68" i="9"/>
  <c r="AK71" i="9"/>
  <c r="P68" i="9"/>
  <c r="O68" i="9"/>
  <c r="N68" i="9"/>
  <c r="M68" i="9"/>
  <c r="Q68" i="9"/>
  <c r="AM62" i="9"/>
  <c r="AM65" i="9"/>
  <c r="AO62" i="9"/>
  <c r="AO65" i="9"/>
  <c r="AK62" i="9"/>
  <c r="AK65" i="9"/>
  <c r="P65" i="9"/>
  <c r="N65" i="9"/>
  <c r="M65" i="9"/>
  <c r="Q65" i="9"/>
  <c r="O65" i="9"/>
  <c r="AN62" i="9"/>
  <c r="AN65" i="9"/>
  <c r="O62" i="9"/>
  <c r="N62" i="9"/>
  <c r="P62" i="9"/>
  <c r="M62" i="9"/>
  <c r="Q62" i="9"/>
  <c r="AL88" i="9"/>
  <c r="AL90" i="9" s="1"/>
  <c r="AO48" i="9"/>
  <c r="AO123" i="9"/>
  <c r="AK48" i="9"/>
  <c r="AK123" i="9"/>
  <c r="AM123" i="9"/>
  <c r="AM96" i="9"/>
  <c r="N123" i="9"/>
  <c r="Q123" i="9"/>
  <c r="M123" i="9"/>
  <c r="O123" i="9"/>
  <c r="P123" i="9"/>
  <c r="AN48" i="9"/>
  <c r="AN123" i="9"/>
  <c r="AM45" i="9"/>
  <c r="AM48" i="9"/>
  <c r="P48" i="9"/>
  <c r="O48" i="9"/>
  <c r="N48" i="9"/>
  <c r="M48" i="9"/>
  <c r="Q48" i="9"/>
  <c r="AO40" i="9"/>
  <c r="AO45" i="9"/>
  <c r="AK40" i="9"/>
  <c r="AK45" i="9"/>
  <c r="N45" i="9"/>
  <c r="Q45" i="9"/>
  <c r="P45" i="9"/>
  <c r="O45" i="9"/>
  <c r="M45" i="9"/>
  <c r="AN40" i="9"/>
  <c r="AN45" i="9"/>
  <c r="Q40" i="9"/>
  <c r="O40" i="9"/>
  <c r="P40" i="9"/>
  <c r="N40" i="9"/>
  <c r="M40" i="9"/>
  <c r="AM37" i="9"/>
  <c r="AM40" i="9"/>
  <c r="AO121" i="9"/>
  <c r="AO37" i="9"/>
  <c r="AK121" i="9"/>
  <c r="AK37" i="9"/>
  <c r="O37" i="9"/>
  <c r="N37" i="9"/>
  <c r="P37" i="9"/>
  <c r="M37" i="9"/>
  <c r="Q37" i="9"/>
  <c r="AN121" i="9"/>
  <c r="AN37" i="9"/>
  <c r="AM121" i="9"/>
  <c r="M121" i="9"/>
  <c r="Q121" i="9"/>
  <c r="O121" i="9"/>
  <c r="N121" i="9"/>
  <c r="Z121" i="9" s="1"/>
  <c r="P121" i="9"/>
  <c r="G42" i="14"/>
  <c r="G41" i="14"/>
  <c r="N109" i="6"/>
  <c r="N111" i="6" s="1"/>
  <c r="J109" i="6"/>
  <c r="J111" i="6" s="1"/>
  <c r="N4" i="10"/>
  <c r="T4" i="10" s="1"/>
  <c r="L109" i="6"/>
  <c r="L111" i="6" s="1"/>
  <c r="O109" i="6"/>
  <c r="O111" i="6" s="1"/>
  <c r="K109" i="6"/>
  <c r="K111" i="6" s="1"/>
  <c r="G109" i="6"/>
  <c r="G111" i="6" s="1"/>
  <c r="R38" i="20"/>
  <c r="M109" i="6"/>
  <c r="M111" i="6" s="1"/>
  <c r="I109" i="6"/>
  <c r="I111" i="6" s="1"/>
  <c r="P126" i="9"/>
  <c r="AB126" i="9" s="1"/>
  <c r="AG126" i="9"/>
  <c r="N90" i="9"/>
  <c r="Z90" i="9" s="1"/>
  <c r="AE90" i="9"/>
  <c r="AI90" i="9"/>
  <c r="P93" i="9"/>
  <c r="AB93" i="9" s="1"/>
  <c r="AG93" i="9"/>
  <c r="N148" i="9"/>
  <c r="AE148" i="9"/>
  <c r="AI148" i="9"/>
  <c r="P149" i="9"/>
  <c r="AG149" i="9"/>
  <c r="N126" i="9"/>
  <c r="Z126" i="9" s="1"/>
  <c r="P90" i="9"/>
  <c r="AB90" i="9" s="1"/>
  <c r="N93" i="9"/>
  <c r="Z93" i="9" s="1"/>
  <c r="AI93" i="9"/>
  <c r="AG148" i="9"/>
  <c r="AE149" i="9"/>
  <c r="O126" i="9"/>
  <c r="AA126" i="9" s="1"/>
  <c r="M90" i="9"/>
  <c r="AH90" i="9"/>
  <c r="AF93" i="9"/>
  <c r="Q148" i="9"/>
  <c r="O149" i="9"/>
  <c r="M126" i="9"/>
  <c r="Q126" i="9"/>
  <c r="AC126" i="9" s="1"/>
  <c r="AH126" i="9"/>
  <c r="O90" i="9"/>
  <c r="AA90" i="9" s="1"/>
  <c r="AF90" i="9"/>
  <c r="M93" i="9"/>
  <c r="Q93" i="9"/>
  <c r="AC93" i="9" s="1"/>
  <c r="AH93" i="9"/>
  <c r="O148" i="9"/>
  <c r="AF148" i="9"/>
  <c r="M149" i="9"/>
  <c r="Q149" i="9"/>
  <c r="AH149" i="9"/>
  <c r="AE126" i="9"/>
  <c r="AI126" i="9"/>
  <c r="AG90" i="9"/>
  <c r="AE93" i="9"/>
  <c r="P148" i="9"/>
  <c r="N149" i="9"/>
  <c r="AI149" i="9"/>
  <c r="AF126" i="9"/>
  <c r="Q90" i="9"/>
  <c r="AC90" i="9" s="1"/>
  <c r="O93" i="9"/>
  <c r="AA93" i="9" s="1"/>
  <c r="M148" i="9"/>
  <c r="AH148" i="9"/>
  <c r="AF149" i="9"/>
  <c r="M19" i="10"/>
  <c r="S19" i="10" s="1"/>
  <c r="M26" i="10"/>
  <c r="S26" i="10" s="1"/>
  <c r="V39" i="10"/>
  <c r="V37" i="10"/>
  <c r="V33" i="10"/>
  <c r="W38" i="10"/>
  <c r="W36" i="10"/>
  <c r="W32" i="10"/>
  <c r="V36" i="10"/>
  <c r="V32" i="10"/>
  <c r="W39" i="10"/>
  <c r="W37" i="10"/>
  <c r="W35" i="10"/>
  <c r="W33" i="10"/>
  <c r="W30" i="10"/>
  <c r="V35" i="10"/>
  <c r="V30" i="10"/>
  <c r="W34" i="10"/>
  <c r="W29" i="10"/>
  <c r="V38" i="10"/>
  <c r="V34" i="10"/>
  <c r="V29" i="10"/>
  <c r="AN90" i="9"/>
  <c r="AN149" i="9"/>
  <c r="AN148" i="9"/>
  <c r="AN126" i="9"/>
  <c r="AN93" i="9"/>
  <c r="AO126" i="9"/>
  <c r="AO93" i="9"/>
  <c r="AO90" i="9"/>
  <c r="AO148" i="9"/>
  <c r="AO149" i="9"/>
  <c r="AK126" i="9"/>
  <c r="AK90" i="9"/>
  <c r="AK148" i="9"/>
  <c r="AK93" i="9"/>
  <c r="AK149" i="9"/>
  <c r="AM90" i="9"/>
  <c r="AM126" i="9"/>
  <c r="AM93" i="9"/>
  <c r="AM149" i="9"/>
  <c r="AM148" i="9"/>
  <c r="G29" i="14"/>
  <c r="G39" i="14" s="1"/>
  <c r="C198" i="1"/>
  <c r="Q129" i="9"/>
  <c r="N34" i="9"/>
  <c r="Z34" i="9" s="1"/>
  <c r="D29" i="14"/>
  <c r="D39" i="14" s="1"/>
  <c r="M15" i="10"/>
  <c r="S15" i="10" s="1"/>
  <c r="M51" i="10"/>
  <c r="AA51" i="10" s="1"/>
  <c r="AG51" i="10" s="1"/>
  <c r="M11" i="10"/>
  <c r="S11" i="10" s="1"/>
  <c r="M103" i="10"/>
  <c r="M30" i="10"/>
  <c r="M33" i="10"/>
  <c r="M35" i="10"/>
  <c r="M37" i="10"/>
  <c r="M39" i="10"/>
  <c r="N29" i="10"/>
  <c r="M34" i="10"/>
  <c r="M36" i="10"/>
  <c r="N33" i="10"/>
  <c r="N37" i="10"/>
  <c r="M29" i="10"/>
  <c r="N32" i="10"/>
  <c r="N34" i="10"/>
  <c r="N36" i="10"/>
  <c r="N38" i="10"/>
  <c r="M32" i="10"/>
  <c r="M38" i="10"/>
  <c r="N30" i="10"/>
  <c r="N35" i="10"/>
  <c r="N39" i="10"/>
  <c r="M10" i="10"/>
  <c r="S10" i="10" s="1"/>
  <c r="N28" i="10"/>
  <c r="AB28" i="10" s="1"/>
  <c r="M4" i="10"/>
  <c r="M25" i="10"/>
  <c r="AA25" i="10" s="1"/>
  <c r="M7" i="10"/>
  <c r="S7" i="10" s="1"/>
  <c r="M22" i="10"/>
  <c r="S22" i="10" s="1"/>
  <c r="M8" i="10"/>
  <c r="S8" i="10" s="1"/>
  <c r="M23" i="10"/>
  <c r="AA23" i="10" s="1"/>
  <c r="N97" i="10"/>
  <c r="N10" i="10"/>
  <c r="AB10" i="10" s="1"/>
  <c r="N18" i="10"/>
  <c r="AB18" i="10" s="1"/>
  <c r="N25" i="10"/>
  <c r="AB25" i="10" s="1"/>
  <c r="N51" i="10"/>
  <c r="T51" i="10" s="1"/>
  <c r="M6" i="10"/>
  <c r="S6" i="10" s="1"/>
  <c r="M14" i="10"/>
  <c r="S14" i="10" s="1"/>
  <c r="M99" i="10"/>
  <c r="AA99" i="10" s="1"/>
  <c r="M28" i="10"/>
  <c r="AA28" i="10" s="1"/>
  <c r="M98" i="10"/>
  <c r="S98" i="10" s="1"/>
  <c r="M9" i="10"/>
  <c r="S9" i="10" s="1"/>
  <c r="M13" i="10"/>
  <c r="S13" i="10" s="1"/>
  <c r="M17" i="10"/>
  <c r="S17" i="10" s="1"/>
  <c r="M21" i="10"/>
  <c r="S21" i="10" s="1"/>
  <c r="M24" i="10"/>
  <c r="S24" i="10" s="1"/>
  <c r="M101" i="10"/>
  <c r="S101" i="10" s="1"/>
  <c r="N50" i="10"/>
  <c r="T50" i="10" s="1"/>
  <c r="M16" i="10"/>
  <c r="S16" i="10" s="1"/>
  <c r="M50" i="10"/>
  <c r="AA50" i="10" s="1"/>
  <c r="AG50" i="10" s="1"/>
  <c r="N6" i="10"/>
  <c r="T6" i="10" s="1"/>
  <c r="N14" i="10"/>
  <c r="AB14" i="10" s="1"/>
  <c r="N99" i="10"/>
  <c r="AB99" i="10" s="1"/>
  <c r="M102" i="10"/>
  <c r="AA102" i="10" s="1"/>
  <c r="M5" i="10"/>
  <c r="AA5" i="10" s="1"/>
  <c r="M12" i="10"/>
  <c r="S12" i="10" s="1"/>
  <c r="M20" i="10"/>
  <c r="S20" i="10" s="1"/>
  <c r="M100" i="10"/>
  <c r="AA100" i="10" s="1"/>
  <c r="M52" i="10"/>
  <c r="AA52" i="10" s="1"/>
  <c r="AG52" i="10" s="1"/>
  <c r="N5" i="10"/>
  <c r="AB5" i="10" s="1"/>
  <c r="N8" i="10"/>
  <c r="AB8" i="10" s="1"/>
  <c r="N12" i="10"/>
  <c r="AB12" i="10" s="1"/>
  <c r="N16" i="10"/>
  <c r="AB16" i="10" s="1"/>
  <c r="N20" i="10"/>
  <c r="AB20" i="10" s="1"/>
  <c r="N23" i="10"/>
  <c r="AB23" i="10" s="1"/>
  <c r="N100" i="10"/>
  <c r="AB100" i="10" s="1"/>
  <c r="E36" i="14"/>
  <c r="M21" i="20" s="1"/>
  <c r="J21" i="20" s="1"/>
  <c r="R21" i="20" s="1"/>
  <c r="AN143" i="9"/>
  <c r="AN144" i="9"/>
  <c r="AO143" i="9"/>
  <c r="AO144" i="9"/>
  <c r="AK143" i="9"/>
  <c r="AK144" i="9"/>
  <c r="N143" i="9"/>
  <c r="AE143" i="9"/>
  <c r="AI143" i="9"/>
  <c r="M144" i="9"/>
  <c r="Q144" i="9"/>
  <c r="AH144" i="9"/>
  <c r="Q143" i="9"/>
  <c r="P144" i="9"/>
  <c r="P143" i="9"/>
  <c r="AF144" i="9"/>
  <c r="O143" i="9"/>
  <c r="AF143" i="9"/>
  <c r="N144" i="9"/>
  <c r="AE144" i="9"/>
  <c r="AI144" i="9"/>
  <c r="M143" i="9"/>
  <c r="AH143" i="9"/>
  <c r="AG144" i="9"/>
  <c r="AG143" i="9"/>
  <c r="O144" i="9"/>
  <c r="AM144" i="9"/>
  <c r="AM143" i="9"/>
  <c r="AF131" i="9"/>
  <c r="N140" i="9"/>
  <c r="M131" i="9"/>
  <c r="Q30" i="9"/>
  <c r="AI30" i="9" s="1"/>
  <c r="AO36" i="9"/>
  <c r="AO39" i="9"/>
  <c r="AO42" i="9"/>
  <c r="AO44" i="9"/>
  <c r="AO47" i="9"/>
  <c r="AO140" i="9"/>
  <c r="AO50" i="9"/>
  <c r="AO53" i="9"/>
  <c r="AO56" i="9"/>
  <c r="AO142" i="9"/>
  <c r="AO122" i="9"/>
  <c r="AO61" i="9"/>
  <c r="AO64" i="9"/>
  <c r="AO67" i="9"/>
  <c r="AO70" i="9"/>
  <c r="AO73" i="9"/>
  <c r="AK36" i="9"/>
  <c r="AK39" i="9"/>
  <c r="AK42" i="9"/>
  <c r="AK44" i="9"/>
  <c r="AK47" i="9"/>
  <c r="AK140" i="9"/>
  <c r="AK50" i="9"/>
  <c r="AK53" i="9"/>
  <c r="AK56" i="9"/>
  <c r="AK142" i="9"/>
  <c r="AK122" i="9"/>
  <c r="AK61" i="9"/>
  <c r="AK64" i="9"/>
  <c r="AK67" i="9"/>
  <c r="AK70" i="9"/>
  <c r="AK73" i="9"/>
  <c r="P36" i="9"/>
  <c r="AB36" i="9" s="1"/>
  <c r="AG36" i="9"/>
  <c r="P39" i="9"/>
  <c r="AB39" i="9" s="1"/>
  <c r="AG39" i="9"/>
  <c r="P42" i="9"/>
  <c r="AB42" i="9" s="1"/>
  <c r="AG42" i="9"/>
  <c r="P44" i="9"/>
  <c r="AB44" i="9" s="1"/>
  <c r="AG44" i="9"/>
  <c r="P47" i="9"/>
  <c r="AB47" i="9" s="1"/>
  <c r="AG47" i="9"/>
  <c r="P140" i="9"/>
  <c r="AG140" i="9"/>
  <c r="P50" i="9"/>
  <c r="AB50" i="9" s="1"/>
  <c r="AG50" i="9"/>
  <c r="P53" i="9"/>
  <c r="AB53" i="9" s="1"/>
  <c r="AG53" i="9"/>
  <c r="P56" i="9"/>
  <c r="AB56" i="9" s="1"/>
  <c r="AG56" i="9"/>
  <c r="P142" i="9"/>
  <c r="AG142" i="9"/>
  <c r="P122" i="9"/>
  <c r="AB122" i="9" s="1"/>
  <c r="AG122" i="9"/>
  <c r="P61" i="9"/>
  <c r="AB61" i="9" s="1"/>
  <c r="AG61" i="9"/>
  <c r="P64" i="9"/>
  <c r="AB64" i="9" s="1"/>
  <c r="AG64" i="9"/>
  <c r="P67" i="9"/>
  <c r="AB67" i="9" s="1"/>
  <c r="AG67" i="9"/>
  <c r="P70" i="9"/>
  <c r="AB70" i="9" s="1"/>
  <c r="AG70" i="9"/>
  <c r="P73" i="9"/>
  <c r="AB73" i="9" s="1"/>
  <c r="AG73" i="9"/>
  <c r="AF73" i="9"/>
  <c r="AE36" i="9"/>
  <c r="AE39" i="9"/>
  <c r="N42" i="9"/>
  <c r="Z42" i="9" s="1"/>
  <c r="AI42" i="9"/>
  <c r="N44" i="9"/>
  <c r="Z44" i="9" s="1"/>
  <c r="N47" i="9"/>
  <c r="Z47" i="9" s="1"/>
  <c r="AI47" i="9"/>
  <c r="N50" i="9"/>
  <c r="Z50" i="9" s="1"/>
  <c r="AI50" i="9"/>
  <c r="AE53" i="9"/>
  <c r="N56" i="9"/>
  <c r="Z56" i="9" s="1"/>
  <c r="AI56" i="9"/>
  <c r="AE142" i="9"/>
  <c r="N122" i="9"/>
  <c r="Z122" i="9" s="1"/>
  <c r="AI122" i="9"/>
  <c r="AE61" i="9"/>
  <c r="N64" i="9"/>
  <c r="Z64" i="9" s="1"/>
  <c r="AI64" i="9"/>
  <c r="AE67" i="9"/>
  <c r="N70" i="9"/>
  <c r="Z70" i="9" s="1"/>
  <c r="AI70" i="9"/>
  <c r="AE73" i="9"/>
  <c r="M36" i="9"/>
  <c r="AH36" i="9"/>
  <c r="Q39" i="9"/>
  <c r="AC39" i="9" s="1"/>
  <c r="M42" i="9"/>
  <c r="AH42" i="9"/>
  <c r="Q44" i="9"/>
  <c r="AC44" i="9" s="1"/>
  <c r="M47" i="9"/>
  <c r="AH47" i="9"/>
  <c r="Q140" i="9"/>
  <c r="M50" i="9"/>
  <c r="AH50" i="9"/>
  <c r="Q53" i="9"/>
  <c r="AC53" i="9" s="1"/>
  <c r="M56" i="9"/>
  <c r="AH56" i="9"/>
  <c r="Q142" i="9"/>
  <c r="M122" i="9"/>
  <c r="AH122" i="9"/>
  <c r="Q61" i="9"/>
  <c r="AC61" i="9" s="1"/>
  <c r="M64" i="9"/>
  <c r="AH64" i="9"/>
  <c r="Q67" i="9"/>
  <c r="AC67" i="9" s="1"/>
  <c r="M70" i="9"/>
  <c r="AH70" i="9"/>
  <c r="Q73" i="9"/>
  <c r="AC73" i="9" s="1"/>
  <c r="O36" i="9"/>
  <c r="AA36" i="9" s="1"/>
  <c r="AF36" i="9"/>
  <c r="O39" i="9"/>
  <c r="AA39" i="9" s="1"/>
  <c r="AF39" i="9"/>
  <c r="O42" i="9"/>
  <c r="AA42" i="9" s="1"/>
  <c r="AF42" i="9"/>
  <c r="O44" i="9"/>
  <c r="AA44" i="9" s="1"/>
  <c r="AF44" i="9"/>
  <c r="O47" i="9"/>
  <c r="AA47" i="9" s="1"/>
  <c r="AF47" i="9"/>
  <c r="O140" i="9"/>
  <c r="AF140" i="9"/>
  <c r="O50" i="9"/>
  <c r="AA50" i="9" s="1"/>
  <c r="AF50" i="9"/>
  <c r="O53" i="9"/>
  <c r="AA53" i="9" s="1"/>
  <c r="AF53" i="9"/>
  <c r="O56" i="9"/>
  <c r="AA56" i="9" s="1"/>
  <c r="AF56" i="9"/>
  <c r="O142" i="9"/>
  <c r="AF142" i="9"/>
  <c r="O122" i="9"/>
  <c r="AA122" i="9" s="1"/>
  <c r="AF122" i="9"/>
  <c r="O61" i="9"/>
  <c r="AA61" i="9" s="1"/>
  <c r="AF61" i="9"/>
  <c r="O64" i="9"/>
  <c r="AA64" i="9" s="1"/>
  <c r="AF64" i="9"/>
  <c r="O67" i="9"/>
  <c r="AA67" i="9" s="1"/>
  <c r="AF67" i="9"/>
  <c r="O70" i="9"/>
  <c r="AA70" i="9" s="1"/>
  <c r="AF70" i="9"/>
  <c r="O73" i="9"/>
  <c r="AA73" i="9" s="1"/>
  <c r="N36" i="9"/>
  <c r="Z36" i="9" s="1"/>
  <c r="AI36" i="9"/>
  <c r="N39" i="9"/>
  <c r="Z39" i="9" s="1"/>
  <c r="AI39" i="9"/>
  <c r="AE42" i="9"/>
  <c r="AE44" i="9"/>
  <c r="AI44" i="9"/>
  <c r="AE47" i="9"/>
  <c r="AE140" i="9"/>
  <c r="AI140" i="9"/>
  <c r="AE50" i="9"/>
  <c r="N53" i="9"/>
  <c r="Z53" i="9" s="1"/>
  <c r="AI53" i="9"/>
  <c r="AE56" i="9"/>
  <c r="N142" i="9"/>
  <c r="AI142" i="9"/>
  <c r="AE122" i="9"/>
  <c r="N61" i="9"/>
  <c r="Z61" i="9" s="1"/>
  <c r="AI61" i="9"/>
  <c r="AE64" i="9"/>
  <c r="N67" i="9"/>
  <c r="Z67" i="9" s="1"/>
  <c r="AI67" i="9"/>
  <c r="AE70" i="9"/>
  <c r="N73" i="9"/>
  <c r="Z73" i="9" s="1"/>
  <c r="AI73" i="9"/>
  <c r="Q36" i="9"/>
  <c r="AC36" i="9" s="1"/>
  <c r="M39" i="9"/>
  <c r="AH39" i="9"/>
  <c r="Q42" i="9"/>
  <c r="AC42" i="9" s="1"/>
  <c r="M44" i="9"/>
  <c r="AH44" i="9"/>
  <c r="Q47" i="9"/>
  <c r="AC47" i="9" s="1"/>
  <c r="M140" i="9"/>
  <c r="AH140" i="9"/>
  <c r="Q50" i="9"/>
  <c r="AC50" i="9" s="1"/>
  <c r="M53" i="9"/>
  <c r="AH53" i="9"/>
  <c r="Q56" i="9"/>
  <c r="AC56" i="9" s="1"/>
  <c r="M142" i="9"/>
  <c r="AH142" i="9"/>
  <c r="Q122" i="9"/>
  <c r="AC122" i="9" s="1"/>
  <c r="M61" i="9"/>
  <c r="AH61" i="9"/>
  <c r="Q64" i="9"/>
  <c r="AC64" i="9" s="1"/>
  <c r="M67" i="9"/>
  <c r="AH67" i="9"/>
  <c r="Q70" i="9"/>
  <c r="AC70" i="9" s="1"/>
  <c r="M73" i="9"/>
  <c r="AH73" i="9"/>
  <c r="AN36" i="9"/>
  <c r="AN39" i="9"/>
  <c r="AN44" i="9"/>
  <c r="AN140" i="9"/>
  <c r="AN53" i="9"/>
  <c r="AN142" i="9"/>
  <c r="AN61" i="9"/>
  <c r="AN67" i="9"/>
  <c r="AN73" i="9"/>
  <c r="AN42" i="9"/>
  <c r="AN47" i="9"/>
  <c r="AN50" i="9"/>
  <c r="AN56" i="9"/>
  <c r="AN122" i="9"/>
  <c r="AN64" i="9"/>
  <c r="AN70" i="9"/>
  <c r="AM39" i="9"/>
  <c r="AM44" i="9"/>
  <c r="AM140" i="9"/>
  <c r="AM53" i="9"/>
  <c r="AM142" i="9"/>
  <c r="AM61" i="9"/>
  <c r="AM67" i="9"/>
  <c r="AM73" i="9"/>
  <c r="AM36" i="9"/>
  <c r="AM42" i="9"/>
  <c r="AM47" i="9"/>
  <c r="AM50" i="9"/>
  <c r="AM56" i="9"/>
  <c r="AM122" i="9"/>
  <c r="AM64" i="9"/>
  <c r="AM70" i="9"/>
  <c r="O110" i="9"/>
  <c r="O88" i="9"/>
  <c r="Q139" i="9"/>
  <c r="AE130" i="9"/>
  <c r="P38" i="9"/>
  <c r="AB38" i="9" s="1"/>
  <c r="AF109" i="9"/>
  <c r="AG135" i="9"/>
  <c r="Q69" i="9"/>
  <c r="AC69" i="9" s="1"/>
  <c r="N35" i="9"/>
  <c r="Z35" i="9" s="1"/>
  <c r="N77" i="9"/>
  <c r="Z77" i="9" s="1"/>
  <c r="AI133" i="9"/>
  <c r="P138" i="9"/>
  <c r="M60" i="9"/>
  <c r="Q108" i="9"/>
  <c r="AI134" i="9"/>
  <c r="Q91" i="9"/>
  <c r="AC91" i="9" s="1"/>
  <c r="O66" i="9"/>
  <c r="AA66" i="9" s="1"/>
  <c r="E37" i="20"/>
  <c r="E42" i="20"/>
  <c r="U42" i="20" s="1"/>
  <c r="F14" i="20"/>
  <c r="E14" i="20" s="1"/>
  <c r="H36" i="14"/>
  <c r="M55" i="20" s="1"/>
  <c r="J55" i="20" s="1"/>
  <c r="S55" i="20" s="1"/>
  <c r="C119" i="1"/>
  <c r="D19" i="30"/>
  <c r="E44" i="20"/>
  <c r="U44" i="20" s="1"/>
  <c r="D28" i="14"/>
  <c r="B18" i="30"/>
  <c r="B22" i="30"/>
  <c r="B23" i="30"/>
  <c r="B16" i="30"/>
  <c r="B11" i="30"/>
  <c r="B19" i="30"/>
  <c r="B13" i="30"/>
  <c r="B24" i="30"/>
  <c r="B10" i="30"/>
  <c r="B14" i="30"/>
  <c r="B20" i="30"/>
  <c r="B12" i="30"/>
  <c r="B21" i="30"/>
  <c r="B17" i="30"/>
  <c r="B15" i="30"/>
  <c r="G19" i="30"/>
  <c r="G23" i="30"/>
  <c r="G22" i="30"/>
  <c r="G21" i="30"/>
  <c r="G17" i="30"/>
  <c r="G18" i="30"/>
  <c r="G12" i="30"/>
  <c r="G15" i="30"/>
  <c r="G16" i="30"/>
  <c r="G13" i="30"/>
  <c r="G20" i="30"/>
  <c r="G24" i="30"/>
  <c r="G10" i="30"/>
  <c r="G11" i="30"/>
  <c r="G14" i="30"/>
  <c r="D36" i="14"/>
  <c r="M14" i="20" s="1"/>
  <c r="H50" i="14"/>
  <c r="F50" i="14"/>
  <c r="D230" i="1"/>
  <c r="D222" i="1"/>
  <c r="D231" i="1" s="1"/>
  <c r="D223" i="1"/>
  <c r="D232" i="1" s="1"/>
  <c r="AN32" i="9"/>
  <c r="AN41" i="9"/>
  <c r="AN111" i="9"/>
  <c r="AN152" i="9"/>
  <c r="AN113" i="9"/>
  <c r="AN66" i="9"/>
  <c r="AN115" i="9"/>
  <c r="AN81" i="9"/>
  <c r="AN85" i="9"/>
  <c r="AN124" i="9"/>
  <c r="AN95" i="9"/>
  <c r="AN46" i="9"/>
  <c r="AN60" i="9"/>
  <c r="AN83" i="9"/>
  <c r="AN31" i="9"/>
  <c r="AN38" i="9"/>
  <c r="AN49" i="9"/>
  <c r="AN55" i="9"/>
  <c r="AN58" i="9"/>
  <c r="AN63" i="9"/>
  <c r="AN72" i="9"/>
  <c r="AN80" i="9"/>
  <c r="AN84" i="9"/>
  <c r="AN116" i="9"/>
  <c r="AN35" i="9"/>
  <c r="AN128" i="9"/>
  <c r="AN114" i="9"/>
  <c r="AN87" i="9"/>
  <c r="AN34" i="9"/>
  <c r="AN43" i="9"/>
  <c r="AN52" i="9"/>
  <c r="AN57" i="9"/>
  <c r="AN59" i="9"/>
  <c r="AN69" i="9"/>
  <c r="AN77" i="9"/>
  <c r="AN82" i="9"/>
  <c r="AN86" i="9"/>
  <c r="AN88" i="9"/>
  <c r="AN96" i="9"/>
  <c r="AN110" i="9"/>
  <c r="AN78" i="9"/>
  <c r="AN91" i="9"/>
  <c r="AO32" i="9"/>
  <c r="AO41" i="9"/>
  <c r="AO111" i="9"/>
  <c r="AO152" i="9"/>
  <c r="AO113" i="9"/>
  <c r="AO66" i="9"/>
  <c r="AO115" i="9"/>
  <c r="AO81" i="9"/>
  <c r="AO85" i="9"/>
  <c r="AO124" i="9"/>
  <c r="AO95" i="9"/>
  <c r="AO46" i="9"/>
  <c r="AO78" i="9"/>
  <c r="AO91" i="9"/>
  <c r="AO31" i="9"/>
  <c r="AO38" i="9"/>
  <c r="AO49" i="9"/>
  <c r="AO55" i="9"/>
  <c r="AO58" i="9"/>
  <c r="AO63" i="9"/>
  <c r="AO72" i="9"/>
  <c r="AO80" i="9"/>
  <c r="AO84" i="9"/>
  <c r="AO116" i="9"/>
  <c r="AO35" i="9"/>
  <c r="AO110" i="9"/>
  <c r="AO60" i="9"/>
  <c r="AO83" i="9"/>
  <c r="AO34" i="9"/>
  <c r="AO43" i="9"/>
  <c r="AO52" i="9"/>
  <c r="AO57" i="9"/>
  <c r="AO59" i="9"/>
  <c r="AO69" i="9"/>
  <c r="AO77" i="9"/>
  <c r="AO82" i="9"/>
  <c r="AO86" i="9"/>
  <c r="AO88" i="9"/>
  <c r="AO96" i="9"/>
  <c r="AO30" i="9"/>
  <c r="AO128" i="9"/>
  <c r="AO114" i="9"/>
  <c r="AO87" i="9"/>
  <c r="AO97" i="9"/>
  <c r="AK31" i="9"/>
  <c r="AK38" i="9"/>
  <c r="AK49" i="9"/>
  <c r="AK55" i="9"/>
  <c r="AK58" i="9"/>
  <c r="AK63" i="9"/>
  <c r="AK72" i="9"/>
  <c r="AK80" i="9"/>
  <c r="AK84" i="9"/>
  <c r="AK116" i="9"/>
  <c r="AK34" i="9"/>
  <c r="AK57" i="9"/>
  <c r="AK77" i="9"/>
  <c r="AK88" i="9"/>
  <c r="AK30" i="9"/>
  <c r="AK35" i="9"/>
  <c r="AK46" i="9"/>
  <c r="AK128" i="9"/>
  <c r="AK110" i="9"/>
  <c r="AK60" i="9"/>
  <c r="AK114" i="9"/>
  <c r="AK78" i="9"/>
  <c r="AK83" i="9"/>
  <c r="AK87" i="9"/>
  <c r="AK91" i="9"/>
  <c r="AK52" i="9"/>
  <c r="AK59" i="9"/>
  <c r="AK82" i="9"/>
  <c r="AK32" i="9"/>
  <c r="AK41" i="9"/>
  <c r="AK111" i="9"/>
  <c r="AK152" i="9"/>
  <c r="AK113" i="9"/>
  <c r="AK66" i="9"/>
  <c r="AK115" i="9"/>
  <c r="AK81" i="9"/>
  <c r="AK85" i="9"/>
  <c r="AK124" i="9"/>
  <c r="AK95" i="9"/>
  <c r="AK43" i="9"/>
  <c r="AK69" i="9"/>
  <c r="AK86" i="9"/>
  <c r="AK96" i="9"/>
  <c r="AL80" i="9"/>
  <c r="AL55" i="9"/>
  <c r="AL56" i="9" s="1"/>
  <c r="AL58" i="9"/>
  <c r="AL52" i="9"/>
  <c r="AL53" i="9" s="1"/>
  <c r="AL78" i="9"/>
  <c r="AL128" i="9"/>
  <c r="AL110" i="9"/>
  <c r="AL77" i="9"/>
  <c r="AL115" i="9"/>
  <c r="AL111" i="9"/>
  <c r="AL152" i="9"/>
  <c r="AL113" i="9"/>
  <c r="AL57" i="9"/>
  <c r="AM34" i="9"/>
  <c r="AM43" i="9"/>
  <c r="AM52" i="9"/>
  <c r="AM57" i="9"/>
  <c r="AM59" i="9"/>
  <c r="AM69" i="9"/>
  <c r="AM77" i="9"/>
  <c r="AM82" i="9"/>
  <c r="AM86" i="9"/>
  <c r="AM31" i="9"/>
  <c r="AM55" i="9"/>
  <c r="AM72" i="9"/>
  <c r="AM116" i="9"/>
  <c r="AM32" i="9"/>
  <c r="AM41" i="9"/>
  <c r="AM111" i="9"/>
  <c r="AM152" i="9"/>
  <c r="AM113" i="9"/>
  <c r="AM66" i="9"/>
  <c r="AM115" i="9"/>
  <c r="AM81" i="9"/>
  <c r="AM85" i="9"/>
  <c r="AM124" i="9"/>
  <c r="AM95" i="9"/>
  <c r="AM38" i="9"/>
  <c r="AM63" i="9"/>
  <c r="AM84" i="9"/>
  <c r="AM35" i="9"/>
  <c r="AM46" i="9"/>
  <c r="AM128" i="9"/>
  <c r="AM110" i="9"/>
  <c r="AM60" i="9"/>
  <c r="AM114" i="9"/>
  <c r="AM78" i="9"/>
  <c r="AM83" i="9"/>
  <c r="AM87" i="9"/>
  <c r="AM91" i="9"/>
  <c r="AM49" i="9"/>
  <c r="AM58" i="9"/>
  <c r="AM80" i="9"/>
  <c r="AH137" i="9"/>
  <c r="N37" i="20"/>
  <c r="J37" i="20" s="1"/>
  <c r="S37" i="20" s="1"/>
  <c r="Q37" i="20"/>
  <c r="G181" i="1"/>
  <c r="G53" i="14"/>
  <c r="N47" i="20"/>
  <c r="Q47" i="20"/>
  <c r="AF129" i="9"/>
  <c r="M134" i="9"/>
  <c r="Q137" i="9"/>
  <c r="Q97" i="9"/>
  <c r="AC97" i="9" s="1"/>
  <c r="Q78" i="9"/>
  <c r="P49" i="9"/>
  <c r="AB49" i="9" s="1"/>
  <c r="O96" i="9"/>
  <c r="AA96" i="9" s="1"/>
  <c r="O77" i="9"/>
  <c r="AA77" i="9" s="1"/>
  <c r="N46" i="9"/>
  <c r="Z46" i="9" s="1"/>
  <c r="M80" i="9"/>
  <c r="Q46" i="9"/>
  <c r="P69" i="9"/>
  <c r="AB69" i="9" s="1"/>
  <c r="N86" i="9"/>
  <c r="O131" i="9"/>
  <c r="AI33" i="9"/>
  <c r="P112" i="9"/>
  <c r="O106" i="9"/>
  <c r="AE54" i="9"/>
  <c r="AH132" i="9"/>
  <c r="AE136" i="9"/>
  <c r="P33" i="9"/>
  <c r="AB33" i="9" s="1"/>
  <c r="Q83" i="9"/>
  <c r="P110" i="9"/>
  <c r="P27" i="9"/>
  <c r="AH27" i="9" s="1"/>
  <c r="O82" i="9"/>
  <c r="AA82" i="9" s="1"/>
  <c r="N55" i="9"/>
  <c r="Z55" i="9" s="1"/>
  <c r="M116" i="9"/>
  <c r="M30" i="9"/>
  <c r="P83" i="9"/>
  <c r="AB83" i="9" s="1"/>
  <c r="N96" i="9"/>
  <c r="AI109" i="9"/>
  <c r="Q87" i="9"/>
  <c r="Q59" i="9"/>
  <c r="P31" i="9"/>
  <c r="O86" i="9"/>
  <c r="AA86" i="9" s="1"/>
  <c r="O113" i="9"/>
  <c r="AA113" i="9" s="1"/>
  <c r="N27" i="9"/>
  <c r="AF27" i="9" s="1"/>
  <c r="M46" i="9"/>
  <c r="P91" i="9"/>
  <c r="AB91" i="9" s="1"/>
  <c r="O38" i="9"/>
  <c r="M4" i="9"/>
  <c r="M112" i="9"/>
  <c r="Q106" i="9"/>
  <c r="AF112" i="9"/>
  <c r="AF108" i="9"/>
  <c r="AH109" i="9"/>
  <c r="AG54" i="9"/>
  <c r="AH129" i="9"/>
  <c r="AG130" i="9"/>
  <c r="AH131" i="9"/>
  <c r="P133" i="9"/>
  <c r="O134" i="9"/>
  <c r="M135" i="9"/>
  <c r="AI135" i="9"/>
  <c r="AG136" i="9"/>
  <c r="AE137" i="9"/>
  <c r="AF138" i="9"/>
  <c r="AE139" i="9"/>
  <c r="AF33" i="9"/>
  <c r="Q96" i="9"/>
  <c r="AC96" i="9" s="1"/>
  <c r="Q88" i="9"/>
  <c r="AC88" i="9" s="1"/>
  <c r="Q86" i="9"/>
  <c r="AC86" i="9" s="1"/>
  <c r="Q82" i="9"/>
  <c r="AC82" i="9" s="1"/>
  <c r="Q77" i="9"/>
  <c r="AC77" i="9" s="1"/>
  <c r="Q66" i="9"/>
  <c r="AC66" i="9" s="1"/>
  <c r="Q113" i="9"/>
  <c r="AC113" i="9" s="1"/>
  <c r="P55" i="9"/>
  <c r="AB55" i="9" s="1"/>
  <c r="P46" i="9"/>
  <c r="AB46" i="9" s="1"/>
  <c r="P35" i="9"/>
  <c r="AB35" i="9" s="1"/>
  <c r="P30" i="9"/>
  <c r="AB30" i="9" s="1"/>
  <c r="Q58" i="9"/>
  <c r="AC58" i="9" s="1"/>
  <c r="O95" i="9"/>
  <c r="AA95" i="9" s="1"/>
  <c r="O124" i="9"/>
  <c r="AA124" i="9" s="1"/>
  <c r="O85" i="9"/>
  <c r="O81" i="9"/>
  <c r="AA81" i="9" s="1"/>
  <c r="O115" i="9"/>
  <c r="O63" i="9"/>
  <c r="AA63" i="9" s="1"/>
  <c r="O4" i="9"/>
  <c r="AA4" i="9" s="1"/>
  <c r="N52" i="9"/>
  <c r="Z52" i="9" s="1"/>
  <c r="N43" i="9"/>
  <c r="Z43" i="9" s="1"/>
  <c r="M96" i="9"/>
  <c r="M86" i="9"/>
  <c r="M77" i="9"/>
  <c r="M113" i="9"/>
  <c r="M41" i="9"/>
  <c r="AI58" i="9"/>
  <c r="Q41" i="9"/>
  <c r="Q28" i="9"/>
  <c r="AI28" i="9" s="1"/>
  <c r="P124" i="9"/>
  <c r="AB124" i="9" s="1"/>
  <c r="P81" i="9"/>
  <c r="AB81" i="9" s="1"/>
  <c r="P63" i="9"/>
  <c r="AB63" i="9" s="1"/>
  <c r="O52" i="9"/>
  <c r="O31" i="9"/>
  <c r="N84" i="9"/>
  <c r="N72" i="9"/>
  <c r="AG112" i="9"/>
  <c r="AH54" i="9"/>
  <c r="AI131" i="9"/>
  <c r="AH134" i="9"/>
  <c r="AE138" i="9"/>
  <c r="O108" i="9"/>
  <c r="P109" i="9"/>
  <c r="Q54" i="9"/>
  <c r="P129" i="9"/>
  <c r="Q130" i="9"/>
  <c r="P131" i="9"/>
  <c r="AF132" i="9"/>
  <c r="AH133" i="9"/>
  <c r="AE134" i="9"/>
  <c r="AE135" i="9"/>
  <c r="Q136" i="9"/>
  <c r="O137" i="9"/>
  <c r="AI137" i="9"/>
  <c r="O139" i="9"/>
  <c r="AI139" i="9"/>
  <c r="M58" i="9"/>
  <c r="Q116" i="9"/>
  <c r="AC116" i="9" s="1"/>
  <c r="Q84" i="9"/>
  <c r="AC84" i="9" s="1"/>
  <c r="Q80" i="9"/>
  <c r="AC80" i="9" s="1"/>
  <c r="Q72" i="9"/>
  <c r="AC72" i="9" s="1"/>
  <c r="Q60" i="9"/>
  <c r="AC60" i="9" s="1"/>
  <c r="AH58" i="9"/>
  <c r="P111" i="9"/>
  <c r="AB111" i="9" s="1"/>
  <c r="P41" i="9"/>
  <c r="AB41" i="9" s="1"/>
  <c r="P32" i="9"/>
  <c r="AB32" i="9" s="1"/>
  <c r="P28" i="9"/>
  <c r="AB28" i="9" s="1"/>
  <c r="O97" i="9"/>
  <c r="AA97" i="9" s="1"/>
  <c r="O91" i="9"/>
  <c r="AA91" i="9" s="1"/>
  <c r="O87" i="9"/>
  <c r="AA87" i="9" s="1"/>
  <c r="O83" i="9"/>
  <c r="AA83" i="9" s="1"/>
  <c r="O78" i="9"/>
  <c r="AA78" i="9" s="1"/>
  <c r="O69" i="9"/>
  <c r="AA69" i="9" s="1"/>
  <c r="O59" i="9"/>
  <c r="AA59" i="9" s="1"/>
  <c r="N110" i="9"/>
  <c r="N49" i="9"/>
  <c r="Z49" i="9" s="1"/>
  <c r="N38" i="9"/>
  <c r="N29" i="9"/>
  <c r="Z29" i="9" s="1"/>
  <c r="M88" i="9"/>
  <c r="M82" i="9"/>
  <c r="M66" i="9"/>
  <c r="M111" i="9"/>
  <c r="M32" i="9"/>
  <c r="Q111" i="9"/>
  <c r="Q32" i="9"/>
  <c r="P95" i="9"/>
  <c r="AB95" i="9" s="1"/>
  <c r="P85" i="9"/>
  <c r="AB85" i="9" s="1"/>
  <c r="P115" i="9"/>
  <c r="AB115" i="9" s="1"/>
  <c r="P4" i="9"/>
  <c r="AB4" i="9" s="1"/>
  <c r="O43" i="9"/>
  <c r="O27" i="9"/>
  <c r="AG27" i="9" s="1"/>
  <c r="N116" i="9"/>
  <c r="N80" i="9"/>
  <c r="AE58" i="9"/>
  <c r="O109" i="9"/>
  <c r="P130" i="9"/>
  <c r="O133" i="9"/>
  <c r="AH136" i="9"/>
  <c r="AH106" i="9"/>
  <c r="AF106" i="9"/>
  <c r="M108" i="9"/>
  <c r="AH108" i="9"/>
  <c r="M54" i="9"/>
  <c r="AI54" i="9"/>
  <c r="M130" i="9"/>
  <c r="AI130" i="9"/>
  <c r="P132" i="9"/>
  <c r="AF133" i="9"/>
  <c r="Q134" i="9"/>
  <c r="O135" i="9"/>
  <c r="M136" i="9"/>
  <c r="M137" i="9"/>
  <c r="AG137" i="9"/>
  <c r="M139" i="9"/>
  <c r="AG139" i="9"/>
  <c r="P58" i="9"/>
  <c r="AB58" i="9" s="1"/>
  <c r="Q95" i="9"/>
  <c r="AC95" i="9" s="1"/>
  <c r="Q124" i="9"/>
  <c r="AC124" i="9" s="1"/>
  <c r="Q85" i="9"/>
  <c r="Q81" i="9"/>
  <c r="Q115" i="9"/>
  <c r="Q63" i="9"/>
  <c r="Q4" i="9"/>
  <c r="AI4" i="9" s="1"/>
  <c r="P52" i="9"/>
  <c r="AB52" i="9" s="1"/>
  <c r="P43" i="9"/>
  <c r="AB43" i="9" s="1"/>
  <c r="P34" i="9"/>
  <c r="P29" i="9"/>
  <c r="AH29" i="9" s="1"/>
  <c r="O58" i="9"/>
  <c r="AA58" i="9" s="1"/>
  <c r="O116" i="9"/>
  <c r="AA116" i="9" s="1"/>
  <c r="O84" i="9"/>
  <c r="AA84" i="9" s="1"/>
  <c r="O80" i="9"/>
  <c r="AA80" i="9" s="1"/>
  <c r="O72" i="9"/>
  <c r="AA72" i="9" s="1"/>
  <c r="O60" i="9"/>
  <c r="AA60" i="9" s="1"/>
  <c r="AF58" i="9"/>
  <c r="N111" i="9"/>
  <c r="Z111" i="9" s="1"/>
  <c r="N41" i="9"/>
  <c r="Z41" i="9" s="1"/>
  <c r="N31" i="9"/>
  <c r="Z31" i="9" s="1"/>
  <c r="M84" i="9"/>
  <c r="M72" i="9"/>
  <c r="M55" i="9"/>
  <c r="M35" i="9"/>
  <c r="Q55" i="9"/>
  <c r="Q35" i="9"/>
  <c r="P97" i="9"/>
  <c r="AB97" i="9" s="1"/>
  <c r="P87" i="9"/>
  <c r="AB87" i="9" s="1"/>
  <c r="P78" i="9"/>
  <c r="AB78" i="9" s="1"/>
  <c r="P59" i="9"/>
  <c r="AB59" i="9" s="1"/>
  <c r="O49" i="9"/>
  <c r="O29" i="9"/>
  <c r="AG29" i="9" s="1"/>
  <c r="N88" i="9"/>
  <c r="Z88" i="9" s="1"/>
  <c r="N82" i="9"/>
  <c r="N60" i="9"/>
  <c r="Z60" i="9" s="1"/>
  <c r="AE129" i="9"/>
  <c r="AE132" i="9"/>
  <c r="AH135" i="9"/>
  <c r="O34" i="9"/>
  <c r="V52" i="10"/>
  <c r="V50" i="10"/>
  <c r="V28" i="10"/>
  <c r="V102" i="10"/>
  <c r="V100" i="10"/>
  <c r="V25" i="10"/>
  <c r="V23" i="10"/>
  <c r="V99" i="10"/>
  <c r="V20" i="10"/>
  <c r="V18" i="10"/>
  <c r="V16" i="10"/>
  <c r="V14" i="10"/>
  <c r="V12" i="10"/>
  <c r="V10" i="10"/>
  <c r="V8" i="10"/>
  <c r="V6" i="10"/>
  <c r="V5" i="10"/>
  <c r="W52" i="10"/>
  <c r="W50" i="10"/>
  <c r="W28" i="10"/>
  <c r="W102" i="10"/>
  <c r="W100" i="10"/>
  <c r="W25" i="10"/>
  <c r="W23" i="10"/>
  <c r="W99" i="10"/>
  <c r="W20" i="10"/>
  <c r="W18" i="10"/>
  <c r="W16" i="10"/>
  <c r="W14" i="10"/>
  <c r="W12" i="10"/>
  <c r="W10" i="10"/>
  <c r="W8" i="10"/>
  <c r="W6" i="10"/>
  <c r="W5" i="10"/>
  <c r="V51" i="10"/>
  <c r="V103" i="10"/>
  <c r="V27" i="10"/>
  <c r="V101" i="10"/>
  <c r="V26" i="10"/>
  <c r="V24" i="10"/>
  <c r="V22" i="10"/>
  <c r="V21" i="10"/>
  <c r="V19" i="10"/>
  <c r="V17" i="10"/>
  <c r="V15" i="10"/>
  <c r="V13" i="10"/>
  <c r="V11" i="10"/>
  <c r="V9" i="10"/>
  <c r="V7" i="10"/>
  <c r="V98" i="10"/>
  <c r="V4" i="10"/>
  <c r="V97" i="10"/>
  <c r="W51" i="10"/>
  <c r="W103" i="10"/>
  <c r="W27" i="10"/>
  <c r="W101" i="10"/>
  <c r="W26" i="10"/>
  <c r="W24" i="10"/>
  <c r="W22" i="10"/>
  <c r="W21" i="10"/>
  <c r="W19" i="10"/>
  <c r="W17" i="10"/>
  <c r="W15" i="10"/>
  <c r="W13" i="10"/>
  <c r="W11" i="10"/>
  <c r="W9" i="10"/>
  <c r="W7" i="10"/>
  <c r="W98" i="10"/>
  <c r="W4" i="10"/>
  <c r="W97" i="10"/>
  <c r="AD5" i="10"/>
  <c r="AD12" i="10"/>
  <c r="AD36" i="10" s="1"/>
  <c r="AD16" i="10"/>
  <c r="AD27" i="10" s="1"/>
  <c r="AE27" i="10" s="1"/>
  <c r="AD20" i="10"/>
  <c r="AD23" i="10"/>
  <c r="AD100" i="10"/>
  <c r="AD28" i="10"/>
  <c r="AD10" i="10"/>
  <c r="AD33" i="10" s="1"/>
  <c r="AD14" i="10"/>
  <c r="AD32" i="10" s="1"/>
  <c r="AD99" i="10"/>
  <c r="AD102" i="10"/>
  <c r="AD98" i="10"/>
  <c r="AD17" i="10"/>
  <c r="AD24" i="10"/>
  <c r="AD103" i="10"/>
  <c r="AD4" i="10"/>
  <c r="AD7" i="10"/>
  <c r="AD11" i="10"/>
  <c r="AD49" i="10" s="1"/>
  <c r="AD15" i="10"/>
  <c r="AD37" i="10" s="1"/>
  <c r="AD19" i="10"/>
  <c r="AD22" i="10"/>
  <c r="AD26" i="10"/>
  <c r="AD97" i="10"/>
  <c r="AD6" i="10"/>
  <c r="AD18" i="10"/>
  <c r="AD25" i="10"/>
  <c r="AD9" i="10"/>
  <c r="AD13" i="10"/>
  <c r="AD35" i="10" s="1"/>
  <c r="AD21" i="10"/>
  <c r="AD101" i="10"/>
  <c r="AN101" i="9"/>
  <c r="AN105" i="9"/>
  <c r="AN109" i="9"/>
  <c r="AN129" i="9"/>
  <c r="AN133" i="9"/>
  <c r="AN137" i="9"/>
  <c r="AN27" i="9"/>
  <c r="AN104" i="9"/>
  <c r="AN108" i="9"/>
  <c r="AN54" i="9"/>
  <c r="AN132" i="9"/>
  <c r="AN136" i="9"/>
  <c r="AN33" i="9"/>
  <c r="AN30" i="9"/>
  <c r="AN103" i="9"/>
  <c r="AN112" i="9"/>
  <c r="AN131" i="9"/>
  <c r="AN135" i="9"/>
  <c r="AN139" i="9"/>
  <c r="AN29" i="9"/>
  <c r="AN100" i="9"/>
  <c r="AN4" i="9"/>
  <c r="AN102" i="9"/>
  <c r="AN106" i="9"/>
  <c r="AN130" i="9"/>
  <c r="AN134" i="9"/>
  <c r="AN138" i="9"/>
  <c r="AN28" i="9"/>
  <c r="AN97" i="9"/>
  <c r="M57" i="9"/>
  <c r="Q57" i="9"/>
  <c r="AC57" i="9" s="1"/>
  <c r="AH57" i="9"/>
  <c r="O152" i="9"/>
  <c r="AA152" i="9" s="1"/>
  <c r="AF152" i="9"/>
  <c r="P57" i="9"/>
  <c r="AB57" i="9" s="1"/>
  <c r="AG57" i="9"/>
  <c r="N152" i="9"/>
  <c r="Z152" i="9" s="1"/>
  <c r="AE152" i="9"/>
  <c r="AI152" i="9"/>
  <c r="O57" i="9"/>
  <c r="AA57" i="9" s="1"/>
  <c r="AF57" i="9"/>
  <c r="M152" i="9"/>
  <c r="Q152" i="9"/>
  <c r="AC152" i="9" s="1"/>
  <c r="AH152" i="9"/>
  <c r="N57" i="9"/>
  <c r="Z57" i="9" s="1"/>
  <c r="AE57" i="9"/>
  <c r="AI57" i="9"/>
  <c r="P152" i="9"/>
  <c r="AB152" i="9" s="1"/>
  <c r="AG152" i="9"/>
  <c r="AO104" i="9"/>
  <c r="AO108" i="9"/>
  <c r="AO54" i="9"/>
  <c r="AO132" i="9"/>
  <c r="AO136" i="9"/>
  <c r="AO33" i="9"/>
  <c r="AO103" i="9"/>
  <c r="AO112" i="9"/>
  <c r="AO131" i="9"/>
  <c r="AO135" i="9"/>
  <c r="AO139" i="9"/>
  <c r="AO29" i="9"/>
  <c r="AO102" i="9"/>
  <c r="AO106" i="9"/>
  <c r="AO130" i="9"/>
  <c r="AO134" i="9"/>
  <c r="AO138" i="9"/>
  <c r="AO28" i="9"/>
  <c r="AO100" i="9"/>
  <c r="AO101" i="9"/>
  <c r="AO105" i="9"/>
  <c r="AO109" i="9"/>
  <c r="AO129" i="9"/>
  <c r="AO133" i="9"/>
  <c r="AO137" i="9"/>
  <c r="AO27" i="9"/>
  <c r="AO4" i="9"/>
  <c r="AK104" i="9"/>
  <c r="AK108" i="9"/>
  <c r="AK54" i="9"/>
  <c r="AK132" i="9"/>
  <c r="AK136" i="9"/>
  <c r="AK33" i="9"/>
  <c r="AK100" i="9"/>
  <c r="AK112" i="9"/>
  <c r="AK131" i="9"/>
  <c r="AK135" i="9"/>
  <c r="AK139" i="9"/>
  <c r="AK29" i="9"/>
  <c r="AK102" i="9"/>
  <c r="AK106" i="9"/>
  <c r="AK130" i="9"/>
  <c r="AK134" i="9"/>
  <c r="AK138" i="9"/>
  <c r="AK28" i="9"/>
  <c r="AK97" i="9"/>
  <c r="AK101" i="9"/>
  <c r="AK105" i="9"/>
  <c r="AK109" i="9"/>
  <c r="AK129" i="9"/>
  <c r="AK133" i="9"/>
  <c r="AK137" i="9"/>
  <c r="AK27" i="9"/>
  <c r="AL103" i="9"/>
  <c r="AL112" i="9"/>
  <c r="AL131" i="9"/>
  <c r="AL135" i="9"/>
  <c r="AL139" i="9"/>
  <c r="AL29" i="9"/>
  <c r="AL43" i="9"/>
  <c r="AL44" i="9" s="1"/>
  <c r="AL45" i="9" s="1"/>
  <c r="AL63" i="9"/>
  <c r="AL64" i="9" s="1"/>
  <c r="AL65" i="9" s="1"/>
  <c r="AL102" i="9"/>
  <c r="AL106" i="9"/>
  <c r="AL130" i="9"/>
  <c r="AL134" i="9"/>
  <c r="AL138" i="9"/>
  <c r="AL28" i="9"/>
  <c r="AL32" i="9"/>
  <c r="AL41" i="9"/>
  <c r="AL42" i="9" s="1"/>
  <c r="AL60" i="9"/>
  <c r="AL61" i="9" s="1"/>
  <c r="AL62" i="9" s="1"/>
  <c r="AL114" i="9"/>
  <c r="AL83" i="9"/>
  <c r="AL87" i="9"/>
  <c r="AL97" i="9"/>
  <c r="AL101" i="9"/>
  <c r="AL105" i="9"/>
  <c r="AL109" i="9"/>
  <c r="AL129" i="9"/>
  <c r="AL133" i="9"/>
  <c r="AL137" i="9"/>
  <c r="AL27" i="9"/>
  <c r="AL31" i="9"/>
  <c r="AL39" i="9"/>
  <c r="AL49" i="9"/>
  <c r="AL82" i="9"/>
  <c r="AL86" i="9"/>
  <c r="AL96" i="9"/>
  <c r="AL72" i="9"/>
  <c r="AL116" i="9"/>
  <c r="AL4" i="9"/>
  <c r="AL92" i="9"/>
  <c r="AL104" i="9"/>
  <c r="AL108" i="9"/>
  <c r="AL54" i="9"/>
  <c r="AL144" i="9" s="1"/>
  <c r="AL132" i="9"/>
  <c r="AL136" i="9"/>
  <c r="AL30" i="9"/>
  <c r="AL35" i="9"/>
  <c r="AL36" i="9" s="1"/>
  <c r="AL37" i="9" s="1"/>
  <c r="AL66" i="9"/>
  <c r="AL67" i="9" s="1"/>
  <c r="AL68" i="9" s="1"/>
  <c r="AL81" i="9"/>
  <c r="AL85" i="9"/>
  <c r="AL95" i="9"/>
  <c r="AL149" i="9" s="1"/>
  <c r="AM102" i="9"/>
  <c r="AM106" i="9"/>
  <c r="AM130" i="9"/>
  <c r="AM134" i="9"/>
  <c r="AM138" i="9"/>
  <c r="AM28" i="9"/>
  <c r="AM97" i="9"/>
  <c r="AM101" i="9"/>
  <c r="AM105" i="9"/>
  <c r="AM109" i="9"/>
  <c r="AM129" i="9"/>
  <c r="AM133" i="9"/>
  <c r="AM137" i="9"/>
  <c r="AM27" i="9"/>
  <c r="AM104" i="9"/>
  <c r="AM108" i="9"/>
  <c r="AM54" i="9"/>
  <c r="AM132" i="9"/>
  <c r="AM136" i="9"/>
  <c r="AM33" i="9"/>
  <c r="AM30" i="9"/>
  <c r="AM103" i="9"/>
  <c r="AM112" i="9"/>
  <c r="AM131" i="9"/>
  <c r="AM135" i="9"/>
  <c r="AM139" i="9"/>
  <c r="AM29" i="9"/>
  <c r="AM4" i="9"/>
  <c r="N27" i="20"/>
  <c r="J27" i="20" s="1"/>
  <c r="S27" i="20" s="1"/>
  <c r="Q27" i="20"/>
  <c r="G83" i="14"/>
  <c r="G86" i="14" s="1"/>
  <c r="F111" i="6"/>
  <c r="E111" i="6"/>
  <c r="J116" i="6"/>
  <c r="P70" i="6"/>
  <c r="F37" i="6"/>
  <c r="H37" i="6"/>
  <c r="G25" i="1"/>
  <c r="G48" i="1" s="1"/>
  <c r="E33" i="20"/>
  <c r="U33" i="20" s="1"/>
  <c r="E47" i="20"/>
  <c r="E21" i="20"/>
  <c r="N46" i="20"/>
  <c r="Q46" i="20"/>
  <c r="U16" i="20"/>
  <c r="E43" i="20"/>
  <c r="U43" i="20" s="1"/>
  <c r="E18" i="20"/>
  <c r="U18" i="20" s="1"/>
  <c r="F117" i="1"/>
  <c r="F118" i="1"/>
  <c r="P78" i="6"/>
  <c r="R46" i="6"/>
  <c r="R50" i="6"/>
  <c r="R54" i="6"/>
  <c r="R52" i="6"/>
  <c r="R56" i="6"/>
  <c r="R60" i="6"/>
  <c r="R59" i="6"/>
  <c r="R49" i="6"/>
  <c r="R51" i="6"/>
  <c r="R44" i="6"/>
  <c r="R58" i="6"/>
  <c r="R55" i="6"/>
  <c r="R57" i="6"/>
  <c r="R45" i="6"/>
  <c r="R47" i="6"/>
  <c r="R53" i="6"/>
  <c r="R42" i="6"/>
  <c r="R48" i="6"/>
  <c r="R43" i="6"/>
  <c r="R61" i="6"/>
  <c r="E23" i="20"/>
  <c r="U23" i="20" s="1"/>
  <c r="M27" i="10"/>
  <c r="N27" i="10"/>
  <c r="P139" i="9"/>
  <c r="N66" i="9"/>
  <c r="F82" i="14"/>
  <c r="F85" i="14" s="1"/>
  <c r="E17" i="20"/>
  <c r="U17" i="20" s="1"/>
  <c r="G125" i="1"/>
  <c r="E36" i="20"/>
  <c r="E24" i="20"/>
  <c r="U24" i="20" s="1"/>
  <c r="E57" i="20"/>
  <c r="U57" i="20" s="1"/>
  <c r="M116" i="6"/>
  <c r="P88" i="6"/>
  <c r="P76" i="6"/>
  <c r="P74" i="6"/>
  <c r="E34" i="20"/>
  <c r="U34" i="20" s="1"/>
  <c r="Q114" i="9"/>
  <c r="AC114" i="9" s="1"/>
  <c r="O114" i="9"/>
  <c r="AA114" i="9" s="1"/>
  <c r="P114" i="9"/>
  <c r="AB114" i="9" s="1"/>
  <c r="M114" i="9"/>
  <c r="N114" i="9"/>
  <c r="Z114" i="9" s="1"/>
  <c r="N113" i="9"/>
  <c r="Z113" i="9" s="1"/>
  <c r="M28" i="9"/>
  <c r="AG106" i="9"/>
  <c r="Q112" i="9"/>
  <c r="AC112" i="9" s="1"/>
  <c r="N108" i="9"/>
  <c r="AI108" i="9"/>
  <c r="P54" i="9"/>
  <c r="O129" i="9"/>
  <c r="AI129" i="9"/>
  <c r="AH130" i="9"/>
  <c r="AE131" i="9"/>
  <c r="O132" i="9"/>
  <c r="AI132" i="9"/>
  <c r="AE133" i="9"/>
  <c r="P134" i="9"/>
  <c r="P135" i="9"/>
  <c r="P136" i="9"/>
  <c r="P137" i="9"/>
  <c r="O138" i="9"/>
  <c r="E55" i="20"/>
  <c r="E27" i="20"/>
  <c r="E59" i="20"/>
  <c r="U59" i="20" s="1"/>
  <c r="M128" i="9"/>
  <c r="O128" i="9"/>
  <c r="AA128" i="9" s="1"/>
  <c r="Q128" i="9"/>
  <c r="AC128" i="9" s="1"/>
  <c r="N128" i="9"/>
  <c r="Z128" i="9" s="1"/>
  <c r="P128" i="9"/>
  <c r="AB128" i="9" s="1"/>
  <c r="O33" i="9"/>
  <c r="AA33" i="9" s="1"/>
  <c r="AI138" i="9"/>
  <c r="AH139" i="9"/>
  <c r="AE33" i="9"/>
  <c r="N32" i="9"/>
  <c r="Z32" i="9" s="1"/>
  <c r="N30" i="9"/>
  <c r="AF30" i="9" s="1"/>
  <c r="N28" i="9"/>
  <c r="Z28" i="9" s="1"/>
  <c r="M97" i="9"/>
  <c r="M95" i="9"/>
  <c r="M91" i="9"/>
  <c r="M124" i="9"/>
  <c r="M87" i="9"/>
  <c r="AG33" i="9"/>
  <c r="M85" i="9"/>
  <c r="M83" i="9"/>
  <c r="M81" i="9"/>
  <c r="M78" i="9"/>
  <c r="M115" i="9"/>
  <c r="M69" i="9"/>
  <c r="M63" i="9"/>
  <c r="M59" i="9"/>
  <c r="M110" i="9"/>
  <c r="M52" i="9"/>
  <c r="M49" i="9"/>
  <c r="M43" i="9"/>
  <c r="M38" i="9"/>
  <c r="M34" i="9"/>
  <c r="M31" i="9"/>
  <c r="N58" i="9"/>
  <c r="Z58" i="9" s="1"/>
  <c r="Q110" i="9"/>
  <c r="Q52" i="9"/>
  <c r="AC52" i="9" s="1"/>
  <c r="Q49" i="9"/>
  <c r="AC49" i="9" s="1"/>
  <c r="Q43" i="9"/>
  <c r="AC43" i="9" s="1"/>
  <c r="Q38" i="9"/>
  <c r="AC38" i="9" s="1"/>
  <c r="Q34" i="9"/>
  <c r="AC34" i="9" s="1"/>
  <c r="Q31" i="9"/>
  <c r="AC31" i="9" s="1"/>
  <c r="Q29" i="9"/>
  <c r="Q27" i="9"/>
  <c r="P96" i="9"/>
  <c r="AB96" i="9" s="1"/>
  <c r="P88" i="9"/>
  <c r="AB88" i="9" s="1"/>
  <c r="P116" i="9"/>
  <c r="AB116" i="9" s="1"/>
  <c r="P86" i="9"/>
  <c r="AB86" i="9" s="1"/>
  <c r="P84" i="9"/>
  <c r="AB84" i="9" s="1"/>
  <c r="P82" i="9"/>
  <c r="AB82" i="9" s="1"/>
  <c r="P80" i="9"/>
  <c r="AB80" i="9" s="1"/>
  <c r="P77" i="9"/>
  <c r="AB77" i="9" s="1"/>
  <c r="P72" i="9"/>
  <c r="AB72" i="9" s="1"/>
  <c r="P66" i="9"/>
  <c r="AB66" i="9" s="1"/>
  <c r="P60" i="9"/>
  <c r="AB60" i="9" s="1"/>
  <c r="P113" i="9"/>
  <c r="AB113" i="9" s="1"/>
  <c r="AG58" i="9"/>
  <c r="O55" i="9"/>
  <c r="AA55" i="9" s="1"/>
  <c r="O111" i="9"/>
  <c r="AA111" i="9" s="1"/>
  <c r="O46" i="9"/>
  <c r="AA46" i="9" s="1"/>
  <c r="O41" i="9"/>
  <c r="AA41" i="9" s="1"/>
  <c r="O35" i="9"/>
  <c r="AA35" i="9" s="1"/>
  <c r="O32" i="9"/>
  <c r="AA32" i="9" s="1"/>
  <c r="O30" i="9"/>
  <c r="O28" i="9"/>
  <c r="N97" i="9"/>
  <c r="Z97" i="9" s="1"/>
  <c r="N95" i="9"/>
  <c r="Z95" i="9" s="1"/>
  <c r="N91" i="9"/>
  <c r="Z91" i="9" s="1"/>
  <c r="N124" i="9"/>
  <c r="Z124" i="9" s="1"/>
  <c r="N87" i="9"/>
  <c r="Z87" i="9" s="1"/>
  <c r="N85" i="9"/>
  <c r="Z85" i="9" s="1"/>
  <c r="N83" i="9"/>
  <c r="Z83" i="9" s="1"/>
  <c r="N81" i="9"/>
  <c r="Z81" i="9" s="1"/>
  <c r="N78" i="9"/>
  <c r="Z78" i="9" s="1"/>
  <c r="N115" i="9"/>
  <c r="Z115" i="9" s="1"/>
  <c r="N69" i="9"/>
  <c r="Z69" i="9" s="1"/>
  <c r="N63" i="9"/>
  <c r="Z63" i="9" s="1"/>
  <c r="N59" i="9"/>
  <c r="Z59" i="9" s="1"/>
  <c r="N4" i="9"/>
  <c r="M29" i="9"/>
  <c r="M27" i="9"/>
  <c r="AI106" i="9"/>
  <c r="O112" i="9"/>
  <c r="AE112" i="9"/>
  <c r="AI112" i="9"/>
  <c r="P108" i="9"/>
  <c r="AG108" i="9"/>
  <c r="M109" i="9"/>
  <c r="Q109" i="9"/>
  <c r="AG109" i="9"/>
  <c r="N54" i="9"/>
  <c r="Z54" i="9" s="1"/>
  <c r="AF54" i="9"/>
  <c r="M129" i="9"/>
  <c r="AG129" i="9"/>
  <c r="N130" i="9"/>
  <c r="AF130" i="9"/>
  <c r="Q131" i="9"/>
  <c r="AG131" i="9"/>
  <c r="M132" i="9"/>
  <c r="Q132" i="9"/>
  <c r="AG132" i="9"/>
  <c r="M133" i="9"/>
  <c r="Q133" i="9"/>
  <c r="AG133" i="9"/>
  <c r="N134" i="9"/>
  <c r="AF134" i="9"/>
  <c r="N135" i="9"/>
  <c r="AF135" i="9"/>
  <c r="N136" i="9"/>
  <c r="AF136" i="9"/>
  <c r="N137" i="9"/>
  <c r="AF137" i="9"/>
  <c r="M138" i="9"/>
  <c r="Q138" i="9"/>
  <c r="AG138" i="9"/>
  <c r="N139" i="9"/>
  <c r="AF139" i="9"/>
  <c r="M33" i="9"/>
  <c r="Q33" i="9"/>
  <c r="AC33" i="9" s="1"/>
  <c r="B110" i="1"/>
  <c r="F28" i="14"/>
  <c r="F38" i="14" s="1"/>
  <c r="R51" i="20"/>
  <c r="L59" i="1"/>
  <c r="H28" i="14"/>
  <c r="H38" i="14" s="1"/>
  <c r="F41" i="14"/>
  <c r="M36" i="20" s="1"/>
  <c r="J36" i="20" s="1"/>
  <c r="R36" i="20" s="1"/>
  <c r="P144" i="6"/>
  <c r="P140" i="6"/>
  <c r="T140" i="6" s="1"/>
  <c r="P138" i="6"/>
  <c r="T138" i="6" s="1"/>
  <c r="P134" i="6"/>
  <c r="T134" i="6" s="1"/>
  <c r="P130" i="6"/>
  <c r="T130" i="6" s="1"/>
  <c r="P126" i="6"/>
  <c r="T126" i="6" s="1"/>
  <c r="P80" i="6"/>
  <c r="P136" i="6"/>
  <c r="T136" i="6" s="1"/>
  <c r="P135" i="6"/>
  <c r="T135" i="6" s="1"/>
  <c r="P131" i="6"/>
  <c r="T131" i="6" s="1"/>
  <c r="P72" i="6"/>
  <c r="P128" i="6"/>
  <c r="T128" i="6" s="1"/>
  <c r="P127" i="6"/>
  <c r="T127" i="6" s="1"/>
  <c r="P143" i="6"/>
  <c r="T143" i="6" s="1"/>
  <c r="P142" i="6"/>
  <c r="T142" i="6" s="1"/>
  <c r="P141" i="6"/>
  <c r="T141" i="6" s="1"/>
  <c r="P139" i="6"/>
  <c r="T139" i="6" s="1"/>
  <c r="P137" i="6"/>
  <c r="T137" i="6" s="1"/>
  <c r="P133" i="6"/>
  <c r="T133" i="6" s="1"/>
  <c r="P129" i="6"/>
  <c r="T129" i="6" s="1"/>
  <c r="P125" i="6"/>
  <c r="T125" i="6" s="1"/>
  <c r="P124" i="6"/>
  <c r="T124" i="6" s="1"/>
  <c r="P114" i="6"/>
  <c r="O116" i="6"/>
  <c r="I116" i="6"/>
  <c r="G116" i="6"/>
  <c r="P115" i="6"/>
  <c r="P84" i="6"/>
  <c r="K37" i="6"/>
  <c r="G37" i="6"/>
  <c r="G102" i="14"/>
  <c r="C37" i="5"/>
  <c r="G32" i="1" s="1"/>
  <c r="H116" i="6"/>
  <c r="R49" i="20"/>
  <c r="P106" i="6"/>
  <c r="N37" i="6"/>
  <c r="L37" i="6"/>
  <c r="J37" i="6"/>
  <c r="I37" i="6"/>
  <c r="AH33" i="9"/>
  <c r="D25" i="1"/>
  <c r="F225" i="1" s="1"/>
  <c r="I14" i="1"/>
  <c r="I17" i="1" s="1"/>
  <c r="I20" i="1" s="1"/>
  <c r="I23" i="1" s="1"/>
  <c r="E11" i="5"/>
  <c r="D18" i="1" s="1"/>
  <c r="B183" i="1"/>
  <c r="D14" i="1"/>
  <c r="D17" i="1" s="1"/>
  <c r="P79" i="6"/>
  <c r="P77" i="6"/>
  <c r="P75" i="6"/>
  <c r="P86" i="6"/>
  <c r="P85" i="6"/>
  <c r="P101" i="6"/>
  <c r="N133" i="9"/>
  <c r="N132" i="9"/>
  <c r="N131" i="9"/>
  <c r="O130" i="9"/>
  <c r="O54" i="9"/>
  <c r="N106" i="9"/>
  <c r="E77" i="9"/>
  <c r="F41" i="1"/>
  <c r="F53" i="14" s="1"/>
  <c r="P73" i="6"/>
  <c r="P71" i="6"/>
  <c r="P69" i="6"/>
  <c r="N33" i="9"/>
  <c r="Z33" i="9" s="1"/>
  <c r="N138" i="9"/>
  <c r="AI136" i="9"/>
  <c r="AH112" i="9"/>
  <c r="N112" i="9"/>
  <c r="Z112" i="9" s="1"/>
  <c r="N22" i="10"/>
  <c r="N101" i="10"/>
  <c r="N7" i="10"/>
  <c r="D33" i="1"/>
  <c r="H32" i="1"/>
  <c r="H14" i="1"/>
  <c r="H17" i="1" s="1"/>
  <c r="N23" i="20"/>
  <c r="H27" i="14"/>
  <c r="H37" i="14" s="1"/>
  <c r="P87" i="6"/>
  <c r="P83" i="6"/>
  <c r="B203" i="1"/>
  <c r="B163" i="1"/>
  <c r="B130" i="1"/>
  <c r="B150" i="1" s="1"/>
  <c r="P100" i="6"/>
  <c r="P82" i="6"/>
  <c r="P81" i="6"/>
  <c r="P107" i="6"/>
  <c r="M97" i="10"/>
  <c r="N98" i="10"/>
  <c r="N11" i="10"/>
  <c r="N13" i="10"/>
  <c r="N19" i="10"/>
  <c r="N21" i="10"/>
  <c r="N26" i="10"/>
  <c r="N103" i="10"/>
  <c r="O136" i="9"/>
  <c r="Q135" i="9"/>
  <c r="AG134" i="9"/>
  <c r="N129" i="9"/>
  <c r="N109" i="9"/>
  <c r="M106" i="9"/>
  <c r="P106" i="9"/>
  <c r="N24" i="10"/>
  <c r="N17" i="10"/>
  <c r="N15" i="10"/>
  <c r="N9" i="10"/>
  <c r="P68" i="6"/>
  <c r="AH138" i="9"/>
  <c r="N102" i="10"/>
  <c r="E96" i="10"/>
  <c r="D32" i="1"/>
  <c r="F72" i="14"/>
  <c r="C172" i="1"/>
  <c r="E72" i="14"/>
  <c r="D282" i="1"/>
  <c r="D277" i="1"/>
  <c r="F14" i="1"/>
  <c r="F32" i="1"/>
  <c r="C275" i="1"/>
  <c r="F114" i="1"/>
  <c r="C222" i="1"/>
  <c r="D114" i="1"/>
  <c r="C241" i="1"/>
  <c r="C223" i="1"/>
  <c r="D115" i="1"/>
  <c r="C242" i="1"/>
  <c r="H113" i="1"/>
  <c r="F113" i="1"/>
  <c r="C274" i="1"/>
  <c r="H114" i="1"/>
  <c r="C221" i="1"/>
  <c r="D113" i="1"/>
  <c r="D76" i="1"/>
  <c r="H80" i="1"/>
  <c r="D81" i="1"/>
  <c r="E76" i="1"/>
  <c r="F80" i="1"/>
  <c r="G86" i="1"/>
  <c r="G87" i="1"/>
  <c r="H76" i="1"/>
  <c r="E80" i="1"/>
  <c r="F87" i="1"/>
  <c r="E87" i="1"/>
  <c r="G81" i="1"/>
  <c r="H79" i="1"/>
  <c r="F86" i="1"/>
  <c r="D80" i="1"/>
  <c r="E79" i="1"/>
  <c r="AC79" i="9" l="1"/>
  <c r="AI79" i="9"/>
  <c r="AU79" i="9" s="1"/>
  <c r="AH79" i="9"/>
  <c r="AT79" i="9" s="1"/>
  <c r="AB79" i="9"/>
  <c r="AA79" i="9"/>
  <c r="AG79" i="9"/>
  <c r="AS79" i="9" s="1"/>
  <c r="AF79" i="9"/>
  <c r="AR79" i="9" s="1"/>
  <c r="Z79" i="9"/>
  <c r="R79" i="9"/>
  <c r="AE79" i="9"/>
  <c r="AQ79" i="9" s="1"/>
  <c r="Y79" i="9"/>
  <c r="T49" i="10"/>
  <c r="AB49" i="10"/>
  <c r="AV151" i="9"/>
  <c r="AW151" i="9" s="1"/>
  <c r="AL40" i="9"/>
  <c r="AU26" i="9"/>
  <c r="AS8" i="9"/>
  <c r="AU17" i="9"/>
  <c r="D38" i="14"/>
  <c r="S45" i="10"/>
  <c r="AA45" i="10"/>
  <c r="AG45" i="10" s="1"/>
  <c r="T45" i="10"/>
  <c r="AB45" i="10"/>
  <c r="AH45" i="10" s="1"/>
  <c r="T48" i="10"/>
  <c r="AB48" i="10"/>
  <c r="AH48" i="10" s="1"/>
  <c r="AA48" i="10"/>
  <c r="AG48" i="10" s="1"/>
  <c r="S48" i="10"/>
  <c r="M54" i="10"/>
  <c r="AA22" i="10"/>
  <c r="AG22" i="10" s="1"/>
  <c r="AQ17" i="9"/>
  <c r="AT13" i="9"/>
  <c r="AU22" i="9"/>
  <c r="AQ10" i="9"/>
  <c r="AS19" i="9"/>
  <c r="AT6" i="9"/>
  <c r="AT17" i="9"/>
  <c r="AS5" i="9"/>
  <c r="AS9" i="9"/>
  <c r="AU13" i="9"/>
  <c r="AS23" i="9"/>
  <c r="AT10" i="9"/>
  <c r="AU25" i="9"/>
  <c r="AQ13" i="9"/>
  <c r="AQ9" i="9"/>
  <c r="AT8" i="9"/>
  <c r="AR50" i="9"/>
  <c r="AV50" i="9" s="1"/>
  <c r="AW50" i="9" s="1"/>
  <c r="Y15" i="9"/>
  <c r="R15" i="9"/>
  <c r="AS26" i="9"/>
  <c r="AU16" i="9"/>
  <c r="R6" i="9"/>
  <c r="Y6" i="9"/>
  <c r="AS15" i="9"/>
  <c r="AQ12" i="9"/>
  <c r="Y20" i="9"/>
  <c r="R20" i="9"/>
  <c r="AQ15" i="9"/>
  <c r="Y10" i="9"/>
  <c r="R10" i="9"/>
  <c r="Y21" i="9"/>
  <c r="R21" i="9"/>
  <c r="AT20" i="9"/>
  <c r="AU7" i="9"/>
  <c r="Y19" i="9"/>
  <c r="R19" i="9"/>
  <c r="AT15" i="9"/>
  <c r="AQ22" i="9"/>
  <c r="AT26" i="9"/>
  <c r="AS13" i="9"/>
  <c r="AT19" i="9"/>
  <c r="AU6" i="9"/>
  <c r="AQ20" i="9"/>
  <c r="Y24" i="9"/>
  <c r="R24" i="9"/>
  <c r="AQ19" i="9"/>
  <c r="AQ14" i="9"/>
  <c r="AS14" i="9"/>
  <c r="AT21" i="9"/>
  <c r="AU8" i="9"/>
  <c r="AU12" i="9"/>
  <c r="AU5" i="9"/>
  <c r="AQ25" i="9"/>
  <c r="AT24" i="9"/>
  <c r="AU11" i="9"/>
  <c r="Y23" i="9"/>
  <c r="R23" i="9"/>
  <c r="AQ18" i="9"/>
  <c r="AU24" i="9"/>
  <c r="AT14" i="9"/>
  <c r="AT25" i="9"/>
  <c r="AS17" i="9"/>
  <c r="Y5" i="9"/>
  <c r="R5" i="9"/>
  <c r="AS12" i="9"/>
  <c r="AT16" i="9"/>
  <c r="AQ16" i="9"/>
  <c r="AT23" i="9"/>
  <c r="Y14" i="9"/>
  <c r="R14" i="9"/>
  <c r="AQ23" i="9"/>
  <c r="AS16" i="9"/>
  <c r="Y18" i="9"/>
  <c r="R18" i="9"/>
  <c r="AQ24" i="9"/>
  <c r="Y8" i="9"/>
  <c r="R8" i="9"/>
  <c r="AU15" i="9"/>
  <c r="AT5" i="9"/>
  <c r="AU10" i="9"/>
  <c r="BJ7" i="9"/>
  <c r="BJ11" i="9"/>
  <c r="BJ23" i="9"/>
  <c r="BJ10" i="9"/>
  <c r="BJ17" i="9"/>
  <c r="BJ22" i="9"/>
  <c r="BJ14" i="9"/>
  <c r="BJ8" i="9"/>
  <c r="BJ16" i="9"/>
  <c r="BJ24" i="9"/>
  <c r="BJ6" i="9"/>
  <c r="BJ15" i="9"/>
  <c r="BJ20" i="9"/>
  <c r="BJ9" i="9"/>
  <c r="BJ19" i="9"/>
  <c r="BJ25" i="9"/>
  <c r="BJ12" i="9"/>
  <c r="BJ18" i="9"/>
  <c r="BJ5" i="9"/>
  <c r="BJ21" i="9"/>
  <c r="BJ26" i="9"/>
  <c r="BJ13" i="9"/>
  <c r="AS6" i="9"/>
  <c r="Y17" i="9"/>
  <c r="R17" i="9"/>
  <c r="AU21" i="9"/>
  <c r="AS21" i="9"/>
  <c r="Y7" i="9"/>
  <c r="R7" i="9"/>
  <c r="AU14" i="9"/>
  <c r="AS11" i="9"/>
  <c r="AS22" i="9"/>
  <c r="AT9" i="9"/>
  <c r="AQ8" i="9"/>
  <c r="AS10" i="9"/>
  <c r="AS7" i="9"/>
  <c r="Y12" i="9"/>
  <c r="R12" i="9"/>
  <c r="AU19" i="9"/>
  <c r="AQ7" i="9"/>
  <c r="AQ26" i="9"/>
  <c r="AQ5" i="9"/>
  <c r="AT22" i="9"/>
  <c r="AU9" i="9"/>
  <c r="R25" i="9"/>
  <c r="AC25" i="9"/>
  <c r="Y13" i="9"/>
  <c r="R13" i="9"/>
  <c r="AU20" i="9"/>
  <c r="AS25" i="9"/>
  <c r="AT12" i="9"/>
  <c r="Y11" i="9"/>
  <c r="R11" i="9"/>
  <c r="AS20" i="9"/>
  <c r="AT7" i="9"/>
  <c r="AS18" i="9"/>
  <c r="Y9" i="9"/>
  <c r="R9" i="9"/>
  <c r="Y22" i="9"/>
  <c r="R22" i="9"/>
  <c r="AT18" i="9"/>
  <c r="AS24" i="9"/>
  <c r="AT11" i="9"/>
  <c r="Y26" i="9"/>
  <c r="R26" i="9"/>
  <c r="AQ21" i="9"/>
  <c r="Y16" i="9"/>
  <c r="R16" i="9"/>
  <c r="AU23" i="9"/>
  <c r="AQ11" i="9"/>
  <c r="AU18" i="9"/>
  <c r="AQ6" i="9"/>
  <c r="P91" i="6"/>
  <c r="AB46" i="10"/>
  <c r="AH46" i="10" s="1"/>
  <c r="T46" i="10"/>
  <c r="AA46" i="10"/>
  <c r="AG46" i="10" s="1"/>
  <c r="S46" i="10"/>
  <c r="P118" i="6"/>
  <c r="P121" i="6" s="1"/>
  <c r="G173" i="1" s="1"/>
  <c r="D121" i="6"/>
  <c r="AB44" i="10"/>
  <c r="AH44" i="10" s="1"/>
  <c r="T44" i="10"/>
  <c r="S44" i="10"/>
  <c r="AA44" i="10"/>
  <c r="AG44" i="10" s="1"/>
  <c r="C15" i="30"/>
  <c r="K41" i="46"/>
  <c r="AQ122" i="9"/>
  <c r="AQ42" i="9"/>
  <c r="AQ118" i="9"/>
  <c r="AT89" i="9"/>
  <c r="AQ151" i="9"/>
  <c r="AT118" i="9"/>
  <c r="BG127" i="9"/>
  <c r="BG118" i="9"/>
  <c r="BG119" i="9"/>
  <c r="AS118" i="9"/>
  <c r="AL33" i="9"/>
  <c r="AR33" i="9" s="1"/>
  <c r="AV33" i="9" s="1"/>
  <c r="AW33" i="9" s="1"/>
  <c r="AR118" i="9"/>
  <c r="AU118" i="9"/>
  <c r="T43" i="10"/>
  <c r="S43" i="10"/>
  <c r="AA15" i="10"/>
  <c r="AG15" i="10" s="1"/>
  <c r="AA49" i="10"/>
  <c r="AG49" i="10" s="1"/>
  <c r="S49" i="10"/>
  <c r="AF119" i="9"/>
  <c r="AR119" i="9" s="1"/>
  <c r="Z119" i="9"/>
  <c r="AG119" i="9"/>
  <c r="AS119" i="9" s="1"/>
  <c r="AA119" i="9"/>
  <c r="AI119" i="9"/>
  <c r="AU119" i="9" s="1"/>
  <c r="AC119" i="9"/>
  <c r="R118" i="9"/>
  <c r="Y118" i="9"/>
  <c r="Y119" i="9"/>
  <c r="AE119" i="9"/>
  <c r="AQ119" i="9" s="1"/>
  <c r="R119" i="9"/>
  <c r="AB119" i="9"/>
  <c r="AH119" i="9"/>
  <c r="AT119" i="9" s="1"/>
  <c r="AH127" i="9"/>
  <c r="AT127" i="9" s="1"/>
  <c r="AB127" i="9"/>
  <c r="Y127" i="9"/>
  <c r="AE127" i="9"/>
  <c r="AQ127" i="9" s="1"/>
  <c r="R127" i="9"/>
  <c r="AF127" i="9"/>
  <c r="Z127" i="9"/>
  <c r="AG127" i="9"/>
  <c r="AS127" i="9" s="1"/>
  <c r="AA127" i="9"/>
  <c r="AC127" i="9"/>
  <c r="AI127" i="9"/>
  <c r="AU127" i="9" s="1"/>
  <c r="AL127" i="9"/>
  <c r="AR90" i="9"/>
  <c r="AV90" i="9" s="1"/>
  <c r="AW90" i="9" s="1"/>
  <c r="R113" i="9"/>
  <c r="R93" i="9"/>
  <c r="R40" i="9"/>
  <c r="R71" i="9"/>
  <c r="R75" i="9"/>
  <c r="R125" i="9"/>
  <c r="R89" i="9"/>
  <c r="R94" i="9"/>
  <c r="Y58" i="9"/>
  <c r="R58" i="9"/>
  <c r="Y30" i="9"/>
  <c r="R30" i="9"/>
  <c r="Y56" i="9"/>
  <c r="R56" i="9"/>
  <c r="Y120" i="9"/>
  <c r="R120" i="9"/>
  <c r="R117" i="9"/>
  <c r="Y52" i="9"/>
  <c r="R52" i="9"/>
  <c r="Y83" i="9"/>
  <c r="R83" i="9"/>
  <c r="Y55" i="9"/>
  <c r="R55" i="9"/>
  <c r="R116" i="9"/>
  <c r="Y122" i="9"/>
  <c r="R122" i="9"/>
  <c r="R126" i="9"/>
  <c r="R121" i="9"/>
  <c r="Y43" i="9"/>
  <c r="R43" i="9"/>
  <c r="Y59" i="9"/>
  <c r="R59" i="9"/>
  <c r="Y78" i="9"/>
  <c r="R78" i="9"/>
  <c r="R95" i="9"/>
  <c r="Y152" i="9"/>
  <c r="R152" i="9"/>
  <c r="Y57" i="9"/>
  <c r="R57" i="9"/>
  <c r="Y84" i="9"/>
  <c r="R84" i="9"/>
  <c r="R111" i="9"/>
  <c r="R41" i="9"/>
  <c r="R96" i="9"/>
  <c r="Y4" i="9"/>
  <c r="R4" i="9"/>
  <c r="Y39" i="9"/>
  <c r="R39" i="9"/>
  <c r="Y70" i="9"/>
  <c r="R70" i="9"/>
  <c r="Y50" i="9"/>
  <c r="R50" i="9"/>
  <c r="R45" i="9"/>
  <c r="R123" i="9"/>
  <c r="R62" i="9"/>
  <c r="R65" i="9"/>
  <c r="R51" i="9"/>
  <c r="R76" i="9"/>
  <c r="R151" i="9"/>
  <c r="Y33" i="9"/>
  <c r="R33" i="9"/>
  <c r="Y49" i="9"/>
  <c r="R49" i="9"/>
  <c r="Y81" i="9"/>
  <c r="R81" i="9"/>
  <c r="R97" i="9"/>
  <c r="Y35" i="9"/>
  <c r="R35" i="9"/>
  <c r="Y31" i="9"/>
  <c r="R31" i="9"/>
  <c r="Y63" i="9"/>
  <c r="R63" i="9"/>
  <c r="R87" i="9"/>
  <c r="Y128" i="9"/>
  <c r="R128" i="9"/>
  <c r="Y114" i="9"/>
  <c r="R114" i="9"/>
  <c r="R66" i="9"/>
  <c r="Y60" i="9"/>
  <c r="R60" i="9"/>
  <c r="Y61" i="9"/>
  <c r="R61" i="9"/>
  <c r="Y44" i="9"/>
  <c r="R44" i="9"/>
  <c r="Y36" i="9"/>
  <c r="R36" i="9"/>
  <c r="R27" i="9"/>
  <c r="Y34" i="9"/>
  <c r="R34" i="9"/>
  <c r="Y69" i="9"/>
  <c r="R69" i="9"/>
  <c r="Y124" i="9"/>
  <c r="R124" i="9"/>
  <c r="R28" i="9"/>
  <c r="R82" i="9"/>
  <c r="Y77" i="9"/>
  <c r="R77" i="9"/>
  <c r="Y67" i="9"/>
  <c r="R67" i="9"/>
  <c r="Y42" i="9"/>
  <c r="R42" i="9"/>
  <c r="R48" i="9"/>
  <c r="R68" i="9"/>
  <c r="R150" i="9"/>
  <c r="R29" i="9"/>
  <c r="Y38" i="9"/>
  <c r="R38" i="9"/>
  <c r="Y115" i="9"/>
  <c r="R115" i="9"/>
  <c r="Y85" i="9"/>
  <c r="R85" i="9"/>
  <c r="R91" i="9"/>
  <c r="Y72" i="9"/>
  <c r="R72" i="9"/>
  <c r="R54" i="9"/>
  <c r="R32" i="9"/>
  <c r="R88" i="9"/>
  <c r="Y86" i="9"/>
  <c r="R86" i="9"/>
  <c r="Y46" i="9"/>
  <c r="R46" i="9"/>
  <c r="R80" i="9"/>
  <c r="Y73" i="9"/>
  <c r="R73" i="9"/>
  <c r="Y53" i="9"/>
  <c r="R53" i="9"/>
  <c r="Y64" i="9"/>
  <c r="R64" i="9"/>
  <c r="Y47" i="9"/>
  <c r="R47" i="9"/>
  <c r="R90" i="9"/>
  <c r="R37" i="9"/>
  <c r="R74" i="9"/>
  <c r="R92" i="9"/>
  <c r="AU151" i="9"/>
  <c r="AS150" i="9"/>
  <c r="AL70" i="9"/>
  <c r="AL71" i="9" s="1"/>
  <c r="AU93" i="9"/>
  <c r="AS151" i="9"/>
  <c r="AQ89" i="9"/>
  <c r="AQ150" i="9"/>
  <c r="AU145" i="9"/>
  <c r="AQ93" i="9"/>
  <c r="AU90" i="9"/>
  <c r="Y150" i="9"/>
  <c r="AT151" i="9"/>
  <c r="AT150" i="9"/>
  <c r="BJ150" i="9"/>
  <c r="BJ151" i="9"/>
  <c r="AU150" i="9"/>
  <c r="AQ126" i="9"/>
  <c r="AR89" i="9"/>
  <c r="AV89" i="9" s="1"/>
  <c r="AW89" i="9" s="1"/>
  <c r="AQ145" i="9"/>
  <c r="AS146" i="9"/>
  <c r="Y151" i="9"/>
  <c r="BG94" i="9"/>
  <c r="BG148" i="9"/>
  <c r="BJ146" i="9"/>
  <c r="BG149" i="9"/>
  <c r="BJ145" i="9"/>
  <c r="BG75" i="9"/>
  <c r="AT90" i="9"/>
  <c r="Y145" i="9"/>
  <c r="R145" i="9"/>
  <c r="AS90" i="9"/>
  <c r="AT93" i="9"/>
  <c r="AQ90" i="9"/>
  <c r="AT146" i="9"/>
  <c r="AS145" i="9"/>
  <c r="AU126" i="9"/>
  <c r="AT126" i="9"/>
  <c r="AS93" i="9"/>
  <c r="AS89" i="9"/>
  <c r="AT145" i="9"/>
  <c r="AQ146" i="9"/>
  <c r="AS126" i="9"/>
  <c r="AU89" i="9"/>
  <c r="Y146" i="9"/>
  <c r="R146" i="9"/>
  <c r="AU146" i="9"/>
  <c r="AG88" i="9"/>
  <c r="AS88" i="9" s="1"/>
  <c r="AA88" i="9"/>
  <c r="Y97" i="9"/>
  <c r="Y96" i="9"/>
  <c r="AH94" i="9"/>
  <c r="AT94" i="9" s="1"/>
  <c r="Y95" i="9"/>
  <c r="AF94" i="9"/>
  <c r="AR94" i="9" s="1"/>
  <c r="AV94" i="9" s="1"/>
  <c r="AW94" i="9" s="1"/>
  <c r="AG94" i="9"/>
  <c r="AS94" i="9" s="1"/>
  <c r="Y94" i="9"/>
  <c r="AE94" i="9"/>
  <c r="AQ94" i="9" s="1"/>
  <c r="AI94" i="9"/>
  <c r="AU94" i="9" s="1"/>
  <c r="AD29" i="10"/>
  <c r="AE29" i="10" s="1"/>
  <c r="AB42" i="10"/>
  <c r="T42" i="10"/>
  <c r="AG42" i="10"/>
  <c r="S42" i="10"/>
  <c r="AA47" i="10"/>
  <c r="AG47" i="10" s="1"/>
  <c r="S47" i="10"/>
  <c r="AB47" i="10"/>
  <c r="T47" i="10"/>
  <c r="AD34" i="10"/>
  <c r="AB40" i="10"/>
  <c r="T40" i="10"/>
  <c r="AA41" i="10"/>
  <c r="AG41" i="10" s="1"/>
  <c r="S41" i="10"/>
  <c r="AD30" i="10"/>
  <c r="AB41" i="10"/>
  <c r="T41" i="10"/>
  <c r="AA40" i="10"/>
  <c r="S40" i="10"/>
  <c r="AB31" i="10"/>
  <c r="T31" i="10"/>
  <c r="AA31" i="10"/>
  <c r="S31" i="10"/>
  <c r="AD31" i="10"/>
  <c r="R26" i="18"/>
  <c r="F23" i="38"/>
  <c r="E23" i="38" s="1"/>
  <c r="N23" i="38" s="1"/>
  <c r="AB35" i="10"/>
  <c r="T35" i="10"/>
  <c r="S30" i="10"/>
  <c r="AA30" i="10"/>
  <c r="AB39" i="10"/>
  <c r="T39" i="10"/>
  <c r="S32" i="10"/>
  <c r="AA32" i="10"/>
  <c r="AG32" i="10" s="1"/>
  <c r="AB34" i="10"/>
  <c r="T34" i="10"/>
  <c r="AB33" i="10"/>
  <c r="T33" i="10"/>
  <c r="AB29" i="10"/>
  <c r="T29" i="10"/>
  <c r="S33" i="10"/>
  <c r="AA33" i="10"/>
  <c r="AG33" i="10" s="1"/>
  <c r="AB32" i="10"/>
  <c r="T32" i="10"/>
  <c r="AB30" i="10"/>
  <c r="T30" i="10"/>
  <c r="AB38" i="10"/>
  <c r="T38" i="10"/>
  <c r="S29" i="10"/>
  <c r="AA29" i="10"/>
  <c r="S36" i="10"/>
  <c r="AA36" i="10"/>
  <c r="AG36" i="10" s="1"/>
  <c r="S37" i="10"/>
  <c r="AA37" i="10"/>
  <c r="AG37" i="10" s="1"/>
  <c r="S103" i="10"/>
  <c r="AA103" i="10"/>
  <c r="AG103" i="10" s="1"/>
  <c r="S39" i="10"/>
  <c r="AA39" i="10"/>
  <c r="AG39" i="10" s="1"/>
  <c r="AB103" i="10"/>
  <c r="T103" i="10"/>
  <c r="S38" i="10"/>
  <c r="AA38" i="10"/>
  <c r="AG38" i="10" s="1"/>
  <c r="AB36" i="10"/>
  <c r="T36" i="10"/>
  <c r="AB37" i="10"/>
  <c r="T37" i="10"/>
  <c r="S34" i="10"/>
  <c r="AA34" i="10"/>
  <c r="S35" i="10"/>
  <c r="AA35" i="10"/>
  <c r="AG35" i="10" s="1"/>
  <c r="AB6" i="10"/>
  <c r="AA18" i="10"/>
  <c r="AG18" i="10" s="1"/>
  <c r="N54" i="10"/>
  <c r="BH43" i="9"/>
  <c r="BG92" i="9"/>
  <c r="BG117" i="9"/>
  <c r="AQ44" i="9"/>
  <c r="J23" i="20"/>
  <c r="AS33" i="9"/>
  <c r="AQ70" i="9"/>
  <c r="AU70" i="9"/>
  <c r="AU50" i="9"/>
  <c r="AQ36" i="9"/>
  <c r="AU74" i="9"/>
  <c r="AL93" i="9"/>
  <c r="AR93" i="9" s="1"/>
  <c r="AV93" i="9" s="1"/>
  <c r="AW93" i="9" s="1"/>
  <c r="AS74" i="9"/>
  <c r="N58" i="20"/>
  <c r="AH117" i="9"/>
  <c r="AT117" i="9" s="1"/>
  <c r="AB52" i="10"/>
  <c r="AH52" i="10" s="1"/>
  <c r="AF117" i="9"/>
  <c r="AG92" i="9"/>
  <c r="AS92" i="9" s="1"/>
  <c r="AE117" i="9"/>
  <c r="AQ117" i="9" s="1"/>
  <c r="Y117" i="9"/>
  <c r="Y92" i="9"/>
  <c r="AE92" i="9"/>
  <c r="AQ92" i="9" s="1"/>
  <c r="AF92" i="9"/>
  <c r="Z92" i="9"/>
  <c r="AI117" i="9"/>
  <c r="AU117" i="9" s="1"/>
  <c r="AI92" i="9"/>
  <c r="AU92" i="9" s="1"/>
  <c r="AG117" i="9"/>
  <c r="AS117" i="9" s="1"/>
  <c r="AH92" i="9"/>
  <c r="AT92" i="9" s="1"/>
  <c r="AF76" i="9"/>
  <c r="Z76" i="9"/>
  <c r="BG74" i="9"/>
  <c r="BG76" i="9"/>
  <c r="Y76" i="9"/>
  <c r="AE76" i="9"/>
  <c r="AQ76" i="9" s="1"/>
  <c r="AI76" i="9"/>
  <c r="AU76" i="9" s="1"/>
  <c r="AC76" i="9"/>
  <c r="AU47" i="9"/>
  <c r="AB76" i="9"/>
  <c r="AH76" i="9"/>
  <c r="AT76" i="9" s="1"/>
  <c r="AG76" i="9"/>
  <c r="AS76" i="9" s="1"/>
  <c r="AA76" i="9"/>
  <c r="AQ51" i="9"/>
  <c r="AL73" i="9"/>
  <c r="AQ61" i="9"/>
  <c r="AT74" i="9"/>
  <c r="E221" i="1"/>
  <c r="AU67" i="9"/>
  <c r="AQ39" i="9"/>
  <c r="AT51" i="9"/>
  <c r="AS51" i="9"/>
  <c r="AR74" i="9"/>
  <c r="AV74" i="9" s="1"/>
  <c r="AW74" i="9" s="1"/>
  <c r="AU51" i="9"/>
  <c r="Y74" i="9"/>
  <c r="AQ74" i="9"/>
  <c r="AT73" i="9"/>
  <c r="AQ73" i="9"/>
  <c r="AU73" i="9"/>
  <c r="AU64" i="9"/>
  <c r="AU56" i="9"/>
  <c r="AS73" i="9"/>
  <c r="AS70" i="9"/>
  <c r="AT70" i="9"/>
  <c r="AS67" i="9"/>
  <c r="AR67" i="9"/>
  <c r="AV67" i="9" s="1"/>
  <c r="AW67" i="9" s="1"/>
  <c r="AT67" i="9"/>
  <c r="AQ67" i="9"/>
  <c r="AR64" i="9"/>
  <c r="AV64" i="9" s="1"/>
  <c r="AW64" i="9" s="1"/>
  <c r="AQ64" i="9"/>
  <c r="AS64" i="9"/>
  <c r="AT64" i="9"/>
  <c r="AT61" i="9"/>
  <c r="AQ47" i="9"/>
  <c r="AR61" i="9"/>
  <c r="AV61" i="9" s="1"/>
  <c r="AW61" i="9" s="1"/>
  <c r="AS56" i="9"/>
  <c r="AU61" i="9"/>
  <c r="AS61" i="9"/>
  <c r="AU122" i="9"/>
  <c r="AQ50" i="9"/>
  <c r="AS122" i="9"/>
  <c r="AT122" i="9"/>
  <c r="AQ56" i="9"/>
  <c r="AT53" i="9"/>
  <c r="AT56" i="9"/>
  <c r="AR56" i="9"/>
  <c r="AV56" i="9" s="1"/>
  <c r="AW56" i="9" s="1"/>
  <c r="AS53" i="9"/>
  <c r="AR53" i="9"/>
  <c r="AV53" i="9" s="1"/>
  <c r="AW53" i="9" s="1"/>
  <c r="AQ53" i="9"/>
  <c r="AU53" i="9"/>
  <c r="AS50" i="9"/>
  <c r="Y51" i="9"/>
  <c r="AR51" i="9"/>
  <c r="AV51" i="9" s="1"/>
  <c r="AW51" i="9" s="1"/>
  <c r="BG120" i="9"/>
  <c r="BG51" i="9"/>
  <c r="AT50" i="9"/>
  <c r="AS47" i="9"/>
  <c r="AT47" i="9"/>
  <c r="AR44" i="9"/>
  <c r="AV44" i="9" s="1"/>
  <c r="AW44" i="9" s="1"/>
  <c r="AL120" i="9"/>
  <c r="AL47" i="9"/>
  <c r="AT44" i="9"/>
  <c r="AS44" i="9"/>
  <c r="AU44" i="9"/>
  <c r="AS42" i="9"/>
  <c r="AR42" i="9"/>
  <c r="AV42" i="9" s="1"/>
  <c r="AW42" i="9" s="1"/>
  <c r="AU42" i="9"/>
  <c r="AS39" i="9"/>
  <c r="AT42" i="9"/>
  <c r="AT39" i="9"/>
  <c r="AU39" i="9"/>
  <c r="AR39" i="9"/>
  <c r="AV39" i="9" s="1"/>
  <c r="AW39" i="9" s="1"/>
  <c r="AS36" i="9"/>
  <c r="AU36" i="9"/>
  <c r="AT36" i="9"/>
  <c r="AR36" i="9"/>
  <c r="AV36" i="9" s="1"/>
  <c r="AW36" i="9" s="1"/>
  <c r="AT120" i="9"/>
  <c r="AS120" i="9"/>
  <c r="AT33" i="9"/>
  <c r="AQ120" i="9"/>
  <c r="AU120" i="9"/>
  <c r="AQ33" i="9"/>
  <c r="AU33" i="9"/>
  <c r="AI125" i="9"/>
  <c r="AU125" i="9" s="1"/>
  <c r="BG125" i="9"/>
  <c r="Y125" i="9"/>
  <c r="AE125" i="9"/>
  <c r="AQ125" i="9" s="1"/>
  <c r="AG125" i="9"/>
  <c r="AS125" i="9" s="1"/>
  <c r="AH125" i="9"/>
  <c r="AT125" i="9" s="1"/>
  <c r="Z125" i="9"/>
  <c r="AF125" i="9"/>
  <c r="L133" i="1"/>
  <c r="N133" i="1" s="1"/>
  <c r="P133" i="1" s="1"/>
  <c r="AG75" i="9"/>
  <c r="AS75" i="9" s="1"/>
  <c r="AA75" i="9"/>
  <c r="Z75" i="9"/>
  <c r="AF75" i="9"/>
  <c r="AR75" i="9" s="1"/>
  <c r="AI75" i="9"/>
  <c r="AU75" i="9" s="1"/>
  <c r="AC75" i="9"/>
  <c r="AB75" i="9"/>
  <c r="AH75" i="9"/>
  <c r="AT75" i="9" s="1"/>
  <c r="AE75" i="9"/>
  <c r="AQ75" i="9" s="1"/>
  <c r="Y75" i="9"/>
  <c r="BG71" i="9"/>
  <c r="AI71" i="9"/>
  <c r="AU71" i="9" s="1"/>
  <c r="AC71" i="9"/>
  <c r="AF71" i="9"/>
  <c r="Z71" i="9"/>
  <c r="AE71" i="9"/>
  <c r="AQ71" i="9" s="1"/>
  <c r="Y71" i="9"/>
  <c r="AG71" i="9"/>
  <c r="AS71" i="9" s="1"/>
  <c r="AA71" i="9"/>
  <c r="AB71" i="9"/>
  <c r="AH71" i="9"/>
  <c r="AT71" i="9" s="1"/>
  <c r="Y68" i="9"/>
  <c r="AE68" i="9"/>
  <c r="AQ68" i="9" s="1"/>
  <c r="AG68" i="9"/>
  <c r="AS68" i="9" s="1"/>
  <c r="AA68" i="9"/>
  <c r="BG68" i="9"/>
  <c r="Z68" i="9"/>
  <c r="AF68" i="9"/>
  <c r="AR68" i="9" s="1"/>
  <c r="AI68" i="9"/>
  <c r="AU68" i="9" s="1"/>
  <c r="AC68" i="9"/>
  <c r="AB68" i="9"/>
  <c r="AH68" i="9"/>
  <c r="AT68" i="9" s="1"/>
  <c r="AC65" i="9"/>
  <c r="AI65" i="9"/>
  <c r="AU65" i="9" s="1"/>
  <c r="Y65" i="9"/>
  <c r="AE65" i="9"/>
  <c r="AQ65" i="9" s="1"/>
  <c r="BG65" i="9"/>
  <c r="AF65" i="9"/>
  <c r="AR65" i="9" s="1"/>
  <c r="Z65" i="9"/>
  <c r="AA65" i="9"/>
  <c r="AG65" i="9"/>
  <c r="AS65" i="9" s="1"/>
  <c r="AH65" i="9"/>
  <c r="AT65" i="9" s="1"/>
  <c r="AB65" i="9"/>
  <c r="AC62" i="9"/>
  <c r="AI62" i="9"/>
  <c r="AU62" i="9" s="1"/>
  <c r="AG62" i="9"/>
  <c r="AS62" i="9" s="1"/>
  <c r="AA62" i="9"/>
  <c r="Y62" i="9"/>
  <c r="AE62" i="9"/>
  <c r="AQ62" i="9" s="1"/>
  <c r="AH62" i="9"/>
  <c r="AT62" i="9" s="1"/>
  <c r="AB62" i="9"/>
  <c r="BG62" i="9"/>
  <c r="AF62" i="9"/>
  <c r="AR62" i="9" s="1"/>
  <c r="Z62" i="9"/>
  <c r="Y123" i="9"/>
  <c r="AE123" i="9"/>
  <c r="AQ123" i="9" s="1"/>
  <c r="AC123" i="9"/>
  <c r="AI123" i="9"/>
  <c r="AU123" i="9" s="1"/>
  <c r="AB123" i="9"/>
  <c r="AH123" i="9"/>
  <c r="AT123" i="9" s="1"/>
  <c r="Z123" i="9"/>
  <c r="AF123" i="9"/>
  <c r="BG48" i="9"/>
  <c r="BG123" i="9"/>
  <c r="AG123" i="9"/>
  <c r="AS123" i="9" s="1"/>
  <c r="AA123" i="9"/>
  <c r="AE48" i="9"/>
  <c r="AQ48" i="9" s="1"/>
  <c r="Y48" i="9"/>
  <c r="AF48" i="9"/>
  <c r="Z48" i="9"/>
  <c r="AA48" i="9"/>
  <c r="AG48" i="9"/>
  <c r="AS48" i="9" s="1"/>
  <c r="AC48" i="9"/>
  <c r="AI48" i="9"/>
  <c r="AU48" i="9" s="1"/>
  <c r="AH48" i="9"/>
  <c r="AT48" i="9" s="1"/>
  <c r="AB48" i="9"/>
  <c r="AE45" i="9"/>
  <c r="AQ45" i="9" s="1"/>
  <c r="Y45" i="9"/>
  <c r="AH45" i="9"/>
  <c r="AT45" i="9" s="1"/>
  <c r="AB45" i="9"/>
  <c r="Z45" i="9"/>
  <c r="AF45" i="9"/>
  <c r="AR45" i="9" s="1"/>
  <c r="BG45" i="9"/>
  <c r="AG45" i="9"/>
  <c r="AS45" i="9" s="1"/>
  <c r="AA45" i="9"/>
  <c r="AI45" i="9"/>
  <c r="AU45" i="9" s="1"/>
  <c r="AC45" i="9"/>
  <c r="AG40" i="9"/>
  <c r="AS40" i="9" s="1"/>
  <c r="AA40" i="9"/>
  <c r="AE40" i="9"/>
  <c r="AQ40" i="9" s="1"/>
  <c r="Y40" i="9"/>
  <c r="AC40" i="9"/>
  <c r="AI40" i="9"/>
  <c r="AU40" i="9" s="1"/>
  <c r="AF40" i="9"/>
  <c r="Z40" i="9"/>
  <c r="BG40" i="9"/>
  <c r="AH40" i="9"/>
  <c r="AT40" i="9" s="1"/>
  <c r="AB40" i="9"/>
  <c r="AE37" i="9"/>
  <c r="AQ37" i="9" s="1"/>
  <c r="Y37" i="9"/>
  <c r="AB37" i="9"/>
  <c r="AH37" i="9"/>
  <c r="AT37" i="9" s="1"/>
  <c r="AI37" i="9"/>
  <c r="AU37" i="9" s="1"/>
  <c r="AC37" i="9"/>
  <c r="AG37" i="9"/>
  <c r="AS37" i="9" s="1"/>
  <c r="AA37" i="9"/>
  <c r="BG37" i="9"/>
  <c r="Z37" i="9"/>
  <c r="AF37" i="9"/>
  <c r="AR37" i="9" s="1"/>
  <c r="AF121" i="9"/>
  <c r="AG121" i="9"/>
  <c r="AS121" i="9" s="1"/>
  <c r="AA121" i="9"/>
  <c r="AC121" i="9"/>
  <c r="AI121" i="9"/>
  <c r="AU121" i="9" s="1"/>
  <c r="BG121" i="9"/>
  <c r="AH121" i="9"/>
  <c r="AT121" i="9" s="1"/>
  <c r="AB121" i="9"/>
  <c r="Y121" i="9"/>
  <c r="AE121" i="9"/>
  <c r="AQ121" i="9" s="1"/>
  <c r="AA26" i="10"/>
  <c r="AG26" i="10" s="1"/>
  <c r="T23" i="10"/>
  <c r="T28" i="10"/>
  <c r="AA4" i="10"/>
  <c r="AG4" i="10" s="1"/>
  <c r="S4" i="10"/>
  <c r="R148" i="9"/>
  <c r="M47" i="20"/>
  <c r="J47" i="20" s="1"/>
  <c r="M46" i="20"/>
  <c r="J46" i="20" s="1"/>
  <c r="AA8" i="10"/>
  <c r="AG8" i="10" s="1"/>
  <c r="AB4" i="10"/>
  <c r="R149" i="9"/>
  <c r="AA14" i="10"/>
  <c r="AG14" i="10" s="1"/>
  <c r="AA19" i="10"/>
  <c r="AG19" i="10" s="1"/>
  <c r="T97" i="10"/>
  <c r="AL126" i="9"/>
  <c r="AR126" i="9" s="1"/>
  <c r="AR54" i="9"/>
  <c r="AV54" i="9" s="1"/>
  <c r="AW54" i="9" s="1"/>
  <c r="BH111" i="9"/>
  <c r="T5" i="10"/>
  <c r="T18" i="10"/>
  <c r="AA9" i="10"/>
  <c r="AG9" i="10" s="1"/>
  <c r="AA21" i="10"/>
  <c r="AG21" i="10" s="1"/>
  <c r="AA16" i="10"/>
  <c r="AG16" i="10" s="1"/>
  <c r="T10" i="10"/>
  <c r="AA20" i="10"/>
  <c r="AG20" i="10" s="1"/>
  <c r="AA6" i="10"/>
  <c r="AG6" i="10" s="1"/>
  <c r="T99" i="10"/>
  <c r="AA98" i="10"/>
  <c r="AG98" i="10" s="1"/>
  <c r="T8" i="10"/>
  <c r="AA12" i="10"/>
  <c r="AG12" i="10" s="1"/>
  <c r="AB97" i="10"/>
  <c r="AA7" i="10"/>
  <c r="AG7" i="10" s="1"/>
  <c r="AB50" i="10"/>
  <c r="AH50" i="10" s="1"/>
  <c r="AB51" i="10"/>
  <c r="AH51" i="10" s="1"/>
  <c r="T20" i="10"/>
  <c r="S51" i="10"/>
  <c r="T14" i="10"/>
  <c r="T16" i="10"/>
  <c r="R129" i="9"/>
  <c r="R106" i="9"/>
  <c r="AA10" i="10"/>
  <c r="AG10" i="10" s="1"/>
  <c r="S99" i="10"/>
  <c r="S52" i="10"/>
  <c r="AA11" i="10"/>
  <c r="AG11" i="10" s="1"/>
  <c r="AA17" i="10"/>
  <c r="AG17" i="10" s="1"/>
  <c r="AE97" i="10"/>
  <c r="S5" i="10"/>
  <c r="S23" i="10"/>
  <c r="S28" i="10"/>
  <c r="S25" i="10"/>
  <c r="T25" i="10"/>
  <c r="AA101" i="10"/>
  <c r="AG101" i="10" s="1"/>
  <c r="S50" i="10"/>
  <c r="AA13" i="10"/>
  <c r="AG13" i="10" s="1"/>
  <c r="T100" i="10"/>
  <c r="S102" i="10"/>
  <c r="S100" i="10"/>
  <c r="AA24" i="10"/>
  <c r="AG24" i="10" s="1"/>
  <c r="T12" i="10"/>
  <c r="AR112" i="9"/>
  <c r="D20" i="30"/>
  <c r="R143" i="9"/>
  <c r="BG144" i="9"/>
  <c r="BG143" i="9"/>
  <c r="R144" i="9"/>
  <c r="AC30" i="9"/>
  <c r="AF35" i="9"/>
  <c r="AR35" i="9" s="1"/>
  <c r="AV35" i="9" s="1"/>
  <c r="AW35" i="9" s="1"/>
  <c r="AU30" i="9"/>
  <c r="AG110" i="9"/>
  <c r="AS110" i="9" s="1"/>
  <c r="AF77" i="9"/>
  <c r="AR77" i="9" s="1"/>
  <c r="AV77" i="9" s="1"/>
  <c r="AW77" i="9" s="1"/>
  <c r="AL122" i="9"/>
  <c r="BG44" i="9"/>
  <c r="BG53" i="9"/>
  <c r="BG61" i="9"/>
  <c r="BG73" i="9"/>
  <c r="BG42" i="9"/>
  <c r="BG50" i="9"/>
  <c r="BG122" i="9"/>
  <c r="BG70" i="9"/>
  <c r="BG39" i="9"/>
  <c r="BG140" i="9"/>
  <c r="BG142" i="9"/>
  <c r="BG67" i="9"/>
  <c r="BG36" i="9"/>
  <c r="BG47" i="9"/>
  <c r="BG56" i="9"/>
  <c r="BG64" i="9"/>
  <c r="BG33" i="9"/>
  <c r="R135" i="9"/>
  <c r="R142" i="9"/>
  <c r="R140" i="9"/>
  <c r="AE60" i="9"/>
  <c r="AQ60" i="9" s="1"/>
  <c r="AI69" i="9"/>
  <c r="AU69" i="9" s="1"/>
  <c r="AH38" i="9"/>
  <c r="AT38" i="9" s="1"/>
  <c r="AI91" i="9"/>
  <c r="AU91" i="9" s="1"/>
  <c r="AG66" i="9"/>
  <c r="AS66" i="9" s="1"/>
  <c r="BM1" i="9"/>
  <c r="B262" i="1"/>
  <c r="P113" i="6"/>
  <c r="P116" i="6" s="1"/>
  <c r="G120" i="1" s="1"/>
  <c r="C120" i="1" s="1"/>
  <c r="D22" i="30"/>
  <c r="D21" i="30"/>
  <c r="J14" i="20"/>
  <c r="S14" i="20" s="1"/>
  <c r="AH49" i="9"/>
  <c r="AT49" i="9" s="1"/>
  <c r="E138" i="9"/>
  <c r="E143" i="9" s="1"/>
  <c r="AI116" i="9"/>
  <c r="AU116" i="9" s="1"/>
  <c r="AH43" i="9"/>
  <c r="AT43" i="9" s="1"/>
  <c r="AE46" i="9"/>
  <c r="AQ46" i="9" s="1"/>
  <c r="AI77" i="9"/>
  <c r="AU77" i="9" s="1"/>
  <c r="AF55" i="9"/>
  <c r="AR55" i="9" s="1"/>
  <c r="AV55" i="9" s="1"/>
  <c r="AW55" i="9" s="1"/>
  <c r="AG77" i="9"/>
  <c r="AS77" i="9" s="1"/>
  <c r="D24" i="30"/>
  <c r="AH28" i="9"/>
  <c r="AT28" i="9" s="1"/>
  <c r="D23" i="30"/>
  <c r="C10" i="30"/>
  <c r="E10" i="30" s="1"/>
  <c r="AR152" i="9"/>
  <c r="AV152" i="9" s="1"/>
  <c r="AW152" i="9" s="1"/>
  <c r="AF34" i="9"/>
  <c r="AR34" i="9" s="1"/>
  <c r="AV34" i="9" s="1"/>
  <c r="AW34" i="9" s="1"/>
  <c r="AU57" i="9"/>
  <c r="AG83" i="9"/>
  <c r="AS83" i="9" s="1"/>
  <c r="AH91" i="9"/>
  <c r="AT91" i="9" s="1"/>
  <c r="AI88" i="9"/>
  <c r="AU88" i="9" s="1"/>
  <c r="AG63" i="9"/>
  <c r="AS63" i="9" s="1"/>
  <c r="AT152" i="9"/>
  <c r="AS57" i="9"/>
  <c r="AI84" i="9"/>
  <c r="AU84" i="9" s="1"/>
  <c r="AC4" i="9"/>
  <c r="AH35" i="9"/>
  <c r="AT35" i="9" s="1"/>
  <c r="AH110" i="9"/>
  <c r="AT110" i="9" s="1"/>
  <c r="AG124" i="9"/>
  <c r="AS124" i="9" s="1"/>
  <c r="AG86" i="9"/>
  <c r="AS86" i="9" s="1"/>
  <c r="AI66" i="9"/>
  <c r="AU66" i="9" s="1"/>
  <c r="AR57" i="9"/>
  <c r="AV57" i="9" s="1"/>
  <c r="AW57" i="9" s="1"/>
  <c r="C17" i="30"/>
  <c r="AF46" i="9"/>
  <c r="AE72" i="9"/>
  <c r="AQ72" i="9" s="1"/>
  <c r="C14" i="30"/>
  <c r="E14" i="30" s="1"/>
  <c r="C11" i="30"/>
  <c r="E11" i="30" s="1"/>
  <c r="C16" i="30"/>
  <c r="E16" i="30" s="1"/>
  <c r="C12" i="30"/>
  <c r="E12" i="30" s="1"/>
  <c r="AH59" i="9"/>
  <c r="AT59" i="9" s="1"/>
  <c r="C13" i="30"/>
  <c r="E13" i="30" s="1"/>
  <c r="AE4" i="10"/>
  <c r="AE96" i="9"/>
  <c r="AQ96" i="9" s="1"/>
  <c r="E15" i="30"/>
  <c r="D27" i="14"/>
  <c r="AT58" i="9"/>
  <c r="AU58" i="9"/>
  <c r="AU152" i="9"/>
  <c r="AS152" i="9"/>
  <c r="AH95" i="9"/>
  <c r="AT95" i="9" s="1"/>
  <c r="AH32" i="9"/>
  <c r="AT32" i="9" s="1"/>
  <c r="AT57" i="9"/>
  <c r="AQ58" i="9"/>
  <c r="Z27" i="9"/>
  <c r="AE4" i="9"/>
  <c r="AQ4" i="9" s="1"/>
  <c r="AS58" i="9"/>
  <c r="AR30" i="9"/>
  <c r="AH83" i="9"/>
  <c r="AT83" i="9" s="1"/>
  <c r="AH41" i="9"/>
  <c r="AT41" i="9" s="1"/>
  <c r="D234" i="1"/>
  <c r="D225" i="1"/>
  <c r="AQ57" i="9"/>
  <c r="AQ152" i="9"/>
  <c r="AR58" i="9"/>
  <c r="AV58" i="9" s="1"/>
  <c r="AW58" i="9" s="1"/>
  <c r="AG82" i="9"/>
  <c r="AS82" i="9" s="1"/>
  <c r="D51" i="14"/>
  <c r="D52" i="14"/>
  <c r="G51" i="14"/>
  <c r="G56" i="14"/>
  <c r="G64" i="14" s="1"/>
  <c r="R108" i="9"/>
  <c r="L135" i="1"/>
  <c r="N135" i="1" s="1"/>
  <c r="P135" i="1" s="1"/>
  <c r="L134" i="1"/>
  <c r="N134" i="1" s="1"/>
  <c r="P134" i="1" s="1"/>
  <c r="AE87" i="9"/>
  <c r="AQ87" i="9" s="1"/>
  <c r="Y87" i="9"/>
  <c r="AE97" i="9"/>
  <c r="AQ97" i="9" s="1"/>
  <c r="AF66" i="9"/>
  <c r="AR66" i="9" s="1"/>
  <c r="Z66" i="9"/>
  <c r="AF88" i="9"/>
  <c r="AR88" i="9" s="1"/>
  <c r="AV88" i="9" s="1"/>
  <c r="AW88" i="9" s="1"/>
  <c r="AI55" i="9"/>
  <c r="AU55" i="9" s="1"/>
  <c r="AC55" i="9"/>
  <c r="AI81" i="9"/>
  <c r="AU81" i="9" s="1"/>
  <c r="AC81" i="9"/>
  <c r="AF80" i="9"/>
  <c r="AR80" i="9" s="1"/>
  <c r="Z80" i="9"/>
  <c r="AI32" i="9"/>
  <c r="AU32" i="9" s="1"/>
  <c r="AC32" i="9"/>
  <c r="AE66" i="9"/>
  <c r="AQ66" i="9" s="1"/>
  <c r="Y66" i="9"/>
  <c r="AF38" i="9"/>
  <c r="AR38" i="9" s="1"/>
  <c r="Z38" i="9"/>
  <c r="AI59" i="9"/>
  <c r="AU59" i="9" s="1"/>
  <c r="AC59" i="9"/>
  <c r="AF86" i="9"/>
  <c r="AR86" i="9" s="1"/>
  <c r="Z86" i="9"/>
  <c r="AI78" i="9"/>
  <c r="AU78" i="9" s="1"/>
  <c r="AC78" i="9"/>
  <c r="AF82" i="9"/>
  <c r="AR82" i="9" s="1"/>
  <c r="Z82" i="9"/>
  <c r="AI35" i="9"/>
  <c r="AU35" i="9" s="1"/>
  <c r="AC35" i="9"/>
  <c r="AI115" i="9"/>
  <c r="AU115" i="9" s="1"/>
  <c r="AC115" i="9"/>
  <c r="AI95" i="9"/>
  <c r="AU95" i="9" s="1"/>
  <c r="AG43" i="9"/>
  <c r="AS43" i="9" s="1"/>
  <c r="AA43" i="9"/>
  <c r="AE111" i="9"/>
  <c r="AQ111" i="9" s="1"/>
  <c r="Y111" i="9"/>
  <c r="AF84" i="9"/>
  <c r="AR84" i="9" s="1"/>
  <c r="Z84" i="9"/>
  <c r="AI41" i="9"/>
  <c r="AU41" i="9" s="1"/>
  <c r="AC41" i="9"/>
  <c r="AG115" i="9"/>
  <c r="AS115" i="9" s="1"/>
  <c r="AA115" i="9"/>
  <c r="AG95" i="9"/>
  <c r="AS95" i="9" s="1"/>
  <c r="AH31" i="9"/>
  <c r="AT31" i="9" s="1"/>
  <c r="AB31" i="9"/>
  <c r="AF96" i="9"/>
  <c r="AR96" i="9" s="1"/>
  <c r="Z96" i="9"/>
  <c r="AI83" i="9"/>
  <c r="AU83" i="9" s="1"/>
  <c r="AC83" i="9"/>
  <c r="AE80" i="9"/>
  <c r="AQ80" i="9" s="1"/>
  <c r="Y80" i="9"/>
  <c r="AE91" i="9"/>
  <c r="AQ91" i="9" s="1"/>
  <c r="Y91" i="9"/>
  <c r="AF60" i="9"/>
  <c r="AR60" i="9" s="1"/>
  <c r="AV60" i="9" s="1"/>
  <c r="AW60" i="9" s="1"/>
  <c r="AG49" i="9"/>
  <c r="AS49" i="9" s="1"/>
  <c r="AA49" i="9"/>
  <c r="AG116" i="9"/>
  <c r="AS116" i="9" s="1"/>
  <c r="AH34" i="9"/>
  <c r="AT34" i="9" s="1"/>
  <c r="AB34" i="9"/>
  <c r="AI63" i="9"/>
  <c r="AU63" i="9" s="1"/>
  <c r="AC63" i="9"/>
  <c r="AI124" i="9"/>
  <c r="AU124" i="9" s="1"/>
  <c r="AE32" i="9"/>
  <c r="AQ32" i="9" s="1"/>
  <c r="Y32" i="9"/>
  <c r="AE88" i="9"/>
  <c r="AQ88" i="9" s="1"/>
  <c r="Y88" i="9"/>
  <c r="AF110" i="9"/>
  <c r="AR110" i="9" s="1"/>
  <c r="AF72" i="9"/>
  <c r="AR72" i="9" s="1"/>
  <c r="Z72" i="9"/>
  <c r="AG52" i="9"/>
  <c r="AS52" i="9" s="1"/>
  <c r="AA52" i="9"/>
  <c r="AE113" i="9"/>
  <c r="AQ113" i="9" s="1"/>
  <c r="Y113" i="9"/>
  <c r="AE116" i="9"/>
  <c r="AQ116" i="9" s="1"/>
  <c r="Y116" i="9"/>
  <c r="AI46" i="9"/>
  <c r="AU46" i="9" s="1"/>
  <c r="AC46" i="9"/>
  <c r="AG96" i="9"/>
  <c r="AS96" i="9" s="1"/>
  <c r="AG34" i="9"/>
  <c r="AS34" i="9" s="1"/>
  <c r="AA34" i="9"/>
  <c r="AI85" i="9"/>
  <c r="AU85" i="9" s="1"/>
  <c r="AC85" i="9"/>
  <c r="AF116" i="9"/>
  <c r="AR116" i="9" s="1"/>
  <c r="Z116" i="9"/>
  <c r="AI111" i="9"/>
  <c r="AU111" i="9" s="1"/>
  <c r="AC111" i="9"/>
  <c r="AE82" i="9"/>
  <c r="AQ82" i="9" s="1"/>
  <c r="Y82" i="9"/>
  <c r="AG31" i="9"/>
  <c r="AS31" i="9" s="1"/>
  <c r="AA31" i="9"/>
  <c r="AE41" i="9"/>
  <c r="AQ41" i="9" s="1"/>
  <c r="Y41" i="9"/>
  <c r="AG85" i="9"/>
  <c r="AS85" i="9" s="1"/>
  <c r="AA85" i="9"/>
  <c r="AG38" i="9"/>
  <c r="AS38" i="9" s="1"/>
  <c r="AA38" i="9"/>
  <c r="AI87" i="9"/>
  <c r="AU87" i="9" s="1"/>
  <c r="AC87" i="9"/>
  <c r="AI97" i="9"/>
  <c r="AU97" i="9" s="1"/>
  <c r="G9" i="1"/>
  <c r="G114" i="1" s="1"/>
  <c r="BH83" i="9"/>
  <c r="BH86" i="9"/>
  <c r="BG124" i="9"/>
  <c r="BG91" i="9"/>
  <c r="BG95" i="9"/>
  <c r="BG112" i="9"/>
  <c r="BG54" i="9"/>
  <c r="BI31" i="9"/>
  <c r="BG35" i="9"/>
  <c r="BG41" i="9"/>
  <c r="BG46" i="9"/>
  <c r="BG52" i="9"/>
  <c r="BJ57" i="9"/>
  <c r="BH59" i="9"/>
  <c r="BH63" i="9"/>
  <c r="BG69" i="9"/>
  <c r="BH115" i="9"/>
  <c r="BH80" i="9"/>
  <c r="BH82" i="9"/>
  <c r="BI85" i="9"/>
  <c r="BI116" i="9"/>
  <c r="BH88" i="9"/>
  <c r="BI30" i="9"/>
  <c r="BH34" i="9"/>
  <c r="BH38" i="9"/>
  <c r="BJ43" i="9"/>
  <c r="BJ152" i="9"/>
  <c r="BG63" i="9"/>
  <c r="BJ66" i="9"/>
  <c r="BG115" i="9"/>
  <c r="BF29" i="9"/>
  <c r="BG80" i="9"/>
  <c r="BG82" i="9"/>
  <c r="BG84" i="9"/>
  <c r="BJ87" i="9"/>
  <c r="BG88" i="9"/>
  <c r="BJ91" i="9"/>
  <c r="BJ97" i="9"/>
  <c r="BJ28" i="9"/>
  <c r="BG34" i="9"/>
  <c r="BG38" i="9"/>
  <c r="BG111" i="9"/>
  <c r="BG55" i="9"/>
  <c r="BG113" i="9"/>
  <c r="BH60" i="9"/>
  <c r="BH66" i="9"/>
  <c r="BG72" i="9"/>
  <c r="BF77" i="9"/>
  <c r="BI78" i="9"/>
  <c r="BH81" i="9"/>
  <c r="BJ83" i="9"/>
  <c r="BH87" i="9"/>
  <c r="BH124" i="9"/>
  <c r="BH91" i="9"/>
  <c r="BH96" i="9"/>
  <c r="BG27" i="9"/>
  <c r="BG32" i="9"/>
  <c r="BH35" i="9"/>
  <c r="BG43" i="9"/>
  <c r="BG49" i="9"/>
  <c r="BG128" i="9"/>
  <c r="BI58" i="9"/>
  <c r="BG60" i="9"/>
  <c r="BG66" i="9"/>
  <c r="BG114" i="9"/>
  <c r="BF110" i="9"/>
  <c r="D48" i="1"/>
  <c r="D56" i="14" s="1"/>
  <c r="D64" i="14" s="1"/>
  <c r="D111" i="1"/>
  <c r="D124" i="1" s="1"/>
  <c r="D67" i="1" s="1"/>
  <c r="D135" i="1" s="1"/>
  <c r="AH97" i="9"/>
  <c r="AT97" i="9" s="1"/>
  <c r="AH52" i="9"/>
  <c r="AT52" i="9" s="1"/>
  <c r="AH55" i="9"/>
  <c r="AT55" i="9" s="1"/>
  <c r="AE86" i="9"/>
  <c r="AQ86" i="9" s="1"/>
  <c r="AE30" i="9"/>
  <c r="AQ30" i="9" s="1"/>
  <c r="AH69" i="9"/>
  <c r="AT69" i="9" s="1"/>
  <c r="AI82" i="9"/>
  <c r="AU82" i="9" s="1"/>
  <c r="AG113" i="9"/>
  <c r="AS113" i="9" s="1"/>
  <c r="AG91" i="9"/>
  <c r="AS91" i="9" s="1"/>
  <c r="AG81" i="9"/>
  <c r="AS81" i="9" s="1"/>
  <c r="AB27" i="9"/>
  <c r="AH81" i="9"/>
  <c r="AT81" i="9" s="1"/>
  <c r="AI80" i="9"/>
  <c r="AU80" i="9" s="1"/>
  <c r="AG97" i="9"/>
  <c r="AS97" i="9" s="1"/>
  <c r="AF49" i="9"/>
  <c r="AR49" i="9" s="1"/>
  <c r="AV49" i="9" s="1"/>
  <c r="AW49" i="9" s="1"/>
  <c r="AH111" i="9"/>
  <c r="AT111" i="9" s="1"/>
  <c r="AG4" i="9"/>
  <c r="AS4" i="9" s="1"/>
  <c r="AH124" i="9"/>
  <c r="AT124" i="9" s="1"/>
  <c r="R137" i="9"/>
  <c r="AI86" i="9"/>
  <c r="AU86" i="9" s="1"/>
  <c r="AH30" i="9"/>
  <c r="AT30" i="9" s="1"/>
  <c r="AG78" i="9"/>
  <c r="AS78" i="9" s="1"/>
  <c r="AH87" i="9"/>
  <c r="AT87" i="9" s="1"/>
  <c r="AI113" i="9"/>
  <c r="AU113" i="9" s="1"/>
  <c r="AG80" i="9"/>
  <c r="AS80" i="9" s="1"/>
  <c r="AH78" i="9"/>
  <c r="AT78" i="9" s="1"/>
  <c r="AF52" i="9"/>
  <c r="AR52" i="9" s="1"/>
  <c r="AV52" i="9" s="1"/>
  <c r="AW52" i="9" s="1"/>
  <c r="AE84" i="9"/>
  <c r="AQ84" i="9" s="1"/>
  <c r="AI72" i="9"/>
  <c r="AU72" i="9" s="1"/>
  <c r="AG69" i="9"/>
  <c r="AS69" i="9" s="1"/>
  <c r="AH4" i="9"/>
  <c r="AT4" i="9" s="1"/>
  <c r="AF111" i="9"/>
  <c r="AR111" i="9" s="1"/>
  <c r="AG87" i="9"/>
  <c r="AS87" i="9" s="1"/>
  <c r="AG59" i="9"/>
  <c r="AS59" i="9" s="1"/>
  <c r="AG72" i="9"/>
  <c r="AS72" i="9" s="1"/>
  <c r="AH63" i="9"/>
  <c r="AT63" i="9" s="1"/>
  <c r="R134" i="9"/>
  <c r="AH46" i="9"/>
  <c r="AT46" i="9" s="1"/>
  <c r="AE77" i="9"/>
  <c r="AQ77" i="9" s="1"/>
  <c r="AF29" i="9"/>
  <c r="AR29" i="9" s="1"/>
  <c r="AV29" i="9" s="1"/>
  <c r="AW29" i="9" s="1"/>
  <c r="AI96" i="9"/>
  <c r="AU96" i="9" s="1"/>
  <c r="AI60" i="9"/>
  <c r="AU60" i="9" s="1"/>
  <c r="AF43" i="9"/>
  <c r="AR43" i="9" s="1"/>
  <c r="AV43" i="9" s="1"/>
  <c r="AW43" i="9" s="1"/>
  <c r="AB29" i="9"/>
  <c r="AH115" i="9"/>
  <c r="AT115" i="9" s="1"/>
  <c r="AG84" i="9"/>
  <c r="AS84" i="9" s="1"/>
  <c r="AA29" i="9"/>
  <c r="AE35" i="9"/>
  <c r="AQ35" i="9" s="1"/>
  <c r="AE55" i="9"/>
  <c r="AQ55" i="9" s="1"/>
  <c r="R139" i="9"/>
  <c r="AG60" i="9"/>
  <c r="AS60" i="9" s="1"/>
  <c r="AH85" i="9"/>
  <c r="AT85" i="9" s="1"/>
  <c r="AF41" i="9"/>
  <c r="AR41" i="9" s="1"/>
  <c r="AV41" i="9" s="1"/>
  <c r="AW41" i="9" s="1"/>
  <c r="AF31" i="9"/>
  <c r="AR31" i="9" s="1"/>
  <c r="AV31" i="9" s="1"/>
  <c r="AW31" i="9" s="1"/>
  <c r="AA27" i="9"/>
  <c r="AC28" i="9"/>
  <c r="Z30" i="9"/>
  <c r="W54" i="10"/>
  <c r="V54" i="10"/>
  <c r="G28" i="14"/>
  <c r="G38" i="14" s="1"/>
  <c r="J86" i="14"/>
  <c r="J87" i="14"/>
  <c r="F27" i="14"/>
  <c r="F37" i="14" s="1"/>
  <c r="R55" i="20"/>
  <c r="P37" i="6"/>
  <c r="AA27" i="10"/>
  <c r="S27" i="10"/>
  <c r="AB27" i="10"/>
  <c r="T27" i="10"/>
  <c r="AE22" i="10"/>
  <c r="S21" i="20"/>
  <c r="AS29" i="9"/>
  <c r="AU4" i="9"/>
  <c r="AE18" i="10"/>
  <c r="AF128" i="9"/>
  <c r="AR128" i="9" s="1"/>
  <c r="AF114" i="9"/>
  <c r="AR114" i="9" s="1"/>
  <c r="AS27" i="9"/>
  <c r="AE14" i="10"/>
  <c r="AE32" i="10" s="1"/>
  <c r="AE102" i="10"/>
  <c r="AU28" i="9"/>
  <c r="Y28" i="9"/>
  <c r="AE28" i="9"/>
  <c r="AQ28" i="9" s="1"/>
  <c r="AH114" i="9"/>
  <c r="AT114" i="9" s="1"/>
  <c r="AI114" i="9"/>
  <c r="AU114" i="9" s="1"/>
  <c r="AF113" i="9"/>
  <c r="AR113" i="9" s="1"/>
  <c r="AE114" i="9"/>
  <c r="AQ114" i="9" s="1"/>
  <c r="AG114" i="9"/>
  <c r="AS114" i="9" s="1"/>
  <c r="AE124" i="9"/>
  <c r="AQ124" i="9" s="1"/>
  <c r="R112" i="9"/>
  <c r="AF28" i="9"/>
  <c r="AR28" i="9" s="1"/>
  <c r="AV28" i="9" s="1"/>
  <c r="AW28" i="9" s="1"/>
  <c r="R131" i="9"/>
  <c r="R133" i="9"/>
  <c r="R136" i="9"/>
  <c r="P101" i="9"/>
  <c r="AE95" i="9"/>
  <c r="AQ95" i="9" s="1"/>
  <c r="AF32" i="9"/>
  <c r="AR32" i="9" s="1"/>
  <c r="AV32" i="9" s="1"/>
  <c r="AW32" i="9" s="1"/>
  <c r="R109" i="9"/>
  <c r="N101" i="9"/>
  <c r="M101" i="9"/>
  <c r="O101" i="9"/>
  <c r="Q101" i="9"/>
  <c r="R138" i="9"/>
  <c r="R130" i="9"/>
  <c r="R132" i="9"/>
  <c r="AH128" i="9"/>
  <c r="AT128" i="9" s="1"/>
  <c r="AI128" i="9"/>
  <c r="AU128" i="9" s="1"/>
  <c r="AE128" i="9"/>
  <c r="AQ128" i="9" s="1"/>
  <c r="AG128" i="9"/>
  <c r="AS128" i="9" s="1"/>
  <c r="Y27" i="9"/>
  <c r="AE27" i="9"/>
  <c r="Z4" i="9"/>
  <c r="AF4" i="9"/>
  <c r="AR4" i="9" s="1"/>
  <c r="AF63" i="9"/>
  <c r="AR63" i="9" s="1"/>
  <c r="AV63" i="9" s="1"/>
  <c r="AW63" i="9" s="1"/>
  <c r="AF115" i="9"/>
  <c r="AR115" i="9" s="1"/>
  <c r="AF81" i="9"/>
  <c r="AR81" i="9" s="1"/>
  <c r="AV81" i="9" s="1"/>
  <c r="AW81" i="9" s="1"/>
  <c r="AF85" i="9"/>
  <c r="AR85" i="9" s="1"/>
  <c r="AV85" i="9" s="1"/>
  <c r="AW85" i="9" s="1"/>
  <c r="AF124" i="9"/>
  <c r="AR124" i="9" s="1"/>
  <c r="AF95" i="9"/>
  <c r="AR95" i="9" s="1"/>
  <c r="AV95" i="9" s="1"/>
  <c r="AW95" i="9" s="1"/>
  <c r="AA28" i="9"/>
  <c r="AG28" i="9"/>
  <c r="AS28" i="9" s="1"/>
  <c r="AG32" i="9"/>
  <c r="AS32" i="9" s="1"/>
  <c r="AG41" i="9"/>
  <c r="AS41" i="9" s="1"/>
  <c r="AG111" i="9"/>
  <c r="AS111" i="9" s="1"/>
  <c r="AH60" i="9"/>
  <c r="AT60" i="9" s="1"/>
  <c r="AH72" i="9"/>
  <c r="AT72" i="9" s="1"/>
  <c r="AH80" i="9"/>
  <c r="AT80" i="9" s="1"/>
  <c r="AH84" i="9"/>
  <c r="AT84" i="9" s="1"/>
  <c r="AH116" i="9"/>
  <c r="AT116" i="9" s="1"/>
  <c r="AI27" i="9"/>
  <c r="AU27" i="9" s="1"/>
  <c r="AC27" i="9"/>
  <c r="AI31" i="9"/>
  <c r="AU31" i="9" s="1"/>
  <c r="AI38" i="9"/>
  <c r="AU38" i="9" s="1"/>
  <c r="AI49" i="9"/>
  <c r="AU49" i="9" s="1"/>
  <c r="AI110" i="9"/>
  <c r="AU110" i="9" s="1"/>
  <c r="AE31" i="9"/>
  <c r="AQ31" i="9" s="1"/>
  <c r="AE38" i="9"/>
  <c r="AQ38" i="9" s="1"/>
  <c r="AE49" i="9"/>
  <c r="AQ49" i="9" s="1"/>
  <c r="AE110" i="9"/>
  <c r="AQ110" i="9" s="1"/>
  <c r="AE63" i="9"/>
  <c r="AQ63" i="9" s="1"/>
  <c r="AE115" i="9"/>
  <c r="AQ115" i="9" s="1"/>
  <c r="AE81" i="9"/>
  <c r="AQ81" i="9" s="1"/>
  <c r="AE85" i="9"/>
  <c r="AQ85" i="9" s="1"/>
  <c r="AE29" i="9"/>
  <c r="AQ29" i="9" s="1"/>
  <c r="Y29" i="9"/>
  <c r="AF59" i="9"/>
  <c r="AR59" i="9" s="1"/>
  <c r="AV59" i="9" s="1"/>
  <c r="AW59" i="9" s="1"/>
  <c r="AF69" i="9"/>
  <c r="AF78" i="9"/>
  <c r="AR78" i="9" s="1"/>
  <c r="AV78" i="9" s="1"/>
  <c r="AW78" i="9" s="1"/>
  <c r="AF83" i="9"/>
  <c r="AR83" i="9" s="1"/>
  <c r="AV83" i="9" s="1"/>
  <c r="AW83" i="9" s="1"/>
  <c r="AF87" i="9"/>
  <c r="AR87" i="9" s="1"/>
  <c r="AV87" i="9" s="1"/>
  <c r="AW87" i="9" s="1"/>
  <c r="AF91" i="9"/>
  <c r="AR91" i="9" s="1"/>
  <c r="AV91" i="9" s="1"/>
  <c r="AF97" i="9"/>
  <c r="AR97" i="9" s="1"/>
  <c r="AV97" i="9" s="1"/>
  <c r="AW97" i="9" s="1"/>
  <c r="AG30" i="9"/>
  <c r="AS30" i="9" s="1"/>
  <c r="AA30" i="9"/>
  <c r="AG35" i="9"/>
  <c r="AS35" i="9" s="1"/>
  <c r="AG46" i="9"/>
  <c r="AS46" i="9" s="1"/>
  <c r="AG55" i="9"/>
  <c r="AS55" i="9" s="1"/>
  <c r="AH113" i="9"/>
  <c r="AT113" i="9" s="1"/>
  <c r="AH66" i="9"/>
  <c r="AT66" i="9" s="1"/>
  <c r="AH77" i="9"/>
  <c r="AT77" i="9" s="1"/>
  <c r="AH82" i="9"/>
  <c r="AT82" i="9" s="1"/>
  <c r="AH86" i="9"/>
  <c r="AT86" i="9" s="1"/>
  <c r="AH88" i="9"/>
  <c r="AT88" i="9" s="1"/>
  <c r="AH96" i="9"/>
  <c r="AT96" i="9" s="1"/>
  <c r="AI29" i="9"/>
  <c r="AU29" i="9" s="1"/>
  <c r="AC29" i="9"/>
  <c r="AI34" i="9"/>
  <c r="AU34" i="9" s="1"/>
  <c r="AI43" i="9"/>
  <c r="AU43" i="9" s="1"/>
  <c r="AI52" i="9"/>
  <c r="AU52" i="9" s="1"/>
  <c r="AE34" i="9"/>
  <c r="AQ34" i="9" s="1"/>
  <c r="AE43" i="9"/>
  <c r="AQ43" i="9" s="1"/>
  <c r="AE52" i="9"/>
  <c r="AQ52" i="9" s="1"/>
  <c r="AE59" i="9"/>
  <c r="AQ59" i="9" s="1"/>
  <c r="AE69" i="9"/>
  <c r="AQ69" i="9" s="1"/>
  <c r="AE78" i="9"/>
  <c r="AQ78" i="9" s="1"/>
  <c r="AE83" i="9"/>
  <c r="AQ83" i="9" s="1"/>
  <c r="G27" i="14"/>
  <c r="G37" i="14" s="1"/>
  <c r="AR27" i="9"/>
  <c r="N34" i="20"/>
  <c r="J34" i="20" s="1"/>
  <c r="N17" i="20"/>
  <c r="J17" i="20" s="1"/>
  <c r="H166" i="1"/>
  <c r="C231" i="1"/>
  <c r="E231" i="1" s="1"/>
  <c r="G170" i="1"/>
  <c r="C249" i="1"/>
  <c r="E171" i="1"/>
  <c r="E101" i="14" s="1"/>
  <c r="F171" i="1"/>
  <c r="C283" i="1"/>
  <c r="E283" i="1" s="1"/>
  <c r="F167" i="1"/>
  <c r="AE16" i="10"/>
  <c r="AE103" i="10"/>
  <c r="R37" i="20"/>
  <c r="AE24" i="10"/>
  <c r="H167" i="1"/>
  <c r="N59" i="20"/>
  <c r="J59" i="20" s="1"/>
  <c r="C250" i="1"/>
  <c r="N24" i="20"/>
  <c r="J24" i="20" s="1"/>
  <c r="D168" i="1"/>
  <c r="C232" i="1"/>
  <c r="E232" i="1" s="1"/>
  <c r="N18" i="20"/>
  <c r="J18" i="20" s="1"/>
  <c r="AE21" i="10"/>
  <c r="AG102" i="10"/>
  <c r="B37" i="5"/>
  <c r="G8" i="1" s="1"/>
  <c r="P132" i="6"/>
  <c r="T132" i="6" s="1"/>
  <c r="AE20" i="10"/>
  <c r="AE26" i="10"/>
  <c r="AT29" i="9"/>
  <c r="AE9" i="10"/>
  <c r="AG25" i="10"/>
  <c r="AE7" i="10"/>
  <c r="AE11" i="10"/>
  <c r="AE49" i="10" s="1"/>
  <c r="AH49" i="10" s="1"/>
  <c r="AE98" i="10"/>
  <c r="AE5" i="10"/>
  <c r="AG5" i="10"/>
  <c r="S36" i="20"/>
  <c r="R27" i="20"/>
  <c r="D20" i="1"/>
  <c r="D37" i="5"/>
  <c r="G33" i="1" s="1"/>
  <c r="D167" i="1"/>
  <c r="H25" i="1"/>
  <c r="E45" i="5"/>
  <c r="H18" i="1" s="1"/>
  <c r="H41" i="1" s="1"/>
  <c r="H53" i="14" s="1"/>
  <c r="D41" i="1"/>
  <c r="D53" i="14" s="1"/>
  <c r="AT27" i="9"/>
  <c r="D37" i="1"/>
  <c r="D40" i="1" s="1"/>
  <c r="AE8" i="10"/>
  <c r="AE12" i="10"/>
  <c r="AE36" i="10" s="1"/>
  <c r="AE15" i="10"/>
  <c r="AE37" i="10" s="1"/>
  <c r="AE19" i="10"/>
  <c r="AE23" i="10"/>
  <c r="AE100" i="10"/>
  <c r="AE28" i="10"/>
  <c r="AB101" i="10"/>
  <c r="T101" i="10"/>
  <c r="AG100" i="10"/>
  <c r="AE6" i="10"/>
  <c r="AE10" i="10"/>
  <c r="AE33" i="10" s="1"/>
  <c r="AE13" i="10"/>
  <c r="AE35" i="10" s="1"/>
  <c r="AE17" i="10"/>
  <c r="AE99" i="10"/>
  <c r="AE25" i="10"/>
  <c r="AE101" i="10"/>
  <c r="T7" i="10"/>
  <c r="AB7" i="10"/>
  <c r="AB22" i="10"/>
  <c r="T22" i="10"/>
  <c r="AG28" i="10"/>
  <c r="AG23" i="10"/>
  <c r="AG99" i="10"/>
  <c r="AB102" i="10"/>
  <c r="T102" i="10"/>
  <c r="T15" i="10"/>
  <c r="AB15" i="10"/>
  <c r="AB24" i="10"/>
  <c r="T24" i="10"/>
  <c r="AB21" i="10"/>
  <c r="T21" i="10"/>
  <c r="AB13" i="10"/>
  <c r="T13" i="10"/>
  <c r="AB98" i="10"/>
  <c r="T98" i="10"/>
  <c r="H37" i="1"/>
  <c r="H40" i="1" s="1"/>
  <c r="H51" i="14"/>
  <c r="H88" i="14" s="1"/>
  <c r="F37" i="5"/>
  <c r="G27" i="1" s="1"/>
  <c r="G118" i="1" s="1"/>
  <c r="P109" i="6"/>
  <c r="AB9" i="10"/>
  <c r="T9" i="10"/>
  <c r="AB17" i="10"/>
  <c r="T17" i="10"/>
  <c r="T26" i="10"/>
  <c r="AB26" i="10"/>
  <c r="T19" i="10"/>
  <c r="AB19" i="10"/>
  <c r="T11" i="10"/>
  <c r="AB11" i="10"/>
  <c r="S97" i="10"/>
  <c r="AA97" i="10"/>
  <c r="AG97" i="10" s="1"/>
  <c r="N44" i="20"/>
  <c r="J44" i="20" s="1"/>
  <c r="N57" i="20"/>
  <c r="F51" i="14"/>
  <c r="F37" i="1"/>
  <c r="F40" i="1" s="1"/>
  <c r="F43" i="1" s="1"/>
  <c r="F17" i="1"/>
  <c r="D285" i="1"/>
  <c r="E274" i="1"/>
  <c r="E223" i="1"/>
  <c r="E222" i="1"/>
  <c r="E275" i="1"/>
  <c r="G80" i="1"/>
  <c r="F79" i="1"/>
  <c r="G79" i="1"/>
  <c r="AV79" i="9" l="1"/>
  <c r="AW79" i="9" s="1"/>
  <c r="AV27" i="9"/>
  <c r="AW27" i="9" s="1"/>
  <c r="AV45" i="9"/>
  <c r="AW45" i="9" s="1"/>
  <c r="AV82" i="9"/>
  <c r="AW82" i="9" s="1"/>
  <c r="AV38" i="9"/>
  <c r="AW38" i="9" s="1"/>
  <c r="AV96" i="9"/>
  <c r="AW96" i="9" s="1"/>
  <c r="AV72" i="9"/>
  <c r="AW72" i="9" s="1"/>
  <c r="AV80" i="9"/>
  <c r="AW80" i="9" s="1"/>
  <c r="AV37" i="9"/>
  <c r="AW37" i="9" s="1"/>
  <c r="AV62" i="9"/>
  <c r="AW62" i="9" s="1"/>
  <c r="AV30" i="9"/>
  <c r="AW30" i="9" s="1"/>
  <c r="AV86" i="9"/>
  <c r="AW86" i="9" s="1"/>
  <c r="AR40" i="9"/>
  <c r="AV40" i="9" s="1"/>
  <c r="AW40" i="9" s="1"/>
  <c r="AV84" i="9"/>
  <c r="AW84" i="9" s="1"/>
  <c r="AV66" i="9"/>
  <c r="AW66" i="9" s="1"/>
  <c r="AV65" i="9"/>
  <c r="AW65" i="9" s="1"/>
  <c r="AV68" i="9"/>
  <c r="AW68" i="9" s="1"/>
  <c r="AV75" i="9"/>
  <c r="AW75" i="9" s="1"/>
  <c r="D37" i="14"/>
  <c r="BM24" i="9"/>
  <c r="BS24" i="9" s="1"/>
  <c r="BQ79" i="9"/>
  <c r="BW79" i="9" s="1"/>
  <c r="BO79" i="9"/>
  <c r="BU79" i="9" s="1"/>
  <c r="BN79" i="9"/>
  <c r="BT79" i="9" s="1"/>
  <c r="BM79" i="9"/>
  <c r="BS79" i="9" s="1"/>
  <c r="BP79" i="9"/>
  <c r="BV79" i="9" s="1"/>
  <c r="BM12" i="9"/>
  <c r="BS12" i="9" s="1"/>
  <c r="BQ21" i="9"/>
  <c r="BW21" i="9" s="1"/>
  <c r="BO24" i="9"/>
  <c r="BU24" i="9" s="1"/>
  <c r="BO23" i="9"/>
  <c r="BU23" i="9" s="1"/>
  <c r="BO25" i="9"/>
  <c r="BU25" i="9" s="1"/>
  <c r="BO5" i="9"/>
  <c r="BU5" i="9" s="1"/>
  <c r="BM18" i="9"/>
  <c r="BS18" i="9" s="1"/>
  <c r="BQ15" i="9"/>
  <c r="BW15" i="9" s="1"/>
  <c r="BP23" i="9"/>
  <c r="BV23" i="9" s="1"/>
  <c r="BM16" i="9"/>
  <c r="BS16" i="9" s="1"/>
  <c r="BP7" i="9"/>
  <c r="BV7" i="9" s="1"/>
  <c r="BQ10" i="9"/>
  <c r="BW10" i="9" s="1"/>
  <c r="BM9" i="9"/>
  <c r="BS9" i="9" s="1"/>
  <c r="BQ23" i="9"/>
  <c r="BW23" i="9" s="1"/>
  <c r="BP9" i="9"/>
  <c r="BV9" i="9" s="1"/>
  <c r="BP10" i="9"/>
  <c r="BV10" i="9" s="1"/>
  <c r="BM11" i="9"/>
  <c r="BS11" i="9" s="1"/>
  <c r="BP17" i="9"/>
  <c r="BV17" i="9" s="1"/>
  <c r="BM5" i="9"/>
  <c r="BS5" i="9" s="1"/>
  <c r="BQ12" i="9"/>
  <c r="BW12" i="9" s="1"/>
  <c r="BP8" i="9"/>
  <c r="BV8" i="9" s="1"/>
  <c r="BO17" i="9"/>
  <c r="BU17" i="9" s="1"/>
  <c r="BP18" i="9"/>
  <c r="BV18" i="9" s="1"/>
  <c r="BQ5" i="9"/>
  <c r="BW5" i="9" s="1"/>
  <c r="BO26" i="9"/>
  <c r="BU26" i="9" s="1"/>
  <c r="BQ25" i="9"/>
  <c r="BW25" i="9" s="1"/>
  <c r="BM26" i="9"/>
  <c r="BS26" i="9" s="1"/>
  <c r="BQ17" i="9"/>
  <c r="BW17" i="9" s="1"/>
  <c r="BM19" i="9"/>
  <c r="BS19" i="9" s="1"/>
  <c r="BP5" i="9"/>
  <c r="BV5" i="9" s="1"/>
  <c r="BM23" i="9"/>
  <c r="BS23" i="9" s="1"/>
  <c r="BP26" i="9"/>
  <c r="BV26" i="9" s="1"/>
  <c r="BO19" i="9"/>
  <c r="BU19" i="9" s="1"/>
  <c r="BO15" i="9"/>
  <c r="BU15" i="9" s="1"/>
  <c r="BQ16" i="9"/>
  <c r="BW16" i="9" s="1"/>
  <c r="BQ9" i="9"/>
  <c r="BW9" i="9" s="1"/>
  <c r="BO18" i="9"/>
  <c r="BU18" i="9" s="1"/>
  <c r="BQ6" i="9"/>
  <c r="BW6" i="9" s="1"/>
  <c r="BM8" i="9"/>
  <c r="BS8" i="9" s="1"/>
  <c r="BP16" i="9"/>
  <c r="BV16" i="9" s="1"/>
  <c r="BP20" i="9"/>
  <c r="BV20" i="9" s="1"/>
  <c r="BO13" i="9"/>
  <c r="BU13" i="9" s="1"/>
  <c r="BQ13" i="9"/>
  <c r="BW13" i="9" s="1"/>
  <c r="BO8" i="9"/>
  <c r="BU8" i="9" s="1"/>
  <c r="BO11" i="9"/>
  <c r="BU11" i="9" s="1"/>
  <c r="BN119" i="9"/>
  <c r="BT119" i="9" s="1"/>
  <c r="BN13" i="9"/>
  <c r="BT13" i="9" s="1"/>
  <c r="BN7" i="9"/>
  <c r="BT7" i="9" s="1"/>
  <c r="BN15" i="9"/>
  <c r="BT15" i="9" s="1"/>
  <c r="BN22" i="9"/>
  <c r="BT22" i="9" s="1"/>
  <c r="BN25" i="9"/>
  <c r="BT25" i="9" s="1"/>
  <c r="BN5" i="9"/>
  <c r="BT5" i="9" s="1"/>
  <c r="BN6" i="9"/>
  <c r="BT6" i="9" s="1"/>
  <c r="BN17" i="9"/>
  <c r="BT17" i="9" s="1"/>
  <c r="BN9" i="9"/>
  <c r="BT9" i="9" s="1"/>
  <c r="BN18" i="9"/>
  <c r="BT18" i="9" s="1"/>
  <c r="BN24" i="9"/>
  <c r="BT24" i="9" s="1"/>
  <c r="BN16" i="9"/>
  <c r="BT16" i="9" s="1"/>
  <c r="BN26" i="9"/>
  <c r="BT26" i="9" s="1"/>
  <c r="BN8" i="9"/>
  <c r="BT8" i="9" s="1"/>
  <c r="BN12" i="9"/>
  <c r="BT12" i="9" s="1"/>
  <c r="BN14" i="9"/>
  <c r="BT14" i="9" s="1"/>
  <c r="BN20" i="9"/>
  <c r="BT20" i="9" s="1"/>
  <c r="BN10" i="9"/>
  <c r="BT10" i="9" s="1"/>
  <c r="BN11" i="9"/>
  <c r="BT11" i="9" s="1"/>
  <c r="BN19" i="9"/>
  <c r="BT19" i="9" s="1"/>
  <c r="BN23" i="9"/>
  <c r="BT23" i="9" s="1"/>
  <c r="BN21" i="9"/>
  <c r="BT21" i="9" s="1"/>
  <c r="BP15" i="9"/>
  <c r="BV15" i="9" s="1"/>
  <c r="BP25" i="9"/>
  <c r="BV25" i="9" s="1"/>
  <c r="BM7" i="9"/>
  <c r="BS7" i="9" s="1"/>
  <c r="BO7" i="9"/>
  <c r="BU7" i="9" s="1"/>
  <c r="BO9" i="9"/>
  <c r="BU9" i="9" s="1"/>
  <c r="BQ8" i="9"/>
  <c r="BW8" i="9" s="1"/>
  <c r="BO14" i="9"/>
  <c r="BU14" i="9" s="1"/>
  <c r="BQ14" i="9"/>
  <c r="BW14" i="9" s="1"/>
  <c r="BO20" i="9"/>
  <c r="BU20" i="9" s="1"/>
  <c r="BP13" i="9"/>
  <c r="BV13" i="9" s="1"/>
  <c r="BM14" i="9"/>
  <c r="BS14" i="9" s="1"/>
  <c r="BP12" i="9"/>
  <c r="BV12" i="9" s="1"/>
  <c r="BP14" i="9"/>
  <c r="BV14" i="9" s="1"/>
  <c r="BM21" i="9"/>
  <c r="BS21" i="9" s="1"/>
  <c r="BM20" i="9"/>
  <c r="BS20" i="9" s="1"/>
  <c r="BO6" i="9"/>
  <c r="BU6" i="9" s="1"/>
  <c r="BQ7" i="9"/>
  <c r="BW7" i="9" s="1"/>
  <c r="BO12" i="9"/>
  <c r="BU12" i="9" s="1"/>
  <c r="BQ19" i="9"/>
  <c r="BW19" i="9" s="1"/>
  <c r="BM22" i="9"/>
  <c r="BS22" i="9" s="1"/>
  <c r="BP6" i="9"/>
  <c r="BV6" i="9" s="1"/>
  <c r="BO22" i="9"/>
  <c r="BU22" i="9" s="1"/>
  <c r="BO21" i="9"/>
  <c r="BU21" i="9" s="1"/>
  <c r="BQ26" i="9"/>
  <c r="BW26" i="9" s="1"/>
  <c r="BQ24" i="9"/>
  <c r="BW24" i="9" s="1"/>
  <c r="BM25" i="9"/>
  <c r="BS25" i="9" s="1"/>
  <c r="BP21" i="9"/>
  <c r="BV21" i="9" s="1"/>
  <c r="BM17" i="9"/>
  <c r="BS17" i="9" s="1"/>
  <c r="BQ11" i="9"/>
  <c r="BW11" i="9" s="1"/>
  <c r="BP11" i="9"/>
  <c r="BV11" i="9" s="1"/>
  <c r="BP19" i="9"/>
  <c r="BV19" i="9" s="1"/>
  <c r="BM13" i="9"/>
  <c r="BS13" i="9" s="1"/>
  <c r="BO10" i="9"/>
  <c r="BU10" i="9" s="1"/>
  <c r="BQ18" i="9"/>
  <c r="BW18" i="9" s="1"/>
  <c r="BQ22" i="9"/>
  <c r="BW22" i="9" s="1"/>
  <c r="BM15" i="9"/>
  <c r="BS15" i="9" s="1"/>
  <c r="BP22" i="9"/>
  <c r="BV22" i="9" s="1"/>
  <c r="BM10" i="9"/>
  <c r="BS10" i="9" s="1"/>
  <c r="BP24" i="9"/>
  <c r="BV24" i="9" s="1"/>
  <c r="BQ20" i="9"/>
  <c r="BW20" i="9" s="1"/>
  <c r="BO16" i="9"/>
  <c r="BU16" i="9" s="1"/>
  <c r="BM6" i="9"/>
  <c r="BS6" i="9" s="1"/>
  <c r="AG30" i="10"/>
  <c r="T147" i="6"/>
  <c r="G121" i="1" s="1"/>
  <c r="J149" i="6"/>
  <c r="K149" i="6"/>
  <c r="I149" i="6"/>
  <c r="L149" i="6"/>
  <c r="H149" i="6"/>
  <c r="M149" i="6"/>
  <c r="G149" i="6"/>
  <c r="N149" i="6"/>
  <c r="O149" i="6"/>
  <c r="BM119" i="9"/>
  <c r="BS119" i="9" s="1"/>
  <c r="BQ118" i="9"/>
  <c r="BW118" i="9" s="1"/>
  <c r="BQ119" i="9"/>
  <c r="BW119" i="9" s="1"/>
  <c r="BO119" i="9"/>
  <c r="BU119" i="9" s="1"/>
  <c r="BP119" i="9"/>
  <c r="BV119" i="9" s="1"/>
  <c r="BM118" i="9"/>
  <c r="BS118" i="9" s="1"/>
  <c r="BN118" i="9"/>
  <c r="BT118" i="9" s="1"/>
  <c r="BP118" i="9"/>
  <c r="BV118" i="9" s="1"/>
  <c r="BO118" i="9"/>
  <c r="BU118" i="9" s="1"/>
  <c r="AV119" i="9"/>
  <c r="AR76" i="9"/>
  <c r="AV76" i="9" s="1"/>
  <c r="AW76" i="9" s="1"/>
  <c r="BO127" i="9"/>
  <c r="BU127" i="9" s="1"/>
  <c r="BP127" i="9"/>
  <c r="BV127" i="9" s="1"/>
  <c r="BQ127" i="9"/>
  <c r="BW127" i="9" s="1"/>
  <c r="BM127" i="9"/>
  <c r="BS127" i="9" s="1"/>
  <c r="AR127" i="9"/>
  <c r="AV127" i="9" s="1"/>
  <c r="BN127" i="9"/>
  <c r="BT127" i="9" s="1"/>
  <c r="BP151" i="9"/>
  <c r="BV151" i="9" s="1"/>
  <c r="AR73" i="9"/>
  <c r="AV73" i="9" s="1"/>
  <c r="AW73" i="9" s="1"/>
  <c r="BM151" i="9"/>
  <c r="BS151" i="9" s="1"/>
  <c r="BM150" i="9"/>
  <c r="BS150" i="9" s="1"/>
  <c r="BM110" i="9"/>
  <c r="AG29" i="10"/>
  <c r="BM145" i="9"/>
  <c r="BS145" i="9" s="1"/>
  <c r="BN151" i="9"/>
  <c r="BT151" i="9" s="1"/>
  <c r="BN150" i="9"/>
  <c r="BT150" i="9" s="1"/>
  <c r="BQ145" i="9"/>
  <c r="BW145" i="9" s="1"/>
  <c r="BO151" i="9"/>
  <c r="BU151" i="9" s="1"/>
  <c r="BP150" i="9"/>
  <c r="BV150" i="9" s="1"/>
  <c r="BO150" i="9"/>
  <c r="BU150" i="9" s="1"/>
  <c r="BQ151" i="9"/>
  <c r="BW151" i="9" s="1"/>
  <c r="BQ150" i="9"/>
  <c r="BW150" i="9" s="1"/>
  <c r="BP146" i="9"/>
  <c r="BV146" i="9" s="1"/>
  <c r="BM146" i="9"/>
  <c r="BS146" i="9" s="1"/>
  <c r="BN76" i="9"/>
  <c r="BT76" i="9" s="1"/>
  <c r="BN146" i="9"/>
  <c r="BT146" i="9" s="1"/>
  <c r="BN145" i="9"/>
  <c r="BT145" i="9" s="1"/>
  <c r="BP145" i="9"/>
  <c r="BV145" i="9" s="1"/>
  <c r="BO145" i="9"/>
  <c r="BU145" i="9" s="1"/>
  <c r="BO146" i="9"/>
  <c r="BU146" i="9" s="1"/>
  <c r="BQ146" i="9"/>
  <c r="BW146" i="9" s="1"/>
  <c r="BM94" i="9"/>
  <c r="BS94" i="9" s="1"/>
  <c r="BQ94" i="9"/>
  <c r="BW94" i="9" s="1"/>
  <c r="BN94" i="9"/>
  <c r="BT94" i="9" s="1"/>
  <c r="BO94" i="9"/>
  <c r="BU94" i="9" s="1"/>
  <c r="BP94" i="9"/>
  <c r="BV94" i="9" s="1"/>
  <c r="AH42" i="10"/>
  <c r="AG40" i="10"/>
  <c r="AE34" i="10"/>
  <c r="AH34" i="10" s="1"/>
  <c r="AE30" i="10"/>
  <c r="AH30" i="10" s="1"/>
  <c r="AH41" i="10"/>
  <c r="AG34" i="10"/>
  <c r="AH40" i="10"/>
  <c r="AH47" i="10"/>
  <c r="AG31" i="10"/>
  <c r="AE31" i="10"/>
  <c r="AH31" i="10" s="1"/>
  <c r="H48" i="1"/>
  <c r="H164" i="1" s="1"/>
  <c r="AH103" i="10"/>
  <c r="AH37" i="10"/>
  <c r="AH38" i="10"/>
  <c r="AH33" i="10"/>
  <c r="AH36" i="10"/>
  <c r="AH32" i="10"/>
  <c r="AH29" i="10"/>
  <c r="AH39" i="10"/>
  <c r="AH35" i="10"/>
  <c r="S54" i="10"/>
  <c r="S57" i="10" s="1"/>
  <c r="T54" i="10"/>
  <c r="T57" i="10" s="1"/>
  <c r="AR125" i="9"/>
  <c r="AV125" i="9" s="1"/>
  <c r="Y101" i="9"/>
  <c r="BP117" i="9"/>
  <c r="BV117" i="9" s="1"/>
  <c r="BQ92" i="9"/>
  <c r="BW92" i="9" s="1"/>
  <c r="BO92" i="9"/>
  <c r="BU92" i="9" s="1"/>
  <c r="BP92" i="9"/>
  <c r="BV92" i="9" s="1"/>
  <c r="BN92" i="9"/>
  <c r="BT92" i="9" s="1"/>
  <c r="BM92" i="9"/>
  <c r="BS92" i="9" s="1"/>
  <c r="BQ117" i="9"/>
  <c r="BW117" i="9" s="1"/>
  <c r="BM117" i="9"/>
  <c r="BS117" i="9" s="1"/>
  <c r="BN117" i="9"/>
  <c r="BT117" i="9" s="1"/>
  <c r="BO117" i="9"/>
  <c r="BU117" i="9" s="1"/>
  <c r="V23" i="20"/>
  <c r="R23" i="20"/>
  <c r="AR92" i="9"/>
  <c r="AR117" i="9"/>
  <c r="AV117" i="9" s="1"/>
  <c r="J57" i="20"/>
  <c r="J58" i="20"/>
  <c r="BN74" i="9"/>
  <c r="BT74" i="9" s="1"/>
  <c r="BM76" i="9"/>
  <c r="BS76" i="9" s="1"/>
  <c r="BO76" i="9"/>
  <c r="BU76" i="9" s="1"/>
  <c r="BQ76" i="9"/>
  <c r="BW76" i="9" s="1"/>
  <c r="BP76" i="9"/>
  <c r="BV76" i="9" s="1"/>
  <c r="AR122" i="9"/>
  <c r="AR123" i="9"/>
  <c r="AV123" i="9" s="1"/>
  <c r="AR47" i="9"/>
  <c r="AV47" i="9" s="1"/>
  <c r="AW47" i="9" s="1"/>
  <c r="AL48" i="9"/>
  <c r="AR48" i="9" s="1"/>
  <c r="AV48" i="9" s="1"/>
  <c r="AW48" i="9" s="1"/>
  <c r="AR70" i="9"/>
  <c r="AV70" i="9" s="1"/>
  <c r="AW70" i="9" s="1"/>
  <c r="BN71" i="9"/>
  <c r="BT71" i="9" s="1"/>
  <c r="AR120" i="9"/>
  <c r="AR121" i="9"/>
  <c r="AV121" i="9" s="1"/>
  <c r="BQ74" i="9"/>
  <c r="BW74" i="9" s="1"/>
  <c r="BO74" i="9"/>
  <c r="BU74" i="9" s="1"/>
  <c r="BP74" i="9"/>
  <c r="BV74" i="9" s="1"/>
  <c r="BM74" i="9"/>
  <c r="BS74" i="9" s="1"/>
  <c r="BQ120" i="9"/>
  <c r="BW120" i="9" s="1"/>
  <c r="BO51" i="9"/>
  <c r="BU51" i="9" s="1"/>
  <c r="BQ51" i="9"/>
  <c r="BW51" i="9" s="1"/>
  <c r="BP51" i="9"/>
  <c r="BV51" i="9" s="1"/>
  <c r="BM51" i="9"/>
  <c r="BS51" i="9" s="1"/>
  <c r="BN51" i="9"/>
  <c r="BT51" i="9" s="1"/>
  <c r="BM65" i="9"/>
  <c r="BS65" i="9" s="1"/>
  <c r="BO71" i="9"/>
  <c r="BU71" i="9" s="1"/>
  <c r="BO120" i="9"/>
  <c r="BU120" i="9" s="1"/>
  <c r="BN125" i="9"/>
  <c r="BT125" i="9" s="1"/>
  <c r="BN120" i="9"/>
  <c r="BT120" i="9" s="1"/>
  <c r="BP120" i="9"/>
  <c r="BV120" i="9" s="1"/>
  <c r="BM120" i="9"/>
  <c r="BS120" i="9" s="1"/>
  <c r="BM75" i="9"/>
  <c r="BS75" i="9" s="1"/>
  <c r="BO75" i="9"/>
  <c r="BU75" i="9" s="1"/>
  <c r="BN75" i="9"/>
  <c r="BT75" i="9" s="1"/>
  <c r="BM125" i="9"/>
  <c r="BS125" i="9" s="1"/>
  <c r="BO125" i="9"/>
  <c r="BU125" i="9" s="1"/>
  <c r="BP125" i="9"/>
  <c r="BV125" i="9" s="1"/>
  <c r="BQ125" i="9"/>
  <c r="BW125" i="9" s="1"/>
  <c r="BQ75" i="9"/>
  <c r="BW75" i="9" s="1"/>
  <c r="BP75" i="9"/>
  <c r="BV75" i="9" s="1"/>
  <c r="BQ71" i="9"/>
  <c r="BW71" i="9" s="1"/>
  <c r="BM71" i="9"/>
  <c r="BS71" i="9" s="1"/>
  <c r="BP71" i="9"/>
  <c r="BV71" i="9" s="1"/>
  <c r="BP65" i="9"/>
  <c r="BV65" i="9" s="1"/>
  <c r="BN68" i="9"/>
  <c r="BT68" i="9" s="1"/>
  <c r="BQ68" i="9"/>
  <c r="BW68" i="9" s="1"/>
  <c r="BP68" i="9"/>
  <c r="BV68" i="9" s="1"/>
  <c r="BM68" i="9"/>
  <c r="BS68" i="9" s="1"/>
  <c r="BO68" i="9"/>
  <c r="BU68" i="9" s="1"/>
  <c r="BQ65" i="9"/>
  <c r="BW65" i="9" s="1"/>
  <c r="BN65" i="9"/>
  <c r="BT65" i="9" s="1"/>
  <c r="BO65" i="9"/>
  <c r="BU65" i="9" s="1"/>
  <c r="BP123" i="9"/>
  <c r="BV123" i="9" s="1"/>
  <c r="BN62" i="9"/>
  <c r="BT62" i="9" s="1"/>
  <c r="BP62" i="9"/>
  <c r="BV62" i="9" s="1"/>
  <c r="BQ62" i="9"/>
  <c r="BW62" i="9" s="1"/>
  <c r="BO62" i="9"/>
  <c r="BU62" i="9" s="1"/>
  <c r="BM62" i="9"/>
  <c r="BS62" i="9" s="1"/>
  <c r="BM123" i="9"/>
  <c r="BS123" i="9" s="1"/>
  <c r="BO123" i="9"/>
  <c r="BU123" i="9" s="1"/>
  <c r="BQ123" i="9"/>
  <c r="BW123" i="9" s="1"/>
  <c r="BO45" i="9"/>
  <c r="BU45" i="9" s="1"/>
  <c r="BQ48" i="9"/>
  <c r="BW48" i="9" s="1"/>
  <c r="BM48" i="9"/>
  <c r="BS48" i="9" s="1"/>
  <c r="BP48" i="9"/>
  <c r="BV48" i="9" s="1"/>
  <c r="BP45" i="9"/>
  <c r="BV45" i="9" s="1"/>
  <c r="BO48" i="9"/>
  <c r="BU48" i="9" s="1"/>
  <c r="BP37" i="9"/>
  <c r="BV37" i="9" s="1"/>
  <c r="BN45" i="9"/>
  <c r="BT45" i="9" s="1"/>
  <c r="BM45" i="9"/>
  <c r="BS45" i="9" s="1"/>
  <c r="BQ45" i="9"/>
  <c r="BW45" i="9" s="1"/>
  <c r="BM37" i="9"/>
  <c r="BS37" i="9" s="1"/>
  <c r="BQ40" i="9"/>
  <c r="BW40" i="9" s="1"/>
  <c r="BM40" i="9"/>
  <c r="BS40" i="9" s="1"/>
  <c r="BN40" i="9"/>
  <c r="BT40" i="9" s="1"/>
  <c r="BP40" i="9"/>
  <c r="BV40" i="9" s="1"/>
  <c r="BO40" i="9"/>
  <c r="BU40" i="9" s="1"/>
  <c r="BO99" i="9"/>
  <c r="BU99" i="9" s="1"/>
  <c r="BO37" i="9"/>
  <c r="BU37" i="9" s="1"/>
  <c r="BN37" i="9"/>
  <c r="BT37" i="9" s="1"/>
  <c r="BQ37" i="9"/>
  <c r="BW37" i="9" s="1"/>
  <c r="BO98" i="9"/>
  <c r="BU98" i="9" s="1"/>
  <c r="BO61" i="9"/>
  <c r="BU61" i="9" s="1"/>
  <c r="BQ121" i="9"/>
  <c r="BW121" i="9" s="1"/>
  <c r="BP121" i="9"/>
  <c r="BV121" i="9" s="1"/>
  <c r="BM121" i="9"/>
  <c r="BS121" i="9" s="1"/>
  <c r="BO121" i="9"/>
  <c r="BU121" i="9" s="1"/>
  <c r="S47" i="20"/>
  <c r="R47" i="20"/>
  <c r="S46" i="20"/>
  <c r="R46" i="20"/>
  <c r="AH4" i="10"/>
  <c r="AH97" i="10"/>
  <c r="N55" i="10"/>
  <c r="N56" i="10" s="1"/>
  <c r="AA54" i="10"/>
  <c r="C23" i="30"/>
  <c r="E23" i="30" s="1"/>
  <c r="C18" i="30"/>
  <c r="AR46" i="9"/>
  <c r="AV46" i="9" s="1"/>
  <c r="AW46" i="9" s="1"/>
  <c r="N43" i="20"/>
  <c r="J43" i="20" s="1"/>
  <c r="BP143" i="9"/>
  <c r="BV143" i="9" s="1"/>
  <c r="BO144" i="9"/>
  <c r="BU144" i="9" s="1"/>
  <c r="BQ143" i="9"/>
  <c r="BW143" i="9" s="1"/>
  <c r="BM143" i="9"/>
  <c r="BS143" i="9" s="1"/>
  <c r="BQ144" i="9"/>
  <c r="BW144" i="9" s="1"/>
  <c r="BN143" i="9"/>
  <c r="BT143" i="9" s="1"/>
  <c r="BN144" i="9"/>
  <c r="BT144" i="9" s="1"/>
  <c r="BO143" i="9"/>
  <c r="BU143" i="9" s="1"/>
  <c r="BM144" i="9"/>
  <c r="BS144" i="9" s="1"/>
  <c r="BP144" i="9"/>
  <c r="BV144" i="9" s="1"/>
  <c r="BN140" i="9"/>
  <c r="BT140" i="9" s="1"/>
  <c r="BM64" i="9"/>
  <c r="BS64" i="9" s="1"/>
  <c r="BP140" i="9"/>
  <c r="BV140" i="9" s="1"/>
  <c r="BO73" i="9"/>
  <c r="BU73" i="9" s="1"/>
  <c r="BN61" i="9"/>
  <c r="BT61" i="9" s="1"/>
  <c r="BN47" i="9"/>
  <c r="BT47" i="9" s="1"/>
  <c r="BM61" i="9"/>
  <c r="BS61" i="9" s="1"/>
  <c r="BQ47" i="9"/>
  <c r="BW47" i="9" s="1"/>
  <c r="BP42" i="9"/>
  <c r="BV42" i="9" s="1"/>
  <c r="BM122" i="9"/>
  <c r="BS122" i="9" s="1"/>
  <c r="BO44" i="9"/>
  <c r="BU44" i="9" s="1"/>
  <c r="BQ70" i="9"/>
  <c r="BW70" i="9" s="1"/>
  <c r="BO67" i="9"/>
  <c r="BU67" i="9" s="1"/>
  <c r="BO39" i="9"/>
  <c r="BU39" i="9" s="1"/>
  <c r="BQ67" i="9"/>
  <c r="BW67" i="9" s="1"/>
  <c r="BP53" i="9"/>
  <c r="BV53" i="9" s="1"/>
  <c r="BN70" i="9"/>
  <c r="BT70" i="9" s="1"/>
  <c r="BN122" i="9"/>
  <c r="BT122" i="9" s="1"/>
  <c r="BM39" i="9"/>
  <c r="BS39" i="9" s="1"/>
  <c r="BQ73" i="9"/>
  <c r="BW73" i="9" s="1"/>
  <c r="BO53" i="9"/>
  <c r="BU53" i="9" s="1"/>
  <c r="BQ44" i="9"/>
  <c r="BW44" i="9" s="1"/>
  <c r="BQ122" i="9"/>
  <c r="BW122" i="9" s="1"/>
  <c r="BM53" i="9"/>
  <c r="BS53" i="9" s="1"/>
  <c r="BN50" i="9"/>
  <c r="BT50" i="9" s="1"/>
  <c r="BP142" i="9"/>
  <c r="BV142" i="9" s="1"/>
  <c r="BO140" i="9"/>
  <c r="BU140" i="9" s="1"/>
  <c r="BQ36" i="9"/>
  <c r="BW36" i="9" s="1"/>
  <c r="BM67" i="9"/>
  <c r="BS67" i="9" s="1"/>
  <c r="BN36" i="9"/>
  <c r="BT36" i="9" s="1"/>
  <c r="BP64" i="9"/>
  <c r="BV64" i="9" s="1"/>
  <c r="BO56" i="9"/>
  <c r="BU56" i="9" s="1"/>
  <c r="BQ61" i="9"/>
  <c r="BW61" i="9" s="1"/>
  <c r="BM56" i="9"/>
  <c r="BS56" i="9" s="1"/>
  <c r="BN53" i="9"/>
  <c r="BT53" i="9" s="1"/>
  <c r="BP61" i="9"/>
  <c r="BV61" i="9" s="1"/>
  <c r="BQ142" i="9"/>
  <c r="BW142" i="9" s="1"/>
  <c r="BM50" i="9"/>
  <c r="BS50" i="9" s="1"/>
  <c r="BN39" i="9"/>
  <c r="BT39" i="9" s="1"/>
  <c r="BP36" i="9"/>
  <c r="BV36" i="9" s="1"/>
  <c r="BP70" i="9"/>
  <c r="BV70" i="9" s="1"/>
  <c r="BO122" i="9"/>
  <c r="BU122" i="9" s="1"/>
  <c r="BQ50" i="9"/>
  <c r="BW50" i="9" s="1"/>
  <c r="BM44" i="9"/>
  <c r="BS44" i="9" s="1"/>
  <c r="BN42" i="9"/>
  <c r="BT42" i="9" s="1"/>
  <c r="BP39" i="9"/>
  <c r="BV39" i="9" s="1"/>
  <c r="BO64" i="9"/>
  <c r="BU64" i="9" s="1"/>
  <c r="BQ64" i="9"/>
  <c r="BW64" i="9" s="1"/>
  <c r="BM142" i="9"/>
  <c r="BS142" i="9" s="1"/>
  <c r="BN64" i="9"/>
  <c r="BT64" i="9" s="1"/>
  <c r="BP47" i="9"/>
  <c r="BV47" i="9" s="1"/>
  <c r="BO36" i="9"/>
  <c r="BU36" i="9" s="1"/>
  <c r="BQ53" i="9"/>
  <c r="BW53" i="9" s="1"/>
  <c r="BM47" i="9"/>
  <c r="BS47" i="9" s="1"/>
  <c r="BN44" i="9"/>
  <c r="BT44" i="9" s="1"/>
  <c r="BP44" i="9"/>
  <c r="BV44" i="9" s="1"/>
  <c r="BO70" i="9"/>
  <c r="BU70" i="9" s="1"/>
  <c r="BQ140" i="9"/>
  <c r="BW140" i="9" s="1"/>
  <c r="BM42" i="9"/>
  <c r="BS42" i="9" s="1"/>
  <c r="BN67" i="9"/>
  <c r="BT67" i="9" s="1"/>
  <c r="BP50" i="9"/>
  <c r="BV50" i="9" s="1"/>
  <c r="BO42" i="9"/>
  <c r="BU42" i="9" s="1"/>
  <c r="BQ42" i="9"/>
  <c r="BW42" i="9" s="1"/>
  <c r="BM73" i="9"/>
  <c r="BS73" i="9" s="1"/>
  <c r="BP56" i="9"/>
  <c r="BV56" i="9" s="1"/>
  <c r="BO47" i="9"/>
  <c r="BU47" i="9" s="1"/>
  <c r="BQ56" i="9"/>
  <c r="BW56" i="9" s="1"/>
  <c r="BM140" i="9"/>
  <c r="BS140" i="9" s="1"/>
  <c r="BN56" i="9"/>
  <c r="BT56" i="9" s="1"/>
  <c r="BP67" i="9"/>
  <c r="BV67" i="9" s="1"/>
  <c r="BO142" i="9"/>
  <c r="BU142" i="9" s="1"/>
  <c r="BM36" i="9"/>
  <c r="BS36" i="9" s="1"/>
  <c r="BN73" i="9"/>
  <c r="BT73" i="9" s="1"/>
  <c r="BP122" i="9"/>
  <c r="BV122" i="9" s="1"/>
  <c r="BO50" i="9"/>
  <c r="BU50" i="9" s="1"/>
  <c r="BQ39" i="9"/>
  <c r="BW39" i="9" s="1"/>
  <c r="BM70" i="9"/>
  <c r="BS70" i="9" s="1"/>
  <c r="BN142" i="9"/>
  <c r="BT142" i="9" s="1"/>
  <c r="BP73" i="9"/>
  <c r="BV73" i="9" s="1"/>
  <c r="R14" i="20"/>
  <c r="C22" i="30"/>
  <c r="E22" i="30" s="1"/>
  <c r="C24" i="30"/>
  <c r="E24" i="30" s="1"/>
  <c r="C21" i="30"/>
  <c r="E21" i="30" s="1"/>
  <c r="C20" i="30"/>
  <c r="E20" i="30" s="1"/>
  <c r="C19" i="30"/>
  <c r="E19" i="30" s="1"/>
  <c r="E17" i="30"/>
  <c r="D88" i="14"/>
  <c r="D71" i="14"/>
  <c r="D164" i="1"/>
  <c r="D100" i="14" s="1"/>
  <c r="V44" i="20"/>
  <c r="V17" i="20"/>
  <c r="V18" i="20"/>
  <c r="V24" i="20"/>
  <c r="V59" i="20"/>
  <c r="V34" i="20"/>
  <c r="AR69" i="9"/>
  <c r="AV69" i="9" s="1"/>
  <c r="AW69" i="9" s="1"/>
  <c r="I37" i="1"/>
  <c r="I40" i="1" s="1"/>
  <c r="I43" i="1" s="1"/>
  <c r="I46" i="1" s="1"/>
  <c r="D22" i="46" s="1"/>
  <c r="L136" i="1"/>
  <c r="Z101" i="9"/>
  <c r="AG27" i="10"/>
  <c r="W55" i="10"/>
  <c r="G167" i="1"/>
  <c r="G178" i="1"/>
  <c r="B85" i="5"/>
  <c r="F166" i="1"/>
  <c r="F104" i="14" s="1"/>
  <c r="C282" i="1"/>
  <c r="E282" i="1" s="1"/>
  <c r="E285" i="1" s="1"/>
  <c r="N33" i="20"/>
  <c r="J33" i="20" s="1"/>
  <c r="AH22" i="10"/>
  <c r="AH21" i="10"/>
  <c r="H43" i="1"/>
  <c r="AI101" i="9"/>
  <c r="AH16" i="10"/>
  <c r="N42" i="20"/>
  <c r="AH11" i="10"/>
  <c r="AH24" i="10"/>
  <c r="AH102" i="10"/>
  <c r="D128" i="1"/>
  <c r="F221" i="1"/>
  <c r="G221" i="1" s="1"/>
  <c r="E48" i="1"/>
  <c r="E56" i="14" s="1"/>
  <c r="AH18" i="10"/>
  <c r="F234" i="1"/>
  <c r="F230" i="1" s="1"/>
  <c r="AH9" i="10"/>
  <c r="AH14" i="10"/>
  <c r="E37" i="5"/>
  <c r="B66" i="5" s="1"/>
  <c r="G10" i="1"/>
  <c r="G115" i="1" s="1"/>
  <c r="AV128" i="9"/>
  <c r="AH15" i="10"/>
  <c r="AV4" i="9"/>
  <c r="Q102" i="9"/>
  <c r="Q103" i="9" s="1"/>
  <c r="AA101" i="9"/>
  <c r="AA105" i="9" s="1"/>
  <c r="AG101" i="9"/>
  <c r="AH101" i="9"/>
  <c r="AQ27" i="9"/>
  <c r="AE101" i="9"/>
  <c r="AB101" i="9"/>
  <c r="AF101" i="9"/>
  <c r="AH26" i="10"/>
  <c r="AH7" i="10"/>
  <c r="AH13" i="10"/>
  <c r="G31" i="1"/>
  <c r="D18" i="46" s="1"/>
  <c r="F18" i="46" s="1"/>
  <c r="AH20" i="10"/>
  <c r="AH27" i="10"/>
  <c r="AH5" i="10"/>
  <c r="AV113" i="9"/>
  <c r="AH101" i="10"/>
  <c r="D43" i="1"/>
  <c r="B83" i="5"/>
  <c r="C117" i="1"/>
  <c r="E111" i="1"/>
  <c r="F285" i="1"/>
  <c r="F282" i="1" s="1"/>
  <c r="F274" i="1"/>
  <c r="H274" i="1" s="1"/>
  <c r="I274" i="1" s="1"/>
  <c r="F56" i="14"/>
  <c r="F71" i="14" s="1"/>
  <c r="H111" i="1"/>
  <c r="H20" i="1"/>
  <c r="AV116" i="9"/>
  <c r="AV110" i="9"/>
  <c r="AV111" i="9"/>
  <c r="AH17" i="10"/>
  <c r="AT101" i="9"/>
  <c r="F14" i="7" s="1"/>
  <c r="G14" i="7" s="1"/>
  <c r="AU101" i="9"/>
  <c r="F15" i="7" s="1"/>
  <c r="G15" i="7" s="1"/>
  <c r="G21" i="7" s="1"/>
  <c r="AH28" i="10"/>
  <c r="AH23" i="10"/>
  <c r="AH12" i="10"/>
  <c r="AH25" i="10"/>
  <c r="AH99" i="10"/>
  <c r="AH10" i="10"/>
  <c r="AH6" i="10"/>
  <c r="AS101" i="9"/>
  <c r="F13" i="7" s="1"/>
  <c r="G13" i="7" s="1"/>
  <c r="AH100" i="10"/>
  <c r="AH8" i="10"/>
  <c r="AV124" i="9"/>
  <c r="AV115" i="9"/>
  <c r="AH19" i="10"/>
  <c r="AW91" i="9"/>
  <c r="H104" i="14"/>
  <c r="G52" i="14"/>
  <c r="G168" i="1"/>
  <c r="G50" i="1"/>
  <c r="AH98" i="10"/>
  <c r="AB54" i="10"/>
  <c r="F88" i="14"/>
  <c r="F20" i="1"/>
  <c r="E277" i="1"/>
  <c r="E278" i="1" s="1"/>
  <c r="E225" i="1"/>
  <c r="E226" i="1" s="1"/>
  <c r="D79" i="1"/>
  <c r="AV92" i="9" l="1"/>
  <c r="AW92" i="9" s="1"/>
  <c r="AQ101" i="9"/>
  <c r="F11" i="7" s="1"/>
  <c r="C14" i="7"/>
  <c r="D14" i="7" s="1"/>
  <c r="I14" i="7" s="1"/>
  <c r="AB105" i="9"/>
  <c r="C11" i="7"/>
  <c r="D11" i="7" s="1"/>
  <c r="Y105" i="9"/>
  <c r="C12" i="7"/>
  <c r="D12" i="7" s="1"/>
  <c r="Z105" i="9"/>
  <c r="H56" i="14"/>
  <c r="H64" i="14" s="1"/>
  <c r="C173" i="1"/>
  <c r="G72" i="14"/>
  <c r="C72" i="14" s="1"/>
  <c r="C121" i="1"/>
  <c r="P149" i="6"/>
  <c r="D302" i="1"/>
  <c r="AB55" i="10"/>
  <c r="AB56" i="10" s="1"/>
  <c r="AG54" i="10"/>
  <c r="F16" i="7" s="1"/>
  <c r="G16" i="7" s="1"/>
  <c r="T55" i="10"/>
  <c r="J25" i="41"/>
  <c r="V57" i="20"/>
  <c r="V43" i="20"/>
  <c r="AH54" i="10"/>
  <c r="R58" i="20"/>
  <c r="V58" i="20"/>
  <c r="BN123" i="9"/>
  <c r="BT123" i="9" s="1"/>
  <c r="BN48" i="9"/>
  <c r="BT48" i="9" s="1"/>
  <c r="BN121" i="9"/>
  <c r="BT121" i="9" s="1"/>
  <c r="AR71" i="9"/>
  <c r="AV71" i="9" s="1"/>
  <c r="AW71" i="9" s="1"/>
  <c r="T63" i="10"/>
  <c r="C17" i="7"/>
  <c r="C16" i="7"/>
  <c r="S63" i="10"/>
  <c r="C13" i="7"/>
  <c r="D13" i="7" s="1"/>
  <c r="I13" i="7" s="1"/>
  <c r="P15" i="7"/>
  <c r="B70" i="5"/>
  <c r="B62" i="5"/>
  <c r="V33" i="20"/>
  <c r="J42" i="20"/>
  <c r="E164" i="1"/>
  <c r="C164" i="1" s="1"/>
  <c r="N136" i="1"/>
  <c r="P136" i="1"/>
  <c r="G37" i="1"/>
  <c r="G40" i="1" s="1"/>
  <c r="G43" i="1" s="1"/>
  <c r="G46" i="1" s="1"/>
  <c r="B86" i="5"/>
  <c r="F64" i="14"/>
  <c r="G282" i="1"/>
  <c r="O43" i="20"/>
  <c r="O44" i="20"/>
  <c r="G14" i="1"/>
  <c r="N16" i="20"/>
  <c r="J16" i="20" s="1"/>
  <c r="D119" i="14"/>
  <c r="F119" i="14" s="1"/>
  <c r="G274" i="1"/>
  <c r="C115" i="1"/>
  <c r="D125" i="1"/>
  <c r="D166" i="1"/>
  <c r="D104" i="14" s="1"/>
  <c r="C230" i="1"/>
  <c r="E230" i="1" s="1"/>
  <c r="E234" i="1" s="1"/>
  <c r="E235" i="1" s="1"/>
  <c r="H221" i="1"/>
  <c r="F222" i="1"/>
  <c r="H282" i="1"/>
  <c r="I282" i="1" s="1"/>
  <c r="F275" i="1"/>
  <c r="H275" i="1" s="1"/>
  <c r="AI102" i="9"/>
  <c r="AI103" i="9" s="1"/>
  <c r="F124" i="1"/>
  <c r="G50" i="14"/>
  <c r="G166" i="1"/>
  <c r="H100" i="14"/>
  <c r="F252" i="1"/>
  <c r="H124" i="1"/>
  <c r="H67" i="1" s="1"/>
  <c r="C111" i="1"/>
  <c r="F170" i="1"/>
  <c r="H177" i="1"/>
  <c r="E71" i="14"/>
  <c r="E64" i="14"/>
  <c r="F231" i="1"/>
  <c r="G231" i="1" s="1"/>
  <c r="C118" i="1"/>
  <c r="G124" i="1"/>
  <c r="G127" i="1" s="1"/>
  <c r="C168" i="1"/>
  <c r="G57" i="14"/>
  <c r="G71" i="14" s="1"/>
  <c r="G171" i="1"/>
  <c r="C52" i="14"/>
  <c r="F283" i="1"/>
  <c r="G283" i="1" s="1"/>
  <c r="U149" i="6" l="1"/>
  <c r="H71" i="14"/>
  <c r="R22" i="46"/>
  <c r="V22" i="46" s="1"/>
  <c r="R16" i="20"/>
  <c r="V16" i="20"/>
  <c r="AR101" i="9"/>
  <c r="AU102" i="9" s="1"/>
  <c r="I221" i="1"/>
  <c r="T64" i="10"/>
  <c r="D16" i="7"/>
  <c r="I16" i="7" s="1"/>
  <c r="Q26" i="18"/>
  <c r="F17" i="7"/>
  <c r="G17" i="7" s="1"/>
  <c r="B71" i="5"/>
  <c r="E100" i="14"/>
  <c r="V42" i="20"/>
  <c r="B74" i="5"/>
  <c r="G285" i="1"/>
  <c r="G286" i="1" s="1"/>
  <c r="G17" i="1"/>
  <c r="G20" i="1" s="1"/>
  <c r="R52" i="20"/>
  <c r="Q52" i="20"/>
  <c r="AH55" i="10"/>
  <c r="AH56" i="10" s="1"/>
  <c r="G275" i="1"/>
  <c r="G277" i="1" s="1"/>
  <c r="G278" i="1" s="1"/>
  <c r="G230" i="1"/>
  <c r="D177" i="1"/>
  <c r="E119" i="14"/>
  <c r="H84" i="1"/>
  <c r="H178" i="1" s="1"/>
  <c r="H180" i="1" s="1"/>
  <c r="D127" i="1"/>
  <c r="D130" i="1" s="1"/>
  <c r="D150" i="1" s="1"/>
  <c r="H125" i="1"/>
  <c r="H127" i="1" s="1"/>
  <c r="F67" i="1"/>
  <c r="F125" i="1" s="1"/>
  <c r="G55" i="14"/>
  <c r="G107" i="14" s="1"/>
  <c r="H230" i="1"/>
  <c r="H222" i="1"/>
  <c r="F223" i="1"/>
  <c r="G222" i="1"/>
  <c r="G88" i="14"/>
  <c r="G104" i="14"/>
  <c r="C100" i="14"/>
  <c r="F177" i="1"/>
  <c r="F101" i="14"/>
  <c r="C170" i="1"/>
  <c r="C64" i="14"/>
  <c r="C71" i="14"/>
  <c r="F232" i="1"/>
  <c r="G232" i="1" s="1"/>
  <c r="D17" i="7"/>
  <c r="C171" i="1"/>
  <c r="G101" i="14"/>
  <c r="G130" i="1"/>
  <c r="G11" i="7"/>
  <c r="I11" i="7" s="1"/>
  <c r="H283" i="1"/>
  <c r="I275" i="1"/>
  <c r="I277" i="1" s="1"/>
  <c r="H277" i="1"/>
  <c r="I278" i="1" l="1"/>
  <c r="F192" i="1"/>
  <c r="F199" i="1"/>
  <c r="F139" i="1"/>
  <c r="F146" i="1"/>
  <c r="C174" i="1"/>
  <c r="G89" i="14"/>
  <c r="G177" i="1"/>
  <c r="G180" i="1" s="1"/>
  <c r="G183" i="1" s="1"/>
  <c r="G203" i="1" s="1"/>
  <c r="G204" i="1" s="1"/>
  <c r="G97" i="14" s="1"/>
  <c r="F12" i="7"/>
  <c r="G12" i="7" s="1"/>
  <c r="I12" i="7" s="1"/>
  <c r="Q22" i="18"/>
  <c r="D84" i="1"/>
  <c r="D178" i="1" s="1"/>
  <c r="G234" i="1"/>
  <c r="G235" i="1" s="1"/>
  <c r="H188" i="1"/>
  <c r="H181" i="1"/>
  <c r="H89" i="14" s="1"/>
  <c r="F84" i="1"/>
  <c r="F178" i="1" s="1"/>
  <c r="F180" i="1" s="1"/>
  <c r="F135" i="1"/>
  <c r="H135" i="1"/>
  <c r="F127" i="1"/>
  <c r="H128" i="1"/>
  <c r="F128" i="1"/>
  <c r="H231" i="1"/>
  <c r="I231" i="1" s="1"/>
  <c r="I222" i="1"/>
  <c r="I230" i="1"/>
  <c r="H223" i="1"/>
  <c r="G223" i="1"/>
  <c r="G225" i="1" s="1"/>
  <c r="G226" i="1" s="1"/>
  <c r="G150" i="1"/>
  <c r="G152" i="1" s="1"/>
  <c r="Q147" i="6" s="1"/>
  <c r="I17" i="7"/>
  <c r="C101" i="14"/>
  <c r="G23" i="1"/>
  <c r="I283" i="1"/>
  <c r="I285" i="1" s="1"/>
  <c r="H285" i="1"/>
  <c r="R22" i="18" l="1"/>
  <c r="G300" i="1"/>
  <c r="G301" i="1" s="1"/>
  <c r="F19" i="38"/>
  <c r="E19" i="38" s="1"/>
  <c r="D21" i="41"/>
  <c r="G19" i="7"/>
  <c r="G26" i="7" s="1"/>
  <c r="F19" i="7"/>
  <c r="G43" i="7" s="1"/>
  <c r="G44" i="7" s="1"/>
  <c r="D22" i="18"/>
  <c r="F188" i="1"/>
  <c r="F181" i="1"/>
  <c r="F183" i="1" s="1"/>
  <c r="F203" i="1" s="1"/>
  <c r="H183" i="1"/>
  <c r="H203" i="1" s="1"/>
  <c r="H130" i="1"/>
  <c r="H150" i="1" s="1"/>
  <c r="H102" i="14"/>
  <c r="F130" i="1"/>
  <c r="F150" i="1" s="1"/>
  <c r="H232" i="1"/>
  <c r="I223" i="1"/>
  <c r="I225" i="1" s="1"/>
  <c r="H225" i="1"/>
  <c r="F147" i="1"/>
  <c r="G205" i="1"/>
  <c r="G207" i="1" s="1"/>
  <c r="E22" i="18" s="1"/>
  <c r="I286" i="1"/>
  <c r="F22" i="18" l="1"/>
  <c r="N19" i="38"/>
  <c r="F20" i="7"/>
  <c r="G28" i="7"/>
  <c r="H43" i="7"/>
  <c r="H44" i="7" s="1"/>
  <c r="I175" i="1"/>
  <c r="C175" i="1" s="1"/>
  <c r="G29" i="7"/>
  <c r="L221" i="1"/>
  <c r="N221" i="1" s="1"/>
  <c r="L222" i="1"/>
  <c r="N222" i="1" s="1"/>
  <c r="O222" i="1" s="1"/>
  <c r="I226" i="1"/>
  <c r="D146" i="1" s="1"/>
  <c r="L223" i="1"/>
  <c r="N223" i="1" s="1"/>
  <c r="O223" i="1" s="1"/>
  <c r="G299" i="1"/>
  <c r="G305" i="1" s="1"/>
  <c r="F102" i="14"/>
  <c r="F89" i="14"/>
  <c r="I232" i="1"/>
  <c r="I234" i="1" s="1"/>
  <c r="H234" i="1"/>
  <c r="G208" i="1"/>
  <c r="G105" i="14" s="1"/>
  <c r="F200" i="1"/>
  <c r="G27" i="7"/>
  <c r="M44" i="20" l="1"/>
  <c r="Q44" i="20" s="1"/>
  <c r="H42" i="20"/>
  <c r="J21" i="41"/>
  <c r="I177" i="1"/>
  <c r="I180" i="1" s="1"/>
  <c r="I183" i="1" s="1"/>
  <c r="S22" i="18"/>
  <c r="T22" i="18" s="1"/>
  <c r="N224" i="1"/>
  <c r="O221" i="1"/>
  <c r="O224" i="1" s="1"/>
  <c r="K22" i="18"/>
  <c r="M22" i="18" s="1"/>
  <c r="K21" i="41" s="1"/>
  <c r="D139" i="1"/>
  <c r="D147" i="1"/>
  <c r="I235" i="1"/>
  <c r="G22" i="18"/>
  <c r="F191" i="1"/>
  <c r="F193" i="1" s="1"/>
  <c r="F140" i="1"/>
  <c r="E191" i="1"/>
  <c r="AB22" i="18" l="1"/>
  <c r="P21" i="41"/>
  <c r="R18" i="46"/>
  <c r="V18" i="46" s="1"/>
  <c r="H43" i="20"/>
  <c r="AA22" i="18"/>
  <c r="D199" i="1"/>
  <c r="D200" i="1" s="1"/>
  <c r="D192" i="1"/>
  <c r="E187" i="1"/>
  <c r="E142" i="1"/>
  <c r="E21" i="1" s="1"/>
  <c r="H136" i="1"/>
  <c r="H143" i="1" s="1"/>
  <c r="H149" i="1" s="1"/>
  <c r="H152" i="1" s="1"/>
  <c r="H187" i="1"/>
  <c r="H142" i="1"/>
  <c r="H21" i="1" s="1"/>
  <c r="F142" i="1"/>
  <c r="F21" i="1" s="1"/>
  <c r="F187" i="1"/>
  <c r="F136" i="1"/>
  <c r="F143" i="1" s="1"/>
  <c r="F149" i="1" s="1"/>
  <c r="F152" i="1" s="1"/>
  <c r="I203" i="1"/>
  <c r="H44" i="20" l="1"/>
  <c r="W44" i="20"/>
  <c r="D19" i="41"/>
  <c r="D23" i="41"/>
  <c r="D24" i="18"/>
  <c r="D20" i="18"/>
  <c r="F205" i="1"/>
  <c r="D142" i="1"/>
  <c r="D21" i="1" s="1"/>
  <c r="D136" i="1"/>
  <c r="D187" i="1"/>
  <c r="F44" i="1"/>
  <c r="F23" i="1"/>
  <c r="H195" i="1"/>
  <c r="H189" i="1"/>
  <c r="H196" i="1" s="1"/>
  <c r="H202" i="1" s="1"/>
  <c r="E44" i="1"/>
  <c r="E195" i="1"/>
  <c r="F189" i="1"/>
  <c r="F196" i="1" s="1"/>
  <c r="F202" i="1" s="1"/>
  <c r="F195" i="1"/>
  <c r="H23" i="1"/>
  <c r="H44" i="1"/>
  <c r="H205" i="1"/>
  <c r="D191" i="1"/>
  <c r="D140" i="1"/>
  <c r="C138" i="1"/>
  <c r="I204" i="1"/>
  <c r="R24" i="18" l="1"/>
  <c r="F21" i="38"/>
  <c r="E21" i="38" s="1"/>
  <c r="H300" i="1"/>
  <c r="H301" i="1" s="1"/>
  <c r="R20" i="18"/>
  <c r="F17" i="38"/>
  <c r="E17" i="38" s="1"/>
  <c r="F300" i="1"/>
  <c r="H46" i="1"/>
  <c r="D20" i="46" s="1"/>
  <c r="F20" i="46" s="1"/>
  <c r="H54" i="14"/>
  <c r="H55" i="14" s="1"/>
  <c r="H107" i="14" s="1"/>
  <c r="F46" i="1"/>
  <c r="D16" i="46" s="1"/>
  <c r="F16" i="46" s="1"/>
  <c r="F54" i="14"/>
  <c r="F55" i="14" s="1"/>
  <c r="F107" i="14" s="1"/>
  <c r="D44" i="1"/>
  <c r="C21" i="1"/>
  <c r="D23" i="1"/>
  <c r="C142" i="1"/>
  <c r="C191" i="1"/>
  <c r="D193" i="1"/>
  <c r="F204" i="1"/>
  <c r="F103" i="14"/>
  <c r="F90" i="14"/>
  <c r="E54" i="14"/>
  <c r="H204" i="1"/>
  <c r="H90" i="14"/>
  <c r="H103" i="14"/>
  <c r="D195" i="1"/>
  <c r="C187" i="1"/>
  <c r="D143" i="1"/>
  <c r="D149" i="1" s="1"/>
  <c r="D152" i="1" s="1"/>
  <c r="D15" i="41" s="1"/>
  <c r="N17" i="38" l="1"/>
  <c r="N21" i="38"/>
  <c r="F301" i="1"/>
  <c r="F13" i="38"/>
  <c r="E13" i="38" s="1"/>
  <c r="N13" i="38" s="1"/>
  <c r="R16" i="18"/>
  <c r="D300" i="1"/>
  <c r="D301" i="1" s="1"/>
  <c r="V65" i="18"/>
  <c r="O34" i="20"/>
  <c r="O59" i="20"/>
  <c r="D16" i="18"/>
  <c r="C195" i="1"/>
  <c r="H97" i="14"/>
  <c r="H207" i="1"/>
  <c r="F207" i="1"/>
  <c r="E20" i="18" s="1"/>
  <c r="F97" i="14"/>
  <c r="C44" i="1"/>
  <c r="D54" i="14"/>
  <c r="D55" i="14" s="1"/>
  <c r="D107" i="14" s="1"/>
  <c r="D46" i="1"/>
  <c r="D205" i="1"/>
  <c r="E24" i="18" l="1"/>
  <c r="F24" i="18" s="1"/>
  <c r="A18" i="30"/>
  <c r="I13" i="38" s="1"/>
  <c r="D12" i="46"/>
  <c r="F20" i="18"/>
  <c r="J23" i="41"/>
  <c r="J19" i="41"/>
  <c r="Q20" i="18"/>
  <c r="Q24" i="18"/>
  <c r="F299" i="1"/>
  <c r="F305" i="1" s="1"/>
  <c r="H299" i="1"/>
  <c r="H305" i="1" s="1"/>
  <c r="C54" i="14"/>
  <c r="F208" i="1"/>
  <c r="F105" i="14" s="1"/>
  <c r="H208" i="1"/>
  <c r="H105" i="14" s="1"/>
  <c r="F12" i="46" l="1"/>
  <c r="R20" i="46"/>
  <c r="V20" i="46" s="1"/>
  <c r="R16" i="46"/>
  <c r="V16" i="46" s="1"/>
  <c r="D18" i="30"/>
  <c r="E18" i="30" s="1"/>
  <c r="J13" i="38" s="1"/>
  <c r="S24" i="18"/>
  <c r="S20" i="18"/>
  <c r="K24" i="18"/>
  <c r="M24" i="18" s="1"/>
  <c r="K20" i="18"/>
  <c r="M20" i="18" s="1"/>
  <c r="G24" i="18"/>
  <c r="G20" i="18"/>
  <c r="K19" i="41" l="1"/>
  <c r="P19" i="41" s="1"/>
  <c r="AB20" i="18"/>
  <c r="K23" i="41"/>
  <c r="P23" i="41" s="1"/>
  <c r="AB24" i="18"/>
  <c r="J15" i="41"/>
  <c r="R12" i="46" s="1"/>
  <c r="AA24" i="18"/>
  <c r="AA20" i="18"/>
  <c r="O18" i="20"/>
  <c r="O17" i="20"/>
  <c r="D181" i="1"/>
  <c r="D89" i="14" s="1"/>
  <c r="D188" i="1"/>
  <c r="D189" i="1" s="1"/>
  <c r="V12" i="46" l="1"/>
  <c r="D102" i="14"/>
  <c r="D196" i="1"/>
  <c r="D202" i="1" s="1"/>
  <c r="D180" i="1"/>
  <c r="D103" i="14" l="1"/>
  <c r="D90" i="14"/>
  <c r="D183" i="1"/>
  <c r="D203" i="1" l="1"/>
  <c r="D204" i="1" l="1"/>
  <c r="D207" i="1" l="1"/>
  <c r="E16" i="18" s="1"/>
  <c r="F16" i="18" s="1"/>
  <c r="D97" i="14"/>
  <c r="K16" i="18" l="1"/>
  <c r="M16" i="18" s="1"/>
  <c r="D299" i="1"/>
  <c r="D305" i="1" s="1"/>
  <c r="D208" i="1"/>
  <c r="D105" i="14" s="1"/>
  <c r="K15" i="41" l="1"/>
  <c r="P15" i="41" s="1"/>
  <c r="AB16" i="18"/>
  <c r="S16" i="18"/>
  <c r="T16" i="18" s="1"/>
  <c r="X16" i="18"/>
  <c r="G16" i="18"/>
  <c r="C31" i="46" l="1"/>
  <c r="C33" i="46" s="1"/>
  <c r="G12" i="46"/>
  <c r="AA16" i="18"/>
  <c r="U22" i="46" l="1"/>
  <c r="U12" i="46"/>
  <c r="U16" i="46"/>
  <c r="G18" i="46"/>
  <c r="U14" i="46"/>
  <c r="U18" i="46"/>
  <c r="G20" i="46"/>
  <c r="G16" i="46"/>
  <c r="U20" i="46"/>
  <c r="G15" i="46"/>
  <c r="D37" i="7"/>
  <c r="D39" i="7" s="1"/>
  <c r="G31" i="7" s="1"/>
  <c r="K39" i="7"/>
  <c r="H18" i="46" l="1"/>
  <c r="I18" i="46" s="1"/>
  <c r="K18" i="46" s="1"/>
  <c r="S18" i="46"/>
  <c r="S20" i="46"/>
  <c r="H20" i="46"/>
  <c r="I20" i="46" s="1"/>
  <c r="K20" i="46" s="1"/>
  <c r="S16" i="46"/>
  <c r="H16" i="46"/>
  <c r="I16" i="46" s="1"/>
  <c r="K16" i="46" s="1"/>
  <c r="S12" i="46"/>
  <c r="H12" i="46"/>
  <c r="BO135" i="9"/>
  <c r="BU135" i="9" s="1"/>
  <c r="I12" i="46" l="1"/>
  <c r="K12" i="46" s="1"/>
  <c r="K42" i="46" s="1"/>
  <c r="K43" i="46" s="1"/>
  <c r="L43" i="46" s="1"/>
  <c r="O20" i="18"/>
  <c r="P20" i="18"/>
  <c r="O24" i="18"/>
  <c r="P24" i="18"/>
  <c r="O22" i="18"/>
  <c r="P22" i="18"/>
  <c r="P16" i="18"/>
  <c r="O16" i="18"/>
  <c r="K59" i="20"/>
  <c r="K58" i="20"/>
  <c r="Q57" i="20"/>
  <c r="K43" i="20"/>
  <c r="M42" i="20"/>
  <c r="Q42" i="20" s="1"/>
  <c r="K34" i="20"/>
  <c r="M33" i="20"/>
  <c r="Q33" i="20" s="1"/>
  <c r="BN30" i="9"/>
  <c r="BT30" i="9" s="1"/>
  <c r="BO28" i="9"/>
  <c r="BU28" i="9" s="1"/>
  <c r="BQ96" i="9"/>
  <c r="BW96" i="9" s="1"/>
  <c r="BO4" i="9"/>
  <c r="BU4" i="9" s="1"/>
  <c r="BP129" i="9"/>
  <c r="BV129" i="9" s="1"/>
  <c r="BP30" i="9"/>
  <c r="BV30" i="9" s="1"/>
  <c r="BO57" i="9"/>
  <c r="BU57" i="9" s="1"/>
  <c r="BN57" i="9"/>
  <c r="BT57" i="9" s="1"/>
  <c r="BO152" i="9"/>
  <c r="BU152" i="9" s="1"/>
  <c r="BN152" i="9"/>
  <c r="BT152" i="9" s="1"/>
  <c r="BM57" i="9"/>
  <c r="BS57" i="9" s="1"/>
  <c r="BQ152" i="9"/>
  <c r="BW152" i="9" s="1"/>
  <c r="BP57" i="9"/>
  <c r="BV57" i="9" s="1"/>
  <c r="BM152" i="9"/>
  <c r="BS152" i="9" s="1"/>
  <c r="BQ57" i="9"/>
  <c r="BW57" i="9" s="1"/>
  <c r="BP152" i="9"/>
  <c r="BV152" i="9" s="1"/>
  <c r="BN88" i="9"/>
  <c r="BT88" i="9" s="1"/>
  <c r="BQ131" i="9"/>
  <c r="BW131" i="9" s="1"/>
  <c r="BM136" i="9"/>
  <c r="BS136" i="9" s="1"/>
  <c r="BN105" i="9"/>
  <c r="BP85" i="9"/>
  <c r="BV85" i="9" s="1"/>
  <c r="BP102" i="9"/>
  <c r="BM60" i="9"/>
  <c r="BS60" i="9" s="1"/>
  <c r="BQ137" i="9"/>
  <c r="BW137" i="9" s="1"/>
  <c r="BQ112" i="9"/>
  <c r="BW112" i="9" s="1"/>
  <c r="BN139" i="9"/>
  <c r="BT139" i="9" s="1"/>
  <c r="BQ132" i="9"/>
  <c r="BW132" i="9" s="1"/>
  <c r="BO108" i="9"/>
  <c r="BU108" i="9" s="1"/>
  <c r="BM102" i="9"/>
  <c r="BP91" i="9"/>
  <c r="BV91" i="9" s="1"/>
  <c r="BQ27" i="9"/>
  <c r="BW27" i="9" s="1"/>
  <c r="BM129" i="9"/>
  <c r="BS129" i="9" s="1"/>
  <c r="BQ83" i="9"/>
  <c r="BW83" i="9" s="1"/>
  <c r="BN38" i="9"/>
  <c r="BT38" i="9" s="1"/>
  <c r="BO115" i="9"/>
  <c r="BU115" i="9" s="1"/>
  <c r="BP52" i="9"/>
  <c r="BV52" i="9" s="1"/>
  <c r="BM77" i="9"/>
  <c r="BS77" i="9" s="1"/>
  <c r="BO27" i="9"/>
  <c r="BU27" i="9" s="1"/>
  <c r="BM135" i="9"/>
  <c r="BS135" i="9" s="1"/>
  <c r="BP54" i="9"/>
  <c r="BV54" i="9" s="1"/>
  <c r="BN4" i="9"/>
  <c r="BT4" i="9" s="1"/>
  <c r="BQ33" i="9"/>
  <c r="BW33" i="9" s="1"/>
  <c r="BP137" i="9"/>
  <c r="BV137" i="9" s="1"/>
  <c r="BO134" i="9"/>
  <c r="BU134" i="9" s="1"/>
  <c r="BN131" i="9"/>
  <c r="BT131" i="9" s="1"/>
  <c r="BM54" i="9"/>
  <c r="BS54" i="9" s="1"/>
  <c r="BQ106" i="9"/>
  <c r="BW106" i="9" s="1"/>
  <c r="BP103" i="9"/>
  <c r="BO100" i="9"/>
  <c r="BN95" i="9"/>
  <c r="BT95" i="9" s="1"/>
  <c r="BQ116" i="9"/>
  <c r="BW116" i="9" s="1"/>
  <c r="BO82" i="9"/>
  <c r="BU82" i="9" s="1"/>
  <c r="BM139" i="9"/>
  <c r="BS139" i="9" s="1"/>
  <c r="BN132" i="9"/>
  <c r="BT132" i="9" s="1"/>
  <c r="BN106" i="9"/>
  <c r="BT106" i="9" s="1"/>
  <c r="BO97" i="9"/>
  <c r="BU97" i="9" s="1"/>
  <c r="BQ86" i="9"/>
  <c r="BW86" i="9" s="1"/>
  <c r="BM87" i="9"/>
  <c r="BS87" i="9" s="1"/>
  <c r="BP80" i="9"/>
  <c r="BV80" i="9" s="1"/>
  <c r="BN69" i="9"/>
  <c r="BT69" i="9" s="1"/>
  <c r="BQ110" i="9"/>
  <c r="BW110" i="9" s="1"/>
  <c r="BO46" i="9"/>
  <c r="BU46" i="9" s="1"/>
  <c r="BM32" i="9"/>
  <c r="BS32" i="9" s="1"/>
  <c r="BP60" i="9"/>
  <c r="BV60" i="9" s="1"/>
  <c r="BN128" i="9"/>
  <c r="BT128" i="9" s="1"/>
  <c r="BP28" i="9"/>
  <c r="BV28" i="9" s="1"/>
  <c r="BO139" i="9"/>
  <c r="BU139" i="9" s="1"/>
  <c r="BP136" i="9"/>
  <c r="BV136" i="9" s="1"/>
  <c r="BO133" i="9"/>
  <c r="BU133" i="9" s="1"/>
  <c r="BN130" i="9"/>
  <c r="BT130" i="9" s="1"/>
  <c r="BM109" i="9"/>
  <c r="BS109" i="9" s="1"/>
  <c r="BQ105" i="9"/>
  <c r="BN29" i="9"/>
  <c r="BT29" i="9" s="1"/>
  <c r="BP27" i="9"/>
  <c r="BV27" i="9" s="1"/>
  <c r="BM33" i="9"/>
  <c r="BS33" i="9" s="1"/>
  <c r="BO138" i="9"/>
  <c r="BU138" i="9" s="1"/>
  <c r="BQ136" i="9"/>
  <c r="BW136" i="9" s="1"/>
  <c r="BN135" i="9"/>
  <c r="BT135" i="9" s="1"/>
  <c r="BP133" i="9"/>
  <c r="BV133" i="9" s="1"/>
  <c r="BM132" i="9"/>
  <c r="BS132" i="9" s="1"/>
  <c r="BO130" i="9"/>
  <c r="BU130" i="9" s="1"/>
  <c r="BQ54" i="9"/>
  <c r="BW54" i="9" s="1"/>
  <c r="BN109" i="9"/>
  <c r="BT109" i="9" s="1"/>
  <c r="BP112" i="9"/>
  <c r="BV112" i="9" s="1"/>
  <c r="BM106" i="9"/>
  <c r="BS106" i="9" s="1"/>
  <c r="BO104" i="9"/>
  <c r="BQ102" i="9"/>
  <c r="BN101" i="9"/>
  <c r="BP97" i="9"/>
  <c r="BV97" i="9" s="1"/>
  <c r="BM96" i="9"/>
  <c r="BS96" i="9" s="1"/>
  <c r="BO88" i="9"/>
  <c r="BU88" i="9" s="1"/>
  <c r="BN87" i="9"/>
  <c r="BT87" i="9" s="1"/>
  <c r="BM84" i="9"/>
  <c r="BS84" i="9" s="1"/>
  <c r="BQ29" i="9"/>
  <c r="BW29" i="9" s="1"/>
  <c r="BP33" i="9"/>
  <c r="BV33" i="9" s="1"/>
  <c r="BM137" i="9"/>
  <c r="BS137" i="9" s="1"/>
  <c r="BQ133" i="9"/>
  <c r="BW133" i="9" s="1"/>
  <c r="BP130" i="9"/>
  <c r="BV130" i="9" s="1"/>
  <c r="BO109" i="9"/>
  <c r="BU109" i="9" s="1"/>
  <c r="BN104" i="9"/>
  <c r="BM101" i="9"/>
  <c r="BQ95" i="9"/>
  <c r="BW95" i="9" s="1"/>
  <c r="BM88" i="9"/>
  <c r="BS88" i="9" s="1"/>
  <c r="BP83" i="9"/>
  <c r="BV83" i="9" s="1"/>
  <c r="BP116" i="9"/>
  <c r="BV116" i="9" s="1"/>
  <c r="BO85" i="9"/>
  <c r="BU85" i="9" s="1"/>
  <c r="BN82" i="9"/>
  <c r="BT82" i="9" s="1"/>
  <c r="BM78" i="9"/>
  <c r="BS78" i="9" s="1"/>
  <c r="BQ114" i="9"/>
  <c r="BW114" i="9" s="1"/>
  <c r="BP63" i="9"/>
  <c r="BV63" i="9" s="1"/>
  <c r="BO113" i="9"/>
  <c r="BU113" i="9" s="1"/>
  <c r="BN55" i="9"/>
  <c r="BT55" i="9" s="1"/>
  <c r="BM111" i="9"/>
  <c r="BS111" i="9" s="1"/>
  <c r="BQ41" i="9"/>
  <c r="BW41" i="9" s="1"/>
  <c r="BP34" i="9"/>
  <c r="BV34" i="9" s="1"/>
  <c r="BN81" i="9"/>
  <c r="BT81" i="9" s="1"/>
  <c r="BQ69" i="9"/>
  <c r="BW69" i="9" s="1"/>
  <c r="BO58" i="9"/>
  <c r="BU58" i="9" s="1"/>
  <c r="BM49" i="9"/>
  <c r="BS49" i="9" s="1"/>
  <c r="BQ38" i="9"/>
  <c r="BW38" i="9" s="1"/>
  <c r="BO112" i="9"/>
  <c r="BU112" i="9" s="1"/>
  <c r="BM105" i="9"/>
  <c r="BO103" i="9"/>
  <c r="BQ101" i="9"/>
  <c r="BN100" i="9"/>
  <c r="BP96" i="9"/>
  <c r="BV96" i="9" s="1"/>
  <c r="BM95" i="9"/>
  <c r="BS95" i="9" s="1"/>
  <c r="BO91" i="9"/>
  <c r="BU91" i="9" s="1"/>
  <c r="BO116" i="9"/>
  <c r="BU116" i="9" s="1"/>
  <c r="BN85" i="9"/>
  <c r="BT85" i="9" s="1"/>
  <c r="BM91" i="9"/>
  <c r="BS91" i="9" s="1"/>
  <c r="BO124" i="9"/>
  <c r="BU124" i="9" s="1"/>
  <c r="BQ87" i="9"/>
  <c r="BW87" i="9" s="1"/>
  <c r="BN86" i="9"/>
  <c r="BT86" i="9" s="1"/>
  <c r="BP84" i="9"/>
  <c r="BV84" i="9" s="1"/>
  <c r="BM83" i="9"/>
  <c r="BS83" i="9" s="1"/>
  <c r="BO81" i="9"/>
  <c r="BU81" i="9" s="1"/>
  <c r="BQ78" i="9"/>
  <c r="BW78" i="9" s="1"/>
  <c r="BN77" i="9"/>
  <c r="BT77" i="9" s="1"/>
  <c r="BP72" i="9"/>
  <c r="BV72" i="9" s="1"/>
  <c r="BM114" i="9"/>
  <c r="BS114" i="9" s="1"/>
  <c r="BO66" i="9"/>
  <c r="BU66" i="9" s="1"/>
  <c r="BQ60" i="9"/>
  <c r="BW60" i="9" s="1"/>
  <c r="BN59" i="9"/>
  <c r="BT59" i="9" s="1"/>
  <c r="BP58" i="9"/>
  <c r="BV58" i="9" s="1"/>
  <c r="BS110" i="9"/>
  <c r="BO128" i="9"/>
  <c r="BU128" i="9" s="1"/>
  <c r="BQ111" i="9"/>
  <c r="BW111" i="9" s="1"/>
  <c r="BN49" i="9"/>
  <c r="BT49" i="9" s="1"/>
  <c r="BP43" i="9"/>
  <c r="BV43" i="9" s="1"/>
  <c r="BM41" i="9"/>
  <c r="BS41" i="9" s="1"/>
  <c r="BO35" i="9"/>
  <c r="BU35" i="9" s="1"/>
  <c r="BQ32" i="9"/>
  <c r="BW32" i="9" s="1"/>
  <c r="BO30" i="9"/>
  <c r="BU30" i="9" s="1"/>
  <c r="BP78" i="9"/>
  <c r="BV78" i="9" s="1"/>
  <c r="BO72" i="9"/>
  <c r="BU72" i="9" s="1"/>
  <c r="BN66" i="9"/>
  <c r="BT66" i="9" s="1"/>
  <c r="BM59" i="9"/>
  <c r="BS59" i="9" s="1"/>
  <c r="BQ55" i="9"/>
  <c r="BW55" i="9" s="1"/>
  <c r="BP111" i="9"/>
  <c r="BV111" i="9" s="1"/>
  <c r="BO43" i="9"/>
  <c r="BU43" i="9" s="1"/>
  <c r="BN35" i="9"/>
  <c r="BT35" i="9" s="1"/>
  <c r="BP32" i="9"/>
  <c r="BV32" i="9" s="1"/>
  <c r="BN31" i="9"/>
  <c r="BT31" i="9" s="1"/>
  <c r="BM82" i="9"/>
  <c r="BS82" i="9" s="1"/>
  <c r="BO80" i="9"/>
  <c r="BU80" i="9" s="1"/>
  <c r="BQ77" i="9"/>
  <c r="BW77" i="9" s="1"/>
  <c r="BN115" i="9"/>
  <c r="BT115" i="9" s="1"/>
  <c r="BP114" i="9"/>
  <c r="BV114" i="9" s="1"/>
  <c r="BM69" i="9"/>
  <c r="BS69" i="9" s="1"/>
  <c r="BO63" i="9"/>
  <c r="BU63" i="9" s="1"/>
  <c r="BQ59" i="9"/>
  <c r="BW59" i="9" s="1"/>
  <c r="BN113" i="9"/>
  <c r="BT113" i="9" s="1"/>
  <c r="BP110" i="9"/>
  <c r="BV110" i="9" s="1"/>
  <c r="BM55" i="9"/>
  <c r="BS55" i="9" s="1"/>
  <c r="BO52" i="9"/>
  <c r="BU52" i="9" s="1"/>
  <c r="BQ49" i="9"/>
  <c r="BW49" i="9" s="1"/>
  <c r="BN46" i="9"/>
  <c r="BT46" i="9" s="1"/>
  <c r="BP41" i="9"/>
  <c r="BV41" i="9" s="1"/>
  <c r="BM38" i="9"/>
  <c r="BS38" i="9" s="1"/>
  <c r="BO34" i="9"/>
  <c r="BU34" i="9" s="1"/>
  <c r="BQ31" i="9"/>
  <c r="BW31" i="9" s="1"/>
  <c r="BM31" i="9"/>
  <c r="BS31" i="9" s="1"/>
  <c r="BM4" i="9"/>
  <c r="BS4" i="9" s="1"/>
  <c r="BO29" i="9"/>
  <c r="BU29" i="9" s="1"/>
  <c r="BN28" i="9"/>
  <c r="BT28" i="9" s="1"/>
  <c r="BN33" i="9"/>
  <c r="BT33" i="9" s="1"/>
  <c r="BP138" i="9"/>
  <c r="BV138" i="9" s="1"/>
  <c r="BO137" i="9"/>
  <c r="BU137" i="9" s="1"/>
  <c r="BQ135" i="9"/>
  <c r="BW135" i="9" s="1"/>
  <c r="BN134" i="9"/>
  <c r="BT134" i="9" s="1"/>
  <c r="BP132" i="9"/>
  <c r="BV132" i="9" s="1"/>
  <c r="BM131" i="9"/>
  <c r="BS131" i="9" s="1"/>
  <c r="BO129" i="9"/>
  <c r="BU129" i="9" s="1"/>
  <c r="BQ109" i="9"/>
  <c r="BW109" i="9" s="1"/>
  <c r="BN108" i="9"/>
  <c r="BT108" i="9" s="1"/>
  <c r="BM112" i="9"/>
  <c r="BS112" i="9" s="1"/>
  <c r="BP4" i="9"/>
  <c r="BV4" i="9" s="1"/>
  <c r="BP29" i="9"/>
  <c r="BV29" i="9" s="1"/>
  <c r="BQ28" i="9"/>
  <c r="BW28" i="9" s="1"/>
  <c r="BM28" i="9"/>
  <c r="BS28" i="9" s="1"/>
  <c r="BN27" i="9"/>
  <c r="BT27" i="9" s="1"/>
  <c r="BO33" i="9"/>
  <c r="BU33" i="9" s="1"/>
  <c r="BP139" i="9"/>
  <c r="BV139" i="9" s="1"/>
  <c r="BQ138" i="9"/>
  <c r="BW138" i="9" s="1"/>
  <c r="BM138" i="9"/>
  <c r="BS138" i="9" s="1"/>
  <c r="BN137" i="9"/>
  <c r="BT137" i="9" s="1"/>
  <c r="BO136" i="9"/>
  <c r="BU136" i="9" s="1"/>
  <c r="BP135" i="9"/>
  <c r="BV135" i="9" s="1"/>
  <c r="BQ134" i="9"/>
  <c r="BW134" i="9" s="1"/>
  <c r="BM134" i="9"/>
  <c r="BS134" i="9" s="1"/>
  <c r="BN133" i="9"/>
  <c r="BT133" i="9" s="1"/>
  <c r="BO132" i="9"/>
  <c r="BU132" i="9" s="1"/>
  <c r="BP131" i="9"/>
  <c r="BV131" i="9" s="1"/>
  <c r="BQ130" i="9"/>
  <c r="BW130" i="9" s="1"/>
  <c r="BM130" i="9"/>
  <c r="BS130" i="9" s="1"/>
  <c r="BN129" i="9"/>
  <c r="BT129" i="9" s="1"/>
  <c r="BO54" i="9"/>
  <c r="BU54" i="9" s="1"/>
  <c r="BP109" i="9"/>
  <c r="BV109" i="9" s="1"/>
  <c r="BQ108" i="9"/>
  <c r="BW108" i="9" s="1"/>
  <c r="BM108" i="9"/>
  <c r="BS108" i="9" s="1"/>
  <c r="BN112" i="9"/>
  <c r="BT112" i="9" s="1"/>
  <c r="BO106" i="9"/>
  <c r="BU106" i="9" s="1"/>
  <c r="BP105" i="9"/>
  <c r="BQ104" i="9"/>
  <c r="BM104" i="9"/>
  <c r="BN103" i="9"/>
  <c r="BO102" i="9"/>
  <c r="BP101" i="9"/>
  <c r="BQ100" i="9"/>
  <c r="BM100" i="9"/>
  <c r="BN97" i="9"/>
  <c r="BT97" i="9" s="1"/>
  <c r="BO96" i="9"/>
  <c r="BU96" i="9" s="1"/>
  <c r="BP95" i="9"/>
  <c r="BV95" i="9" s="1"/>
  <c r="BN91" i="9"/>
  <c r="BT91" i="9" s="1"/>
  <c r="BP124" i="9"/>
  <c r="BV124" i="9" s="1"/>
  <c r="BM116" i="9"/>
  <c r="BS116" i="9" s="1"/>
  <c r="BO86" i="9"/>
  <c r="BU86" i="9" s="1"/>
  <c r="BQ84" i="9"/>
  <c r="BW84" i="9" s="1"/>
  <c r="BN83" i="9"/>
  <c r="BT83" i="9" s="1"/>
  <c r="BQ4" i="9"/>
  <c r="BW4" i="9" s="1"/>
  <c r="BM29" i="9"/>
  <c r="BS29" i="9" s="1"/>
  <c r="BM27" i="9"/>
  <c r="BS27" i="9" s="1"/>
  <c r="BQ139" i="9"/>
  <c r="BW139" i="9" s="1"/>
  <c r="BN138" i="9"/>
  <c r="BT138" i="9" s="1"/>
  <c r="BN136" i="9"/>
  <c r="BT136" i="9" s="1"/>
  <c r="BP134" i="9"/>
  <c r="BV134" i="9" s="1"/>
  <c r="BM133" i="9"/>
  <c r="BS133" i="9" s="1"/>
  <c r="BO131" i="9"/>
  <c r="BU131" i="9" s="1"/>
  <c r="BQ129" i="9"/>
  <c r="BW129" i="9" s="1"/>
  <c r="BN54" i="9"/>
  <c r="BT54" i="9" s="1"/>
  <c r="BP108" i="9"/>
  <c r="BV108" i="9" s="1"/>
  <c r="BP106" i="9"/>
  <c r="BV106" i="9" s="1"/>
  <c r="BO105" i="9"/>
  <c r="BP104" i="9"/>
  <c r="BQ103" i="9"/>
  <c r="BM103" i="9"/>
  <c r="BN102" i="9"/>
  <c r="BO101" i="9"/>
  <c r="BP100" i="9"/>
  <c r="BQ97" i="9"/>
  <c r="BW97" i="9" s="1"/>
  <c r="BM97" i="9"/>
  <c r="BS97" i="9" s="1"/>
  <c r="BN96" i="9"/>
  <c r="BT96" i="9" s="1"/>
  <c r="BO95" i="9"/>
  <c r="BU95" i="9" s="1"/>
  <c r="BQ91" i="9"/>
  <c r="BW91" i="9" s="1"/>
  <c r="BQ88" i="9"/>
  <c r="BW88" i="9" s="1"/>
  <c r="BN124" i="9"/>
  <c r="BT124" i="9" s="1"/>
  <c r="BP87" i="9"/>
  <c r="BV87" i="9" s="1"/>
  <c r="BM86" i="9"/>
  <c r="BS86" i="9" s="1"/>
  <c r="BO84" i="9"/>
  <c r="BU84" i="9" s="1"/>
  <c r="BQ82" i="9"/>
  <c r="BW82" i="9" s="1"/>
  <c r="BP88" i="9"/>
  <c r="BV88" i="9" s="1"/>
  <c r="BQ124" i="9"/>
  <c r="BW124" i="9" s="1"/>
  <c r="BM124" i="9"/>
  <c r="BS124" i="9" s="1"/>
  <c r="BN116" i="9"/>
  <c r="BT116" i="9" s="1"/>
  <c r="BO87" i="9"/>
  <c r="BU87" i="9" s="1"/>
  <c r="BP86" i="9"/>
  <c r="BV86" i="9" s="1"/>
  <c r="BQ85" i="9"/>
  <c r="BW85" i="9" s="1"/>
  <c r="BM85" i="9"/>
  <c r="BS85" i="9" s="1"/>
  <c r="BN84" i="9"/>
  <c r="BT84" i="9" s="1"/>
  <c r="BO83" i="9"/>
  <c r="BU83" i="9" s="1"/>
  <c r="BP82" i="9"/>
  <c r="BV82" i="9" s="1"/>
  <c r="BQ81" i="9"/>
  <c r="BW81" i="9" s="1"/>
  <c r="BM81" i="9"/>
  <c r="BS81" i="9" s="1"/>
  <c r="BN80" i="9"/>
  <c r="BT80" i="9" s="1"/>
  <c r="BO78" i="9"/>
  <c r="BU78" i="9" s="1"/>
  <c r="BP77" i="9"/>
  <c r="BV77" i="9" s="1"/>
  <c r="BQ115" i="9"/>
  <c r="BW115" i="9" s="1"/>
  <c r="BM115" i="9"/>
  <c r="BS115" i="9" s="1"/>
  <c r="BN72" i="9"/>
  <c r="BT72" i="9" s="1"/>
  <c r="BO114" i="9"/>
  <c r="BU114" i="9" s="1"/>
  <c r="BP69" i="9"/>
  <c r="BV69" i="9" s="1"/>
  <c r="BQ66" i="9"/>
  <c r="BW66" i="9" s="1"/>
  <c r="BM66" i="9"/>
  <c r="BS66" i="9" s="1"/>
  <c r="BN63" i="9"/>
  <c r="BT63" i="9" s="1"/>
  <c r="BO60" i="9"/>
  <c r="BU60" i="9" s="1"/>
  <c r="BP59" i="9"/>
  <c r="BV59" i="9" s="1"/>
  <c r="BQ113" i="9"/>
  <c r="BW113" i="9" s="1"/>
  <c r="BM113" i="9"/>
  <c r="BS113" i="9" s="1"/>
  <c r="BN58" i="9"/>
  <c r="BT58" i="9" s="1"/>
  <c r="BO110" i="9"/>
  <c r="BU110" i="9" s="1"/>
  <c r="BP55" i="9"/>
  <c r="BV55" i="9" s="1"/>
  <c r="BQ128" i="9"/>
  <c r="BW128" i="9" s="1"/>
  <c r="BM128" i="9"/>
  <c r="BS128" i="9" s="1"/>
  <c r="BN52" i="9"/>
  <c r="BT52" i="9" s="1"/>
  <c r="BO111" i="9"/>
  <c r="BU111" i="9" s="1"/>
  <c r="BP49" i="9"/>
  <c r="BV49" i="9" s="1"/>
  <c r="BQ46" i="9"/>
  <c r="BW46" i="9" s="1"/>
  <c r="BM46" i="9"/>
  <c r="BS46" i="9" s="1"/>
  <c r="BN43" i="9"/>
  <c r="BT43" i="9" s="1"/>
  <c r="BO41" i="9"/>
  <c r="BU41" i="9" s="1"/>
  <c r="BP38" i="9"/>
  <c r="BV38" i="9" s="1"/>
  <c r="BQ35" i="9"/>
  <c r="BW35" i="9" s="1"/>
  <c r="BM35" i="9"/>
  <c r="BS35" i="9" s="1"/>
  <c r="BN34" i="9"/>
  <c r="BT34" i="9" s="1"/>
  <c r="BO32" i="9"/>
  <c r="BU32" i="9" s="1"/>
  <c r="BP31" i="9"/>
  <c r="BV31" i="9" s="1"/>
  <c r="BQ30" i="9"/>
  <c r="BW30" i="9" s="1"/>
  <c r="BM30" i="9"/>
  <c r="BS30" i="9" s="1"/>
  <c r="BP81" i="9"/>
  <c r="BV81" i="9" s="1"/>
  <c r="BQ80" i="9"/>
  <c r="BW80" i="9" s="1"/>
  <c r="BM80" i="9"/>
  <c r="BS80" i="9" s="1"/>
  <c r="BN78" i="9"/>
  <c r="BT78" i="9" s="1"/>
  <c r="BO77" i="9"/>
  <c r="BU77" i="9" s="1"/>
  <c r="BP115" i="9"/>
  <c r="BV115" i="9" s="1"/>
  <c r="BQ72" i="9"/>
  <c r="BW72" i="9" s="1"/>
  <c r="BM72" i="9"/>
  <c r="BS72" i="9" s="1"/>
  <c r="BN114" i="9"/>
  <c r="BT114" i="9" s="1"/>
  <c r="BO69" i="9"/>
  <c r="BU69" i="9" s="1"/>
  <c r="BP66" i="9"/>
  <c r="BV66" i="9" s="1"/>
  <c r="BQ63" i="9"/>
  <c r="BW63" i="9" s="1"/>
  <c r="BM63" i="9"/>
  <c r="BS63" i="9" s="1"/>
  <c r="BN60" i="9"/>
  <c r="BT60" i="9" s="1"/>
  <c r="BO59" i="9"/>
  <c r="BU59" i="9" s="1"/>
  <c r="BP113" i="9"/>
  <c r="BV113" i="9" s="1"/>
  <c r="BQ58" i="9"/>
  <c r="BW58" i="9" s="1"/>
  <c r="BM58" i="9"/>
  <c r="BS58" i="9" s="1"/>
  <c r="BN110" i="9"/>
  <c r="BT110" i="9" s="1"/>
  <c r="BO55" i="9"/>
  <c r="BU55" i="9" s="1"/>
  <c r="BP128" i="9"/>
  <c r="BV128" i="9" s="1"/>
  <c r="BQ52" i="9"/>
  <c r="BW52" i="9" s="1"/>
  <c r="BM52" i="9"/>
  <c r="BS52" i="9" s="1"/>
  <c r="BN111" i="9"/>
  <c r="BT111" i="9" s="1"/>
  <c r="BO49" i="9"/>
  <c r="BU49" i="9" s="1"/>
  <c r="BP46" i="9"/>
  <c r="BV46" i="9" s="1"/>
  <c r="BQ43" i="9"/>
  <c r="BW43" i="9" s="1"/>
  <c r="BM43" i="9"/>
  <c r="BS43" i="9" s="1"/>
  <c r="BN41" i="9"/>
  <c r="BT41" i="9" s="1"/>
  <c r="BO38" i="9"/>
  <c r="BU38" i="9" s="1"/>
  <c r="BP35" i="9"/>
  <c r="BV35" i="9" s="1"/>
  <c r="BQ34" i="9"/>
  <c r="BW34" i="9" s="1"/>
  <c r="BM34" i="9"/>
  <c r="BS34" i="9" s="1"/>
  <c r="BN32" i="9"/>
  <c r="BT32" i="9" s="1"/>
  <c r="BO31" i="9"/>
  <c r="BU31" i="9" s="1"/>
  <c r="R42" i="20"/>
  <c r="R57" i="20"/>
  <c r="R24" i="20"/>
  <c r="R33" i="20"/>
  <c r="R59" i="20"/>
  <c r="R34" i="20"/>
  <c r="W42" i="20" l="1"/>
  <c r="W33" i="20"/>
  <c r="W57" i="20"/>
  <c r="M34" i="20"/>
  <c r="Q34" i="20" s="1"/>
  <c r="M58" i="20"/>
  <c r="W58" i="20" s="1"/>
  <c r="M59" i="20"/>
  <c r="Q59" i="20" s="1"/>
  <c r="M43" i="20"/>
  <c r="Q43" i="20" s="1"/>
  <c r="K18" i="20"/>
  <c r="K17" i="20"/>
  <c r="R44" i="20"/>
  <c r="R43" i="20"/>
  <c r="W34" i="20" l="1"/>
  <c r="W59" i="20"/>
  <c r="M17" i="20"/>
  <c r="W16" i="20"/>
  <c r="Q16" i="20"/>
  <c r="Q18" i="20"/>
  <c r="W43" i="20"/>
  <c r="R18" i="20"/>
  <c r="R17" i="20"/>
  <c r="W18" i="20" l="1"/>
  <c r="H16" i="30"/>
  <c r="J16" i="30" s="1"/>
  <c r="L16" i="30" s="1"/>
  <c r="M16" i="30" s="1"/>
  <c r="H11" i="30"/>
  <c r="J11" i="30" s="1"/>
  <c r="L11" i="30" s="1"/>
  <c r="M11" i="30" s="1"/>
  <c r="H12" i="30"/>
  <c r="J12" i="30" s="1"/>
  <c r="L12" i="30" s="1"/>
  <c r="M12" i="30" s="1"/>
  <c r="H13" i="30"/>
  <c r="J13" i="30" s="1"/>
  <c r="L13" i="30" s="1"/>
  <c r="M13" i="30" s="1"/>
  <c r="H17" i="30"/>
  <c r="H14" i="30"/>
  <c r="J14" i="30" s="1"/>
  <c r="L14" i="30" s="1"/>
  <c r="M14" i="30" s="1"/>
  <c r="H15" i="30"/>
  <c r="J15" i="30" s="1"/>
  <c r="L15" i="30" s="1"/>
  <c r="M15" i="30" s="1"/>
  <c r="H10" i="30"/>
  <c r="J10" i="30" s="1"/>
  <c r="L10" i="30" s="1"/>
  <c r="M10" i="30" s="1"/>
  <c r="Q17" i="20"/>
  <c r="W17" i="20"/>
  <c r="O29" i="27"/>
  <c r="M30" i="27"/>
  <c r="H18" i="30" l="1"/>
  <c r="J17" i="30"/>
  <c r="L17" i="30" s="1"/>
  <c r="M17" i="30" s="1"/>
  <c r="H19" i="30"/>
  <c r="H23" i="30"/>
  <c r="H20" i="30"/>
  <c r="H24" i="30"/>
  <c r="H21" i="30"/>
  <c r="H22" i="30"/>
  <c r="I18" i="30"/>
  <c r="I23" i="30"/>
  <c r="I22" i="30"/>
  <c r="I20" i="30"/>
  <c r="I24" i="30"/>
  <c r="I21" i="30"/>
  <c r="I19" i="30"/>
  <c r="M32" i="27"/>
  <c r="O32" i="27" s="1"/>
  <c r="P32" i="27" s="1"/>
  <c r="O30" i="27"/>
  <c r="J19" i="30" l="1"/>
  <c r="L19" i="30" s="1"/>
  <c r="M19" i="30" s="1"/>
  <c r="J21" i="30"/>
  <c r="L21" i="30" s="1"/>
  <c r="M21" i="30" s="1"/>
  <c r="J24" i="30"/>
  <c r="L24" i="30" s="1"/>
  <c r="M24" i="30" s="1"/>
  <c r="J20" i="30"/>
  <c r="L20" i="30" s="1"/>
  <c r="M20" i="30" s="1"/>
  <c r="J22" i="30"/>
  <c r="L22" i="30" s="1"/>
  <c r="M22" i="30" s="1"/>
  <c r="J23" i="30"/>
  <c r="L23" i="30" s="1"/>
  <c r="M23" i="30" s="1"/>
  <c r="J18" i="30"/>
  <c r="L18" i="30" s="1"/>
  <c r="M18" i="30" s="1"/>
  <c r="M34" i="27"/>
  <c r="M35" i="27"/>
  <c r="M36" i="27" l="1"/>
  <c r="M38" i="27"/>
  <c r="O34" i="27"/>
  <c r="M39" i="27"/>
  <c r="O39" i="27" s="1"/>
  <c r="C15" i="5" s="1"/>
  <c r="C17" i="5" s="1"/>
  <c r="E9" i="1" s="1"/>
  <c r="D242" i="1" s="1"/>
  <c r="O35" i="27"/>
  <c r="E114" i="1" l="1"/>
  <c r="C114" i="1" s="1"/>
  <c r="E32" i="1"/>
  <c r="O36" i="27"/>
  <c r="M40" i="27"/>
  <c r="M41" i="27" s="1"/>
  <c r="O38" i="27"/>
  <c r="E242" i="1"/>
  <c r="E167" i="1" l="1"/>
  <c r="C167" i="1" s="1"/>
  <c r="E51" i="14"/>
  <c r="C51" i="14" s="1"/>
  <c r="D250" i="1"/>
  <c r="E250" i="1" s="1"/>
  <c r="O40" i="27"/>
  <c r="O41" i="27" s="1"/>
  <c r="B15" i="5"/>
  <c r="B17" i="5" l="1"/>
  <c r="E8" i="1" s="1"/>
  <c r="D15" i="5"/>
  <c r="D17" i="5" s="1"/>
  <c r="D21" i="5" s="1"/>
  <c r="E18" i="1" s="1"/>
  <c r="E31" i="1" l="1"/>
  <c r="E113" i="1"/>
  <c r="D241" i="1"/>
  <c r="E14" i="1"/>
  <c r="C18" i="1"/>
  <c r="E41" i="1"/>
  <c r="E50" i="14" l="1"/>
  <c r="D249" i="1"/>
  <c r="E166" i="1"/>
  <c r="E37" i="1"/>
  <c r="C41" i="1"/>
  <c r="E53" i="14"/>
  <c r="C53" i="14" s="1"/>
  <c r="C113" i="1"/>
  <c r="E124" i="1"/>
  <c r="E241" i="1"/>
  <c r="E244" i="1" s="1"/>
  <c r="F241" i="1"/>
  <c r="H241" i="1" s="1"/>
  <c r="I241" i="1" s="1"/>
  <c r="D244" i="1"/>
  <c r="E17" i="1"/>
  <c r="C14" i="1"/>
  <c r="E245" i="1" l="1"/>
  <c r="E67" i="1"/>
  <c r="C50" i="14"/>
  <c r="E88" i="14"/>
  <c r="C88" i="14" s="1"/>
  <c r="E55" i="14"/>
  <c r="C17" i="1"/>
  <c r="E20" i="1"/>
  <c r="E249" i="1"/>
  <c r="E252" i="1" s="1"/>
  <c r="F249" i="1"/>
  <c r="H249" i="1" s="1"/>
  <c r="D252" i="1"/>
  <c r="G241" i="1"/>
  <c r="F242" i="1"/>
  <c r="C166" i="1"/>
  <c r="E177" i="1"/>
  <c r="E104" i="14"/>
  <c r="C37" i="1"/>
  <c r="E40" i="1"/>
  <c r="E253" i="1" l="1"/>
  <c r="I249" i="1"/>
  <c r="G242" i="1"/>
  <c r="G244" i="1" s="1"/>
  <c r="G245" i="1" s="1"/>
  <c r="H242" i="1"/>
  <c r="C55" i="14"/>
  <c r="E107" i="14"/>
  <c r="E135" i="1"/>
  <c r="E136" i="1" s="1"/>
  <c r="E125" i="1"/>
  <c r="E128" i="1"/>
  <c r="C128" i="1" s="1"/>
  <c r="E43" i="1"/>
  <c r="C40" i="1"/>
  <c r="C177" i="1"/>
  <c r="C104" i="14"/>
  <c r="G249" i="1"/>
  <c r="F250" i="1"/>
  <c r="E84" i="1"/>
  <c r="E23" i="1"/>
  <c r="C20" i="1"/>
  <c r="B73" i="5" s="1"/>
  <c r="B75" i="5" s="1"/>
  <c r="R18" i="18" l="1"/>
  <c r="F15" i="38"/>
  <c r="E15" i="38" s="1"/>
  <c r="E300" i="1"/>
  <c r="C43" i="1"/>
  <c r="E46" i="1"/>
  <c r="D14" i="46" s="1"/>
  <c r="C23" i="1"/>
  <c r="G250" i="1"/>
  <c r="G252" i="1" s="1"/>
  <c r="G253" i="1" s="1"/>
  <c r="H250" i="1"/>
  <c r="C136" i="1"/>
  <c r="E178" i="1"/>
  <c r="E188" i="1"/>
  <c r="E189" i="1" s="1"/>
  <c r="E181" i="1"/>
  <c r="C125" i="1"/>
  <c r="E127" i="1"/>
  <c r="H244" i="1"/>
  <c r="I242" i="1"/>
  <c r="I244" i="1" s="1"/>
  <c r="N15" i="38" l="1"/>
  <c r="F14" i="46"/>
  <c r="D24" i="46"/>
  <c r="E301" i="1"/>
  <c r="F25" i="38"/>
  <c r="C46" i="1"/>
  <c r="I245" i="1"/>
  <c r="E139" i="1" s="1"/>
  <c r="E140" i="1" s="1"/>
  <c r="E143" i="1" s="1"/>
  <c r="C189" i="1"/>
  <c r="I250" i="1"/>
  <c r="I252" i="1" s="1"/>
  <c r="H252" i="1"/>
  <c r="E89" i="14"/>
  <c r="C89" i="14" s="1"/>
  <c r="C181" i="1"/>
  <c r="C102" i="14" s="1"/>
  <c r="E102" i="14"/>
  <c r="E130" i="1"/>
  <c r="C178" i="1"/>
  <c r="E180" i="1"/>
  <c r="G14" i="46" l="1"/>
  <c r="E25" i="38"/>
  <c r="Q18" i="18"/>
  <c r="I253" i="1"/>
  <c r="E199" i="1" s="1"/>
  <c r="E200" i="1" s="1"/>
  <c r="C200" i="1" s="1"/>
  <c r="E146" i="1"/>
  <c r="E147" i="1" s="1"/>
  <c r="C147" i="1" s="1"/>
  <c r="E150" i="1"/>
  <c r="C140" i="1"/>
  <c r="C180" i="1"/>
  <c r="E183" i="1"/>
  <c r="H14" i="46" l="1"/>
  <c r="I14" i="46" s="1"/>
  <c r="K14" i="46" s="1"/>
  <c r="AC22" i="18"/>
  <c r="Y22" i="18"/>
  <c r="AC20" i="18"/>
  <c r="Y20" i="18"/>
  <c r="AC18" i="18"/>
  <c r="J17" i="41"/>
  <c r="I28" i="18"/>
  <c r="J28" i="18" s="1"/>
  <c r="AC24" i="18"/>
  <c r="Y24" i="18"/>
  <c r="AC16" i="18"/>
  <c r="Y16" i="18"/>
  <c r="E192" i="1"/>
  <c r="E193" i="1" s="1"/>
  <c r="E196" i="1" s="1"/>
  <c r="E202" i="1" s="1"/>
  <c r="E149" i="1"/>
  <c r="E152" i="1" s="1"/>
  <c r="C143" i="1"/>
  <c r="E203" i="1"/>
  <c r="C203" i="1" s="1"/>
  <c r="C183" i="1"/>
  <c r="O24" i="20"/>
  <c r="K24" i="20" l="1"/>
  <c r="M24" i="20" s="1"/>
  <c r="W24" i="20" s="1"/>
  <c r="M23" i="20"/>
  <c r="R14" i="46"/>
  <c r="J27" i="41"/>
  <c r="D17" i="41"/>
  <c r="D18" i="18"/>
  <c r="C193" i="1"/>
  <c r="C196" i="1" s="1"/>
  <c r="C202" i="1" s="1"/>
  <c r="E205" i="1"/>
  <c r="C149" i="1"/>
  <c r="E204" i="1"/>
  <c r="E90" i="14"/>
  <c r="E103" i="14"/>
  <c r="W23" i="20" l="1"/>
  <c r="Q23" i="20"/>
  <c r="Q24" i="20"/>
  <c r="V14" i="46"/>
  <c r="R24" i="46"/>
  <c r="V24" i="46" s="1"/>
  <c r="S14" i="46"/>
  <c r="C103" i="14"/>
  <c r="E207" i="1"/>
  <c r="E18" i="18" s="1"/>
  <c r="E97" i="14"/>
  <c r="C204" i="1"/>
  <c r="C90" i="14"/>
  <c r="F18" i="18" l="1"/>
  <c r="E299" i="1"/>
  <c r="E305" i="1" s="1"/>
  <c r="E208" i="1"/>
  <c r="E105" i="14" s="1"/>
  <c r="C97" i="14"/>
  <c r="S18" i="18" l="1"/>
  <c r="R28" i="18"/>
  <c r="T24" i="18"/>
  <c r="X24" i="18"/>
  <c r="T20" i="18"/>
  <c r="X20" i="18"/>
  <c r="X22" i="18"/>
  <c r="X18" i="18"/>
  <c r="G18" i="18"/>
  <c r="K18" i="18"/>
  <c r="M18" i="18" s="1"/>
  <c r="K17" i="41" l="1"/>
  <c r="AB18" i="18"/>
  <c r="O18" i="18"/>
  <c r="P18" i="18"/>
  <c r="Y18" i="18"/>
  <c r="AA18" i="18"/>
  <c r="T18" i="18"/>
  <c r="P17" i="41" l="1"/>
  <c r="Q16" i="18"/>
  <c r="Q28" i="18" l="1"/>
  <c r="AC101" i="9" l="1"/>
  <c r="AC105" i="9" l="1"/>
  <c r="C15" i="7"/>
  <c r="C19" i="7" s="1"/>
  <c r="C20" i="7" l="1"/>
  <c r="C43" i="7"/>
  <c r="C44" i="7" s="1"/>
  <c r="AU103" i="9"/>
  <c r="D15" i="7"/>
  <c r="D21" i="7" s="1"/>
  <c r="O15" i="7" l="1"/>
  <c r="D19" i="7"/>
  <c r="F53" i="18" s="1"/>
  <c r="K53" i="18" s="1"/>
  <c r="K69" i="18" s="1"/>
  <c r="I15" i="7"/>
  <c r="D26" i="7" l="1"/>
  <c r="D31" i="7" s="1"/>
  <c r="G55" i="7" s="1"/>
  <c r="D43" i="7"/>
  <c r="D44" i="7" s="1"/>
  <c r="D28" i="7"/>
  <c r="D30" i="7" s="1"/>
  <c r="D29" i="7"/>
  <c r="I122" i="1"/>
  <c r="C122" i="1" s="1"/>
  <c r="I19" i="7"/>
  <c r="L20" i="7" s="1"/>
  <c r="E43" i="7"/>
  <c r="E44" i="7" s="1"/>
  <c r="K26" i="7" l="1"/>
  <c r="I31" i="7"/>
  <c r="D27" i="7"/>
  <c r="K31" i="7"/>
  <c r="L31" i="7" s="1"/>
  <c r="I124" i="1"/>
  <c r="I127" i="1" s="1"/>
  <c r="I130" i="1" s="1"/>
  <c r="I26" i="7"/>
  <c r="C124" i="1" l="1"/>
  <c r="C127" i="1"/>
  <c r="C130" i="1" s="1"/>
  <c r="C150" i="1" s="1"/>
  <c r="I150" i="1"/>
  <c r="I152" i="1" s="1"/>
  <c r="D25" i="41" l="1"/>
  <c r="D27" i="41" s="1"/>
  <c r="D26" i="18"/>
  <c r="C152" i="1"/>
  <c r="I205" i="1"/>
  <c r="D28" i="18" l="1"/>
  <c r="D25" i="38"/>
  <c r="I207" i="1"/>
  <c r="E26" i="18" s="1"/>
  <c r="E28" i="18" s="1"/>
  <c r="C205" i="1"/>
  <c r="F26" i="18" l="1"/>
  <c r="C33" i="38"/>
  <c r="N25" i="38"/>
  <c r="E30" i="41"/>
  <c r="F27" i="41"/>
  <c r="C60" i="14" s="1"/>
  <c r="D28" i="41"/>
  <c r="I208" i="1"/>
  <c r="C207" i="1"/>
  <c r="R66" i="18"/>
  <c r="D29" i="18"/>
  <c r="S26" i="18" l="1"/>
  <c r="F28" i="18"/>
  <c r="F23" i="41"/>
  <c r="F25" i="41"/>
  <c r="F15" i="41"/>
  <c r="F17" i="41"/>
  <c r="F21" i="41"/>
  <c r="F19" i="41"/>
  <c r="K28" i="18"/>
  <c r="C208" i="1"/>
  <c r="T67" i="18"/>
  <c r="T66" i="18"/>
  <c r="T68" i="18"/>
  <c r="T69" i="18"/>
  <c r="T65" i="18"/>
  <c r="T70" i="18"/>
  <c r="S28" i="18"/>
  <c r="K26" i="18"/>
  <c r="M26" i="18" s="1"/>
  <c r="G26" i="18"/>
  <c r="X26" i="18"/>
  <c r="K25" i="41" l="1"/>
  <c r="AB26" i="18"/>
  <c r="M28" i="18"/>
  <c r="AB28" i="18" s="1"/>
  <c r="K47" i="46"/>
  <c r="F22" i="46" s="1"/>
  <c r="G22" i="46" s="1"/>
  <c r="S22" i="46" s="1"/>
  <c r="G25" i="41"/>
  <c r="O25" i="41" s="1"/>
  <c r="H60" i="14"/>
  <c r="G21" i="41"/>
  <c r="H21" i="41" s="1"/>
  <c r="G59" i="14" s="1"/>
  <c r="G92" i="14" s="1"/>
  <c r="G60" i="14"/>
  <c r="G19" i="41"/>
  <c r="O19" i="41" s="1"/>
  <c r="F60" i="14"/>
  <c r="G17" i="41"/>
  <c r="O17" i="41" s="1"/>
  <c r="E60" i="14"/>
  <c r="G15" i="41"/>
  <c r="O15" i="41" s="1"/>
  <c r="D60" i="14"/>
  <c r="G23" i="41"/>
  <c r="O23" i="41" s="1"/>
  <c r="AA26" i="18"/>
  <c r="C105" i="14"/>
  <c r="AA28" i="18"/>
  <c r="T26" i="18"/>
  <c r="T28" i="18"/>
  <c r="Y28" i="18"/>
  <c r="X28" i="18"/>
  <c r="G28" i="18"/>
  <c r="T71" i="18"/>
  <c r="P25" i="41" l="1"/>
  <c r="K27" i="41"/>
  <c r="P27" i="41" s="1"/>
  <c r="F24" i="46"/>
  <c r="F26" i="46" s="1"/>
  <c r="K37" i="46" s="1"/>
  <c r="L37" i="46" s="1"/>
  <c r="G24" i="46"/>
  <c r="S24" i="46" s="1"/>
  <c r="L21" i="41"/>
  <c r="H22" i="46"/>
  <c r="I22" i="46" s="1"/>
  <c r="P26" i="18"/>
  <c r="O21" i="41"/>
  <c r="H25" i="41"/>
  <c r="L23" i="7" s="1"/>
  <c r="H19" i="41"/>
  <c r="F59" i="14" s="1"/>
  <c r="F92" i="14" s="1"/>
  <c r="F93" i="14" s="1"/>
  <c r="H17" i="41"/>
  <c r="E59" i="14" s="1"/>
  <c r="E92" i="14" s="1"/>
  <c r="E93" i="14" s="1"/>
  <c r="L19" i="41"/>
  <c r="L25" i="41"/>
  <c r="L15" i="41"/>
  <c r="H15" i="41"/>
  <c r="D59" i="14" s="1"/>
  <c r="L17" i="41"/>
  <c r="G27" i="41"/>
  <c r="H27" i="41" s="1"/>
  <c r="H23" i="41"/>
  <c r="H59" i="14" s="1"/>
  <c r="H96" i="14" s="1"/>
  <c r="H98" i="14" s="1"/>
  <c r="L23" i="41"/>
  <c r="G96" i="14"/>
  <c r="G98" i="14" s="1"/>
  <c r="G93" i="14"/>
  <c r="W70" i="18"/>
  <c r="W67" i="18"/>
  <c r="W68" i="18"/>
  <c r="W69" i="18"/>
  <c r="W65" i="18"/>
  <c r="W66" i="18"/>
  <c r="G26" i="46" l="1"/>
  <c r="G27" i="46" s="1"/>
  <c r="Y26" i="18"/>
  <c r="O26" i="18"/>
  <c r="N28" i="18"/>
  <c r="P28" i="18" s="1"/>
  <c r="AC26" i="18"/>
  <c r="H24" i="46"/>
  <c r="K22" i="46"/>
  <c r="F96" i="14"/>
  <c r="F98" i="14" s="1"/>
  <c r="C59" i="14"/>
  <c r="E96" i="14"/>
  <c r="E98" i="14" s="1"/>
  <c r="G28" i="41"/>
  <c r="L27" i="41"/>
  <c r="O27" i="41"/>
  <c r="H92" i="14"/>
  <c r="H93" i="14" s="1"/>
  <c r="D92" i="14"/>
  <c r="D93" i="14" s="1"/>
  <c r="D96" i="14"/>
  <c r="D98" i="14" s="1"/>
  <c r="G94" i="14"/>
  <c r="F94" i="14"/>
  <c r="E94" i="14"/>
  <c r="W71" i="18"/>
  <c r="AC28" i="18" l="1"/>
  <c r="O28" i="18"/>
  <c r="H26" i="46"/>
  <c r="C98" i="14"/>
  <c r="H94" i="14"/>
  <c r="C96" i="14"/>
  <c r="C92" i="14"/>
  <c r="C93" i="14" s="1"/>
  <c r="D94" i="14"/>
  <c r="C9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G14" authorId="0" shapeId="0" xr:uid="{00000000-0006-0000-0000-000001000000}">
      <text>
        <r>
          <rPr>
            <b/>
            <sz val="8"/>
            <color indexed="81"/>
            <rFont val="Tahoma"/>
            <family val="2"/>
          </rPr>
          <t>Joe Miller:</t>
        </r>
        <r>
          <rPr>
            <sz val="8"/>
            <color indexed="81"/>
            <rFont val="Tahoma"/>
            <family val="2"/>
          </rPr>
          <t xml:space="preserve">
Includes Unbilled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H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58"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9" authorId="0" shapeId="0" xr:uid="{00000000-0006-0000-0700-000001000000}">
      <text>
        <r>
          <rPr>
            <b/>
            <sz val="9"/>
            <color indexed="81"/>
            <rFont val="Tahoma"/>
            <family val="2"/>
          </rPr>
          <t>Joe Miller:</t>
        </r>
        <r>
          <rPr>
            <sz val="9"/>
            <color indexed="81"/>
            <rFont val="Tahoma"/>
            <family val="2"/>
          </rPr>
          <t xml:space="preserve">
Forecasted Billing Determinants</t>
        </r>
      </text>
    </comment>
    <comment ref="R9" authorId="0" shapeId="0" xr:uid="{00000000-0006-0000-0700-000002000000}">
      <text>
        <r>
          <rPr>
            <b/>
            <sz val="9"/>
            <color indexed="81"/>
            <rFont val="Tahoma"/>
            <family val="2"/>
          </rPr>
          <t>Joe Miller:</t>
        </r>
        <r>
          <rPr>
            <sz val="9"/>
            <color indexed="81"/>
            <rFont val="Tahoma"/>
            <family val="2"/>
          </rPr>
          <t xml:space="preserve">
Present Billed Revenue from 2019 GRC plus the REC Revenue Rebate Adjustment effective 7.1.19 and Schedule 74 expiration</t>
        </r>
      </text>
    </comment>
    <comment ref="D18" authorId="0" shapeId="0" xr:uid="{00000000-0006-0000-0700-000003000000}">
      <text>
        <r>
          <rPr>
            <b/>
            <sz val="9"/>
            <color indexed="81"/>
            <rFont val="Tahoma"/>
            <family val="2"/>
          </rPr>
          <t>Joe Miller:</t>
        </r>
        <r>
          <rPr>
            <sz val="9"/>
            <color indexed="81"/>
            <rFont val="Tahoma"/>
            <family val="2"/>
          </rPr>
          <t xml:space="preserve">
First two blocks only</t>
        </r>
      </text>
    </comment>
    <comment ref="G38" authorId="1" shapeId="0" xr:uid="{00000000-0006-0000-0700-000004000000}">
      <text>
        <r>
          <rPr>
            <b/>
            <sz val="9"/>
            <color indexed="81"/>
            <rFont val="Tahoma"/>
            <family val="2"/>
          </rPr>
          <t>Miller, Joe:</t>
        </r>
        <r>
          <rPr>
            <sz val="9"/>
            <color indexed="81"/>
            <rFont val="Tahoma"/>
            <family val="2"/>
          </rPr>
          <t xml:space="preserve">
UE-190334 conversion factor from Andrews exhibit</t>
        </r>
      </text>
    </comment>
    <comment ref="K47" authorId="0" shapeId="0" xr:uid="{00000000-0006-0000-0700-000005000000}">
      <text>
        <r>
          <rPr>
            <b/>
            <sz val="9"/>
            <color indexed="81"/>
            <rFont val="Tahoma"/>
            <family val="2"/>
          </rPr>
          <t>Joe Miller:</t>
        </r>
        <r>
          <rPr>
            <sz val="9"/>
            <color indexed="81"/>
            <rFont val="Tahoma"/>
            <family val="2"/>
          </rPr>
          <t xml:space="preserve">
From 2017 GRC (UE-170485) Base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Joe Miller</author>
    <author>Miller, Joe</author>
  </authors>
  <commentList>
    <comment ref="I12" authorId="0" shapeId="0" xr:uid="{00000000-0006-0000-0900-000001000000}">
      <text>
        <r>
          <rPr>
            <b/>
            <sz val="9"/>
            <color indexed="81"/>
            <rFont val="Tahoma"/>
            <family val="2"/>
          </rPr>
          <t>tlk:</t>
        </r>
        <r>
          <rPr>
            <sz val="9"/>
            <color indexed="81"/>
            <rFont val="Tahoma"/>
            <family val="2"/>
          </rPr>
          <t xml:space="preserve">
7/8/16 corrected bill</t>
        </r>
      </text>
    </comment>
    <comment ref="F44" authorId="0" shapeId="0" xr:uid="{00000000-0006-0000-0900-000002000000}">
      <text>
        <r>
          <rPr>
            <b/>
            <sz val="9"/>
            <color indexed="81"/>
            <rFont val="Tahoma"/>
            <family val="2"/>
          </rPr>
          <t>tlk:</t>
        </r>
        <r>
          <rPr>
            <sz val="9"/>
            <color indexed="81"/>
            <rFont val="Tahoma"/>
            <family val="2"/>
          </rPr>
          <t xml:space="preserve">
10/2 billing value only</t>
        </r>
      </text>
    </comment>
    <comment ref="D143" authorId="1" shapeId="0" xr:uid="{00000000-0006-0000-0900-000003000000}">
      <text>
        <r>
          <rPr>
            <b/>
            <sz val="9"/>
            <color indexed="81"/>
            <rFont val="Tahoma"/>
            <family val="2"/>
          </rPr>
          <t>Joe Miller:</t>
        </r>
        <r>
          <rPr>
            <sz val="9"/>
            <color indexed="81"/>
            <rFont val="Tahoma"/>
            <family val="2"/>
          </rPr>
          <t xml:space="preserve">
no PVD
</t>
        </r>
      </text>
    </comment>
    <comment ref="D144" authorId="1" shapeId="0" xr:uid="{00000000-0006-0000-0900-000004000000}">
      <text>
        <r>
          <rPr>
            <b/>
            <sz val="9"/>
            <color indexed="81"/>
            <rFont val="Tahoma"/>
            <family val="2"/>
          </rPr>
          <t>Joe Miller:</t>
        </r>
        <r>
          <rPr>
            <sz val="9"/>
            <color indexed="81"/>
            <rFont val="Tahoma"/>
            <family val="2"/>
          </rPr>
          <t xml:space="preserve">
no PVD
</t>
        </r>
      </text>
    </comment>
    <comment ref="D145" authorId="2"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BF4" authorId="0" shapeId="0" xr:uid="{00000000-0006-0000-0B00-000003000000}">
      <text>
        <r>
          <rPr>
            <b/>
            <sz val="9"/>
            <color indexed="81"/>
            <rFont val="Tahoma"/>
            <family val="2"/>
          </rPr>
          <t>Joe Miller:</t>
        </r>
        <r>
          <rPr>
            <sz val="9"/>
            <color indexed="81"/>
            <rFont val="Tahoma"/>
            <family val="2"/>
          </rPr>
          <t xml:space="preserve">
1 cent difference is because shortcuts independently calculate Sch 91 &amp; 92 and rate design adds them together</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2" authorId="1" shapeId="0" xr:uid="{00000000-0006-0000-0B00-00000B000000}">
      <text>
        <r>
          <rPr>
            <b/>
            <sz val="9"/>
            <color indexed="81"/>
            <rFont val="Tahoma"/>
            <family val="2"/>
          </rPr>
          <t>Miller, Joe:</t>
        </r>
        <r>
          <rPr>
            <sz val="9"/>
            <color indexed="81"/>
            <rFont val="Tahoma"/>
            <family val="2"/>
          </rPr>
          <t xml:space="preserve">
not on tariff sheet</t>
        </r>
      </text>
    </comment>
    <comment ref="AL65" authorId="1" shapeId="0" xr:uid="{00000000-0006-0000-0B00-00000C000000}">
      <text>
        <r>
          <rPr>
            <b/>
            <sz val="9"/>
            <color indexed="81"/>
            <rFont val="Tahoma"/>
            <family val="2"/>
          </rPr>
          <t>Miller, Joe:</t>
        </r>
        <r>
          <rPr>
            <sz val="9"/>
            <color indexed="81"/>
            <rFont val="Tahoma"/>
            <family val="2"/>
          </rPr>
          <t xml:space="preserve">
not on tariff sheet</t>
        </r>
      </text>
    </comment>
    <comment ref="AL68" authorId="1" shapeId="0" xr:uid="{00000000-0006-0000-0B00-00000D000000}">
      <text>
        <r>
          <rPr>
            <b/>
            <sz val="9"/>
            <color indexed="81"/>
            <rFont val="Tahoma"/>
            <family val="2"/>
          </rPr>
          <t>Miller, Joe:</t>
        </r>
        <r>
          <rPr>
            <sz val="9"/>
            <color indexed="81"/>
            <rFont val="Tahoma"/>
            <family val="2"/>
          </rPr>
          <t xml:space="preserve">
not on tariff sheet</t>
        </r>
      </text>
    </comment>
    <comment ref="AL71" authorId="1" shapeId="0" xr:uid="{00000000-0006-0000-0B00-00000E000000}">
      <text>
        <r>
          <rPr>
            <b/>
            <sz val="9"/>
            <color indexed="81"/>
            <rFont val="Tahoma"/>
            <family val="2"/>
          </rPr>
          <t>Miller, Joe:</t>
        </r>
        <r>
          <rPr>
            <sz val="9"/>
            <color indexed="81"/>
            <rFont val="Tahoma"/>
            <family val="2"/>
          </rPr>
          <t xml:space="preserve">
not on tariff sheet</t>
        </r>
      </text>
    </comment>
    <comment ref="AL75" authorId="1" shapeId="0" xr:uid="{00000000-0006-0000-0B00-00000F000000}">
      <text>
        <r>
          <rPr>
            <b/>
            <sz val="9"/>
            <color indexed="81"/>
            <rFont val="Tahoma"/>
            <family val="2"/>
          </rPr>
          <t>Miller, Joe:</t>
        </r>
        <r>
          <rPr>
            <sz val="9"/>
            <color indexed="81"/>
            <rFont val="Tahoma"/>
            <family val="2"/>
          </rPr>
          <t xml:space="preserve">
not on tariff sheet</t>
        </r>
      </text>
    </comment>
    <comment ref="I76" authorId="0" shapeId="0" xr:uid="{00000000-0006-0000-0B00-000010000000}">
      <text>
        <r>
          <rPr>
            <b/>
            <sz val="9"/>
            <color indexed="81"/>
            <rFont val="Tahoma"/>
            <family val="2"/>
          </rPr>
          <t>Joe Miller:</t>
        </r>
        <r>
          <rPr>
            <sz val="9"/>
            <color indexed="81"/>
            <rFont val="Tahoma"/>
            <family val="2"/>
          </rPr>
          <t xml:space="preserve">
Add to tariff sheet</t>
        </r>
      </text>
    </comment>
    <comment ref="AL76"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00000000-0006-0000-0B00-000012000000}">
      <text>
        <r>
          <rPr>
            <b/>
            <sz val="9"/>
            <color indexed="81"/>
            <rFont val="Tahoma"/>
            <family val="2"/>
          </rPr>
          <t>Miller, Joe:</t>
        </r>
        <r>
          <rPr>
            <sz val="9"/>
            <color indexed="81"/>
            <rFont val="Tahoma"/>
            <family val="2"/>
          </rPr>
          <t xml:space="preserve">
not on tariff sheet</t>
        </r>
      </text>
    </comment>
    <comment ref="AL92" authorId="1" shapeId="0" xr:uid="{00000000-0006-0000-0B00-000013000000}">
      <text>
        <r>
          <rPr>
            <b/>
            <sz val="9"/>
            <color indexed="81"/>
            <rFont val="Tahoma"/>
            <family val="2"/>
          </rPr>
          <t>Miller, Joe:</t>
        </r>
        <r>
          <rPr>
            <sz val="9"/>
            <color indexed="81"/>
            <rFont val="Tahoma"/>
            <family val="2"/>
          </rPr>
          <t xml:space="preserve">
not on tariff sheet</t>
        </r>
      </text>
    </comment>
    <comment ref="AL94" authorId="1" shapeId="0" xr:uid="{00000000-0006-0000-0B00-000014000000}">
      <text>
        <r>
          <rPr>
            <b/>
            <sz val="9"/>
            <color indexed="81"/>
            <rFont val="Tahoma"/>
            <family val="2"/>
          </rPr>
          <t>Miller, Joe:</t>
        </r>
        <r>
          <rPr>
            <sz val="9"/>
            <color indexed="81"/>
            <rFont val="Tahoma"/>
            <family val="2"/>
          </rPr>
          <t xml:space="preserve">
not on tariff sheet</t>
        </r>
      </text>
    </comment>
    <comment ref="I98"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2"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3"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4" authorId="0" shapeId="0" xr:uid="{00000000-0006-0000-0B00-000018000000}">
      <text>
        <r>
          <rPr>
            <b/>
            <sz val="8"/>
            <color indexed="81"/>
            <rFont val="Tahoma"/>
            <family val="2"/>
          </rPr>
          <t>Joe Miller:</t>
        </r>
        <r>
          <rPr>
            <sz val="8"/>
            <color indexed="81"/>
            <rFont val="Tahoma"/>
            <family val="2"/>
          </rPr>
          <t xml:space="preserve">
Coded as 533C on Shortcuts</t>
        </r>
      </text>
    </comment>
    <comment ref="L128"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1"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0" shapeId="0" xr:uid="{00000000-0006-0000-0B00-000009000000}">
      <text>
        <r>
          <rPr>
            <b/>
            <sz val="9"/>
            <color indexed="81"/>
            <rFont val="Tahoma"/>
            <family val="2"/>
          </rPr>
          <t>Joe Miller:</t>
        </r>
        <r>
          <rPr>
            <sz val="9"/>
            <color indexed="81"/>
            <rFont val="Tahoma"/>
            <family val="2"/>
          </rPr>
          <t xml:space="preserve">
Hillyard street light project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0"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<sst xmlns="http://schemas.openxmlformats.org/spreadsheetml/2006/main" count="3133" uniqueCount="1064">
  <si>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</si>
  <si>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</si>
  <si>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</si>
  <si>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</si>
  <si>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</si>
  <si>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</si>
  <si>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</si>
  <si>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</si>
  <si>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</si>
  <si>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</si>
  <si>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</si>
  <si>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</si>
  <si>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</si>
  <si>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</si>
  <si>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</si>
  <si>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</si>
  <si>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</si>
  <si>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</si>
  <si>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</si>
  <si>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</si>
  <si>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</si>
  <si>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</si>
  <si>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</si>
  <si>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</si>
  <si>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</si>
  <si>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</si>
  <si>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</si>
  <si>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</si>
  <si>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</si>
  <si>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</si>
  <si>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</si>
  <si>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</si>
  <si>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</si>
  <si>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</si>
  <si>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</si>
  <si>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</si>
  <si>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</si>
  <si>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</si>
  <si>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</si>
  <si>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</si>
  <si>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</si>
  <si>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</si>
  <si>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</si>
  <si>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</si>
  <si>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</si>
  <si>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</si>
  <si>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</si>
  <si>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</si>
  <si>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</si>
  <si>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</si>
  <si>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</si>
  <si>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</si>
  <si>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</si>
  <si>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</si>
  <si>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</si>
  <si>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</si>
  <si>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</si>
  <si>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</si>
  <si>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</si>
  <si>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</si>
  <si>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</si>
  <si>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</si>
  <si>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</si>
  <si>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Schedule 11,12</t>
  </si>
  <si>
    <t>Schedule 21,22</t>
  </si>
  <si>
    <t>kva over 3,000</t>
  </si>
  <si>
    <t>Total</t>
  </si>
  <si>
    <t>Schedule 30, 31, &amp; 32</t>
  </si>
  <si>
    <t>Revenue Runs from this sheet</t>
  </si>
  <si>
    <t>actual Revenue Runs</t>
  </si>
  <si>
    <t>less:</t>
  </si>
  <si>
    <t>Diff</t>
  </si>
  <si>
    <t>Washington Schedule 25 Billing Determinants</t>
  </si>
  <si>
    <t>Annual</t>
  </si>
  <si>
    <t>Acct No.</t>
  </si>
  <si>
    <t>BF Goodrich</t>
  </si>
  <si>
    <t>Boise Cascade Plywood</t>
  </si>
  <si>
    <t>Boise Cascade Sawmill</t>
  </si>
  <si>
    <t>City of Spokane Sewage Treatment Plt</t>
  </si>
  <si>
    <t>Deaconess Medical Center</t>
  </si>
  <si>
    <t>Gonzaga University</t>
  </si>
  <si>
    <t>Honeywell Electronics</t>
  </si>
  <si>
    <t>JR Simplot</t>
  </si>
  <si>
    <t>McCaine Foods Inc</t>
  </si>
  <si>
    <t>Sacred Heart Medical Center</t>
  </si>
  <si>
    <t>Spokane County Courthouse</t>
  </si>
  <si>
    <t>Spokane Steel Foundry</t>
  </si>
  <si>
    <t>Triumph Composite / Boeing</t>
  </si>
  <si>
    <t>Vaagen Brothers Lumber</t>
  </si>
  <si>
    <t xml:space="preserve">WSU - MP-A South Campus Feeder </t>
  </si>
  <si>
    <t xml:space="preserve">WSU - MP-B East Campus EA </t>
  </si>
  <si>
    <t xml:space="preserve">WSU - MP-C East Campus EB </t>
  </si>
  <si>
    <t>WSU - MP -D Casp East (no PVD)</t>
  </si>
  <si>
    <t>WSU - MP-E Casp West (no PVD)</t>
  </si>
  <si>
    <t>Huntwood Industries</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</si>
  <si>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</si>
  <si>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</si>
  <si>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</si>
  <si>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</si>
  <si>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</si>
  <si>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</si>
  <si>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</si>
  <si>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</si>
  <si>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</si>
  <si>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</si>
  <si>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</si>
  <si>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</si>
  <si>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</si>
  <si>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</si>
  <si>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</si>
  <si>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</si>
  <si>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</si>
  <si>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</si>
  <si>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</si>
  <si>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</si>
  <si>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</si>
  <si>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</si>
  <si>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</si>
  <si>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</si>
  <si>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</si>
  <si>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</si>
  <si>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</si>
  <si>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</si>
  <si>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</si>
  <si>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</si>
  <si>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</si>
  <si>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</si>
  <si>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</si>
  <si>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</si>
  <si>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</si>
  <si>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</si>
  <si>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</si>
  <si>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</si>
  <si>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</si>
  <si>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</si>
  <si>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</si>
  <si>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</si>
  <si>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</si>
  <si>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</si>
  <si>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</si>
  <si>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</si>
  <si>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</si>
  <si>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</si>
  <si>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</si>
  <si>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</si>
  <si>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</si>
  <si>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</si>
  <si>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</si>
  <si>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</si>
  <si>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</si>
  <si>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</si>
  <si>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</si>
  <si>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</si>
  <si>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</si>
  <si>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</si>
  <si>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</si>
  <si>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</si>
  <si>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</si>
  <si>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Granville w/16' decorative pole</t>
  </si>
  <si>
    <t>HAG</t>
  </si>
  <si>
    <t>Floodlight on existing standard</t>
  </si>
  <si>
    <t>HAH</t>
  </si>
  <si>
    <t>Kim light w/25' fiberglass pole</t>
  </si>
  <si>
    <t>HAI</t>
  </si>
  <si>
    <t>WA</t>
  </si>
  <si>
    <t>Post Top w/16' decorative pole</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</si>
  <si>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</si>
  <si>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</si>
  <si>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</si>
  <si>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</si>
  <si>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</si>
  <si>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</si>
  <si>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</si>
  <si>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</si>
  <si>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</si>
  <si>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</si>
  <si>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</si>
  <si>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</si>
  <si>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</si>
  <si>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</si>
  <si>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</si>
  <si>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</si>
  <si>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</si>
  <si>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</si>
  <si>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</si>
  <si>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</si>
  <si>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</si>
  <si>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</si>
  <si>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</si>
  <si>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</si>
  <si>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</si>
  <si>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</si>
  <si>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</si>
  <si>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</si>
  <si>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</si>
  <si>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</si>
  <si>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</si>
  <si>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</si>
  <si>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25' aluminum</t>
  </si>
  <si>
    <t>MVM</t>
  </si>
  <si>
    <t>MVN</t>
  </si>
  <si>
    <t>none</t>
  </si>
  <si>
    <t>n/a</t>
  </si>
  <si>
    <t>55' wood pole</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</si>
  <si>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</si>
  <si>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</si>
  <si>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</si>
  <si>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</si>
  <si>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</si>
  <si>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</si>
  <si>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</si>
  <si>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</si>
  <si>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</si>
  <si>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</si>
  <si>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</si>
  <si>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</si>
  <si>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</si>
  <si>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</si>
  <si>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</si>
  <si>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</si>
  <si>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</si>
  <si>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</si>
  <si>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</si>
  <si>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</si>
  <si>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</si>
  <si>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</si>
  <si>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</si>
  <si>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</si>
  <si>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</si>
  <si>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</si>
  <si>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</si>
  <si>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</si>
  <si>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</si>
  <si>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</si>
  <si>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</si>
  <si>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</si>
  <si>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</si>
  <si>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</si>
  <si>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</si>
  <si>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</si>
  <si>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</si>
  <si>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</si>
  <si>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</si>
  <si>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</si>
  <si>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</si>
  <si>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</si>
  <si>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</si>
  <si>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</si>
  <si>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</si>
  <si>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</si>
  <si>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</si>
  <si>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</si>
  <si>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</si>
  <si>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</si>
  <si>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</si>
  <si>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</si>
  <si>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</si>
  <si>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</si>
  <si>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</si>
  <si>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</si>
  <si>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</si>
  <si>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</si>
  <si>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</si>
  <si>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</si>
  <si>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</si>
  <si>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</si>
  <si>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</si>
  <si>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</si>
  <si>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</si>
  <si>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</si>
  <si>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</si>
  <si>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</si>
  <si>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</si>
  <si>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</si>
  <si>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</si>
  <si>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</si>
  <si>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</si>
  <si>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</si>
  <si>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</si>
  <si>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</si>
  <si>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</si>
  <si>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</si>
  <si>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</si>
  <si>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</si>
  <si>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</si>
  <si>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</si>
  <si>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</si>
  <si>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</si>
  <si>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</si>
  <si>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</si>
  <si>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</si>
  <si>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</si>
  <si>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</si>
  <si>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</si>
  <si>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</si>
  <si>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</si>
  <si>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</si>
  <si>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</si>
  <si>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</si>
  <si>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</si>
  <si>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</si>
  <si>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</si>
  <si>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</si>
  <si>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</si>
  <si>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</si>
  <si>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</si>
  <si>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</si>
  <si>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</si>
  <si>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</si>
  <si>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</si>
  <si>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 xml:space="preserve">Percent </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</si>
  <si>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</si>
  <si>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</si>
  <si>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</si>
  <si>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</si>
  <si>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</si>
  <si>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</si>
  <si>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</si>
  <si>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</si>
  <si>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</si>
  <si>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</si>
  <si>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</si>
  <si>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</si>
  <si>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</si>
  <si>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</si>
  <si>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</si>
  <si>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</si>
  <si>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</si>
  <si>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</si>
  <si>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</si>
  <si>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</si>
  <si>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</si>
  <si>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</si>
  <si>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</si>
  <si>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</si>
  <si>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</si>
  <si>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</si>
  <si>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</si>
  <si>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</si>
  <si>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</si>
  <si>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</si>
  <si>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</si>
  <si>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</si>
  <si>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</si>
  <si>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</si>
  <si>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</si>
  <si>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</si>
  <si>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</si>
  <si>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</si>
  <si>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</si>
  <si>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</si>
  <si>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</si>
  <si>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</si>
  <si>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Total adder</t>
  </si>
  <si>
    <t>Revised</t>
  </si>
  <si>
    <t>Billed</t>
  </si>
  <si>
    <t>Pres 93</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</si>
  <si>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</si>
  <si>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</si>
  <si>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</si>
  <si>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</si>
  <si>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</si>
  <si>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</si>
  <si>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</si>
  <si>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</si>
  <si>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</si>
  <si>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</si>
  <si>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</si>
  <si>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</si>
  <si>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</si>
  <si>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</si>
  <si>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</si>
  <si>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</si>
  <si>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not shown on this sheet</t>
  </si>
  <si>
    <t>rev. runs too high</t>
  </si>
  <si>
    <t>copy of Total above</t>
  </si>
  <si>
    <t>diff from curr Total above</t>
  </si>
  <si>
    <t>% diff</t>
  </si>
  <si>
    <t>New Billing Rates</t>
  </si>
  <si>
    <t>change</t>
  </si>
  <si>
    <t>(j)</t>
  </si>
  <si>
    <t>Total Billings(2)</t>
  </si>
  <si>
    <t>Number of Lights(1)</t>
  </si>
  <si>
    <t># of Lights(1)</t>
  </si>
  <si>
    <t>from Pres &amp; Prop Rev tab</t>
  </si>
  <si>
    <t>from below</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</si>
  <si>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</si>
  <si>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</si>
  <si>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</si>
  <si>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</si>
  <si>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</si>
  <si>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</si>
  <si>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</si>
  <si>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</si>
  <si>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</si>
  <si>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</si>
  <si>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</si>
  <si>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</si>
  <si>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</si>
  <si>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</si>
  <si>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</si>
  <si>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</si>
  <si>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</si>
  <si>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</si>
  <si>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</si>
  <si>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</si>
  <si>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</si>
  <si>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</si>
  <si>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</si>
  <si>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</si>
  <si>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</si>
  <si>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</si>
  <si>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</si>
  <si>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</si>
  <si>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</si>
  <si>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</si>
  <si>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</si>
  <si>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</si>
  <si>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</si>
  <si>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</si>
  <si>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</si>
  <si>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</si>
  <si>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</si>
  <si>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</si>
  <si>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</si>
  <si>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</si>
  <si>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</si>
  <si>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</si>
  <si>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</si>
  <si>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</si>
  <si>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</si>
  <si>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</si>
  <si>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</si>
  <si>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Sch 91-DSM</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</si>
  <si>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</si>
  <si>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</si>
  <si>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</si>
  <si>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</si>
  <si>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</si>
  <si>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</si>
  <si>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</si>
  <si>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</si>
  <si>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</si>
  <si>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</si>
  <si>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</si>
  <si>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Reflects additional LIRAP funding</t>
  </si>
  <si>
    <t>Annual Increase (Decrease)</t>
  </si>
  <si>
    <t>Booked Unbilled Reversal</t>
  </si>
  <si>
    <t>Gross Booked Unbilled</t>
  </si>
  <si>
    <t>Gross Unbilled True-up</t>
  </si>
  <si>
    <t>Unbilled Reversal True-up</t>
  </si>
  <si>
    <t>Special Contract  Shifted to Sched 21</t>
  </si>
  <si>
    <t>Schedule Shifting to Sch. 21</t>
  </si>
  <si>
    <t>LED (Dusk to Dawn)</t>
  </si>
  <si>
    <t>LED (Dusk to 11:00)</t>
  </si>
  <si>
    <t>Total by Block</t>
  </si>
  <si>
    <t>Schedule Shifting from 21</t>
  </si>
  <si>
    <t>Schedule Shifting to Sch. 11</t>
  </si>
  <si>
    <t>Determinants</t>
  </si>
  <si>
    <t>Billed Revenue</t>
  </si>
  <si>
    <t>Impact</t>
  </si>
  <si>
    <t>Manually deducted in Column H</t>
  </si>
  <si>
    <t xml:space="preserve">Total </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</si>
  <si>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</si>
  <si>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</si>
  <si>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</si>
  <si>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</si>
  <si>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</si>
  <si>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</si>
  <si>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</si>
  <si>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</si>
  <si>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</si>
  <si>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</si>
  <si>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</si>
  <si>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</si>
  <si>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</si>
  <si>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</si>
  <si>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</si>
  <si>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</si>
  <si>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</si>
  <si>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</si>
  <si>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</si>
  <si>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</si>
  <si>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</si>
  <si>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</si>
  <si>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</si>
  <si>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</si>
  <si>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</si>
  <si>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</si>
  <si>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</si>
  <si>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</si>
  <si>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</si>
  <si>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</si>
  <si>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</si>
  <si>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</si>
  <si>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</si>
  <si>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</si>
  <si>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</si>
  <si>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</si>
  <si>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</si>
  <si>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</si>
  <si>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</si>
  <si>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</si>
  <si>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</si>
  <si>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</si>
  <si>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</si>
  <si>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</si>
  <si>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</si>
  <si>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</si>
  <si>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</si>
  <si>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</si>
  <si>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</si>
  <si>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</si>
  <si>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</si>
  <si>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</si>
  <si>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</si>
  <si>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</si>
  <si>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</si>
  <si>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</si>
  <si>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</si>
  <si>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</si>
  <si>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Sch 59 Rate</t>
  </si>
  <si>
    <t>kWh's</t>
  </si>
  <si>
    <t>Capital</t>
  </si>
  <si>
    <t>Avista</t>
  </si>
  <si>
    <t>Capital Recovery Factor Calculation</t>
  </si>
  <si>
    <t>Cost of Capital</t>
  </si>
  <si>
    <t>Component</t>
  </si>
  <si>
    <t>Weighted</t>
  </si>
  <si>
    <t>Structure</t>
  </si>
  <si>
    <t>Cost</t>
  </si>
  <si>
    <t>Long Term Debt</t>
  </si>
  <si>
    <t>Preferred Equity</t>
  </si>
  <si>
    <t>Common Equity</t>
  </si>
  <si>
    <t>Grossed-up Rate of Return</t>
  </si>
  <si>
    <t>Tax Gross-up Factor</t>
  </si>
  <si>
    <t>Weighted ROE * Tax Gross-up</t>
  </si>
  <si>
    <t>1.611 * 4.606%</t>
  </si>
  <si>
    <t>Preferred Equity * Tax Gross-up</t>
  </si>
  <si>
    <t>1.611 * 0.000%</t>
  </si>
  <si>
    <t>Test Year</t>
  </si>
  <si>
    <t>Effective</t>
  </si>
  <si>
    <t>Account</t>
  </si>
  <si>
    <t>Plant in</t>
  </si>
  <si>
    <t>Depreciation</t>
  </si>
  <si>
    <t>Expense</t>
  </si>
  <si>
    <t>373 - Street Lighting</t>
  </si>
  <si>
    <t>*From Cost of Service (Knox)</t>
  </si>
  <si>
    <t xml:space="preserve">Capital Recovery Factor </t>
  </si>
  <si>
    <t>Present - UE-120436</t>
  </si>
  <si>
    <t>Total Bill</t>
  </si>
  <si>
    <t>Bill Impact</t>
  </si>
  <si>
    <t>Schedule 001 Bill Impact</t>
  </si>
  <si>
    <t>Sch. 93/94</t>
  </si>
  <si>
    <t>ERM/BPA</t>
  </si>
  <si>
    <t>Schedule 001 Present</t>
  </si>
  <si>
    <t>Schedule 001 Proposed</t>
  </si>
  <si>
    <t>on Base</t>
  </si>
  <si>
    <t>at Proposed</t>
  </si>
  <si>
    <t>Sch. 98</t>
  </si>
  <si>
    <t>REC Revenue</t>
  </si>
  <si>
    <t>Inc/Dec</t>
  </si>
  <si>
    <t>Dusk to 11 PM</t>
  </si>
  <si>
    <t>Monthly Increase (Decrease)</t>
  </si>
  <si>
    <t>Sch 46 Per kWh Rate</t>
  </si>
  <si>
    <t>Total Usage</t>
  </si>
  <si>
    <t>Source</t>
  </si>
  <si>
    <t>Knox</t>
  </si>
  <si>
    <t>Load Factor</t>
  </si>
  <si>
    <t>Monthly Average</t>
  </si>
  <si>
    <t>Annual Peak</t>
  </si>
  <si>
    <t>Sch 92-LIRAP</t>
  </si>
  <si>
    <t>Pres 91/92</t>
  </si>
  <si>
    <t>91/92 b4 Sch 91/92</t>
  </si>
  <si>
    <t>b4 Sch 91/92</t>
  </si>
  <si>
    <t>93 b4 Sch 93</t>
  </si>
  <si>
    <t>add'l 91/92</t>
  </si>
  <si>
    <t>ERM</t>
  </si>
  <si>
    <t>Sch. 93</t>
  </si>
  <si>
    <t>9 KWHs</t>
  </si>
  <si>
    <t>9 KVA</t>
  </si>
  <si>
    <t xml:space="preserve"> 60 KV</t>
  </si>
  <si>
    <t>4.16 KV</t>
  </si>
  <si>
    <t>115 KV</t>
  </si>
  <si>
    <t>60 KV</t>
  </si>
  <si>
    <t>Calc Revenue for 9</t>
  </si>
  <si>
    <t>Revenue for 9 per Handbill Report</t>
  </si>
  <si>
    <t>Sch 93/94</t>
  </si>
  <si>
    <t>Grossed-Up Depreciation Rate</t>
  </si>
  <si>
    <t>Revenue Conversion Factor (Before FIT)</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</si>
  <si>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</si>
  <si>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</si>
  <si>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</si>
  <si>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</si>
  <si>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</si>
  <si>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</si>
  <si>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</si>
  <si>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</si>
  <si>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</si>
  <si>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</si>
  <si>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</si>
  <si>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</si>
  <si>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</si>
  <si>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</si>
  <si>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</si>
  <si>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</si>
  <si>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</si>
  <si>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</si>
  <si>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</si>
  <si>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</si>
  <si>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</si>
  <si>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</si>
  <si>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</si>
  <si>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</si>
  <si>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</si>
  <si>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w/Sch 91/92/93/98</t>
  </si>
  <si>
    <t>From Cost of Service (Knox)</t>
  </si>
  <si>
    <t>LED</t>
  </si>
  <si>
    <t>Minimums:</t>
  </si>
  <si>
    <t>$20.00 Single Phase Service</t>
  </si>
  <si>
    <t>$27.35 Three Phase Service</t>
  </si>
  <si>
    <t>Shifted from Sch 21</t>
  </si>
  <si>
    <t>HPAL</t>
  </si>
  <si>
    <t>HPBL</t>
  </si>
  <si>
    <t>HPSL</t>
  </si>
  <si>
    <t>HPEL</t>
  </si>
  <si>
    <t>HPDL</t>
  </si>
  <si>
    <t>HPOL</t>
  </si>
  <si>
    <t>HPLL</t>
  </si>
  <si>
    <t>HPYL</t>
  </si>
  <si>
    <t>HAGL</t>
  </si>
  <si>
    <t>HAPL</t>
  </si>
  <si>
    <t>Schedule 98</t>
  </si>
  <si>
    <t>Schedule 59</t>
  </si>
  <si>
    <t>Schedule 48 only</t>
  </si>
  <si>
    <t>Schedule 41-48 only</t>
  </si>
  <si>
    <t>Schedule 98 (REC Revenue Rebate)</t>
  </si>
  <si>
    <t>Sch 98 Rate</t>
  </si>
  <si>
    <t>Settlement Stipulation</t>
  </si>
  <si>
    <t>248W</t>
  </si>
  <si>
    <t>831L</t>
  </si>
  <si>
    <t>832L</t>
  </si>
  <si>
    <t>835L</t>
  </si>
  <si>
    <t>836L</t>
  </si>
  <si>
    <t>842L</t>
  </si>
  <si>
    <t>HPCL</t>
  </si>
  <si>
    <t>HPGL</t>
  </si>
  <si>
    <t>35' wood pole</t>
  </si>
  <si>
    <t>Schedule 91 (DSM)</t>
  </si>
  <si>
    <t>Schedule 91</t>
  </si>
  <si>
    <t>Sch 91 Rate</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</si>
  <si>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</si>
  <si>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</si>
  <si>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</si>
  <si>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</si>
  <si>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</si>
  <si>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</si>
  <si>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</si>
  <si>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</si>
  <si>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</si>
  <si>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</si>
  <si>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</si>
  <si>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</si>
  <si>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</si>
  <si>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</si>
  <si>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</si>
  <si>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</si>
  <si>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</si>
  <si>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</si>
  <si>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</si>
  <si>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</si>
  <si>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</si>
  <si>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</si>
  <si>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</si>
  <si>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</si>
  <si>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</si>
  <si>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</si>
  <si>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</si>
  <si>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</si>
  <si>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</si>
  <si>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</si>
  <si>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</si>
  <si>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</si>
  <si>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</si>
  <si>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</si>
  <si>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</si>
  <si>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</si>
  <si>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</si>
  <si>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</si>
  <si>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</si>
  <si>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</si>
  <si>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</si>
  <si>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</si>
  <si>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</si>
  <si>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</si>
  <si>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</si>
  <si>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</si>
  <si>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</si>
  <si>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</si>
  <si>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</si>
  <si>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</si>
  <si>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</si>
  <si>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</si>
  <si>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</si>
  <si>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</si>
  <si>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</si>
  <si>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</si>
  <si>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</si>
  <si>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</si>
  <si>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</si>
  <si>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</si>
  <si>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</si>
  <si>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</si>
  <si>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</si>
  <si>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</si>
  <si>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</si>
  <si>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</si>
  <si>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</si>
  <si>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</si>
  <si>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</si>
  <si>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</si>
  <si>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</si>
  <si>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</si>
  <si>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</si>
  <si>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</si>
  <si>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</si>
  <si>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</si>
  <si>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</si>
  <si>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</si>
  <si>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Sch 89 Rate</t>
  </si>
  <si>
    <t>RIDER 75</t>
  </si>
  <si>
    <t>rev. runs too low</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</si>
  <si>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</si>
  <si>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</si>
  <si>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</si>
  <si>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</si>
  <si>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</si>
  <si>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</si>
  <si>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</si>
  <si>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</si>
  <si>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</si>
  <si>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</si>
  <si>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</si>
  <si>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</si>
  <si>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</si>
  <si>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</si>
  <si>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</si>
  <si>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</si>
  <si>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</si>
  <si>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</si>
  <si>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</si>
  <si>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Schedule 31 to 30 Shifting Adj</t>
  </si>
  <si>
    <t>Rev Req</t>
  </si>
  <si>
    <t>kWh</t>
  </si>
  <si>
    <t>Cents</t>
  </si>
  <si>
    <t xml:space="preserve">Per </t>
  </si>
  <si>
    <t>First 85 kW/kWh</t>
  </si>
  <si>
    <t>Next 80 kW/kWh</t>
  </si>
  <si>
    <t>Rate Adjustment</t>
  </si>
  <si>
    <t>Adjusted Billed</t>
  </si>
  <si>
    <t>Revenue Requirement</t>
  </si>
  <si>
    <t>Percentage</t>
  </si>
  <si>
    <t>Electric</t>
  </si>
  <si>
    <t>Rate Spread</t>
  </si>
  <si>
    <t>of Base</t>
  </si>
  <si>
    <t>Adjustment</t>
  </si>
  <si>
    <t>Adjusted</t>
  </si>
  <si>
    <t>GRC</t>
  </si>
  <si>
    <t>Andrew's Conversion Factor</t>
  </si>
  <si>
    <t>30' steel pole</t>
  </si>
  <si>
    <t>Total Revenue</t>
  </si>
  <si>
    <t>201801</t>
  </si>
  <si>
    <t>201802</t>
  </si>
  <si>
    <t>201803</t>
  </si>
  <si>
    <t>201804</t>
  </si>
  <si>
    <t>201805</t>
  </si>
  <si>
    <t>201806</t>
  </si>
  <si>
    <t>201807</t>
  </si>
  <si>
    <t>201808</t>
  </si>
  <si>
    <t>201809</t>
  </si>
  <si>
    <t>201810</t>
  </si>
  <si>
    <t>201811</t>
  </si>
  <si>
    <t>201812</t>
  </si>
  <si>
    <t>Unbilled Usage Report by Location Twelve Months Ended for Report Date : '12/31/2018'</t>
  </si>
  <si>
    <t>Unbilled Usage</t>
  </si>
  <si>
    <t>RIDER 74</t>
  </si>
  <si>
    <t>AMI OPT OUT</t>
  </si>
  <si>
    <t>2311008572</t>
  </si>
  <si>
    <t>8920023327</t>
  </si>
  <si>
    <t>9920023116</t>
  </si>
  <si>
    <t>8970099313</t>
  </si>
  <si>
    <t>0080095044</t>
  </si>
  <si>
    <t>1420028876</t>
  </si>
  <si>
    <t>0170122152</t>
  </si>
  <si>
    <t>8640841982</t>
  </si>
  <si>
    <t>0160126924</t>
  </si>
  <si>
    <t>4250473907</t>
  </si>
  <si>
    <t>9060132009</t>
  </si>
  <si>
    <t>0030019644</t>
  </si>
  <si>
    <t>1080099801</t>
  </si>
  <si>
    <t>0070121063</t>
  </si>
  <si>
    <t>2260946595</t>
  </si>
  <si>
    <t>2470070232</t>
  </si>
  <si>
    <t>3730460787</t>
  </si>
  <si>
    <t>6030021572</t>
  </si>
  <si>
    <t>6100609210</t>
  </si>
  <si>
    <t>5030019646</t>
  </si>
  <si>
    <t>7030024549</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</si>
  <si>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</si>
  <si>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</si>
  <si>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</si>
  <si>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</si>
  <si>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</si>
  <si>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</si>
  <si>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</si>
  <si>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</si>
  <si>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</si>
  <si>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</si>
  <si>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</si>
  <si>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</si>
  <si>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</si>
  <si>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</si>
  <si>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</si>
  <si>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</si>
  <si>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</si>
  <si>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</si>
  <si>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</si>
  <si>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JDM-E-10</t>
  </si>
  <si>
    <t>JDM-E-20</t>
  </si>
  <si>
    <t>JDM-E-3</t>
  </si>
  <si>
    <t>JDM-E-21</t>
  </si>
  <si>
    <t>JDM-E-22/23</t>
  </si>
  <si>
    <t>JDM-E-29/8</t>
  </si>
  <si>
    <t>JDM-E-11</t>
  </si>
  <si>
    <t>JDM-E-15</t>
  </si>
  <si>
    <t>JDM-E-5/6</t>
  </si>
  <si>
    <t>JDM-E-17</t>
  </si>
  <si>
    <t xml:space="preserve">     Schedule 75 (Decoupling), Schedule 91 (DSM), Schedule 92 (LIRAP), Schedule 93 (ERM),</t>
  </si>
  <si>
    <t>1.325 * 0.000%</t>
  </si>
  <si>
    <t>1.325 * 4.950%</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</si>
  <si>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</si>
  <si>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</si>
  <si>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</si>
  <si>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</si>
  <si>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</si>
  <si>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</si>
  <si>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</si>
  <si>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</si>
  <si>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</si>
  <si>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</si>
  <si>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</si>
  <si>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</si>
  <si>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</si>
  <si>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</si>
  <si>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</si>
  <si>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</si>
  <si>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</si>
  <si>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</si>
  <si>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</si>
  <si>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</si>
  <si>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</si>
  <si>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</si>
  <si>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</si>
  <si>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</si>
  <si>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</si>
  <si>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</si>
  <si>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</si>
  <si>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</si>
  <si>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</si>
  <si>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</si>
  <si>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</si>
  <si>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</si>
  <si>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</si>
  <si>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</si>
  <si>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</si>
  <si>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Note:  Total Base Load for Sch. 1 = Base Load per bill times total billings (base load per bill on JDM-E-18) =</t>
  </si>
  <si>
    <t>Note:  Total Base Load for Sch. 21 = Base Load per bill times total billings (base load per bill on JDM-E-18) =</t>
  </si>
  <si>
    <t>Filed</t>
  </si>
  <si>
    <r>
      <t xml:space="preserve">(1) </t>
    </r>
    <r>
      <rPr>
        <u/>
        <sz val="10"/>
        <rFont val="Arial"/>
        <family val="2"/>
      </rPr>
      <t>Excludes</t>
    </r>
    <r>
      <rPr>
        <sz val="10"/>
        <rFont val="Arial"/>
        <family val="2"/>
      </rPr>
      <t xml:space="preserve"> all present rate adjustments:  Schedule 59 (BPA Residential Exchange), Schedule 75 (Decoupling),</t>
    </r>
  </si>
  <si>
    <r>
      <t xml:space="preserve">(2) </t>
    </r>
    <r>
      <rPr>
        <u/>
        <sz val="10"/>
        <rFont val="Arial"/>
        <family val="2"/>
      </rPr>
      <t>Includes</t>
    </r>
    <r>
      <rPr>
        <sz val="10"/>
        <rFont val="Arial"/>
        <family val="2"/>
      </rPr>
      <t xml:space="preserve"> all present rate adjustments:  Schedule 59 (BPA Residential Exchange), Schedule 75 (Decoupling),  </t>
    </r>
  </si>
  <si>
    <r>
      <t xml:space="preserve">(1) </t>
    </r>
    <r>
      <rPr>
        <u/>
        <sz val="10"/>
        <rFont val="Arial"/>
        <family val="2"/>
      </rPr>
      <t>Includes</t>
    </r>
    <r>
      <rPr>
        <sz val="10"/>
        <rFont val="Arial"/>
        <family val="2"/>
      </rPr>
      <t xml:space="preserve"> all present rate adjustments:  Schedule 59 (BPA Residential Exchange), </t>
    </r>
  </si>
  <si>
    <t>LIRAP</t>
  </si>
  <si>
    <t xml:space="preserve">Incremental </t>
  </si>
  <si>
    <t>LIRAP Funding</t>
  </si>
  <si>
    <t>(m)</t>
  </si>
  <si>
    <t>Net Funding</t>
  </si>
  <si>
    <t>Net Funding Increase</t>
  </si>
  <si>
    <t>Revenue Conversion Factor</t>
  </si>
  <si>
    <t>Present Bill</t>
  </si>
  <si>
    <t>918 kWh's</t>
  </si>
  <si>
    <t>Proposed Bill</t>
  </si>
  <si>
    <t>Bill Change</t>
  </si>
  <si>
    <t>Proposed Street &amp; Area Light Revenue</t>
  </si>
  <si>
    <t>times 2</t>
  </si>
  <si>
    <t>less Oct Increase</t>
  </si>
  <si>
    <t>Incremental Change</t>
  </si>
  <si>
    <t>Sch 001 Base Rate Change</t>
  </si>
  <si>
    <t>Sch. 92</t>
  </si>
  <si>
    <t>LIRAP Rate</t>
  </si>
  <si>
    <t>Sch 92</t>
  </si>
  <si>
    <t>Settlement</t>
  </si>
  <si>
    <t>Electric LIRAP Percentage Change</t>
  </si>
  <si>
    <t>All light codes notated with a "T" are not on the tariff sheets.</t>
  </si>
  <si>
    <t>WASHINGTON Street Lights (Schedule 41 - 46 Rates)</t>
  </si>
  <si>
    <t>WASHINGTON Area Lights (Schedule 47)</t>
  </si>
  <si>
    <t xml:space="preserve">Net </t>
  </si>
  <si>
    <t>Sch 94</t>
  </si>
  <si>
    <t>Remand</t>
  </si>
  <si>
    <t xml:space="preserve">Base </t>
  </si>
  <si>
    <t>Present - UE-190334</t>
  </si>
  <si>
    <t>1.325 * 4.95%</t>
  </si>
  <si>
    <t>Proposed - UE- 200___</t>
  </si>
  <si>
    <t>Electric Revenue Meters Report by Location  Twelve Months Ended  for Report Date : '12/31/2019'</t>
  </si>
  <si>
    <t>Electric Revenue Usage Report by Location  Twelve Months Ended  for Report Date : '12/31/2019'</t>
  </si>
  <si>
    <t>Electric Revenue Report by Location  Twelve Months Ended  for Report Date : '12/31/2019'</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</si>
  <si>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</si>
  <si>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</si>
  <si>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</si>
  <si>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</si>
  <si>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</si>
  <si>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</si>
  <si>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</si>
  <si>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</si>
  <si>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</si>
  <si>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</si>
  <si>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</si>
  <si>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</si>
  <si>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</si>
  <si>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</si>
  <si>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</si>
  <si>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</si>
  <si>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</si>
  <si>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</si>
  <si>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</si>
  <si>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</si>
  <si>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</si>
  <si>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</si>
  <si>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</si>
  <si>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MDM-10069 Report as of 3/31/20</t>
  </si>
  <si>
    <t>HARL</t>
  </si>
  <si>
    <t>HPZL</t>
  </si>
  <si>
    <t>30 steel pole pedestal base (Dev Contr)</t>
  </si>
  <si>
    <t>on existing standard (Capital Only</t>
  </si>
  <si>
    <t>12 MONTHS ENDED DECEMBER 31, 2019</t>
  </si>
  <si>
    <t>(1) from JDM-E-12/14</t>
  </si>
  <si>
    <t>(2) from JDM-E-13/14</t>
  </si>
  <si>
    <t>Schedule 93 (ERM)</t>
  </si>
  <si>
    <t>Sch 93 Rate</t>
  </si>
  <si>
    <t>Schedule 94 (Remand)</t>
  </si>
  <si>
    <t>Sch 94 Rate</t>
  </si>
  <si>
    <t>Schedule 92 (LIRAP)</t>
  </si>
  <si>
    <t>Sch 92 Rate</t>
  </si>
  <si>
    <t>Sch 91</t>
  </si>
  <si>
    <t>Sch. 76</t>
  </si>
  <si>
    <t>Tax Rate Adjustment</t>
  </si>
  <si>
    <t>This worksheet pulls data from 'ROR' tab.</t>
  </si>
  <si>
    <t>PRESENT &amp; PROPOSED RATES OF RETURN BY RATE SCHEDULE</t>
  </si>
  <si>
    <t>12 MONTHS ENDED DECEMBER 31, 2018</t>
  </si>
  <si>
    <t>Line</t>
  </si>
  <si>
    <t>Sch.</t>
  </si>
  <si>
    <t>Rate of</t>
  </si>
  <si>
    <t>Return</t>
  </si>
  <si>
    <t>Extra Large General Svc.</t>
  </si>
  <si>
    <t>PRESENT &amp; PROPOSED RATE OF RETURN BY RATE SCHEDULE</t>
  </si>
  <si>
    <t>Sch 1</t>
  </si>
  <si>
    <t>Sch 11</t>
  </si>
  <si>
    <t>Sch 21</t>
  </si>
  <si>
    <t>Sch 25</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</si>
  <si>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</si>
  <si>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</si>
  <si>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</si>
  <si>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</si>
  <si>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</si>
  <si>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</si>
  <si>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</si>
  <si>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</si>
  <si>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</si>
  <si>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</si>
  <si>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</si>
  <si>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</si>
  <si>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</si>
  <si>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</si>
  <si>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</si>
  <si>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</si>
  <si>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</si>
  <si>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</si>
  <si>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</si>
  <si>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</si>
  <si>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</si>
  <si>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</si>
  <si>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</si>
  <si>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</si>
  <si>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</si>
  <si>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</si>
  <si>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</si>
  <si>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</si>
  <si>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</si>
  <si>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</si>
  <si>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</si>
  <si>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</si>
  <si>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</si>
  <si>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</si>
  <si>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</si>
  <si>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</si>
  <si>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</si>
  <si>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</si>
  <si>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</si>
  <si>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</si>
  <si>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</si>
  <si>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</si>
  <si>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</si>
  <si>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</si>
  <si>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</si>
  <si>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</si>
  <si>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</si>
  <si>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</si>
  <si>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</si>
  <si>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</si>
  <si>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</si>
  <si>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</si>
  <si>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</si>
  <si>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</si>
  <si>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</si>
  <si>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</si>
  <si>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</si>
  <si>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</si>
  <si>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</si>
  <si>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</si>
  <si>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</si>
  <si>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</si>
  <si>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</si>
  <si>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Tax</t>
  </si>
  <si>
    <t>Sch 76</t>
  </si>
  <si>
    <t>Parity</t>
  </si>
  <si>
    <t>Ratio</t>
  </si>
  <si>
    <t>First 800 kWhs</t>
  </si>
  <si>
    <t>800 - 1,500 kWhs</t>
  </si>
  <si>
    <t>All over 1,500 kWhs</t>
  </si>
  <si>
    <t>First 3,650 kWhs</t>
  </si>
  <si>
    <t>All over 3,650 kWhs</t>
  </si>
  <si>
    <t>First 250,000 kWhs</t>
  </si>
  <si>
    <t>All over 250,000 kWhs</t>
  </si>
  <si>
    <t>First 500,000 kWhs</t>
  </si>
  <si>
    <t>500,000 - 6,000,000 kWhs</t>
  </si>
  <si>
    <t>All over 6,000,000 kWhs</t>
  </si>
  <si>
    <t>Street &amp; Area Lights - Schedules 41-48</t>
  </si>
  <si>
    <t>8.3% of base rates</t>
  </si>
  <si>
    <t>General Services - Schedule 11 &amp; 12</t>
  </si>
  <si>
    <t>Large General Service - Schedule 21 &amp; 22</t>
  </si>
  <si>
    <t>Pumping Service - Schedule 31 &amp; 32</t>
  </si>
  <si>
    <t>Residential Service - Schedule 1 &amp; 2</t>
  </si>
  <si>
    <t xml:space="preserve">     Remand Schedule 94 and Schedule 98 (REC Revenue).</t>
  </si>
  <si>
    <t xml:space="preserve">      Schedule 91 (DSM), Schedule 92 (LIRAP), Schedule 93 (ERM), Schedule 94 (Remand) and Schedule 98 (REC Revenue).</t>
  </si>
  <si>
    <t xml:space="preserve">     Schedule 91 (DSM), Schedule 92 (LIRAP), Schedule 93 (ERM), Schedule 94 (Remand) and Schedule 98 (REC Revenue).</t>
  </si>
  <si>
    <t xml:space="preserve">Tax </t>
  </si>
  <si>
    <t>Credit</t>
  </si>
  <si>
    <t>Customer</t>
  </si>
  <si>
    <t>kWhs per billing run</t>
  </si>
  <si>
    <t>Total kWhs per Rev. Run</t>
  </si>
  <si>
    <t>kWhs per Revenue Run</t>
  </si>
  <si>
    <t>Shifted to Sch 011</t>
  </si>
  <si>
    <t>kWhs per billing run (30,31&amp; 32)</t>
  </si>
  <si>
    <t>Schedule 76 Rates</t>
  </si>
  <si>
    <t>Schedule 92 LIRAP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</si>
</sst>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0.00%;\ \(0.00%\)"/>
    <numFmt numFmtId="193" formatCode="_(&quot;$&quot;* #,##0.00000_);_(&quot;$&quot;* \(#,##0.00000\);_(&quot;$&quot;* &quot;-&quot;??_);_(@_)"/>
    <numFmt numFmtId="194" formatCode="&quot;$&quot;#,##0.000_);\(&quot;$&quot;#,##0.000\)"/>
    <numFmt numFmtId="195" formatCode="0.000"/>
    <numFmt numFmtId="196" formatCode="0.0000%"/>
    <numFmt numFmtId="197" formatCode="[$-409]mmm\-yy;@"/>
    <numFmt numFmtId="198" formatCode="[$-F800]dddd\,\ mmmm\ dd\,\ yyyy"/>
    <numFmt numFmtId="199" formatCode="mmmm\ d\,\ yyyy"/>
    <numFmt numFmtId="200" formatCode="[$-409]mmmm\-yy;@"/>
    <numFmt numFmtId="201" formatCode="#,##0_%_);\(#,##0\)_%;#,##0_%_);@_%_)"/>
    <numFmt numFmtId="202" formatCode="_._.* #,##0.0_)_%;_._.* \(#,##0.0\)_%"/>
    <numFmt numFmtId="203" formatCode="_._.* #,##0.00_)_%;_._.* \(#,##0.00\)_%"/>
    <numFmt numFmtId="204" formatCode="_._.* #,##0.000_)_%;_._.* \(#,##0.000\)_%"/>
    <numFmt numFmtId="205" formatCode="_(* #,##0.00_);_(* \(\ #,##0.00\ \);_(* &quot;-&quot;??_);_(\ @_ \)"/>
    <numFmt numFmtId="206" formatCode="_._.* #,##0_)_%;_._.* #,##0_)_%;_._.* 0_)_%;_._.@_)_%"/>
    <numFmt numFmtId="207" formatCode="_._.&quot;$&quot;* #,##0.0_)_%;_._.&quot;$&quot;* \(#,##0.0\)_%"/>
    <numFmt numFmtId="208" formatCode="_._.&quot;$&quot;* #,##0.00_)_%;_._.&quot;$&quot;* \(#,##0.00\)_%"/>
    <numFmt numFmtId="209" formatCode="_._.&quot;$&quot;* #,##0.000_)_%;_._.&quot;$&quot;* \(#,##0.000\)_%"/>
    <numFmt numFmtId="210" formatCode="_._.&quot;$&quot;* #,###_)_%;_._.&quot;$&quot;* #,###_)_%;_._.&quot;$&quot;* 0_)_%;_._.@_)_%"/>
    <numFmt numFmtId="211" formatCode="#,###,##0.00;\(#,###,##0.00\)"/>
    <numFmt numFmtId="212" formatCode="#,###,##0;\(#,###,##0\)"/>
    <numFmt numFmtId="213" formatCode="0.0"/>
    <numFmt numFmtId="214" formatCode="_(&quot;$&quot;* #,##0.0_);_(&quot;$&quot;* \(#,##0.0\);_(&quot;$&quot;* &quot;-&quot;??_);_(@_)"/>
    <numFmt numFmtId="215" formatCode="&quot;$&quot;#,###,##0.00;\(&quot;$&quot;#,###,##0.00\)"/>
    <numFmt numFmtId="216" formatCode="&quot;$&quot;#,###,##0;\(&quot;$&quot;#,###,##0\)"/>
    <numFmt numFmtId="217" formatCode="#,##0.00%;\(#,##0.00%\)"/>
    <numFmt numFmtId="218" formatCode="_(0_)%;\(0\)%"/>
    <numFmt numFmtId="219" formatCode="_._._(* 0_)%;_._.* \(0\)%"/>
    <numFmt numFmtId="220" formatCode="_(0.0_)%;\(0.0\)%"/>
    <numFmt numFmtId="221" formatCode="_._._(* 0.0_)%;_._.* \(0.0\)%"/>
    <numFmt numFmtId="222" formatCode="_(0.00_)%;\(0.00\)%"/>
    <numFmt numFmtId="223" formatCode="_._._(* 0.00_)%;_._.* \(0.00\)%"/>
    <numFmt numFmtId="224" formatCode="_(0.000_)%;\(0.000\)%"/>
    <numFmt numFmtId="225" formatCode="_._._(* 0.000_)%;_._.* \(0.000\)%"/>
    <numFmt numFmtId="226" formatCode="_(0.0000_)%;\(0.0000\)%"/>
    <numFmt numFmtId="227" formatCode="_._._(* 0.0000_)%;_._.* \(0.0000\)%"/>
    <numFmt numFmtId="228" formatCode="_(* #,##0_);_(* \(#,##0\);_(* 0_);_(@_)"/>
    <numFmt numFmtId="229" formatCode="_(* #,##0.0_);_(* \(#,##0.0\)"/>
    <numFmt numFmtId="230" formatCode="_(* #,##0.00_);_(* \(#,##0.00\)"/>
    <numFmt numFmtId="231" formatCode="_(* #,##0.000_);_(* \(#,##0.000\)"/>
    <numFmt numFmtId="232" formatCode="_(&quot;$&quot;* #,##0_);_(&quot;$&quot;* \(#,##0\);_(&quot;$&quot;* 0_);_(@_)"/>
    <numFmt numFmtId="233" formatCode="_(&quot;$&quot;* #,##0.0_);_(&quot;$&quot;* \(#,##0.0\)"/>
    <numFmt numFmtId="234" formatCode="_(&quot;$&quot;* #,##0.00_);_(&quot;$&quot;* \(#,##0.00\)"/>
    <numFmt numFmtId="235" formatCode="_(&quot;$&quot;* #,##0.000_);_(&quot;$&quot;* \(#,##0.000\)"/>
    <numFmt numFmtId="236" formatCode="#,##0.0_x_x"/>
    <numFmt numFmtId="237" formatCode="&quot;$&quot;#,##0\ ;\(&quot;$&quot;#,##0\)"/>
    <numFmt numFmtId="238" formatCode="_(&quot;$&quot;* #,##0.000000_);_(&quot;$&quot;* \(#,##0.000000\);_(&quot;$&quot;* &quot;-&quot;??_);_(@_)"/>
    <numFmt numFmtId="239" formatCode="#,##0;\(#,##0\)"/>
    <numFmt numFmtId="240" formatCode="#,##0.000000"/>
    <numFmt numFmtId="241" formatCode="0.000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color theme="0"/>
      <name val="Arial"/>
      <family val="2"/>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sz val="12"/>
      <color rgb="FF0000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b/>
      <u/>
      <sz val="12"/>
      <name val="Arial"/>
      <family val="2"/>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sz val="10"/>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b/>
      <u/>
      <sz val="10"/>
      <name val="Helvetica"/>
    </font>
    <font>
      <sz val="10"/>
      <name val="Helvetica"/>
    </font>
  </fonts>
  <fills count="8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6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BF19D"/>
        <bgColor indexed="64"/>
      </patternFill>
    </fill>
    <fill>
      <patternFill patternType="solid">
        <fgColor rgb="FFE7E5E5"/>
      </patternFill>
    </fill>
    <fill>
      <patternFill patternType="solid">
        <fgColor rgb="FFFFFFFF"/>
      </patternFill>
    </fill>
    <fill>
      <patternFill patternType="solid">
        <fgColor rgb="FFDEE6F2"/>
      </patternFill>
    </fill>
    <fill>
      <patternFill patternType="solid">
        <fgColor rgb="FFBDDAF3"/>
      </patternFill>
    </fill>
    <fill>
      <patternFill patternType="solid">
        <fgColor rgb="FFEFF3F7"/>
      </patternFill>
    </fill>
  </fills>
  <borders count="7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s>
  <cellStyleXfs count="43228">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9" fillId="0" borderId="0"/>
    <xf numFmtId="40" fontId="59" fillId="0" borderId="0" applyFont="0" applyFill="0" applyBorder="0" applyAlignment="0" applyProtection="0"/>
    <xf numFmtId="8" fontId="59" fillId="0" borderId="0" applyFont="0" applyFill="0" applyBorder="0" applyAlignment="0" applyProtection="0"/>
    <xf numFmtId="9" fontId="59"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3"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3" fillId="0" borderId="0"/>
    <xf numFmtId="0" fontId="64" fillId="0" borderId="0"/>
    <xf numFmtId="0" fontId="33" fillId="0" borderId="0"/>
    <xf numFmtId="0" fontId="63" fillId="0" borderId="0"/>
    <xf numFmtId="0" fontId="33" fillId="0" borderId="0"/>
    <xf numFmtId="0" fontId="9" fillId="0" borderId="0"/>
    <xf numFmtId="0" fontId="9" fillId="0" borderId="0"/>
    <xf numFmtId="0" fontId="65" fillId="0" borderId="0"/>
    <xf numFmtId="0" fontId="9" fillId="0" borderId="0"/>
    <xf numFmtId="9" fontId="33"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38" fontId="67" fillId="0" borderId="0" applyNumberFormat="0" applyFont="0" applyFill="0" applyBorder="0">
      <alignment horizontal="left" indent="4"/>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3">
      <alignment horizontal="center"/>
    </xf>
    <xf numFmtId="3" fontId="68" fillId="0" borderId="0" applyFont="0" applyFill="0" applyBorder="0" applyAlignment="0" applyProtection="0"/>
    <xf numFmtId="0" fontId="68" fillId="13" borderId="0" applyNumberFormat="0" applyFont="0" applyBorder="0" applyAlignment="0" applyProtection="0"/>
    <xf numFmtId="164" fontId="63" fillId="2" borderId="0" applyFont="0" applyFill="0" applyBorder="0" applyAlignment="0" applyProtection="0">
      <alignment wrapText="1"/>
    </xf>
    <xf numFmtId="0" fontId="9" fillId="14" borderId="0" applyNumberFormat="0" applyFont="0" applyFill="0" applyBorder="0" applyAlignment="0" applyProtection="0"/>
    <xf numFmtId="0" fontId="71" fillId="0" borderId="0" applyNumberFormat="0" applyFill="0" applyBorder="0" applyAlignment="0" applyProtection="0"/>
    <xf numFmtId="0" fontId="72" fillId="0" borderId="40" applyNumberFormat="0" applyFill="0" applyAlignment="0" applyProtection="0"/>
    <xf numFmtId="0" fontId="73" fillId="0" borderId="41" applyNumberFormat="0" applyFill="0" applyAlignment="0" applyProtection="0"/>
    <xf numFmtId="0" fontId="74" fillId="0" borderId="42" applyNumberFormat="0" applyFill="0" applyAlignment="0" applyProtection="0"/>
    <xf numFmtId="0" fontId="74" fillId="0" borderId="0" applyNumberFormat="0" applyFill="0" applyBorder="0" applyAlignment="0" applyProtection="0"/>
    <xf numFmtId="0" fontId="75" fillId="15" borderId="0" applyNumberFormat="0" applyBorder="0" applyAlignment="0" applyProtection="0"/>
    <xf numFmtId="0" fontId="76" fillId="16" borderId="0" applyNumberFormat="0" applyBorder="0" applyAlignment="0" applyProtection="0"/>
    <xf numFmtId="0" fontId="77" fillId="17" borderId="0" applyNumberFormat="0" applyBorder="0" applyAlignment="0" applyProtection="0"/>
    <xf numFmtId="0" fontId="78" fillId="18" borderId="43" applyNumberFormat="0" applyAlignment="0" applyProtection="0"/>
    <xf numFmtId="0" fontId="79" fillId="19" borderId="44" applyNumberFormat="0" applyAlignment="0" applyProtection="0"/>
    <xf numFmtId="0" fontId="80" fillId="19" borderId="43" applyNumberFormat="0" applyAlignment="0" applyProtection="0"/>
    <xf numFmtId="0" fontId="81" fillId="0" borderId="45" applyNumberFormat="0" applyFill="0" applyAlignment="0" applyProtection="0"/>
    <xf numFmtId="0" fontId="82" fillId="20" borderId="46"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48" applyNumberFormat="0" applyFill="0" applyAlignment="0" applyProtection="0"/>
    <xf numFmtId="0" fontId="8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86" fillId="45"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7" fillId="0" borderId="0"/>
    <xf numFmtId="43" fontId="63" fillId="0" borderId="0" applyFont="0" applyFill="0" applyBorder="0" applyAlignment="0" applyProtection="0"/>
    <xf numFmtId="44" fontId="63"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6" fillId="0" borderId="0"/>
    <xf numFmtId="0" fontId="89"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9" fillId="0" borderId="0"/>
    <xf numFmtId="9" fontId="9" fillId="0" borderId="0" applyFont="0" applyFill="0" applyBorder="0" applyAlignment="0" applyProtection="0"/>
    <xf numFmtId="0" fontId="59" fillId="0" borderId="0"/>
    <xf numFmtId="9" fontId="59"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91" fillId="0" borderId="0"/>
    <xf numFmtId="9" fontId="9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6" borderId="0" applyFont="0" applyFill="0" applyBorder="0" applyAlignment="0" applyProtection="0"/>
    <xf numFmtId="5" fontId="9" fillId="46" borderId="0" applyFont="0" applyFill="0" applyBorder="0" applyAlignment="0" applyProtection="0"/>
    <xf numFmtId="0" fontId="9" fillId="46" borderId="0" applyFont="0" applyFill="0" applyBorder="0" applyAlignment="0" applyProtection="0"/>
    <xf numFmtId="2" fontId="9" fillId="46" borderId="0" applyFont="0" applyFill="0" applyBorder="0" applyAlignment="0" applyProtection="0"/>
    <xf numFmtId="41" fontId="92" fillId="2" borderId="52">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9" fillId="0" borderId="0" applyFont="0" applyFill="0" applyBorder="0" applyAlignment="0" applyProtection="0"/>
    <xf numFmtId="9" fontId="91" fillId="0" borderId="0" applyFont="0" applyFill="0" applyBorder="0" applyAlignment="0" applyProtection="0"/>
    <xf numFmtId="43" fontId="59" fillId="0" borderId="0" applyFont="0" applyFill="0" applyBorder="0" applyAlignment="0" applyProtection="0"/>
    <xf numFmtId="0" fontId="91" fillId="0" borderId="0"/>
    <xf numFmtId="44" fontId="9" fillId="0" borderId="0" applyFont="0" applyFill="0" applyBorder="0" applyAlignment="0" applyProtection="0"/>
    <xf numFmtId="9" fontId="91"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1" fillId="0" borderId="0"/>
    <xf numFmtId="9" fontId="33" fillId="0" borderId="0" applyFont="0" applyFill="0" applyBorder="0" applyAlignment="0" applyProtection="0"/>
    <xf numFmtId="43" fontId="5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9"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91" fillId="0" borderId="0" applyFont="0" applyFill="0" applyBorder="0" applyAlignment="0" applyProtection="0"/>
    <xf numFmtId="44" fontId="9" fillId="0" borderId="0" applyFont="0" applyFill="0" applyBorder="0" applyAlignment="0" applyProtection="0"/>
    <xf numFmtId="0" fontId="33" fillId="0" borderId="0"/>
    <xf numFmtId="9" fontId="9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91" fillId="0" borderId="0"/>
    <xf numFmtId="43" fontId="33" fillId="0" borderId="0" applyFont="0" applyFill="0" applyBorder="0" applyAlignment="0" applyProtection="0"/>
    <xf numFmtId="43" fontId="5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59" fillId="0" borderId="0" applyFont="0" applyFill="0" applyBorder="0" applyAlignment="0" applyProtection="0"/>
    <xf numFmtId="9" fontId="91"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91" fillId="0" borderId="0"/>
    <xf numFmtId="9" fontId="59" fillId="0" borderId="0" applyFont="0" applyFill="0" applyBorder="0" applyAlignment="0" applyProtection="0"/>
    <xf numFmtId="0" fontId="59" fillId="0" borderId="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91"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91" fillId="0" borderId="0"/>
    <xf numFmtId="44" fontId="9" fillId="0" borderId="0" applyFont="0" applyFill="0" applyBorder="0" applyAlignment="0" applyProtection="0"/>
    <xf numFmtId="0" fontId="91" fillId="0" borderId="0"/>
    <xf numFmtId="0" fontId="91" fillId="0" borderId="0"/>
    <xf numFmtId="44" fontId="9" fillId="0" borderId="0" applyFont="0" applyFill="0" applyBorder="0" applyAlignment="0" applyProtection="0"/>
    <xf numFmtId="0" fontId="7" fillId="0" borderId="0"/>
    <xf numFmtId="9" fontId="5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91" fillId="0" borderId="0"/>
    <xf numFmtId="9" fontId="91" fillId="0" borderId="0" applyFont="0" applyFill="0" applyBorder="0" applyAlignment="0" applyProtection="0"/>
    <xf numFmtId="9" fontId="59"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44" fontId="9" fillId="0" borderId="0" applyFont="0" applyFill="0" applyBorder="0" applyAlignment="0" applyProtection="0"/>
    <xf numFmtId="9" fontId="33" fillId="0" borderId="0" applyFont="0" applyFill="0" applyBorder="0" applyAlignment="0" applyProtection="0"/>
    <xf numFmtId="0" fontId="91" fillId="0" borderId="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91" fillId="0" borderId="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59" fillId="0" borderId="0"/>
    <xf numFmtId="43" fontId="33" fillId="0" borderId="0" applyFont="0" applyFill="0" applyBorder="0" applyAlignment="0" applyProtection="0"/>
    <xf numFmtId="0" fontId="33" fillId="0" borderId="0"/>
    <xf numFmtId="0" fontId="9" fillId="0" borderId="0"/>
    <xf numFmtId="43" fontId="5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91"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91" fillId="0" borderId="0"/>
    <xf numFmtId="9" fontId="9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59" fillId="0" borderId="0"/>
    <xf numFmtId="44" fontId="9" fillId="0" borderId="0" applyFont="0" applyFill="0" applyBorder="0" applyAlignment="0" applyProtection="0"/>
    <xf numFmtId="0" fontId="59" fillId="0" borderId="0"/>
    <xf numFmtId="9" fontId="91"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0" fontId="91" fillId="0" borderId="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59" fillId="0" borderId="0"/>
    <xf numFmtId="43" fontId="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59" fillId="0" borderId="0" applyFont="0" applyFill="0" applyBorder="0" applyAlignment="0" applyProtection="0"/>
    <xf numFmtId="0" fontId="33" fillId="0" borderId="0"/>
    <xf numFmtId="0" fontId="7" fillId="31" borderId="0" applyNumberFormat="0" applyBorder="0" applyAlignment="0" applyProtection="0"/>
    <xf numFmtId="0" fontId="7" fillId="32" borderId="0" applyNumberFormat="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9" fontId="9" fillId="0" borderId="0" applyFont="0" applyFill="0" applyBorder="0" applyAlignment="0" applyProtection="0"/>
    <xf numFmtId="0" fontId="59" fillId="0" borderId="0"/>
    <xf numFmtId="0" fontId="7" fillId="39" borderId="0" applyNumberFormat="0" applyBorder="0" applyAlignment="0" applyProtection="0"/>
    <xf numFmtId="0" fontId="7" fillId="40"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43" fontId="33"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9" fontId="33"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91"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9" fontId="59" fillId="0" borderId="0" applyFont="0" applyFill="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9" fontId="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59"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9" fillId="0" borderId="0"/>
    <xf numFmtId="0" fontId="9" fillId="0" borderId="0"/>
    <xf numFmtId="0" fontId="91" fillId="0" borderId="0"/>
    <xf numFmtId="0" fontId="7" fillId="23" borderId="0" applyNumberFormat="0" applyBorder="0" applyAlignment="0" applyProtection="0"/>
    <xf numFmtId="0" fontId="7" fillId="24" borderId="0" applyNumberFormat="0" applyBorder="0" applyAlignment="0" applyProtection="0"/>
    <xf numFmtId="9" fontId="5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59" fillId="0" borderId="0"/>
    <xf numFmtId="0" fontId="33" fillId="0" borderId="0"/>
    <xf numFmtId="0" fontId="7" fillId="39" borderId="0" applyNumberFormat="0" applyBorder="0" applyAlignment="0" applyProtection="0"/>
    <xf numFmtId="0" fontId="7" fillId="40" borderId="0" applyNumberFormat="0" applyBorder="0" applyAlignment="0" applyProtection="0"/>
    <xf numFmtId="0" fontId="59" fillId="0" borderId="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0" fontId="7" fillId="23" borderId="0" applyNumberFormat="0" applyBorder="0" applyAlignment="0" applyProtection="0"/>
    <xf numFmtId="0" fontId="7" fillId="24" borderId="0" applyNumberFormat="0" applyBorder="0" applyAlignment="0" applyProtection="0"/>
    <xf numFmtId="43" fontId="5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0" borderId="0"/>
    <xf numFmtId="0" fontId="7" fillId="31" borderId="0" applyNumberFormat="0" applyBorder="0" applyAlignment="0" applyProtection="0"/>
    <xf numFmtId="0" fontId="7" fillId="32" borderId="0" applyNumberFormat="0" applyBorder="0" applyAlignment="0" applyProtection="0"/>
    <xf numFmtId="44" fontId="9" fillId="0" borderId="0" applyFont="0" applyFill="0" applyBorder="0" applyAlignment="0" applyProtection="0"/>
    <xf numFmtId="0" fontId="59" fillId="0" borderId="0"/>
    <xf numFmtId="0" fontId="7" fillId="35" borderId="0" applyNumberFormat="0" applyBorder="0" applyAlignment="0" applyProtection="0"/>
    <xf numFmtId="0" fontId="7" fillId="36" borderId="0" applyNumberFormat="0" applyBorder="0" applyAlignment="0" applyProtection="0"/>
    <xf numFmtId="0" fontId="9" fillId="0" borderId="0"/>
    <xf numFmtId="0" fontId="7" fillId="39" borderId="0" applyNumberFormat="0" applyBorder="0" applyAlignment="0" applyProtection="0"/>
    <xf numFmtId="0" fontId="7" fillId="40" borderId="0" applyNumberFormat="0" applyBorder="0" applyAlignment="0" applyProtection="0"/>
    <xf numFmtId="43" fontId="9" fillId="0" borderId="0" applyFont="0" applyFill="0" applyBorder="0" applyAlignment="0" applyProtection="0"/>
    <xf numFmtId="9" fontId="91"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0" borderId="0"/>
    <xf numFmtId="0" fontId="7" fillId="27" borderId="0" applyNumberFormat="0" applyBorder="0" applyAlignment="0" applyProtection="0"/>
    <xf numFmtId="0" fontId="7" fillId="28" borderId="0" applyNumberFormat="0" applyBorder="0" applyAlignment="0" applyProtection="0"/>
    <xf numFmtId="0" fontId="9" fillId="0" borderId="0"/>
    <xf numFmtId="9"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9" fontId="59" fillId="0" borderId="0" applyFont="0" applyFill="0" applyBorder="0" applyAlignment="0" applyProtection="0"/>
    <xf numFmtId="9" fontId="33"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33"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91" fillId="0" borderId="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43" fontId="33"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9" fillId="0" borderId="0"/>
    <xf numFmtId="44" fontId="33"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91" fillId="0" borderId="0"/>
    <xf numFmtId="44" fontId="9"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59" fillId="0" borderId="0"/>
    <xf numFmtId="43"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59" fillId="0" borderId="0" applyFont="0" applyFill="0" applyBorder="0" applyAlignment="0" applyProtection="0"/>
    <xf numFmtId="0" fontId="33" fillId="0" borderId="0"/>
    <xf numFmtId="0" fontId="7" fillId="39" borderId="0" applyNumberFormat="0" applyBorder="0" applyAlignment="0" applyProtection="0"/>
    <xf numFmtId="0" fontId="7" fillId="40" borderId="0" applyNumberFormat="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9" fontId="9"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59" fillId="0" borderId="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3" fillId="0" borderId="0" applyFont="0" applyFill="0" applyBorder="0" applyAlignment="0" applyProtection="0"/>
    <xf numFmtId="44" fontId="63"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6" fillId="0" borderId="0"/>
    <xf numFmtId="44" fontId="9" fillId="0" borderId="0" applyFont="0" applyFill="0" applyBorder="0" applyAlignment="0" applyProtection="0"/>
    <xf numFmtId="0" fontId="5" fillId="4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91" fillId="0" borderId="0"/>
    <xf numFmtId="3" fontId="9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1" fillId="0" borderId="0"/>
    <xf numFmtId="3" fontId="91" fillId="0" borderId="0"/>
    <xf numFmtId="0" fontId="99" fillId="0" borderId="42" applyNumberFormat="0" applyFill="0" applyAlignment="0" applyProtection="0"/>
    <xf numFmtId="3" fontId="91" fillId="0" borderId="0"/>
    <xf numFmtId="3" fontId="91" fillId="0" borderId="0"/>
    <xf numFmtId="3" fontId="91" fillId="0" borderId="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0" fontId="100" fillId="0" borderId="0" applyBorder="0">
      <alignment horizontal="centerContinuous"/>
    </xf>
    <xf numFmtId="0" fontId="101" fillId="0" borderId="0" applyBorder="0">
      <alignment horizontal="centerContinuous"/>
    </xf>
    <xf numFmtId="0" fontId="102" fillId="48" borderId="0">
      <alignment horizontal="right"/>
    </xf>
    <xf numFmtId="0" fontId="101" fillId="48" borderId="9"/>
    <xf numFmtId="44" fontId="91" fillId="0" borderId="0" applyFont="0" applyFill="0" applyBorder="0" applyAlignment="0" applyProtection="0"/>
    <xf numFmtId="42" fontId="9" fillId="0" borderId="0" applyFont="0" applyFill="0" applyBorder="0" applyAlignment="0" applyProtection="0"/>
    <xf numFmtId="43" fontId="91" fillId="0" borderId="0" applyFont="0" applyFill="0" applyBorder="0" applyAlignment="0" applyProtection="0"/>
    <xf numFmtId="0" fontId="103" fillId="49" borderId="0">
      <alignment horizontal="left"/>
    </xf>
    <xf numFmtId="0" fontId="104" fillId="49" borderId="0">
      <alignment horizontal="right"/>
    </xf>
    <xf numFmtId="0" fontId="104" fillId="49" borderId="0">
      <alignment horizontal="center"/>
    </xf>
    <xf numFmtId="0" fontId="104" fillId="49" borderId="0">
      <alignment horizontal="right"/>
    </xf>
    <xf numFmtId="0" fontId="105" fillId="49" borderId="0">
      <alignment horizontal="left"/>
    </xf>
    <xf numFmtId="41"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9" fontId="91" fillId="0" borderId="0" applyFont="0" applyFill="0" applyBorder="0" applyAlignment="0" applyProtection="0"/>
    <xf numFmtId="0" fontId="5" fillId="28" borderId="0" applyNumberFormat="0" applyBorder="0" applyAlignment="0" applyProtection="0"/>
    <xf numFmtId="44" fontId="66" fillId="0" borderId="0" applyFont="0" applyFill="0" applyBorder="0" applyAlignment="0" applyProtection="0"/>
    <xf numFmtId="44" fontId="5"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3" fillId="49" borderId="0">
      <alignment horizontal="left"/>
    </xf>
    <xf numFmtId="0" fontId="103" fillId="49"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7" fillId="48"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0" fontId="103" fillId="49" borderId="0">
      <alignment horizontal="center"/>
    </xf>
    <xf numFmtId="49" fontId="108" fillId="49" borderId="0">
      <alignment horizontal="center"/>
    </xf>
    <xf numFmtId="0" fontId="104" fillId="49" borderId="0">
      <alignment horizontal="center"/>
    </xf>
    <xf numFmtId="0" fontId="104" fillId="49" borderId="0">
      <alignment horizontal="centerContinuous"/>
    </xf>
    <xf numFmtId="0" fontId="109" fillId="49" borderId="0">
      <alignment horizontal="left"/>
    </xf>
    <xf numFmtId="49" fontId="109" fillId="49" borderId="0">
      <alignment horizontal="center"/>
    </xf>
    <xf numFmtId="0" fontId="103" fillId="49" borderId="0">
      <alignment horizontal="left"/>
    </xf>
    <xf numFmtId="49" fontId="109" fillId="49" borderId="0">
      <alignment horizontal="left"/>
    </xf>
    <xf numFmtId="0" fontId="103" fillId="49" borderId="0">
      <alignment horizontal="centerContinuous"/>
    </xf>
    <xf numFmtId="0" fontId="103" fillId="49" borderId="0">
      <alignment horizontal="right"/>
    </xf>
    <xf numFmtId="49" fontId="103" fillId="49" borderId="0">
      <alignment horizontal="left"/>
    </xf>
    <xf numFmtId="0" fontId="104" fillId="49" borderId="0">
      <alignment horizontal="right"/>
    </xf>
    <xf numFmtId="0" fontId="109" fillId="50" borderId="0">
      <alignment horizontal="center"/>
    </xf>
    <xf numFmtId="0" fontId="110" fillId="50" borderId="0">
      <alignment horizontal="center"/>
    </xf>
    <xf numFmtId="0" fontId="111" fillId="49"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4" fillId="0" borderId="42" applyNumberFormat="0" applyFill="0" applyAlignment="0" applyProtection="0"/>
    <xf numFmtId="43" fontId="5" fillId="0" borderId="0" applyFont="0" applyFill="0" applyBorder="0" applyAlignment="0" applyProtection="0"/>
    <xf numFmtId="197" fontId="33" fillId="3" borderId="0" applyFont="0" applyFill="0" applyBorder="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6" fillId="0" borderId="0"/>
    <xf numFmtId="43" fontId="66" fillId="0" borderId="0" applyFont="0" applyFill="0" applyBorder="0" applyAlignment="0" applyProtection="0"/>
    <xf numFmtId="41" fontId="66" fillId="0" borderId="0" applyFont="0" applyFill="0" applyBorder="0" applyAlignment="0" applyProtection="0"/>
    <xf numFmtId="44" fontId="66" fillId="0" borderId="0" applyFont="0" applyFill="0" applyBorder="0" applyAlignment="0" applyProtection="0"/>
    <xf numFmtId="42" fontId="66" fillId="0" borderId="0" applyFont="0" applyFill="0" applyBorder="0" applyAlignment="0" applyProtection="0"/>
    <xf numFmtId="9" fontId="66" fillId="0" borderId="0" applyFont="0" applyFill="0" applyBorder="0" applyAlignment="0" applyProtection="0"/>
    <xf numFmtId="0" fontId="5" fillId="0" borderId="0"/>
    <xf numFmtId="0" fontId="52" fillId="0" borderId="0">
      <alignment vertical="top"/>
    </xf>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64"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64"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64"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64"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4" fillId="5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4" fillId="5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64"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4" fillId="5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64"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64"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4" fillId="5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0" fontId="64" fillId="60"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61" borderId="0" applyNumberFormat="0" applyBorder="0" applyAlignment="0" applyProtection="0"/>
    <xf numFmtId="0" fontId="112" fillId="6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112" fillId="58"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59" borderId="0" applyNumberFormat="0" applyBorder="0" applyAlignment="0" applyProtection="0"/>
    <xf numFmtId="0" fontId="112" fillId="5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62" borderId="0" applyNumberFormat="0" applyBorder="0" applyAlignment="0" applyProtection="0"/>
    <xf numFmtId="0" fontId="112" fillId="6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112" fillId="63"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64" borderId="0" applyNumberFormat="0" applyBorder="0" applyAlignment="0" applyProtection="0"/>
    <xf numFmtId="0" fontId="112" fillId="6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65" borderId="0" applyNumberFormat="0" applyBorder="0" applyAlignment="0" applyProtection="0"/>
    <xf numFmtId="0" fontId="112" fillId="6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66" borderId="0" applyNumberFormat="0" applyBorder="0" applyAlignment="0" applyProtection="0"/>
    <xf numFmtId="0" fontId="112" fillId="6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67" borderId="0" applyNumberFormat="0" applyBorder="0" applyAlignment="0" applyProtection="0"/>
    <xf numFmtId="0" fontId="112" fillId="6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62" borderId="0" applyNumberFormat="0" applyBorder="0" applyAlignment="0" applyProtection="0"/>
    <xf numFmtId="0" fontId="112" fillId="6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2" fillId="6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2" fillId="68" borderId="0" applyNumberFormat="0" applyBorder="0" applyAlignment="0" applyProtection="0"/>
    <xf numFmtId="200" fontId="113" fillId="69" borderId="0" applyNumberFormat="0" applyBorder="0" applyAlignment="0" applyProtection="0"/>
    <xf numFmtId="200" fontId="41" fillId="7" borderId="0" applyNumberFormat="0" applyBorder="0" applyAlignment="0" applyProtection="0"/>
    <xf numFmtId="200" fontId="41" fillId="7"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14" fillId="16" borderId="0" applyNumberFormat="0" applyBorder="0" applyAlignment="0" applyProtection="0"/>
    <xf numFmtId="0" fontId="115" fillId="52" borderId="0" applyNumberFormat="0" applyBorder="0" applyAlignment="0" applyProtection="0"/>
    <xf numFmtId="0" fontId="33" fillId="0" borderId="0" applyFill="0" applyBorder="0" applyAlignment="0" applyProtection="0"/>
    <xf numFmtId="0" fontId="80" fillId="19" borderId="43" applyNumberFormat="0" applyAlignment="0" applyProtection="0"/>
    <xf numFmtId="0" fontId="80" fillId="19" borderId="43" applyNumberFormat="0" applyAlignment="0" applyProtection="0"/>
    <xf numFmtId="0" fontId="80" fillId="19" borderId="43" applyNumberFormat="0" applyAlignment="0" applyProtection="0"/>
    <xf numFmtId="0" fontId="80" fillId="70" borderId="43" applyNumberFormat="0" applyAlignment="0" applyProtection="0"/>
    <xf numFmtId="0" fontId="116" fillId="70" borderId="53" applyNumberFormat="0" applyAlignment="0" applyProtection="0"/>
    <xf numFmtId="0" fontId="117" fillId="0" borderId="0" applyFill="0" applyBorder="0" applyProtection="0">
      <alignment horizontal="center" vertical="center"/>
    </xf>
    <xf numFmtId="0" fontId="37" fillId="0" borderId="0" applyFill="0" applyBorder="0" applyProtection="0">
      <alignment horizontal="center"/>
      <protection locked="0"/>
    </xf>
    <xf numFmtId="0" fontId="117" fillId="0" borderId="0" applyFill="0" applyBorder="0" applyProtection="0">
      <alignment horizontal="center" vertical="center"/>
    </xf>
    <xf numFmtId="0" fontId="82" fillId="20" borderId="46" applyNumberFormat="0" applyAlignment="0" applyProtection="0"/>
    <xf numFmtId="0" fontId="82" fillId="20" borderId="46" applyNumberFormat="0" applyAlignment="0" applyProtection="0"/>
    <xf numFmtId="0" fontId="82" fillId="20" borderId="46" applyNumberFormat="0" applyAlignment="0" applyProtection="0"/>
    <xf numFmtId="0" fontId="118" fillId="71" borderId="54" applyNumberFormat="0" applyAlignment="0" applyProtection="0"/>
    <xf numFmtId="0" fontId="119" fillId="0" borderId="3">
      <alignment horizontal="center"/>
    </xf>
    <xf numFmtId="201" fontId="120" fillId="0" borderId="0" applyFont="0" applyFill="0" applyBorder="0" applyAlignment="0" applyProtection="0">
      <alignment horizontal="right"/>
    </xf>
    <xf numFmtId="202" fontId="121" fillId="0" borderId="0" applyFont="0" applyFill="0" applyBorder="0" applyAlignment="0" applyProtection="0"/>
    <xf numFmtId="203" fontId="122" fillId="0" borderId="0" applyFont="0" applyFill="0" applyBorder="0" applyAlignment="0" applyProtection="0"/>
    <xf numFmtId="204"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123" fillId="0" borderId="0" applyFont="0" applyFill="0" applyBorder="0" applyAlignment="0" applyProtection="0"/>
    <xf numFmtId="43" fontId="9" fillId="0" borderId="0" applyFont="0" applyFill="0" applyBorder="0" applyAlignment="0" applyProtection="0"/>
    <xf numFmtId="43" fontId="12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4"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205" fontId="1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5" fontId="125"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121" fillId="0" borderId="0">
      <protection locked="0"/>
    </xf>
    <xf numFmtId="0" fontId="126" fillId="0" borderId="0" applyFill="0" applyBorder="0" applyAlignment="0" applyProtection="0"/>
    <xf numFmtId="0" fontId="93" fillId="0" borderId="0" applyFill="0" applyBorder="0" applyAlignment="0" applyProtection="0">
      <protection locked="0"/>
    </xf>
    <xf numFmtId="0" fontId="126" fillId="0" borderId="0" applyFill="0" applyBorder="0" applyAlignment="0" applyProtection="0"/>
    <xf numFmtId="207" fontId="122" fillId="0" borderId="0" applyFont="0" applyFill="0" applyBorder="0" applyAlignment="0" applyProtection="0"/>
    <xf numFmtId="208" fontId="122" fillId="0" borderId="0" applyFont="0" applyFill="0" applyBorder="0" applyAlignment="0" applyProtection="0"/>
    <xf numFmtId="209" fontId="1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3"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10" fontId="121" fillId="0" borderId="0">
      <protection locked="0"/>
    </xf>
    <xf numFmtId="199" fontId="127" fillId="0" borderId="0" applyFont="0" applyFill="0" applyBorder="0" applyAlignment="0" applyProtection="0"/>
    <xf numFmtId="200" fontId="128" fillId="0"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9" fillId="0" borderId="0" applyNumberFormat="0" applyFill="0" applyBorder="0" applyAlignment="0" applyProtection="0"/>
    <xf numFmtId="211" fontId="130" fillId="0" borderId="0"/>
    <xf numFmtId="212" fontId="130" fillId="0" borderId="0"/>
    <xf numFmtId="164" fontId="130" fillId="0" borderId="0"/>
    <xf numFmtId="212" fontId="130" fillId="0" borderId="0"/>
    <xf numFmtId="213" fontId="130" fillId="0" borderId="0"/>
    <xf numFmtId="213" fontId="130" fillId="0" borderId="0"/>
    <xf numFmtId="211" fontId="130" fillId="0" borderId="0"/>
    <xf numFmtId="214" fontId="130" fillId="0" borderId="0"/>
    <xf numFmtId="215" fontId="130" fillId="0" borderId="0"/>
    <xf numFmtId="216" fontId="130" fillId="0" borderId="0"/>
    <xf numFmtId="217" fontId="130" fillId="0" borderId="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31" fillId="53" borderId="0" applyNumberFormat="0" applyBorder="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32" fillId="0" borderId="55" applyNumberFormat="0" applyFill="0" applyAlignment="0" applyProtection="0"/>
    <xf numFmtId="0" fontId="133" fillId="0" borderId="55"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134" fillId="0" borderId="41" applyNumberFormat="0" applyFill="0" applyAlignment="0" applyProtection="0"/>
    <xf numFmtId="0" fontId="135" fillId="0" borderId="56" applyNumberFormat="0" applyFill="0" applyAlignment="0" applyProtection="0"/>
    <xf numFmtId="0" fontId="74" fillId="0" borderId="42" applyNumberFormat="0" applyFill="0" applyAlignment="0" applyProtection="0"/>
    <xf numFmtId="0" fontId="74" fillId="0" borderId="42" applyNumberFormat="0" applyFill="0" applyAlignment="0" applyProtection="0"/>
    <xf numFmtId="0" fontId="136" fillId="0" borderId="57" applyNumberFormat="0" applyFill="0" applyAlignment="0" applyProtection="0"/>
    <xf numFmtId="0" fontId="137" fillId="0" borderId="5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200" fontId="138" fillId="48" borderId="0" applyNumberFormat="0" applyBorder="0" applyAlignment="0" applyProtection="0"/>
    <xf numFmtId="0" fontId="78" fillId="18" borderId="43" applyNumberFormat="0" applyAlignment="0" applyProtection="0"/>
    <xf numFmtId="0" fontId="78" fillId="18" borderId="43" applyNumberFormat="0" applyAlignment="0" applyProtection="0"/>
    <xf numFmtId="0" fontId="78" fillId="18" borderId="43" applyNumberFormat="0" applyAlignment="0" applyProtection="0"/>
    <xf numFmtId="0" fontId="139" fillId="56" borderId="53" applyNumberFormat="0" applyAlignment="0" applyProtection="0"/>
    <xf numFmtId="200" fontId="41" fillId="2" borderId="0" applyNumberFormat="0" applyBorder="0" applyAlignment="0" applyProtection="0"/>
    <xf numFmtId="200" fontId="41" fillId="2" borderId="0" applyNumberFormat="0" applyBorder="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140" fillId="0" borderId="58" applyNumberFormat="0" applyFill="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41" fillId="72" borderId="0" applyNumberFormat="0" applyBorder="0" applyAlignment="0" applyProtection="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200" fontId="91" fillId="0" borderId="0"/>
    <xf numFmtId="200" fontId="91" fillId="0" borderId="0"/>
    <xf numFmtId="200" fontId="91" fillId="0" borderId="0"/>
    <xf numFmtId="200" fontId="91"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198" fontId="91" fillId="0" borderId="0"/>
    <xf numFmtId="198" fontId="91" fillId="0" borderId="0"/>
    <xf numFmtId="198" fontId="91" fillId="0" borderId="0"/>
    <xf numFmtId="198" fontId="91"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5" fillId="0" borderId="0"/>
    <xf numFmtId="200" fontId="9" fillId="0" borderId="0"/>
    <xf numFmtId="0" fontId="95" fillId="0" borderId="0"/>
    <xf numFmtId="0" fontId="5" fillId="0" borderId="0"/>
    <xf numFmtId="0" fontId="95" fillId="0" borderId="0"/>
    <xf numFmtId="0" fontId="5" fillId="0" borderId="0"/>
    <xf numFmtId="0" fontId="5" fillId="0" borderId="0"/>
    <xf numFmtId="0" fontId="5" fillId="0" borderId="0"/>
    <xf numFmtId="0" fontId="5" fillId="0" borderId="0"/>
    <xf numFmtId="0" fontId="95" fillId="0" borderId="0"/>
    <xf numFmtId="0" fontId="9" fillId="0" borderId="0"/>
    <xf numFmtId="0" fontId="5" fillId="0" borderId="0"/>
    <xf numFmtId="0" fontId="5" fillId="0" borderId="0"/>
    <xf numFmtId="200"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9" fillId="0" borderId="0"/>
    <xf numFmtId="0" fontId="52" fillId="0" borderId="0">
      <alignment vertical="top"/>
    </xf>
    <xf numFmtId="0" fontId="9" fillId="0" borderId="0"/>
    <xf numFmtId="0" fontId="9" fillId="0" borderId="0"/>
    <xf numFmtId="200" fontId="9" fillId="0" borderId="0"/>
    <xf numFmtId="0" fontId="5" fillId="0" borderId="0"/>
    <xf numFmtId="0" fontId="5" fillId="0" borderId="0"/>
    <xf numFmtId="0" fontId="5" fillId="0" borderId="0"/>
    <xf numFmtId="20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 fillId="0" borderId="0"/>
    <xf numFmtId="0" fontId="9" fillId="0" borderId="0"/>
    <xf numFmtId="0" fontId="52" fillId="0" borderId="0">
      <alignment vertical="top"/>
    </xf>
    <xf numFmtId="0" fontId="52"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 fillId="0" borderId="0"/>
    <xf numFmtId="0" fontId="9" fillId="0" borderId="0"/>
    <xf numFmtId="0" fontId="9" fillId="0" borderId="0"/>
    <xf numFmtId="200" fontId="91" fillId="0" borderId="0"/>
    <xf numFmtId="200" fontId="91" fillId="0" borderId="0"/>
    <xf numFmtId="200" fontId="91" fillId="0" borderId="0"/>
    <xf numFmtId="200" fontId="91"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198" fontId="91" fillId="0" borderId="0"/>
    <xf numFmtId="198" fontId="91" fillId="0" borderId="0"/>
    <xf numFmtId="198" fontId="91" fillId="0" borderId="0"/>
    <xf numFmtId="198"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0" fontId="5" fillId="0" borderId="0"/>
    <xf numFmtId="0" fontId="5" fillId="0" borderId="0"/>
    <xf numFmtId="0" fontId="5" fillId="0" borderId="0"/>
    <xf numFmtId="0" fontId="5" fillId="0" borderId="0"/>
    <xf numFmtId="198" fontId="9" fillId="0" borderId="0"/>
    <xf numFmtId="0" fontId="52" fillId="0" borderId="0">
      <alignment vertical="top"/>
    </xf>
    <xf numFmtId="0" fontId="52" fillId="0" borderId="0">
      <alignment vertical="top"/>
    </xf>
    <xf numFmtId="0" fontId="91" fillId="0" borderId="0"/>
    <xf numFmtId="0" fontId="5" fillId="0" borderId="0"/>
    <xf numFmtId="0" fontId="91" fillId="0" borderId="0"/>
    <xf numFmtId="0" fontId="91" fillId="0" borderId="0"/>
    <xf numFmtId="0" fontId="91" fillId="0" borderId="0"/>
    <xf numFmtId="200" fontId="91" fillId="0" borderId="0"/>
    <xf numFmtId="200" fontId="91" fillId="0" borderId="0"/>
    <xf numFmtId="0" fontId="52" fillId="0" borderId="0">
      <alignment vertical="top"/>
    </xf>
    <xf numFmtId="200" fontId="91" fillId="0" borderId="0"/>
    <xf numFmtId="200" fontId="91" fillId="0" borderId="0"/>
    <xf numFmtId="0" fontId="9" fillId="0" borderId="0"/>
    <xf numFmtId="0" fontId="5" fillId="0" borderId="0"/>
    <xf numFmtId="0" fontId="91"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20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64" fillId="21" borderId="47" applyNumberFormat="0" applyFont="0" applyAlignment="0" applyProtection="0"/>
    <xf numFmtId="0" fontId="9" fillId="73" borderId="59" applyNumberFormat="0" applyFont="0" applyAlignment="0" applyProtection="0"/>
    <xf numFmtId="0" fontId="5" fillId="21" borderId="47" applyNumberFormat="0" applyFont="0" applyAlignment="0" applyProtection="0"/>
    <xf numFmtId="0" fontId="79" fillId="19" borderId="44" applyNumberFormat="0" applyAlignment="0" applyProtection="0"/>
    <xf numFmtId="0" fontId="79" fillId="19" borderId="44" applyNumberFormat="0" applyAlignment="0" applyProtection="0"/>
    <xf numFmtId="0" fontId="79" fillId="19" borderId="44" applyNumberFormat="0" applyAlignment="0" applyProtection="0"/>
    <xf numFmtId="0" fontId="79" fillId="70" borderId="44" applyNumberFormat="0" applyAlignment="0" applyProtection="0"/>
    <xf numFmtId="0" fontId="143" fillId="70" borderId="60" applyNumberFormat="0" applyAlignment="0" applyProtection="0"/>
    <xf numFmtId="200" fontId="9" fillId="3" borderId="0" applyNumberFormat="0" applyBorder="0" applyAlignment="0" applyProtection="0"/>
    <xf numFmtId="200" fontId="9" fillId="3" borderId="0" applyNumberFormat="0" applyBorder="0" applyAlignment="0" applyProtection="0"/>
    <xf numFmtId="218" fontId="122" fillId="0" borderId="0" applyFont="0" applyFill="0" applyBorder="0" applyAlignment="0" applyProtection="0"/>
    <xf numFmtId="219" fontId="121" fillId="0" borderId="0" applyFont="0" applyFill="0" applyBorder="0" applyAlignment="0" applyProtection="0"/>
    <xf numFmtId="220" fontId="122" fillId="0" borderId="0" applyFont="0" applyFill="0" applyBorder="0" applyAlignment="0" applyProtection="0"/>
    <xf numFmtId="221" fontId="121" fillId="0" borderId="0" applyFont="0" applyFill="0" applyBorder="0" applyAlignment="0" applyProtection="0"/>
    <xf numFmtId="222" fontId="122" fillId="0" borderId="0" applyFont="0" applyFill="0" applyBorder="0" applyAlignment="0" applyProtection="0"/>
    <xf numFmtId="223" fontId="121" fillId="0" borderId="0" applyFont="0" applyFill="0" applyBorder="0" applyAlignment="0" applyProtection="0"/>
    <xf numFmtId="224" fontId="122" fillId="0" borderId="0" applyFont="0" applyFill="0" applyBorder="0" applyAlignment="0" applyProtection="0"/>
    <xf numFmtId="225" fontId="121" fillId="0" borderId="0" applyFont="0" applyFill="0" applyBorder="0" applyAlignment="0" applyProtection="0"/>
    <xf numFmtId="226" fontId="121" fillId="0" borderId="0" applyFont="0" applyFill="0" applyBorder="0" applyAlignment="0" applyProtection="0"/>
    <xf numFmtId="227" fontId="1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5" fillId="0" borderId="0" applyFont="0" applyFill="0" applyBorder="0" applyAlignment="0" applyProtection="0"/>
    <xf numFmtId="9" fontId="52" fillId="0" borderId="0" applyFont="0" applyFill="0" applyBorder="0" applyAlignment="0" applyProtection="0"/>
    <xf numFmtId="9" fontId="95" fillId="0" borderId="0" applyFont="0" applyFill="0" applyBorder="0" applyAlignment="0" applyProtection="0"/>
    <xf numFmtId="9" fontId="5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 fillId="0" borderId="0" applyFont="0" applyFill="0" applyBorder="0" applyAlignment="0" applyProtection="0"/>
    <xf numFmtId="9" fontId="1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0" fontId="113" fillId="69" borderId="0" applyNumberFormat="0" applyBorder="0" applyAlignment="0" applyProtection="0"/>
    <xf numFmtId="0" fontId="144" fillId="0" borderId="0">
      <alignment horizontal="right"/>
    </xf>
    <xf numFmtId="0" fontId="145" fillId="0" borderId="0">
      <alignment horizontal="right"/>
    </xf>
    <xf numFmtId="0" fontId="130" fillId="0" borderId="0"/>
    <xf numFmtId="0" fontId="146" fillId="0" borderId="0" applyNumberFormat="0" applyBorder="0" applyAlignment="0"/>
    <xf numFmtId="0" fontId="146" fillId="0" borderId="0" applyNumberFormat="0" applyBorder="0" applyAlignment="0"/>
    <xf numFmtId="0" fontId="52" fillId="0" borderId="0" applyNumberFormat="0" applyBorder="0" applyAlignment="0"/>
    <xf numFmtId="200" fontId="52" fillId="0" borderId="0" applyNumberFormat="0" applyBorder="0" applyAlignment="0"/>
    <xf numFmtId="0" fontId="130" fillId="0" borderId="0"/>
    <xf numFmtId="200" fontId="52" fillId="0" borderId="0" applyNumberFormat="0" applyBorder="0" applyAlignment="0"/>
    <xf numFmtId="0" fontId="147" fillId="0" borderId="0"/>
    <xf numFmtId="0" fontId="148" fillId="0" borderId="0" applyNumberFormat="0" applyBorder="0" applyAlignment="0"/>
    <xf numFmtId="0" fontId="148" fillId="0" borderId="0" applyNumberFormat="0" applyBorder="0" applyAlignment="0"/>
    <xf numFmtId="0" fontId="147" fillId="0" borderId="0"/>
    <xf numFmtId="0" fontId="149" fillId="0" borderId="0"/>
    <xf numFmtId="200" fontId="150" fillId="0" borderId="0"/>
    <xf numFmtId="0" fontId="151" fillId="0" borderId="0"/>
    <xf numFmtId="0" fontId="152" fillId="0" borderId="0" applyNumberFormat="0" applyBorder="0" applyAlignment="0"/>
    <xf numFmtId="0" fontId="152" fillId="0" borderId="0" applyNumberFormat="0" applyBorder="0" applyAlignment="0"/>
    <xf numFmtId="0" fontId="151" fillId="0" borderId="0"/>
    <xf numFmtId="0" fontId="153" fillId="0" borderId="0" applyNumberFormat="0" applyBorder="0" applyAlignment="0"/>
    <xf numFmtId="0" fontId="154" fillId="0" borderId="0"/>
    <xf numFmtId="200" fontId="155" fillId="0" borderId="0"/>
    <xf numFmtId="0" fontId="156" fillId="0" borderId="0"/>
    <xf numFmtId="0" fontId="152" fillId="74" borderId="0" applyNumberFormat="0" applyBorder="0" applyAlignment="0"/>
    <xf numFmtId="0" fontId="157" fillId="0" borderId="0"/>
    <xf numFmtId="0" fontId="158" fillId="0" borderId="0"/>
    <xf numFmtId="0" fontId="159" fillId="0" borderId="0"/>
    <xf numFmtId="0" fontId="158" fillId="75" borderId="0"/>
    <xf numFmtId="0" fontId="71" fillId="0" borderId="0" applyNumberFormat="0" applyFill="0" applyBorder="0" applyAlignment="0" applyProtection="0"/>
    <xf numFmtId="0" fontId="160" fillId="76" borderId="61" applyNumberFormat="0">
      <alignment horizontal="left"/>
    </xf>
    <xf numFmtId="0" fontId="71" fillId="0" borderId="0" applyNumberFormat="0" applyFill="0" applyBorder="0" applyAlignment="0" applyProtection="0"/>
    <xf numFmtId="0" fontId="7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0" fillId="76" borderId="62">
      <alignment horizontal="left"/>
    </xf>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63" applyNumberFormat="0" applyFill="0" applyAlignment="0" applyProtection="0"/>
    <xf numFmtId="0" fontId="163" fillId="0" borderId="6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4" fillId="0" borderId="0" applyNumberFormat="0" applyFill="0" applyBorder="0" applyAlignment="0" applyProtection="0"/>
    <xf numFmtId="200" fontId="23" fillId="77" borderId="0" applyNumberFormat="0" applyBorder="0" applyAlignment="0" applyProtection="0"/>
    <xf numFmtId="228" fontId="121" fillId="0" borderId="0" applyFont="0" applyFill="0" applyBorder="0" applyAlignment="0" applyProtection="0"/>
    <xf numFmtId="229" fontId="121" fillId="0" borderId="0" applyFont="0" applyFill="0" applyBorder="0" applyAlignment="0" applyProtection="0"/>
    <xf numFmtId="230" fontId="121" fillId="0" borderId="0" applyFont="0" applyFill="0" applyBorder="0" applyAlignment="0" applyProtection="0"/>
    <xf numFmtId="231" fontId="121" fillId="0" borderId="0" applyFont="0" applyFill="0" applyBorder="0" applyAlignment="0" applyProtection="0"/>
    <xf numFmtId="232" fontId="121" fillId="0" borderId="0" applyFont="0" applyFill="0" applyBorder="0" applyAlignment="0" applyProtection="0"/>
    <xf numFmtId="233" fontId="121" fillId="0" borderId="0" applyFont="0" applyFill="0" applyBorder="0" applyAlignment="0" applyProtection="0"/>
    <xf numFmtId="234" fontId="121" fillId="0" borderId="0" applyFont="0" applyFill="0" applyBorder="0" applyAlignment="0" applyProtection="0"/>
    <xf numFmtId="235" fontId="121" fillId="0" borderId="0" applyFont="0" applyFill="0" applyBorder="0" applyAlignment="0" applyProtection="0"/>
    <xf numFmtId="236" fontId="33" fillId="0" borderId="0" applyFont="0" applyFill="0" applyBorder="0" applyAlignment="0" applyProtection="0">
      <alignment horizontal="right"/>
    </xf>
    <xf numFmtId="3" fontId="91" fillId="0" borderId="0"/>
    <xf numFmtId="0" fontId="99" fillId="0" borderId="42" applyNumberFormat="0" applyFill="0" applyAlignment="0" applyProtection="0"/>
    <xf numFmtId="3" fontId="91" fillId="0" borderId="0"/>
    <xf numFmtId="3" fontId="91" fillId="0" borderId="0"/>
    <xf numFmtId="3" fontId="91" fillId="0" borderId="0"/>
    <xf numFmtId="3" fontId="91" fillId="0" borderId="0"/>
    <xf numFmtId="3" fontId="91" fillId="0" borderId="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0" fontId="10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91"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9" fillId="0" borderId="42" applyNumberFormat="0" applyFill="0" applyAlignment="0" applyProtection="0"/>
    <xf numFmtId="0" fontId="91"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143" fillId="70" borderId="60" applyNumberFormat="0" applyAlignment="0" applyProtection="0"/>
    <xf numFmtId="0" fontId="116" fillId="70" borderId="53" applyNumberFormat="0" applyAlignment="0" applyProtection="0"/>
    <xf numFmtId="44"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0" fontId="116" fillId="70" borderId="53" applyNumberFormat="0" applyAlignment="0" applyProtection="0"/>
    <xf numFmtId="43" fontId="91" fillId="0" borderId="0" applyFont="0" applyFill="0" applyBorder="0" applyAlignment="0" applyProtection="0"/>
    <xf numFmtId="0" fontId="9" fillId="73" borderId="59" applyNumberFormat="0" applyFont="0" applyAlignment="0" applyProtection="0"/>
    <xf numFmtId="9" fontId="91" fillId="0" borderId="0" applyFont="0" applyFill="0" applyBorder="0" applyAlignment="0" applyProtection="0"/>
    <xf numFmtId="0" fontId="163" fillId="0" borderId="63" applyNumberFormat="0" applyFill="0" applyAlignment="0" applyProtection="0"/>
    <xf numFmtId="43"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0" fontId="163" fillId="0" borderId="63"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0" fontId="116" fillId="70" borderId="53" applyNumberFormat="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39" fillId="56" borderId="53" applyNumberFormat="0" applyAlignment="0" applyProtection="0"/>
    <xf numFmtId="0" fontId="139" fillId="56" borderId="53" applyNumberFormat="0" applyAlignment="0" applyProtection="0"/>
    <xf numFmtId="0" fontId="139" fillId="56" borderId="53" applyNumberFormat="0" applyAlignment="0" applyProtection="0"/>
    <xf numFmtId="0" fontId="9" fillId="73" borderId="59" applyNumberFormat="0" applyFont="0" applyAlignment="0" applyProtection="0"/>
    <xf numFmtId="0" fontId="85" fillId="0" borderId="63" applyNumberFormat="0" applyFill="0" applyAlignment="0" applyProtection="0"/>
    <xf numFmtId="43" fontId="91" fillId="0" borderId="0" applyFont="0" applyFill="0" applyBorder="0" applyAlignment="0" applyProtection="0"/>
    <xf numFmtId="43" fontId="91" fillId="0" borderId="0" applyFont="0" applyFill="0" applyBorder="0" applyAlignment="0" applyProtection="0"/>
    <xf numFmtId="9" fontId="91"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44" fontId="91" fillId="0" borderId="0" applyFont="0" applyFill="0" applyBorder="0" applyAlignment="0" applyProtection="0"/>
    <xf numFmtId="0" fontId="85"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0" fontId="163" fillId="0" borderId="63" applyNumberFormat="0" applyFill="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0" fontId="116" fillId="70" borderId="53" applyNumberFormat="0" applyAlignment="0" applyProtection="0"/>
    <xf numFmtId="9" fontId="91" fillId="0" borderId="0" applyFont="0" applyFill="0" applyBorder="0" applyAlignment="0" applyProtection="0"/>
    <xf numFmtId="0" fontId="143" fillId="70" borderId="60" applyNumberFormat="0" applyAlignment="0" applyProtection="0"/>
    <xf numFmtId="0" fontId="85"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0" fontId="85" fillId="0" borderId="63" applyNumberFormat="0" applyFill="0" applyAlignment="0" applyProtection="0"/>
    <xf numFmtId="0" fontId="163"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39" fillId="56" borderId="53"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5" fillId="0" borderId="63"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3" fillId="0" borderId="6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6" fillId="70" borderId="53" applyNumberFormat="0" applyAlignment="0" applyProtection="0"/>
    <xf numFmtId="0" fontId="163" fillId="0" borderId="63" applyNumberFormat="0" applyFill="0" applyAlignment="0" applyProtection="0"/>
    <xf numFmtId="0" fontId="163" fillId="0" borderId="63" applyNumberFormat="0" applyFill="0" applyAlignment="0" applyProtection="0"/>
    <xf numFmtId="0" fontId="116" fillId="70"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9" fillId="56"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0" fontId="116" fillId="70"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3"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9" fillId="56"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3" borderId="5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5" fillId="0" borderId="63" applyNumberFormat="0" applyFill="0" applyAlignment="0" applyProtection="0"/>
    <xf numFmtId="0" fontId="143" fillId="70" borderId="60" applyNumberFormat="0" applyAlignment="0" applyProtection="0"/>
    <xf numFmtId="0" fontId="143" fillId="70" borderId="60" applyNumberFormat="0" applyAlignment="0" applyProtection="0"/>
    <xf numFmtId="0" fontId="163" fillId="0" borderId="63" applyNumberFormat="0" applyFill="0" applyAlignment="0" applyProtection="0"/>
    <xf numFmtId="0" fontId="85" fillId="0" borderId="63" applyNumberFormat="0" applyFill="0" applyAlignment="0" applyProtection="0"/>
    <xf numFmtId="0" fontId="143" fillId="70" borderId="60" applyNumberFormat="0" applyAlignment="0" applyProtection="0"/>
    <xf numFmtId="0" fontId="139" fillId="56" borderId="53" applyNumberFormat="0" applyAlignment="0" applyProtection="0"/>
    <xf numFmtId="0" fontId="139" fillId="56" borderId="53" applyNumberFormat="0" applyAlignment="0" applyProtection="0"/>
    <xf numFmtId="0" fontId="116" fillId="70" borderId="53" applyNumberFormat="0" applyAlignment="0" applyProtection="0"/>
    <xf numFmtId="0" fontId="143" fillId="70" borderId="60" applyNumberFormat="0" applyAlignment="0" applyProtection="0"/>
    <xf numFmtId="0" fontId="139" fillId="56" borderId="53" applyNumberFormat="0" applyAlignment="0" applyProtection="0"/>
    <xf numFmtId="0" fontId="116" fillId="70" borderId="53" applyNumberFormat="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39" fontId="165" fillId="0" borderId="0"/>
    <xf numFmtId="40" fontId="59" fillId="0" borderId="0" applyFont="0" applyFill="0" applyBorder="0" applyAlignment="0" applyProtection="0"/>
    <xf numFmtId="8" fontId="59" fillId="0" borderId="0" applyFont="0" applyFill="0" applyBorder="0" applyAlignment="0" applyProtection="0"/>
    <xf numFmtId="9" fontId="59" fillId="0" borderId="0" applyFont="0" applyFill="0" applyBorder="0" applyAlignment="0" applyProtection="0"/>
    <xf numFmtId="0" fontId="166" fillId="0" borderId="0"/>
    <xf numFmtId="44" fontId="166" fillId="0" borderId="0" applyFont="0" applyFill="0" applyBorder="0" applyAlignment="0" applyProtection="0"/>
    <xf numFmtId="43" fontId="166"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91" fillId="0" borderId="0"/>
    <xf numFmtId="0" fontId="5" fillId="0" borderId="0"/>
    <xf numFmtId="10" fontId="1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6" fillId="0" borderId="0"/>
    <xf numFmtId="0" fontId="59"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91" fillId="0" borderId="0" applyFont="0" applyFill="0" applyBorder="0" applyAlignment="0" applyProtection="0"/>
    <xf numFmtId="44" fontId="91" fillId="0" borderId="0" applyFont="0" applyFill="0" applyBorder="0" applyAlignment="0" applyProtection="0"/>
    <xf numFmtId="44" fontId="9" fillId="0" borderId="0" applyFont="0" applyFill="0" applyBorder="0" applyAlignment="0" applyProtection="0"/>
    <xf numFmtId="0" fontId="91" fillId="0" borderId="0"/>
    <xf numFmtId="9" fontId="91"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6" fillId="0" borderId="0" applyFont="0" applyFill="0" applyBorder="0" applyAlignment="0" applyProtection="0"/>
    <xf numFmtId="9" fontId="166" fillId="0" borderId="0" applyFont="0" applyFill="0" applyBorder="0" applyAlignment="0" applyProtection="0"/>
    <xf numFmtId="43" fontId="5" fillId="0" borderId="0" applyFont="0" applyFill="0" applyBorder="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0" fontId="5" fillId="43" borderId="0" applyNumberFormat="0" applyBorder="0" applyAlignment="0" applyProtection="0"/>
    <xf numFmtId="0" fontId="5" fillId="43" borderId="0" applyNumberFormat="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24" borderId="0" applyNumberFormat="0" applyBorder="0" applyAlignment="0" applyProtection="0"/>
    <xf numFmtId="0" fontId="5" fillId="21" borderId="47" applyNumberFormat="0" applyFont="0" applyAlignment="0" applyProtection="0"/>
    <xf numFmtId="0" fontId="5" fillId="39" borderId="0" applyNumberFormat="0" applyBorder="0" applyAlignment="0" applyProtection="0"/>
    <xf numFmtId="0" fontId="5" fillId="0" borderId="0"/>
    <xf numFmtId="0" fontId="5" fillId="23" borderId="0" applyNumberFormat="0" applyBorder="0" applyAlignment="0" applyProtection="0"/>
    <xf numFmtId="0" fontId="5" fillId="32" borderId="0" applyNumberFormat="0" applyBorder="0" applyAlignment="0" applyProtection="0"/>
    <xf numFmtId="0" fontId="5" fillId="40" borderId="0" applyNumberFormat="0" applyBorder="0" applyAlignment="0" applyProtection="0"/>
    <xf numFmtId="0" fontId="5" fillId="27" borderId="0" applyNumberFormat="0" applyBorder="0" applyAlignment="0" applyProtection="0"/>
    <xf numFmtId="0" fontId="5" fillId="36" borderId="0" applyNumberFormat="0" applyBorder="0" applyAlignment="0" applyProtection="0"/>
    <xf numFmtId="0" fontId="5" fillId="28" borderId="0" applyNumberFormat="0" applyBorder="0" applyAlignment="0" applyProtection="0"/>
    <xf numFmtId="0" fontId="5" fillId="0" borderId="0"/>
    <xf numFmtId="0" fontId="5" fillId="0" borderId="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1" borderId="47" applyNumberFormat="0" applyFont="0" applyAlignment="0" applyProtection="0"/>
    <xf numFmtId="0" fontId="5" fillId="36" borderId="0" applyNumberFormat="0" applyBorder="0" applyAlignment="0" applyProtection="0"/>
    <xf numFmtId="43" fontId="5" fillId="0" borderId="0" applyFont="0" applyFill="0" applyBorder="0" applyAlignment="0" applyProtection="0"/>
    <xf numFmtId="0" fontId="5" fillId="44"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8"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2" borderId="0" applyNumberFormat="0" applyBorder="0" applyAlignment="0" applyProtection="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2"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4" borderId="0" applyNumberFormat="0" applyBorder="0" applyAlignment="0" applyProtection="0"/>
    <xf numFmtId="0" fontId="5" fillId="21" borderId="47" applyNumberFormat="0" applyFont="0" applyAlignment="0" applyProtection="0"/>
    <xf numFmtId="43" fontId="5" fillId="0" borderId="0" applyFont="0" applyFill="0" applyBorder="0" applyAlignment="0" applyProtection="0"/>
    <xf numFmtId="0" fontId="5" fillId="21" borderId="47"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5"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0" borderId="0"/>
    <xf numFmtId="0" fontId="5" fillId="36" borderId="0" applyNumberFormat="0" applyBorder="0" applyAlignment="0" applyProtection="0"/>
    <xf numFmtId="0" fontId="5" fillId="43" borderId="0" applyNumberFormat="0" applyBorder="0" applyAlignment="0" applyProtection="0"/>
    <xf numFmtId="0" fontId="5" fillId="39" borderId="0" applyNumberFormat="0" applyBorder="0" applyAlignment="0" applyProtection="0"/>
    <xf numFmtId="0" fontId="5" fillId="0" borderId="0"/>
    <xf numFmtId="0" fontId="5" fillId="43"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28"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1" borderId="0" applyNumberFormat="0" applyBorder="0" applyAlignment="0" applyProtection="0"/>
    <xf numFmtId="0" fontId="5" fillId="0" borderId="0"/>
    <xf numFmtId="0" fontId="5" fillId="43"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21" borderId="47" applyNumberFormat="0" applyFont="0" applyAlignment="0" applyProtection="0"/>
    <xf numFmtId="43" fontId="5"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1"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21" borderId="47" applyNumberFormat="0" applyFont="0" applyAlignment="0" applyProtection="0"/>
    <xf numFmtId="0" fontId="5" fillId="32" borderId="0" applyNumberFormat="0" applyBorder="0" applyAlignment="0" applyProtection="0"/>
    <xf numFmtId="0" fontId="5" fillId="4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9" fontId="5" fillId="0" borderId="0" applyFont="0" applyFill="0" applyBorder="0" applyAlignment="0" applyProtection="0"/>
    <xf numFmtId="0" fontId="5" fillId="21" borderId="47" applyNumberFormat="0" applyFont="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0" borderId="0"/>
    <xf numFmtId="43" fontId="5" fillId="0" borderId="0" applyFont="0" applyFill="0" applyBorder="0" applyAlignment="0" applyProtection="0"/>
    <xf numFmtId="0" fontId="5" fillId="44"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24" borderId="0" applyNumberFormat="0" applyBorder="0" applyAlignment="0" applyProtection="0"/>
    <xf numFmtId="0" fontId="5" fillId="0" borderId="0"/>
    <xf numFmtId="0" fontId="5"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0" fontId="5" fillId="0" borderId="0"/>
    <xf numFmtId="0" fontId="5" fillId="28" borderId="0" applyNumberFormat="0" applyBorder="0" applyAlignment="0" applyProtection="0"/>
    <xf numFmtId="0" fontId="5" fillId="44"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0" borderId="0"/>
    <xf numFmtId="0" fontId="5" fillId="40"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21" borderId="47" applyNumberFormat="0" applyFont="0" applyAlignment="0" applyProtection="0"/>
    <xf numFmtId="0" fontId="5" fillId="39" borderId="0" applyNumberFormat="0" applyBorder="0" applyAlignment="0" applyProtection="0"/>
    <xf numFmtId="0" fontId="5" fillId="2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0" borderId="0"/>
    <xf numFmtId="0" fontId="5" fillId="4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4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1" borderId="47" applyNumberFormat="0" applyFont="0" applyAlignment="0" applyProtection="0"/>
    <xf numFmtId="0" fontId="2" fillId="39" borderId="0" applyNumberFormat="0" applyBorder="0" applyAlignment="0" applyProtection="0"/>
    <xf numFmtId="0" fontId="2" fillId="0" borderId="0"/>
    <xf numFmtId="0" fontId="2" fillId="23"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0" borderId="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1" borderId="47" applyNumberFormat="0" applyFont="0" applyAlignment="0" applyProtection="0"/>
    <xf numFmtId="0" fontId="2" fillId="36" borderId="0" applyNumberFormat="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2"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4" borderId="0" applyNumberFormat="0" applyBorder="0" applyAlignment="0" applyProtection="0"/>
    <xf numFmtId="0" fontId="2" fillId="21" borderId="47" applyNumberFormat="0" applyFont="0" applyAlignment="0" applyProtection="0"/>
    <xf numFmtId="43" fontId="2" fillId="0" borderId="0" applyFont="0" applyFill="0" applyBorder="0" applyAlignment="0" applyProtection="0"/>
    <xf numFmtId="0" fontId="2" fillId="21" borderId="47" applyNumberFormat="0" applyFont="0" applyAlignment="0" applyProtection="0"/>
    <xf numFmtId="0" fontId="2" fillId="31"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5" borderId="0" applyNumberFormat="0" applyBorder="0" applyAlignment="0" applyProtection="0"/>
    <xf numFmtId="0" fontId="2" fillId="44"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0" borderId="0"/>
    <xf numFmtId="0" fontId="2" fillId="36"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0" borderId="0"/>
    <xf numFmtId="0" fontId="2" fillId="43"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9"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0" borderId="0"/>
    <xf numFmtId="0" fontId="2" fillId="43"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1" borderId="47" applyNumberFormat="0" applyFont="0" applyAlignment="0" applyProtection="0"/>
    <xf numFmtId="43" fontId="2" fillId="0" borderId="0" applyFont="0" applyFill="0" applyBorder="0" applyAlignment="0" applyProtection="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1" borderId="47" applyNumberFormat="0" applyFont="0" applyAlignment="0" applyProtection="0"/>
    <xf numFmtId="0" fontId="2" fillId="32"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44"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9" fontId="2" fillId="0" borderId="0" applyFont="0" applyFill="0" applyBorder="0" applyAlignment="0" applyProtection="0"/>
    <xf numFmtId="0" fontId="2" fillId="21" borderId="47" applyNumberFormat="0" applyFont="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0" borderId="0"/>
    <xf numFmtId="43" fontId="2" fillId="0" borderId="0" applyFont="0" applyFill="0" applyBorder="0" applyAlignment="0" applyProtection="0"/>
    <xf numFmtId="0" fontId="2" fillId="44" borderId="0" applyNumberFormat="0" applyBorder="0" applyAlignment="0" applyProtection="0"/>
    <xf numFmtId="43" fontId="2" fillId="0" borderId="0" applyFont="0" applyFill="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0" borderId="0"/>
    <xf numFmtId="0" fontId="2" fillId="3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28"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40" borderId="0" applyNumberFormat="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0" borderId="0"/>
    <xf numFmtId="0" fontId="2" fillId="4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21" borderId="47" applyNumberFormat="0" applyFont="0" applyAlignment="0" applyProtection="0"/>
    <xf numFmtId="0" fontId="2" fillId="39"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0" borderId="0"/>
    <xf numFmtId="0" fontId="2" fillId="4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1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0" fontId="0" fillId="0" borderId="0" xfId="0" quotePrefix="1" applyAlignment="1">
      <alignment horizontal="center"/>
    </xf>
    <xf numFmtId="3" fontId="0" fillId="0" borderId="0" xfId="0" applyNumberFormat="1"/>
    <xf numFmtId="3" fontId="0" fillId="0" borderId="2" xfId="0" applyNumberFormat="1" applyBorder="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0" fillId="0" borderId="0" xfId="0" quotePrefix="1"/>
    <xf numFmtId="3" fontId="34" fillId="0" borderId="0" xfId="0" applyNumberFormat="1" applyFont="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5" fillId="0" borderId="0" xfId="1"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0" fillId="0" borderId="0" xfId="0" applyFont="1" applyAlignment="1"/>
    <xf numFmtId="0" fontId="10" fillId="0" borderId="0" xfId="0" applyFont="1" applyAlignment="1">
      <alignment horizontal="right"/>
    </xf>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4" fontId="0" fillId="0" borderId="0" xfId="0" applyNumberFormat="1"/>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4" fontId="42" fillId="0" borderId="0" xfId="0" applyNumberFormat="1" applyFont="1"/>
    <xf numFmtId="4" fontId="42" fillId="0" borderId="0" xfId="0" applyNumberFormat="1" applyFont="1" applyFill="1"/>
    <xf numFmtId="169" fontId="0" fillId="0" borderId="0" xfId="0" applyNumberFormat="1" applyFill="1"/>
    <xf numFmtId="10" fontId="0" fillId="0" borderId="0" xfId="0" applyNumberFormat="1" applyFill="1"/>
    <xf numFmtId="0" fontId="0" fillId="0" borderId="4" xfId="0" applyFill="1" applyBorder="1" applyAlignment="1">
      <alignment horizontal="right"/>
    </xf>
    <xf numFmtId="169" fontId="0" fillId="0" borderId="2" xfId="0" applyNumberFormat="1" applyFill="1" applyBorder="1"/>
    <xf numFmtId="0" fontId="0" fillId="0" borderId="2" xfId="0" applyFill="1" applyBorder="1"/>
    <xf numFmtId="0" fontId="0" fillId="0" borderId="2" xfId="0" applyFill="1" applyBorder="1" applyAlignment="1">
      <alignment horizontal="right"/>
    </xf>
    <xf numFmtId="169" fontId="0" fillId="0" borderId="5" xfId="0" applyNumberFormat="1" applyFill="1" applyBorder="1"/>
    <xf numFmtId="0" fontId="0" fillId="0" borderId="8" xfId="0" applyFill="1" applyBorder="1" applyAlignment="1">
      <alignment horizontal="right"/>
    </xf>
    <xf numFmtId="169" fontId="0" fillId="0" borderId="0" xfId="0" applyNumberFormat="1" applyFill="1" applyBorder="1"/>
    <xf numFmtId="0" fontId="0" fillId="0" borderId="0" xfId="0" applyFill="1" applyBorder="1"/>
    <xf numFmtId="0" fontId="0" fillId="0" borderId="0" xfId="0" applyFill="1" applyBorder="1" applyAlignment="1">
      <alignment horizontal="right"/>
    </xf>
    <xf numFmtId="169" fontId="0" fillId="0" borderId="9" xfId="0" applyNumberFormat="1" applyFill="1" applyBorder="1"/>
    <xf numFmtId="0" fontId="0" fillId="0" borderId="6" xfId="0" applyFill="1" applyBorder="1" applyAlignment="1">
      <alignment horizontal="right"/>
    </xf>
    <xf numFmtId="169" fontId="0" fillId="0" borderId="1" xfId="0" applyNumberFormat="1" applyFill="1" applyBorder="1"/>
    <xf numFmtId="0" fontId="0" fillId="0" borderId="1" xfId="0" applyFill="1" applyBorder="1" applyAlignment="1">
      <alignment horizontal="right"/>
    </xf>
    <xf numFmtId="169" fontId="0" fillId="0" borderId="7" xfId="0" applyNumberFormat="1" applyFill="1" applyBorder="1"/>
    <xf numFmtId="10" fontId="42" fillId="0" borderId="0" xfId="0" applyNumberFormat="1" applyFont="1" applyFill="1"/>
    <xf numFmtId="10" fontId="23" fillId="0" borderId="2" xfId="0" applyNumberFormat="1" applyFont="1" applyFill="1" applyBorder="1"/>
    <xf numFmtId="10" fontId="0" fillId="0" borderId="2" xfId="0" applyNumberFormat="1" applyFill="1" applyBorder="1"/>
    <xf numFmtId="0" fontId="32" fillId="0" borderId="0" xfId="0" applyFont="1" applyFill="1" applyAlignment="1">
      <alignment horizontal="right"/>
    </xf>
    <xf numFmtId="10" fontId="9" fillId="0" borderId="0" xfId="0" applyNumberFormat="1" applyFont="1" applyFill="1"/>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0" fontId="47" fillId="0" borderId="0" xfId="0" applyFont="1" applyAlignment="1">
      <alignment horizontal="left" indent="1"/>
    </xf>
    <xf numFmtId="5" fontId="42" fillId="0" borderId="0" xfId="0" applyNumberFormat="1" applyFont="1" applyFill="1" applyBorder="1"/>
    <xf numFmtId="169" fontId="23" fillId="0" borderId="0" xfId="0" applyNumberFormat="1" applyFont="1" applyFill="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164" fontId="0" fillId="0" borderId="0" xfId="0" applyNumberFormat="1" applyFill="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42" fillId="0" borderId="0" xfId="0" applyNumberFormat="1" applyFont="1"/>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37" fontId="57" fillId="0" borderId="0" xfId="1" applyNumberFormat="1" applyFont="1" applyFill="1"/>
    <xf numFmtId="169" fontId="42" fillId="9" borderId="0" xfId="0" applyNumberFormat="1" applyFont="1" applyFill="1"/>
    <xf numFmtId="0" fontId="42" fillId="9" borderId="0" xfId="0" applyFont="1" applyFill="1"/>
    <xf numFmtId="0" fontId="58" fillId="0" borderId="0" xfId="0" applyFont="1" applyAlignment="1">
      <alignment horizontal="left"/>
    </xf>
    <xf numFmtId="171" fontId="48" fillId="0" borderId="0" xfId="0" applyNumberFormat="1" applyFont="1" applyBorder="1"/>
    <xf numFmtId="0" fontId="0" fillId="0" borderId="0" xfId="0"/>
    <xf numFmtId="0" fontId="0" fillId="0" borderId="0" xfId="0"/>
    <xf numFmtId="0" fontId="0" fillId="0" borderId="0" xfId="0"/>
    <xf numFmtId="0" fontId="0" fillId="0" borderId="0" xfId="0" applyFill="1" applyAlignment="1">
      <alignment horizontal="center"/>
    </xf>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192" fontId="23" fillId="0" borderId="0" xfId="0" applyNumberFormat="1" applyFont="1" applyAlignment="1">
      <alignment horizontal="center"/>
    </xf>
    <xf numFmtId="0" fontId="9" fillId="0" borderId="0" xfId="0" applyFont="1" applyAlignment="1">
      <alignment wrapText="1"/>
    </xf>
    <xf numFmtId="0" fontId="9" fillId="0" borderId="0" xfId="0" applyFont="1" applyAlignment="1"/>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5" fontId="32" fillId="0" borderId="0" xfId="4" applyNumberFormat="1" applyFont="1" applyBorder="1" applyAlignment="1">
      <alignment horizontal="center"/>
    </xf>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1" fillId="8" borderId="0" xfId="1" applyNumberFormat="1" applyFont="1" applyFill="1"/>
    <xf numFmtId="164" fontId="17" fillId="8" borderId="0" xfId="1" applyNumberFormat="1" applyFont="1" applyFill="1" applyBorder="1"/>
    <xf numFmtId="193" fontId="9" fillId="0" borderId="0" xfId="2" applyNumberFormat="1" applyFont="1"/>
    <xf numFmtId="169" fontId="9" fillId="0" borderId="0" xfId="0" applyNumberFormat="1" applyFont="1"/>
    <xf numFmtId="169" fontId="55" fillId="0" borderId="0" xfId="2" applyNumberFormat="1" applyFont="1"/>
    <xf numFmtId="194"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0" xfId="0" applyNumberFormat="1" applyAlignment="1">
      <alignment horizontal="right"/>
    </xf>
    <xf numFmtId="164" fontId="0" fillId="0" borderId="0" xfId="11" applyNumberFormat="1" applyFont="1"/>
    <xf numFmtId="164" fontId="0" fillId="10" borderId="0" xfId="11" applyNumberFormat="1" applyFont="1" applyFill="1"/>
    <xf numFmtId="164" fontId="0" fillId="0" borderId="2" xfId="11" applyNumberFormat="1" applyFont="1" applyBorder="1"/>
    <xf numFmtId="164" fontId="0" fillId="0" borderId="0" xfId="11" applyNumberFormat="1" applyFont="1" applyFill="1"/>
    <xf numFmtId="171" fontId="0" fillId="0" borderId="0" xfId="12" applyNumberFormat="1" applyFont="1"/>
    <xf numFmtId="44" fontId="0" fillId="0" borderId="0" xfId="13" applyFont="1"/>
    <xf numFmtId="164" fontId="0" fillId="0" borderId="0" xfId="1" applyNumberFormat="1" applyFont="1"/>
    <xf numFmtId="164" fontId="0" fillId="0" borderId="1" xfId="1" applyNumberFormat="1" applyFont="1" applyBorder="1"/>
    <xf numFmtId="44" fontId="0" fillId="0" borderId="0" xfId="13" applyFont="1" applyFill="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34" fillId="0" borderId="0" xfId="1" applyNumberFormat="1" applyFont="1" applyFill="1"/>
    <xf numFmtId="164" fontId="34" fillId="0" borderId="0" xfId="1" applyNumberFormat="1" applyFont="1" applyFill="1"/>
    <xf numFmtId="164" fontId="9" fillId="2" borderId="0" xfId="1" applyNumberFormat="1" applyFont="1" applyFill="1"/>
    <xf numFmtId="164" fontId="9" fillId="12" borderId="0" xfId="1" applyNumberFormat="1" applyFont="1" applyFill="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60" fillId="0" borderId="0" xfId="1" applyNumberFormat="1" applyFont="1" applyFill="1" applyBorder="1"/>
    <xf numFmtId="164" fontId="61" fillId="0" borderId="0" xfId="1" applyNumberFormat="1" applyFont="1" applyFill="1"/>
    <xf numFmtId="164" fontId="61" fillId="0" borderId="0" xfId="1" applyNumberFormat="1" applyFont="1" applyFill="1" applyBorder="1"/>
    <xf numFmtId="164" fontId="20" fillId="0" borderId="0" xfId="1" applyNumberFormat="1" applyFont="1" applyFill="1" applyBorder="1"/>
    <xf numFmtId="164" fontId="62"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44" fontId="0" fillId="0" borderId="0" xfId="2" applyFont="1"/>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29" fillId="0" borderId="13" xfId="23" applyFont="1" applyBorder="1" applyAlignment="1">
      <alignment horizontal="centerContinuous" vertical="center"/>
    </xf>
    <xf numFmtId="0" fontId="63" fillId="0" borderId="14" xfId="23" applyFont="1" applyBorder="1" applyAlignment="1">
      <alignment horizontal="centerContinuous" vertical="center"/>
    </xf>
    <xf numFmtId="0" fontId="63" fillId="0" borderId="15" xfId="23" applyFont="1" applyBorder="1" applyAlignment="1">
      <alignment horizontal="centerContinuous" vertical="center"/>
    </xf>
    <xf numFmtId="0" fontId="63" fillId="0" borderId="16" xfId="23" applyBorder="1"/>
    <xf numFmtId="0" fontId="63" fillId="0" borderId="17" xfId="23" applyBorder="1" applyAlignment="1">
      <alignment horizontal="center"/>
    </xf>
    <xf numFmtId="0" fontId="63" fillId="0" borderId="18" xfId="23" applyBorder="1" applyAlignment="1">
      <alignment horizontal="center"/>
    </xf>
    <xf numFmtId="0" fontId="63" fillId="0" borderId="19" xfId="23" applyBorder="1" applyAlignment="1">
      <alignment horizontal="center"/>
    </xf>
    <xf numFmtId="0" fontId="63" fillId="0" borderId="20" xfId="23" applyBorder="1" applyAlignment="1">
      <alignment vertical="top"/>
    </xf>
    <xf numFmtId="0" fontId="63" fillId="0" borderId="21" xfId="23" applyBorder="1" applyAlignment="1">
      <alignment horizontal="center" vertical="top"/>
    </xf>
    <xf numFmtId="0" fontId="63" fillId="0" borderId="22" xfId="23" applyBorder="1" applyAlignment="1">
      <alignment horizontal="center" vertical="top"/>
    </xf>
    <xf numFmtId="0" fontId="63" fillId="0" borderId="23" xfId="23" applyBorder="1" applyAlignment="1">
      <alignment horizontal="center" vertical="top"/>
    </xf>
    <xf numFmtId="0" fontId="63" fillId="0" borderId="24" xfId="23" applyBorder="1"/>
    <xf numFmtId="186" fontId="70" fillId="0" borderId="25" xfId="23" applyNumberFormat="1" applyFont="1" applyFill="1" applyBorder="1" applyProtection="1"/>
    <xf numFmtId="196" fontId="70" fillId="0" borderId="26" xfId="23" applyNumberFormat="1" applyFont="1" applyFill="1" applyBorder="1" applyProtection="1"/>
    <xf numFmtId="186" fontId="63" fillId="0" borderId="27" xfId="23" applyNumberFormat="1" applyBorder="1" applyProtection="1"/>
    <xf numFmtId="0" fontId="63" fillId="0" borderId="24" xfId="23" applyBorder="1" applyAlignment="1">
      <alignment vertical="top"/>
    </xf>
    <xf numFmtId="186" fontId="70" fillId="0" borderId="25" xfId="23" applyNumberFormat="1" applyFont="1" applyFill="1" applyBorder="1" applyAlignment="1" applyProtection="1">
      <alignment vertical="top"/>
    </xf>
    <xf numFmtId="196" fontId="70" fillId="0" borderId="26" xfId="23" applyNumberFormat="1" applyFont="1" applyFill="1" applyBorder="1" applyAlignment="1" applyProtection="1">
      <alignment vertical="top"/>
    </xf>
    <xf numFmtId="0" fontId="63" fillId="0" borderId="28" xfId="23" applyBorder="1" applyAlignment="1">
      <alignment vertical="center"/>
    </xf>
    <xf numFmtId="10" fontId="63" fillId="0" borderId="29" xfId="23" applyNumberFormat="1" applyBorder="1" applyAlignment="1" applyProtection="1">
      <alignment vertical="center"/>
    </xf>
    <xf numFmtId="186" fontId="63" fillId="0" borderId="30" xfId="23" applyNumberFormat="1" applyBorder="1" applyAlignment="1" applyProtection="1">
      <alignment vertical="center"/>
    </xf>
    <xf numFmtId="186" fontId="63" fillId="0" borderId="31" xfId="23" applyNumberFormat="1" applyBorder="1" applyAlignment="1" applyProtection="1">
      <alignment vertical="center"/>
    </xf>
    <xf numFmtId="0" fontId="63" fillId="0" borderId="0" xfId="23" applyAlignment="1">
      <alignment vertical="center"/>
    </xf>
    <xf numFmtId="186" fontId="63" fillId="0" borderId="0" xfId="23" applyNumberFormat="1" applyAlignment="1" applyProtection="1">
      <alignment vertical="center"/>
    </xf>
    <xf numFmtId="0" fontId="63" fillId="0" borderId="0" xfId="23"/>
    <xf numFmtId="0" fontId="63" fillId="0" borderId="27" xfId="23" applyBorder="1"/>
    <xf numFmtId="195" fontId="70" fillId="0" borderId="27" xfId="23" applyNumberFormat="1" applyFont="1" applyFill="1" applyBorder="1" applyAlignment="1">
      <alignment horizontal="right"/>
    </xf>
    <xf numFmtId="0" fontId="63" fillId="0" borderId="0" xfId="23" applyAlignment="1">
      <alignment horizontal="center"/>
    </xf>
    <xf numFmtId="0" fontId="63" fillId="0" borderId="0" xfId="23" applyFill="1" applyAlignment="1">
      <alignment horizontal="right"/>
    </xf>
    <xf numFmtId="0" fontId="63" fillId="0" borderId="0" xfId="23" applyFill="1"/>
    <xf numFmtId="0" fontId="63" fillId="0" borderId="0" xfId="23" applyAlignment="1">
      <alignment vertical="top"/>
    </xf>
    <xf numFmtId="0" fontId="63" fillId="0" borderId="0" xfId="23" applyFill="1" applyAlignment="1">
      <alignment horizontal="right" vertical="top"/>
    </xf>
    <xf numFmtId="186" fontId="63" fillId="0" borderId="27" xfId="23" applyNumberFormat="1" applyBorder="1" applyAlignment="1" applyProtection="1">
      <alignment vertical="top"/>
    </xf>
    <xf numFmtId="0" fontId="63" fillId="0" borderId="32" xfId="23" applyBorder="1" applyAlignment="1">
      <alignment vertical="center"/>
    </xf>
    <xf numFmtId="0" fontId="9" fillId="0" borderId="33" xfId="23" applyFont="1" applyBorder="1"/>
    <xf numFmtId="0" fontId="9" fillId="0" borderId="34" xfId="23" applyFont="1" applyBorder="1"/>
    <xf numFmtId="0" fontId="9" fillId="0" borderId="34" xfId="23" applyFont="1" applyBorder="1" applyAlignment="1">
      <alignment horizontal="center"/>
    </xf>
    <xf numFmtId="0" fontId="9" fillId="0" borderId="35" xfId="23" applyFont="1" applyBorder="1" applyAlignment="1">
      <alignment horizontal="center"/>
    </xf>
    <xf numFmtId="0" fontId="9" fillId="0" borderId="25" xfId="23" applyFont="1" applyBorder="1" applyAlignment="1">
      <alignment horizontal="center"/>
    </xf>
    <xf numFmtId="0" fontId="9" fillId="0" borderId="36" xfId="23" applyFont="1" applyBorder="1" applyAlignment="1">
      <alignment horizontal="center"/>
    </xf>
    <xf numFmtId="0" fontId="9" fillId="0" borderId="37" xfId="23" applyFont="1" applyBorder="1" applyAlignment="1">
      <alignment horizontal="center"/>
    </xf>
    <xf numFmtId="0" fontId="9" fillId="0" borderId="38" xfId="23" applyFont="1" applyBorder="1" applyAlignment="1">
      <alignment horizontal="center"/>
    </xf>
    <xf numFmtId="5" fontId="55" fillId="0" borderId="39" xfId="23" applyNumberFormat="1" applyFont="1" applyFill="1" applyBorder="1" applyProtection="1"/>
    <xf numFmtId="10" fontId="9" fillId="0" borderId="39" xfId="23" applyNumberFormat="1" applyFont="1" applyBorder="1" applyProtection="1"/>
    <xf numFmtId="0" fontId="9" fillId="0" borderId="0" xfId="23" applyFont="1" applyFill="1" applyBorder="1" applyAlignment="1">
      <alignment horizontal="center"/>
    </xf>
    <xf numFmtId="186" fontId="29" fillId="0" borderId="0" xfId="0" applyNumberFormat="1" applyFont="1"/>
    <xf numFmtId="0" fontId="0" fillId="0" borderId="0" xfId="0"/>
    <xf numFmtId="0" fontId="0" fillId="0" borderId="0" xfId="0"/>
    <xf numFmtId="171" fontId="23" fillId="0" borderId="51" xfId="3" applyNumberFormat="1" applyFont="1" applyBorder="1"/>
    <xf numFmtId="7" fontId="23" fillId="0" borderId="50" xfId="85" applyNumberFormat="1" applyFont="1" applyBorder="1"/>
    <xf numFmtId="7" fontId="9" fillId="0" borderId="0" xfId="2" applyNumberFormat="1" applyFont="1"/>
    <xf numFmtId="7" fontId="88" fillId="0" borderId="0" xfId="2" applyNumberFormat="1" applyFont="1"/>
    <xf numFmtId="7" fontId="9" fillId="0" borderId="50" xfId="2" applyNumberFormat="1" applyFont="1" applyBorder="1"/>
    <xf numFmtId="7" fontId="9" fillId="0" borderId="50" xfId="85" applyNumberFormat="1" applyBorder="1"/>
    <xf numFmtId="0" fontId="9" fillId="0" borderId="0" xfId="85"/>
    <xf numFmtId="0" fontId="23" fillId="0" borderId="0" xfId="85" applyFont="1"/>
    <xf numFmtId="7" fontId="23" fillId="0" borderId="0" xfId="85" applyNumberFormat="1" applyFont="1"/>
    <xf numFmtId="7" fontId="9" fillId="0" borderId="0" xfId="85" applyNumberFormat="1"/>
    <xf numFmtId="44" fontId="9" fillId="0" borderId="0" xfId="2" applyFont="1"/>
    <xf numFmtId="193" fontId="9" fillId="0" borderId="0" xfId="2" applyNumberFormat="1" applyFont="1"/>
    <xf numFmtId="44" fontId="9" fillId="0" borderId="50" xfId="2" applyFont="1" applyBorder="1"/>
    <xf numFmtId="193" fontId="88" fillId="0" borderId="0" xfId="2" applyNumberFormat="1" applyFont="1"/>
    <xf numFmtId="171" fontId="23" fillId="0" borderId="0" xfId="3" applyNumberFormat="1" applyFont="1"/>
    <xf numFmtId="0" fontId="9" fillId="0" borderId="50" xfId="85" applyBorder="1"/>
    <xf numFmtId="0" fontId="90" fillId="0" borderId="0" xfId="85"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0" fontId="0" fillId="0" borderId="0" xfId="0"/>
    <xf numFmtId="170" fontId="57" fillId="0" borderId="0" xfId="0" applyNumberFormat="1" applyFont="1"/>
    <xf numFmtId="37" fontId="94"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9" fillId="47" borderId="0" xfId="1" applyNumberFormat="1" applyFill="1"/>
    <xf numFmtId="164" fontId="0" fillId="47"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3"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15" applyNumberFormat="1" applyFont="1"/>
    <xf numFmtId="3" fontId="34" fillId="0" borderId="0" xfId="85" applyNumberFormat="1" applyFont="1" applyFill="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164" fontId="34" fillId="0" borderId="0" xfId="4511" applyNumberFormat="1" applyFont="1" applyFill="1"/>
    <xf numFmtId="164" fontId="34" fillId="0" borderId="0" xfId="4511" applyNumberFormat="1" applyFont="1"/>
    <xf numFmtId="164" fontId="41" fillId="12" borderId="0" xfId="4511" applyNumberFormat="1" applyFont="1" applyFill="1"/>
    <xf numFmtId="164" fontId="41" fillId="2"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55" fillId="0" borderId="67" xfId="0" applyFont="1" applyBorder="1"/>
    <xf numFmtId="0" fontId="9" fillId="0" borderId="16" xfId="23" applyFont="1" applyBorder="1" applyAlignment="1">
      <alignment horizontal="center"/>
    </xf>
    <xf numFmtId="0" fontId="0" fillId="0" borderId="3" xfId="0" applyBorder="1"/>
    <xf numFmtId="0" fontId="0" fillId="0" borderId="66" xfId="0" applyBorder="1"/>
    <xf numFmtId="0" fontId="9" fillId="0" borderId="65" xfId="23" applyFont="1" applyFill="1" applyBorder="1" applyAlignment="1">
      <alignment horizontal="left"/>
    </xf>
    <xf numFmtId="0" fontId="9" fillId="0" borderId="66" xfId="23" applyFont="1" applyFill="1" applyBorder="1" applyAlignment="1">
      <alignment horizontal="center"/>
    </xf>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86" fontId="23" fillId="0" borderId="64" xfId="3" applyNumberFormat="1" applyFont="1" applyBorder="1"/>
    <xf numFmtId="0" fontId="9" fillId="0" borderId="36" xfId="23" applyFont="1" applyFill="1" applyBorder="1" applyAlignment="1">
      <alignment horizontal="left"/>
    </xf>
    <xf numFmtId="174" fontId="55" fillId="0" borderId="0" xfId="85" applyNumberFormat="1" applyFont="1" applyFill="1"/>
    <xf numFmtId="164" fontId="55" fillId="0" borderId="0" xfId="1" applyNumberFormat="1" applyFont="1" applyAlignment="1">
      <alignment horizontal="center"/>
    </xf>
    <xf numFmtId="0" fontId="9" fillId="0" borderId="0" xfId="23" applyFont="1" applyFill="1" applyBorder="1" applyAlignment="1">
      <alignment horizontal="center"/>
    </xf>
    <xf numFmtId="186" fontId="29" fillId="0" borderId="31" xfId="23" applyNumberFormat="1" applyFont="1" applyBorder="1" applyAlignment="1" applyProtection="1">
      <alignment vertical="center"/>
    </xf>
    <xf numFmtId="0" fontId="0" fillId="0" borderId="0" xfId="0"/>
    <xf numFmtId="193"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3" fontId="23" fillId="0" borderId="0" xfId="2" applyNumberFormat="1" applyFont="1" applyFill="1"/>
    <xf numFmtId="0" fontId="29" fillId="0" borderId="13" xfId="23" applyFont="1" applyBorder="1" applyAlignment="1">
      <alignment horizontal="centerContinuous" vertical="center"/>
    </xf>
    <xf numFmtId="0" fontId="63" fillId="0" borderId="14" xfId="23" applyFont="1" applyBorder="1" applyAlignment="1">
      <alignment horizontal="centerContinuous" vertical="center"/>
    </xf>
    <xf numFmtId="0" fontId="63" fillId="0" borderId="15" xfId="23" applyFont="1" applyBorder="1" applyAlignment="1">
      <alignment horizontal="centerContinuous" vertical="center"/>
    </xf>
    <xf numFmtId="186" fontId="29" fillId="0" borderId="31" xfId="23" applyNumberFormat="1" applyFont="1" applyBorder="1" applyAlignment="1" applyProtection="1">
      <alignment vertical="center"/>
    </xf>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186" fontId="9" fillId="0" borderId="17" xfId="23" applyNumberFormat="1" applyFont="1" applyBorder="1" applyProtection="1"/>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0" fillId="0" borderId="0" xfId="0"/>
    <xf numFmtId="0" fontId="167" fillId="0" borderId="0" xfId="0" applyFont="1"/>
    <xf numFmtId="164" fontId="35" fillId="0" borderId="0" xfId="1" applyNumberFormat="1" applyFont="1" applyFill="1"/>
    <xf numFmtId="44" fontId="23" fillId="0" borderId="0" xfId="0" applyNumberFormat="1" applyFont="1"/>
    <xf numFmtId="0" fontId="0" fillId="0" borderId="0" xfId="0"/>
    <xf numFmtId="174" fontId="55" fillId="0" borderId="0" xfId="0" applyNumberFormat="1" applyFont="1" applyFill="1"/>
    <xf numFmtId="0" fontId="167" fillId="0" borderId="0" xfId="0" applyFont="1" applyAlignment="1">
      <alignment horizontal="right"/>
    </xf>
    <xf numFmtId="0" fontId="168" fillId="0" borderId="0" xfId="0" applyFont="1" applyAlignment="1">
      <alignment horizontal="center"/>
    </xf>
    <xf numFmtId="174" fontId="88" fillId="0" borderId="0" xfId="85" applyNumberFormat="1" applyFont="1" applyFill="1"/>
    <xf numFmtId="193"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3" fontId="55" fillId="0" borderId="0" xfId="2" applyNumberFormat="1" applyFont="1"/>
    <xf numFmtId="5" fontId="55" fillId="0" borderId="17" xfId="23" applyNumberFormat="1" applyFont="1" applyFill="1" applyBorder="1" applyProtection="1"/>
    <xf numFmtId="0" fontId="55" fillId="0" borderId="67" xfId="0" applyFont="1" applyFill="1" applyBorder="1"/>
    <xf numFmtId="0" fontId="32" fillId="0" borderId="0" xfId="0" applyFont="1" applyFill="1"/>
    <xf numFmtId="0" fontId="9" fillId="0" borderId="0" xfId="85" applyFill="1"/>
    <xf numFmtId="0" fontId="32" fillId="0" borderId="0" xfId="85" applyFont="1" applyFill="1"/>
    <xf numFmtId="0" fontId="9" fillId="0" borderId="0" xfId="23" applyFont="1" applyFill="1" applyBorder="1" applyAlignment="1">
      <alignment horizontal="left"/>
    </xf>
    <xf numFmtId="0" fontId="9" fillId="0" borderId="49" xfId="85" applyFill="1" applyBorder="1"/>
    <xf numFmtId="0" fontId="0" fillId="0" borderId="0" xfId="0"/>
    <xf numFmtId="168" fontId="167" fillId="0" borderId="0" xfId="0" applyNumberFormat="1" applyFont="1"/>
    <xf numFmtId="174" fontId="169" fillId="0" borderId="0" xfId="0" applyNumberFormat="1" applyFont="1" applyFill="1"/>
    <xf numFmtId="174" fontId="167" fillId="0" borderId="0" xfId="0" applyNumberFormat="1" applyFont="1" applyFill="1"/>
    <xf numFmtId="0" fontId="58" fillId="0" borderId="0" xfId="4" applyFont="1" applyFill="1" applyProtection="1">
      <protection hidden="1"/>
    </xf>
    <xf numFmtId="0" fontId="58" fillId="0" borderId="0" xfId="0" applyFont="1"/>
    <xf numFmtId="169" fontId="0" fillId="0" borderId="0" xfId="2" applyNumberFormat="1" applyFont="1" applyBorder="1"/>
    <xf numFmtId="10" fontId="23" fillId="0" borderId="0" xfId="3" applyNumberFormat="1" applyFont="1"/>
    <xf numFmtId="164" fontId="0" fillId="0" borderId="0" xfId="1" applyNumberFormat="1" applyFont="1" applyAlignment="1">
      <alignment horizontal="right"/>
    </xf>
    <xf numFmtId="164" fontId="0" fillId="0" borderId="0" xfId="1" quotePrefix="1" applyNumberFormat="1" applyFont="1"/>
    <xf numFmtId="44" fontId="0" fillId="0" borderId="0" xfId="0" applyNumberFormat="1"/>
    <xf numFmtId="0" fontId="0" fillId="0" borderId="0" xfId="0"/>
    <xf numFmtId="0" fontId="0" fillId="0" borderId="0" xfId="0"/>
    <xf numFmtId="174" fontId="88" fillId="0" borderId="0" xfId="0" applyNumberFormat="1" applyFont="1" applyFill="1"/>
    <xf numFmtId="164" fontId="34" fillId="78" borderId="0" xfId="15" applyNumberFormat="1" applyFont="1" applyFill="1"/>
    <xf numFmtId="164" fontId="34" fillId="78" borderId="0" xfId="4511" applyNumberFormat="1" applyFont="1" applyFill="1"/>
    <xf numFmtId="164" fontId="41" fillId="12" borderId="0" xfId="15" applyNumberFormat="1" applyFont="1" applyFill="1"/>
    <xf numFmtId="164" fontId="41" fillId="2" borderId="0" xfId="15" applyNumberFormat="1" applyFont="1" applyFill="1"/>
    <xf numFmtId="164" fontId="41" fillId="78" borderId="0" xfId="4511"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9" fillId="0" borderId="0" xfId="0" applyNumberFormat="1" applyFont="1" applyFill="1" applyBorder="1"/>
    <xf numFmtId="164" fontId="19" fillId="0" borderId="0" xfId="1" applyNumberFormat="1" applyFont="1" applyFill="1" applyBorder="1"/>
    <xf numFmtId="3" fontId="17" fillId="0" borderId="0" xfId="0" applyNumberFormat="1" applyFont="1" applyFill="1"/>
    <xf numFmtId="164" fontId="22" fillId="0" borderId="0" xfId="1" applyNumberFormat="1" applyFont="1" applyFill="1"/>
    <xf numFmtId="37" fontId="0" fillId="0" borderId="0" xfId="0" applyNumberFormat="1"/>
    <xf numFmtId="0" fontId="9" fillId="0" borderId="1" xfId="0" applyFont="1" applyFill="1" applyBorder="1" applyAlignment="1">
      <alignment horizontal="center"/>
    </xf>
    <xf numFmtId="0" fontId="23" fillId="0" borderId="1" xfId="0" applyFont="1" applyFill="1" applyBorder="1" applyAlignment="1">
      <alignment horizontal="center"/>
    </xf>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58" fillId="0" borderId="0" xfId="4" quotePrefix="1" applyFont="1" applyAlignment="1">
      <alignment horizontal="left"/>
    </xf>
    <xf numFmtId="0" fontId="58" fillId="0" borderId="0" xfId="4" quotePrefix="1" applyFont="1" applyFill="1" applyAlignment="1">
      <alignment horizontal="left"/>
    </xf>
    <xf numFmtId="0" fontId="58" fillId="0" borderId="0" xfId="4" applyFont="1"/>
    <xf numFmtId="0" fontId="58" fillId="0" borderId="0" xfId="4" applyFont="1" applyAlignment="1">
      <alignment horizontal="left"/>
    </xf>
    <xf numFmtId="0" fontId="58" fillId="0" borderId="0" xfId="4" applyFont="1" applyFill="1" applyAlignment="1">
      <alignment horizontal="left"/>
    </xf>
    <xf numFmtId="0" fontId="0" fillId="0" borderId="0" xfId="0"/>
    <xf numFmtId="0" fontId="0" fillId="0" borderId="0" xfId="0"/>
    <xf numFmtId="164" fontId="28" fillId="0" borderId="0" xfId="1" applyNumberFormat="1" applyFont="1" applyFill="1"/>
    <xf numFmtId="164" fontId="55" fillId="12" borderId="0" xfId="15" applyNumberFormat="1" applyFont="1" applyFill="1" applyBorder="1"/>
    <xf numFmtId="164" fontId="55" fillId="12" borderId="68" xfId="15" applyNumberFormat="1" applyFont="1" applyFill="1" applyBorder="1"/>
    <xf numFmtId="16" fontId="0" fillId="0" borderId="0" xfId="0" applyNumberFormat="1"/>
    <xf numFmtId="0" fontId="0" fillId="0" borderId="0" xfId="0"/>
    <xf numFmtId="37" fontId="35" fillId="0" borderId="0" xfId="0" applyNumberFormat="1" applyFont="1" applyFill="1"/>
    <xf numFmtId="0" fontId="0" fillId="0" borderId="0" xfId="0"/>
    <xf numFmtId="0" fontId="0" fillId="0" borderId="0" xfId="0"/>
    <xf numFmtId="171" fontId="23" fillId="0" borderId="0" xfId="3" applyNumberFormat="1" applyFont="1" applyFill="1"/>
    <xf numFmtId="175" fontId="167" fillId="0" borderId="0" xfId="0" applyNumberFormat="1" applyFont="1"/>
    <xf numFmtId="174" fontId="169" fillId="0" borderId="0" xfId="85" applyNumberFormat="1" applyFont="1" applyFill="1"/>
    <xf numFmtId="170" fontId="167" fillId="0" borderId="0" xfId="0" applyNumberFormat="1" applyFont="1"/>
    <xf numFmtId="174" fontId="167" fillId="0" borderId="0" xfId="0" applyNumberFormat="1" applyFont="1"/>
    <xf numFmtId="7" fontId="0" fillId="0" borderId="0" xfId="2" applyNumberFormat="1" applyFont="1"/>
    <xf numFmtId="178" fontId="0" fillId="0" borderId="0" xfId="0" applyNumberFormat="1" applyFill="1"/>
    <xf numFmtId="3" fontId="34" fillId="0" borderId="0" xfId="0" applyNumberFormat="1" applyFont="1" applyFill="1"/>
    <xf numFmtId="164" fontId="169" fillId="0" borderId="0" xfId="1" applyNumberFormat="1" applyFont="1" applyAlignment="1">
      <alignment horizontal="center"/>
    </xf>
    <xf numFmtId="170" fontId="168" fillId="0" borderId="0" xfId="0" applyNumberFormat="1" applyFont="1" applyFill="1"/>
    <xf numFmtId="44" fontId="167" fillId="0" borderId="0" xfId="2" applyFont="1"/>
    <xf numFmtId="0" fontId="168" fillId="0" borderId="0" xfId="0" applyFont="1" applyFill="1" applyAlignment="1">
      <alignment horizontal="center"/>
    </xf>
    <xf numFmtId="168" fontId="167" fillId="0" borderId="0" xfId="0" applyNumberFormat="1" applyFont="1" applyFill="1"/>
    <xf numFmtId="0" fontId="167" fillId="0" borderId="0" xfId="0" applyFont="1" applyFill="1"/>
    <xf numFmtId="0" fontId="167" fillId="0" borderId="0" xfId="0" applyFont="1" applyFill="1" applyAlignment="1">
      <alignment horizontal="right"/>
    </xf>
    <xf numFmtId="174" fontId="170" fillId="0" borderId="0" xfId="0" applyNumberFormat="1" applyFont="1" applyFill="1"/>
    <xf numFmtId="0" fontId="171" fillId="0" borderId="0" xfId="0" applyFont="1"/>
    <xf numFmtId="3" fontId="55" fillId="0" borderId="0" xfId="85" applyNumberFormat="1" applyFont="1" applyFill="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165" fontId="41" fillId="5" borderId="0" xfId="0" applyNumberFormat="1" applyFont="1" applyFill="1"/>
    <xf numFmtId="0" fontId="9" fillId="0" borderId="0" xfId="4" applyFont="1" applyFill="1" applyProtection="1">
      <protection hidden="1"/>
    </xf>
    <xf numFmtId="43" fontId="9" fillId="0" borderId="0" xfId="1" applyNumberFormat="1" applyFont="1" applyFill="1"/>
    <xf numFmtId="0" fontId="0" fillId="0" borderId="0" xfId="0"/>
    <xf numFmtId="0" fontId="23" fillId="0" borderId="0" xfId="0" applyFont="1" applyFill="1"/>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193" fontId="0" fillId="0" borderId="0" xfId="2" applyNumberFormat="1" applyFont="1"/>
    <xf numFmtId="193" fontId="0" fillId="0" borderId="0" xfId="0" applyNumberFormat="1"/>
    <xf numFmtId="169" fontId="0" fillId="0" borderId="0" xfId="2" applyNumberFormat="1" applyFont="1" applyFill="1"/>
    <xf numFmtId="238" fontId="0" fillId="0" borderId="0" xfId="0" applyNumberFormat="1"/>
    <xf numFmtId="169" fontId="0" fillId="0" borderId="0" xfId="3" applyNumberFormat="1" applyFont="1"/>
    <xf numFmtId="44" fontId="0" fillId="0" borderId="0" xfId="2" applyFont="1" applyFill="1"/>
    <xf numFmtId="44" fontId="0" fillId="0" borderId="0" xfId="0" applyNumberFormat="1" applyFill="1"/>
    <xf numFmtId="10" fontId="0" fillId="0" borderId="0" xfId="3" applyNumberFormat="1" applyFont="1" applyFill="1"/>
    <xf numFmtId="0" fontId="0" fillId="0" borderId="0" xfId="0" applyBorder="1" applyAlignment="1">
      <alignment horizontal="center"/>
    </xf>
    <xf numFmtId="193" fontId="23" fillId="0" borderId="0" xfId="2" applyNumberFormat="1" applyFont="1" applyBorder="1"/>
    <xf numFmtId="10" fontId="23" fillId="0" borderId="0" xfId="3" applyNumberFormat="1" applyFont="1" applyBorder="1"/>
    <xf numFmtId="238" fontId="0" fillId="0" borderId="0" xfId="2" applyNumberFormat="1" applyFont="1" applyFill="1"/>
    <xf numFmtId="171" fontId="0" fillId="0" borderId="0" xfId="0" applyNumberFormat="1" applyAlignment="1">
      <alignment horizontal="center"/>
    </xf>
    <xf numFmtId="10" fontId="32" fillId="0" borderId="0" xfId="3" applyNumberFormat="1" applyFont="1"/>
    <xf numFmtId="0" fontId="93"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72" fillId="79" borderId="69" xfId="0" applyFont="1" applyFill="1" applyBorder="1" applyAlignment="1">
      <alignment horizontal="left" vertical="top"/>
    </xf>
    <xf numFmtId="239" fontId="174" fillId="80" borderId="70" xfId="0" applyNumberFormat="1" applyFont="1" applyFill="1" applyBorder="1" applyAlignment="1">
      <alignment horizontal="right" vertical="top"/>
    </xf>
    <xf numFmtId="3" fontId="173" fillId="0" borderId="70" xfId="0" applyNumberFormat="1" applyFont="1" applyBorder="1" applyAlignment="1">
      <alignment horizontal="right" vertical="top"/>
    </xf>
    <xf numFmtId="3" fontId="175" fillId="81" borderId="71" xfId="0" applyNumberFormat="1" applyFont="1" applyFill="1" applyBorder="1" applyAlignment="1">
      <alignment horizontal="right" vertical="top"/>
    </xf>
    <xf numFmtId="0" fontId="0" fillId="0" borderId="70" xfId="0" applyBorder="1"/>
    <xf numFmtId="3" fontId="177" fillId="83" borderId="76" xfId="0" applyNumberFormat="1" applyFont="1" applyFill="1" applyBorder="1" applyAlignment="1">
      <alignment horizontal="right" vertical="top"/>
    </xf>
    <xf numFmtId="44" fontId="178" fillId="0" borderId="0" xfId="2" applyFont="1"/>
    <xf numFmtId="44" fontId="179" fillId="0" borderId="0" xfId="2" applyFont="1"/>
    <xf numFmtId="169" fontId="178" fillId="0" borderId="0" xfId="2" applyNumberFormat="1" applyFont="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164" fontId="57" fillId="0" borderId="0" xfId="1" applyNumberFormat="1" applyFont="1" applyFill="1"/>
    <xf numFmtId="0" fontId="0" fillId="0" borderId="0" xfId="0"/>
    <xf numFmtId="10" fontId="23" fillId="0" borderId="0" xfId="0" applyNumberFormat="1" applyFont="1" applyAlignment="1">
      <alignment horizontal="centerContinuous"/>
    </xf>
    <xf numFmtId="10" fontId="9" fillId="0" borderId="0" xfId="0" applyNumberFormat="1" applyFont="1" applyAlignment="1">
      <alignment horizontal="center"/>
    </xf>
    <xf numFmtId="2" fontId="23" fillId="0" borderId="0" xfId="0" applyNumberFormat="1" applyFont="1" applyAlignment="1">
      <alignment horizontal="center"/>
    </xf>
    <xf numFmtId="171" fontId="9" fillId="0" borderId="0" xfId="0" applyNumberFormat="1" applyFont="1" applyAlignment="1">
      <alignment horizontal="center"/>
    </xf>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80" fillId="0" borderId="0" xfId="0" applyNumberFormat="1" applyFont="1"/>
    <xf numFmtId="10" fontId="9" fillId="0" borderId="0" xfId="0" applyNumberFormat="1" applyFont="1"/>
    <xf numFmtId="3" fontId="23" fillId="0" borderId="2" xfId="0" applyNumberFormat="1" applyFont="1" applyBorder="1"/>
    <xf numFmtId="240" fontId="180" fillId="0" borderId="0" xfId="4" applyNumberFormat="1" applyFont="1"/>
    <xf numFmtId="240" fontId="9" fillId="0" borderId="0" xfId="0" applyNumberFormat="1" applyFont="1"/>
    <xf numFmtId="2" fontId="23" fillId="0" borderId="0" xfId="0" applyNumberFormat="1" applyFont="1"/>
    <xf numFmtId="4" fontId="180" fillId="0" borderId="0" xfId="4" applyNumberFormat="1" applyFont="1"/>
    <xf numFmtId="241"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23" fillId="0" borderId="0" xfId="0" applyFont="1" applyFill="1" applyAlignment="1">
      <alignment horizontal="center"/>
    </xf>
    <xf numFmtId="0" fontId="38" fillId="0" borderId="0" xfId="0" applyFont="1" applyFill="1" applyAlignment="1">
      <alignment horizontal="center"/>
    </xf>
    <xf numFmtId="0" fontId="32" fillId="0" borderId="0" xfId="0" applyFont="1" applyFill="1" applyAlignment="1">
      <alignment horizontal="center"/>
    </xf>
    <xf numFmtId="0" fontId="0" fillId="0" borderId="0" xfId="0"/>
    <xf numFmtId="5" fontId="23" fillId="0" borderId="0" xfId="0" applyNumberFormat="1" applyFont="1" applyFill="1" applyBorder="1"/>
    <xf numFmtId="171" fontId="167" fillId="0" borderId="0" xfId="3" applyNumberFormat="1" applyFont="1"/>
    <xf numFmtId="0" fontId="181" fillId="0" borderId="0" xfId="0" applyFont="1"/>
    <xf numFmtId="0" fontId="182" fillId="0" borderId="0" xfId="0" applyFont="1"/>
    <xf numFmtId="0" fontId="182" fillId="0" borderId="0" xfId="0" applyFont="1" applyAlignment="1">
      <alignment horizontal="left" indent="1"/>
    </xf>
    <xf numFmtId="193" fontId="182" fillId="0" borderId="0" xfId="2" applyNumberFormat="1" applyFont="1"/>
    <xf numFmtId="0" fontId="182" fillId="0" borderId="0" xfId="0" applyFont="1" applyFill="1" applyAlignment="1">
      <alignment horizontal="left" indent="1"/>
    </xf>
    <xf numFmtId="0" fontId="0" fillId="0" borderId="0" xfId="0"/>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72" fillId="79" borderId="69" xfId="0" applyFont="1" applyFill="1" applyBorder="1" applyAlignment="1">
      <alignment horizontal="left" vertical="top"/>
    </xf>
    <xf numFmtId="0" fontId="0" fillId="79" borderId="69" xfId="0" applyFill="1" applyBorder="1"/>
    <xf numFmtId="0" fontId="176" fillId="82" borderId="73" xfId="0" applyFont="1" applyFill="1" applyBorder="1" applyAlignment="1">
      <alignment horizontal="left" vertical="top"/>
    </xf>
    <xf numFmtId="0" fontId="0" fillId="82" borderId="74" xfId="0" applyFill="1" applyBorder="1"/>
    <xf numFmtId="0" fontId="0" fillId="82" borderId="75" xfId="0" applyFill="1" applyBorder="1"/>
    <xf numFmtId="0" fontId="0" fillId="79" borderId="72" xfId="0" applyFill="1" applyBorder="1"/>
  </cellXfs>
  <cellStyles count="43228">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41">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0"/>
      <tableStyleElement type="headerRow" dxfId="39"/>
    </tableStyle>
    <tableStyle name="Table Style 2" pivot="0" count="3" xr9:uid="{00000000-0011-0000-FFFF-FFFF01000000}">
      <tableStyleElement type="wholeTable" dxfId="38"/>
      <tableStyleElement type="headerRow" dxfId="37"/>
      <tableStyleElement type="totalRow" dxfId="36"/>
    </tableStyle>
  </tableStyles>
  <colors>
    <mruColors>
      <color rgb="FF0000FF"/>
      <color rgb="FFFAFED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WA/2019%20WA%20GRC/RS-RD/Electric/Miller%20Electric%20Workpapers%204.25.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m5747\Desktop\2019%20WA%20GRC\Settlement\NEW-AVA-WP-LIRAP-07-1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xh 4"/>
      <sheetName val="Exh 5"/>
      <sheetName val="ROR"/>
      <sheetName val="Rate Spread GRC"/>
      <sheetName val="Bill Determ"/>
      <sheetName val="Misc Adj"/>
      <sheetName val="Sch 25 - Billing Rate"/>
      <sheetName val="Bill Impact"/>
      <sheetName val="WA Sch 25"/>
      <sheetName val="Lighting summary"/>
      <sheetName val="St Lts"/>
      <sheetName val="Area Lts"/>
      <sheetName val="Capital Recovery Factor Calc"/>
      <sheetName val="Sch46"/>
      <sheetName val="Block Data"/>
      <sheetName val="REVRUNS 12ME1218"/>
    </sheetNames>
    <sheetDataSet>
      <sheetData sheetId="0"/>
      <sheetData sheetId="1"/>
      <sheetData sheetId="2">
        <row r="16">
          <cell r="H16">
            <v>220074.32892</v>
          </cell>
        </row>
        <row r="18">
          <cell r="H18">
            <v>78691.630798333397</v>
          </cell>
        </row>
        <row r="20">
          <cell r="H20">
            <v>131866.13411166699</v>
          </cell>
        </row>
        <row r="22">
          <cell r="H22">
            <v>69157.140566132002</v>
          </cell>
        </row>
        <row r="24">
          <cell r="H24">
            <v>12658.500820000001</v>
          </cell>
        </row>
        <row r="26">
          <cell r="H26">
            <v>6790.2446136959197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
      <sheetName val="E Rev Conv"/>
      <sheetName val="Natural Gas"/>
      <sheetName val="G Rev Conv"/>
      <sheetName val="Forecast BD"/>
      <sheetName val="Prior Balances"/>
    </sheetNames>
    <sheetDataSet>
      <sheetData sheetId="0">
        <row r="22">
          <cell r="E22">
            <v>1.4200000000000001E-2</v>
          </cell>
        </row>
      </sheetData>
      <sheetData sheetId="1"/>
      <sheetData sheetId="2" refreshError="1"/>
      <sheetData sheetId="3" refreshError="1"/>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R311"/>
  <sheetViews>
    <sheetView showGridLines="0" tabSelected="1" zoomScaleNormal="100" workbookViewId="0">
      <pane ySplit="5" topLeftCell="A6" activePane="bottomLeft" state="frozen"/>
      <selection activeCell="G120" sqref="G120"/>
      <selection pane="bottomLeft" activeCell="B2" sqref="B2"/>
    </sheetView>
  </sheetViews>
  <sheetFormatPr defaultColWidth="10.6640625" defaultRowHeight="10.199999999999999"/>
  <cols>
    <col min="1" max="1" width="9.6640625" style="1" customWidth="1"/>
    <col min="2" max="2" width="25.6640625" style="5" customWidth="1"/>
    <col min="3" max="4" width="11.6640625" style="5" customWidth="1"/>
    <col min="5" max="5" width="11.5546875" style="5" customWidth="1"/>
    <col min="6" max="7" width="11.6640625" style="5" customWidth="1"/>
    <col min="8" max="8" width="11.33203125" style="5" customWidth="1"/>
    <col min="9" max="9" width="11.6640625" style="5" customWidth="1"/>
    <col min="10" max="10" width="10.6640625" style="5" customWidth="1"/>
    <col min="11" max="11" width="3.6640625" style="5" customWidth="1"/>
    <col min="12" max="12" width="13.33203125" style="5" customWidth="1"/>
    <col min="13" max="13" width="3.6640625" style="5" customWidth="1"/>
    <col min="14" max="15" width="10.6640625" style="5" customWidth="1"/>
    <col min="16" max="16" width="35.6640625" style="5" customWidth="1"/>
    <col min="17" max="16384" width="10.6640625" style="5"/>
  </cols>
  <sheetData>
    <row r="2" spans="1:18" ht="22.5" customHeight="1">
      <c r="B2" s="316" t="str">
        <f>IF(Base1_Billing2=2,"BILLED","")</f>
        <v/>
      </c>
    </row>
    <row r="4" spans="1:18" s="2" customFormat="1">
      <c r="A4" s="1" t="s">
        <v>0</v>
      </c>
      <c r="C4" s="2" t="s">
        <v>1</v>
      </c>
      <c r="D4" s="2" t="s">
        <v>2</v>
      </c>
      <c r="E4" s="2" t="s">
        <v>3</v>
      </c>
      <c r="F4" s="2" t="s">
        <v>4</v>
      </c>
      <c r="G4" s="2" t="s">
        <v>5</v>
      </c>
      <c r="H4" s="2" t="s">
        <v>6</v>
      </c>
      <c r="I4" s="2" t="s">
        <v>7</v>
      </c>
    </row>
    <row r="5" spans="1:18" s="2" customFormat="1">
      <c r="A5" s="1" t="s">
        <v>8</v>
      </c>
      <c r="C5" s="3" t="s">
        <v>9</v>
      </c>
      <c r="D5" s="3" t="s">
        <v>699</v>
      </c>
      <c r="E5" s="3" t="s">
        <v>11</v>
      </c>
      <c r="F5" s="3" t="s">
        <v>12</v>
      </c>
      <c r="G5" s="3" t="s">
        <v>13</v>
      </c>
      <c r="H5" s="3" t="s">
        <v>14</v>
      </c>
      <c r="I5" s="3" t="s">
        <v>15</v>
      </c>
      <c r="P5" s="116" t="s">
        <v>228</v>
      </c>
    </row>
    <row r="6" spans="1:18" ht="11.25" customHeight="1">
      <c r="B6" s="4" t="s">
        <v>16</v>
      </c>
      <c r="K6" s="2"/>
      <c r="L6" s="114" t="s">
        <v>230</v>
      </c>
      <c r="M6" s="2"/>
      <c r="N6" s="2"/>
      <c r="P6" s="802" t="str">
        <f>"AVISTA UTILITIES
WASHINGTON ELECTRIC
PRO FORMA REVENUE UNDER PRESENT AND PROPOSED "&amp;N9&amp;" RATES
12 MONTHS ENDED DECEMBER 31, 2019"</f>
        <v>AVISTA UTILITIES
WASHINGTON ELECTRIC
PRO FORMA REVENUE UNDER PRESENT AND PROPOSED BASE TARIFF RATES
12 MONTHS ENDED DECEMBER 31, 2019</v>
      </c>
      <c r="Q6" s="802"/>
      <c r="R6" s="802"/>
    </row>
    <row r="7" spans="1:18">
      <c r="B7" s="6" t="s">
        <v>17</v>
      </c>
      <c r="K7" s="115" t="s">
        <v>224</v>
      </c>
      <c r="L7" s="5" t="s">
        <v>363</v>
      </c>
      <c r="M7" s="2"/>
      <c r="N7" s="2"/>
      <c r="P7" s="802"/>
      <c r="Q7" s="802"/>
      <c r="R7" s="802"/>
    </row>
    <row r="8" spans="1:18">
      <c r="A8" s="1" t="s">
        <v>827</v>
      </c>
      <c r="B8" s="5" t="s">
        <v>18</v>
      </c>
      <c r="C8" s="12"/>
      <c r="D8" s="12">
        <f>'Bill Determ'!$B$9</f>
        <v>1632639774.4875689</v>
      </c>
      <c r="E8" s="12">
        <f>'Bill Determ'!$B$17</f>
        <v>435979118.38983351</v>
      </c>
      <c r="F8" s="12">
        <f>'Bill Determ'!$B$28</f>
        <v>1229791151.8036699</v>
      </c>
      <c r="G8" s="12">
        <f>'Bill Determ'!$B$37</f>
        <v>138000000</v>
      </c>
      <c r="H8" s="12">
        <f>SUM('Bill Determ'!$B$43:$C$43)</f>
        <v>46790737.710170001</v>
      </c>
      <c r="I8" s="12"/>
      <c r="L8" s="2" t="s">
        <v>223</v>
      </c>
      <c r="N8" s="293">
        <v>1</v>
      </c>
      <c r="P8" s="802"/>
      <c r="Q8" s="802"/>
      <c r="R8" s="802"/>
    </row>
    <row r="9" spans="1:18">
      <c r="A9" s="1" t="s">
        <v>827</v>
      </c>
      <c r="B9" s="5" t="s">
        <v>19</v>
      </c>
      <c r="C9" s="12"/>
      <c r="D9" s="12">
        <f>'Bill Determ'!$C$9</f>
        <v>504552667.9882521</v>
      </c>
      <c r="E9" s="12">
        <f>'Bill Determ'!$C$17</f>
        <v>191116384.14616641</v>
      </c>
      <c r="F9" s="12">
        <f>'Bill Determ'!$C$28</f>
        <v>146237824.45333001</v>
      </c>
      <c r="G9" s="12">
        <f>'Bill Determ'!$C$37</f>
        <v>564644246.71499991</v>
      </c>
      <c r="H9" s="12">
        <f>'Bill Determ'!$D$43</f>
        <v>92769241.331829995</v>
      </c>
      <c r="I9" s="12"/>
      <c r="K9" s="115" t="s">
        <v>225</v>
      </c>
      <c r="L9" s="5" t="s">
        <v>364</v>
      </c>
      <c r="N9" s="5" t="str">
        <f>CHOOSE(Base1_Billing2,L7,L9)</f>
        <v>BASE TARIFF</v>
      </c>
      <c r="P9" s="802"/>
      <c r="Q9" s="802"/>
      <c r="R9" s="802"/>
    </row>
    <row r="10" spans="1:18">
      <c r="A10" s="1" t="s">
        <v>827</v>
      </c>
      <c r="B10" s="5" t="s">
        <v>20</v>
      </c>
      <c r="C10" s="12"/>
      <c r="D10" s="12">
        <f>'Bill Determ'!$D$9</f>
        <v>299072582.35517937</v>
      </c>
      <c r="E10" s="12"/>
      <c r="F10" s="12"/>
      <c r="G10" s="12">
        <f>'Bill Determ'!$D$37</f>
        <v>383257334.60000014</v>
      </c>
      <c r="H10" s="12"/>
      <c r="I10" s="12"/>
      <c r="N10" s="5" t="str">
        <f>CHOOSE(Base1_Billing2,"Base","Billing")</f>
        <v>Base</v>
      </c>
      <c r="P10" s="802"/>
      <c r="Q10" s="802"/>
      <c r="R10" s="802"/>
    </row>
    <row r="11" spans="1:18">
      <c r="B11" s="5" t="s">
        <v>21</v>
      </c>
      <c r="C11" s="12"/>
      <c r="D11" s="12"/>
      <c r="E11" s="12"/>
      <c r="F11" s="12"/>
      <c r="G11" s="12"/>
      <c r="H11" s="12"/>
      <c r="I11" s="12"/>
      <c r="P11" s="802"/>
      <c r="Q11" s="802"/>
      <c r="R11" s="802"/>
    </row>
    <row r="12" spans="1:18">
      <c r="A12" s="1" t="s">
        <v>828</v>
      </c>
      <c r="B12" s="5" t="s">
        <v>22</v>
      </c>
      <c r="C12" s="104"/>
      <c r="D12" s="104"/>
      <c r="E12" s="104"/>
      <c r="F12" s="104"/>
      <c r="G12" s="104"/>
      <c r="H12" s="104"/>
      <c r="I12" s="250">
        <f>'REVRUNS 12ME1219'!P287</f>
        <v>17961923.65997</v>
      </c>
      <c r="N12" s="12"/>
    </row>
    <row r="13" spans="1:18">
      <c r="C13" s="12"/>
      <c r="D13" s="12"/>
      <c r="E13" s="12"/>
      <c r="F13" s="12"/>
      <c r="G13" s="12"/>
      <c r="H13" s="12"/>
      <c r="I13" s="105"/>
      <c r="N13" s="11"/>
    </row>
    <row r="14" spans="1:18">
      <c r="B14" s="5" t="s">
        <v>23</v>
      </c>
      <c r="C14" s="12">
        <f>SUM(D14:I14)</f>
        <v>5682812987.6409712</v>
      </c>
      <c r="D14" s="12">
        <f t="shared" ref="D14:I14" si="0">SUM(D8:D12)</f>
        <v>2436265024.8310003</v>
      </c>
      <c r="E14" s="12">
        <f t="shared" si="0"/>
        <v>627095502.53599989</v>
      </c>
      <c r="F14" s="12">
        <f t="shared" si="0"/>
        <v>1376028976.257</v>
      </c>
      <c r="G14" s="12">
        <f t="shared" si="0"/>
        <v>1085901581.3150001</v>
      </c>
      <c r="H14" s="12">
        <f t="shared" si="0"/>
        <v>139559979.042</v>
      </c>
      <c r="I14" s="12">
        <f t="shared" si="0"/>
        <v>17961923.65997</v>
      </c>
    </row>
    <row r="15" spans="1:18" s="8" customFormat="1">
      <c r="A15" s="1"/>
      <c r="B15" s="88"/>
      <c r="C15" s="12"/>
      <c r="D15" s="12"/>
      <c r="E15" s="12"/>
      <c r="F15" s="12"/>
      <c r="G15" s="12"/>
      <c r="H15" s="12"/>
      <c r="I15" s="12"/>
    </row>
    <row r="16" spans="1:18">
      <c r="C16" s="107"/>
      <c r="D16" s="107"/>
      <c r="E16" s="107"/>
      <c r="F16" s="107"/>
      <c r="G16" s="107"/>
      <c r="H16" s="107"/>
      <c r="I16" s="107"/>
    </row>
    <row r="17" spans="1:12">
      <c r="B17" s="5" t="s">
        <v>23</v>
      </c>
      <c r="C17" s="12">
        <f>SUM(D17:I17)</f>
        <v>5682812987.6409712</v>
      </c>
      <c r="D17" s="12">
        <f t="shared" ref="D17:I17" si="1">D14+D15</f>
        <v>2436265024.8310003</v>
      </c>
      <c r="E17" s="12">
        <f t="shared" si="1"/>
        <v>627095502.53599989</v>
      </c>
      <c r="F17" s="12">
        <f t="shared" si="1"/>
        <v>1376028976.257</v>
      </c>
      <c r="G17" s="12">
        <f t="shared" si="1"/>
        <v>1085901581.3150001</v>
      </c>
      <c r="H17" s="12">
        <f t="shared" si="1"/>
        <v>139559979.042</v>
      </c>
      <c r="I17" s="12">
        <f t="shared" si="1"/>
        <v>17961923.65997</v>
      </c>
    </row>
    <row r="18" spans="1:12">
      <c r="A18" s="1" t="s">
        <v>827</v>
      </c>
      <c r="B18" s="5" t="s">
        <v>24</v>
      </c>
      <c r="C18" s="12">
        <f>SUM(D18:I18)</f>
        <v>0</v>
      </c>
      <c r="D18" s="12">
        <f>'Bill Determ'!$E$11</f>
        <v>0</v>
      </c>
      <c r="E18" s="12">
        <f>'Bill Determ'!$D$21</f>
        <v>0</v>
      </c>
      <c r="F18" s="12">
        <f>'Bill Determ'!$D$33</f>
        <v>0</v>
      </c>
      <c r="G18" s="110">
        <v>0</v>
      </c>
      <c r="H18" s="12">
        <f>'Bill Determ'!$E$45</f>
        <v>0</v>
      </c>
      <c r="I18" s="110">
        <v>0</v>
      </c>
    </row>
    <row r="19" spans="1:12">
      <c r="C19" s="107"/>
      <c r="D19" s="107"/>
      <c r="E19" s="107"/>
      <c r="F19" s="107"/>
      <c r="G19" s="107"/>
      <c r="H19" s="107"/>
      <c r="I19" s="107"/>
    </row>
    <row r="20" spans="1:12">
      <c r="B20" s="5" t="s">
        <v>25</v>
      </c>
      <c r="C20" s="12">
        <f>SUM(D20:I20)</f>
        <v>5682812987.6409712</v>
      </c>
      <c r="D20" s="12">
        <f t="shared" ref="D20:I20" si="2">D17+D18</f>
        <v>2436265024.8310003</v>
      </c>
      <c r="E20" s="12">
        <f t="shared" si="2"/>
        <v>627095502.53599989</v>
      </c>
      <c r="F20" s="12">
        <f t="shared" si="2"/>
        <v>1376028976.257</v>
      </c>
      <c r="G20" s="12">
        <f t="shared" si="2"/>
        <v>1085901581.3150001</v>
      </c>
      <c r="H20" s="12">
        <f t="shared" si="2"/>
        <v>139559979.042</v>
      </c>
      <c r="I20" s="12">
        <f t="shared" si="2"/>
        <v>17961923.65997</v>
      </c>
    </row>
    <row r="21" spans="1:12" s="8" customFormat="1">
      <c r="A21" s="1" t="s">
        <v>829</v>
      </c>
      <c r="B21" s="88" t="s">
        <v>26</v>
      </c>
      <c r="C21" s="108">
        <f>SUM(D21:I21)</f>
        <v>-52372625</v>
      </c>
      <c r="D21" s="108">
        <f t="shared" ref="D21:I21" si="3">D142+D145</f>
        <v>-40779500</v>
      </c>
      <c r="E21" s="108">
        <f t="shared" si="3"/>
        <v>-5197349</v>
      </c>
      <c r="F21" s="108">
        <f t="shared" si="3"/>
        <v>-6458850</v>
      </c>
      <c r="G21" s="198">
        <f t="shared" si="3"/>
        <v>0</v>
      </c>
      <c r="H21" s="108">
        <f t="shared" si="3"/>
        <v>63074</v>
      </c>
      <c r="I21" s="108">
        <f t="shared" si="3"/>
        <v>0</v>
      </c>
    </row>
    <row r="22" spans="1:12">
      <c r="C22" s="107"/>
      <c r="D22" s="107"/>
      <c r="E22" s="107"/>
      <c r="F22" s="107"/>
      <c r="G22" s="107"/>
      <c r="H22" s="107"/>
      <c r="I22" s="107"/>
      <c r="L22" s="5" t="s">
        <v>1</v>
      </c>
    </row>
    <row r="23" spans="1:12">
      <c r="B23" s="5" t="s">
        <v>27</v>
      </c>
      <c r="C23" s="12">
        <f>IF(ROUND(SUM(D23:I23),3)&lt;&gt;ROUND(SUM(C20:C21),3),#VALUE!,SUM(D23:I23))</f>
        <v>5630440362.6409712</v>
      </c>
      <c r="D23" s="12">
        <f t="shared" ref="D23:I23" si="4">D20+D21</f>
        <v>2395485524.8310003</v>
      </c>
      <c r="E23" s="12">
        <f t="shared" si="4"/>
        <v>621898153.53599989</v>
      </c>
      <c r="F23" s="12">
        <f t="shared" si="4"/>
        <v>1369570126.257</v>
      </c>
      <c r="G23" s="12">
        <f t="shared" si="4"/>
        <v>1085901581.3150001</v>
      </c>
      <c r="H23" s="12">
        <f t="shared" si="4"/>
        <v>139623053.042</v>
      </c>
      <c r="I23" s="12">
        <f t="shared" si="4"/>
        <v>17961923.65997</v>
      </c>
    </row>
    <row r="24" spans="1:12">
      <c r="C24" s="12"/>
      <c r="D24" s="12"/>
      <c r="E24" s="12"/>
      <c r="F24" s="12"/>
      <c r="G24" s="12"/>
      <c r="H24" s="12"/>
      <c r="I24" s="12"/>
    </row>
    <row r="25" spans="1:12">
      <c r="A25" s="1" t="s">
        <v>827</v>
      </c>
      <c r="B25" s="5" t="s">
        <v>28</v>
      </c>
      <c r="C25" s="12"/>
      <c r="D25" s="12">
        <f>'Bill Determ'!$F$9</f>
        <v>2619517</v>
      </c>
      <c r="E25" s="12">
        <f>'Bill Determ'!$F$17</f>
        <v>391801</v>
      </c>
      <c r="F25" s="12">
        <f>'Bill Determ'!$F$28</f>
        <v>22941</v>
      </c>
      <c r="G25" s="12">
        <f>'Bill Determ'!$G$37</f>
        <v>276</v>
      </c>
      <c r="H25" s="12">
        <f>'Bill Determ'!$F$41</f>
        <v>29492</v>
      </c>
      <c r="I25" s="12"/>
    </row>
    <row r="26" spans="1:12">
      <c r="B26" s="5" t="s">
        <v>29</v>
      </c>
      <c r="C26" s="12"/>
      <c r="D26" s="12"/>
      <c r="E26" s="12"/>
      <c r="F26" s="12"/>
      <c r="G26" s="12"/>
      <c r="H26" s="12"/>
      <c r="I26" s="12"/>
    </row>
    <row r="27" spans="1:12">
      <c r="A27" s="1" t="s">
        <v>827</v>
      </c>
      <c r="B27" s="5" t="s">
        <v>30</v>
      </c>
      <c r="C27" s="12"/>
      <c r="D27" s="12"/>
      <c r="E27" s="12">
        <f>'Bill Determ'!$E$17</f>
        <v>438307.97692307696</v>
      </c>
      <c r="F27" s="12">
        <f>'Bill Determ'!$E$28</f>
        <v>2648035.6015384616</v>
      </c>
      <c r="G27" s="12">
        <f>'Bill Determ'!$F$37+'Bill Determ'!F38</f>
        <v>1278599.155</v>
      </c>
      <c r="H27" s="12"/>
      <c r="I27" s="12"/>
    </row>
    <row r="28" spans="1:12">
      <c r="C28" s="7"/>
      <c r="D28" s="7"/>
      <c r="E28" s="7"/>
      <c r="F28" s="7"/>
      <c r="G28" s="7"/>
      <c r="H28" s="7"/>
      <c r="I28" s="7"/>
    </row>
    <row r="29" spans="1:12">
      <c r="B29" s="4" t="s">
        <v>31</v>
      </c>
    </row>
    <row r="30" spans="1:12" s="14" customFormat="1">
      <c r="A30" s="13"/>
      <c r="B30" s="6" t="s">
        <v>17</v>
      </c>
    </row>
    <row r="31" spans="1:12">
      <c r="B31" s="5" t="s">
        <v>18</v>
      </c>
      <c r="C31" s="12"/>
      <c r="D31" s="12">
        <f t="shared" ref="D31:I31" si="5">D8</f>
        <v>1632639774.4875689</v>
      </c>
      <c r="E31" s="12">
        <f t="shared" si="5"/>
        <v>435979118.38983351</v>
      </c>
      <c r="F31" s="12">
        <f t="shared" si="5"/>
        <v>1229791151.8036699</v>
      </c>
      <c r="G31" s="12">
        <f t="shared" si="5"/>
        <v>138000000</v>
      </c>
      <c r="H31" s="12">
        <f t="shared" si="5"/>
        <v>46790737.710170001</v>
      </c>
      <c r="I31" s="12">
        <f t="shared" si="5"/>
        <v>0</v>
      </c>
    </row>
    <row r="32" spans="1:12">
      <c r="B32" s="5" t="s">
        <v>19</v>
      </c>
      <c r="C32" s="12"/>
      <c r="D32" s="12">
        <f t="shared" ref="D32:I35" si="6">D9</f>
        <v>504552667.9882521</v>
      </c>
      <c r="E32" s="12">
        <f t="shared" si="6"/>
        <v>191116384.14616641</v>
      </c>
      <c r="F32" s="12">
        <f t="shared" si="6"/>
        <v>146237824.45333001</v>
      </c>
      <c r="G32" s="12">
        <f>'Bill Determ'!$C$37</f>
        <v>564644246.71499991</v>
      </c>
      <c r="H32" s="12">
        <f t="shared" si="6"/>
        <v>92769241.331829995</v>
      </c>
      <c r="I32" s="12">
        <f t="shared" si="6"/>
        <v>0</v>
      </c>
    </row>
    <row r="33" spans="1:9">
      <c r="B33" s="5" t="s">
        <v>20</v>
      </c>
      <c r="C33" s="12"/>
      <c r="D33" s="12">
        <f t="shared" si="6"/>
        <v>299072582.35517937</v>
      </c>
      <c r="E33" s="12">
        <f t="shared" si="6"/>
        <v>0</v>
      </c>
      <c r="F33" s="12">
        <f t="shared" si="6"/>
        <v>0</v>
      </c>
      <c r="G33" s="12">
        <f>'Bill Determ'!$D$37</f>
        <v>383257334.60000014</v>
      </c>
      <c r="H33" s="12">
        <f t="shared" si="6"/>
        <v>0</v>
      </c>
      <c r="I33" s="12">
        <f t="shared" si="6"/>
        <v>0</v>
      </c>
    </row>
    <row r="34" spans="1:9">
      <c r="B34" s="5" t="s">
        <v>21</v>
      </c>
      <c r="C34" s="12"/>
      <c r="D34" s="12">
        <f t="shared" si="6"/>
        <v>0</v>
      </c>
      <c r="E34" s="12">
        <f t="shared" si="6"/>
        <v>0</v>
      </c>
      <c r="F34" s="12">
        <f t="shared" si="6"/>
        <v>0</v>
      </c>
      <c r="G34" s="12">
        <f t="shared" si="6"/>
        <v>0</v>
      </c>
      <c r="H34" s="12">
        <f t="shared" si="6"/>
        <v>0</v>
      </c>
      <c r="I34" s="12">
        <f t="shared" si="6"/>
        <v>0</v>
      </c>
    </row>
    <row r="35" spans="1:9">
      <c r="B35" s="5" t="s">
        <v>22</v>
      </c>
      <c r="C35" s="106"/>
      <c r="D35" s="12">
        <f t="shared" si="6"/>
        <v>0</v>
      </c>
      <c r="E35" s="12">
        <f t="shared" si="6"/>
        <v>0</v>
      </c>
      <c r="F35" s="12">
        <f t="shared" si="6"/>
        <v>0</v>
      </c>
      <c r="G35" s="12">
        <f t="shared" si="6"/>
        <v>0</v>
      </c>
      <c r="H35" s="12">
        <f t="shared" si="6"/>
        <v>0</v>
      </c>
      <c r="I35" s="12">
        <f>I12</f>
        <v>17961923.65997</v>
      </c>
    </row>
    <row r="36" spans="1:9">
      <c r="C36" s="107"/>
      <c r="D36" s="107"/>
      <c r="E36" s="107"/>
      <c r="F36" s="107"/>
      <c r="G36" s="107"/>
      <c r="H36" s="107"/>
      <c r="I36" s="107"/>
    </row>
    <row r="37" spans="1:9">
      <c r="B37" s="5" t="s">
        <v>23</v>
      </c>
      <c r="C37" s="12">
        <f>SUM(D37:I37)</f>
        <v>5682812987.6409712</v>
      </c>
      <c r="D37" s="12">
        <f t="shared" ref="D37:I37" si="7">SUM(D31:D35)</f>
        <v>2436265024.8310003</v>
      </c>
      <c r="E37" s="12">
        <f t="shared" si="7"/>
        <v>627095502.53599989</v>
      </c>
      <c r="F37" s="12">
        <f t="shared" si="7"/>
        <v>1376028976.257</v>
      </c>
      <c r="G37" s="12">
        <f t="shared" si="7"/>
        <v>1085901581.3150001</v>
      </c>
      <c r="H37" s="12">
        <f t="shared" si="7"/>
        <v>139559979.042</v>
      </c>
      <c r="I37" s="12">
        <f t="shared" si="7"/>
        <v>17961923.65997</v>
      </c>
    </row>
    <row r="38" spans="1:9" s="8" customFormat="1">
      <c r="A38" s="34"/>
      <c r="B38" s="391"/>
      <c r="C38" s="12">
        <f>SUM(D38:I38)</f>
        <v>0</v>
      </c>
      <c r="D38" s="108">
        <f t="shared" ref="D38:I38" si="8">D15</f>
        <v>0</v>
      </c>
      <c r="E38" s="108">
        <f t="shared" si="8"/>
        <v>0</v>
      </c>
      <c r="F38" s="108">
        <f t="shared" si="8"/>
        <v>0</v>
      </c>
      <c r="G38" s="108">
        <f t="shared" si="8"/>
        <v>0</v>
      </c>
      <c r="H38" s="108">
        <f t="shared" si="8"/>
        <v>0</v>
      </c>
      <c r="I38" s="108">
        <f t="shared" si="8"/>
        <v>0</v>
      </c>
    </row>
    <row r="39" spans="1:9">
      <c r="C39" s="107"/>
      <c r="D39" s="107"/>
      <c r="E39" s="107"/>
      <c r="F39" s="107"/>
      <c r="G39" s="107"/>
      <c r="H39" s="107"/>
      <c r="I39" s="107"/>
    </row>
    <row r="40" spans="1:9">
      <c r="B40" s="5" t="s">
        <v>23</v>
      </c>
      <c r="C40" s="12">
        <f>SUM(D40:I40)</f>
        <v>5682812987.6409712</v>
      </c>
      <c r="D40" s="12">
        <f t="shared" ref="D40:I40" si="9">D37+D38</f>
        <v>2436265024.8310003</v>
      </c>
      <c r="E40" s="12">
        <f t="shared" si="9"/>
        <v>627095502.53599989</v>
      </c>
      <c r="F40" s="12">
        <f t="shared" si="9"/>
        <v>1376028976.257</v>
      </c>
      <c r="G40" s="12">
        <f t="shared" si="9"/>
        <v>1085901581.3150001</v>
      </c>
      <c r="H40" s="12">
        <f t="shared" si="9"/>
        <v>139559979.042</v>
      </c>
      <c r="I40" s="12">
        <f t="shared" si="9"/>
        <v>17961923.65997</v>
      </c>
    </row>
    <row r="41" spans="1:9">
      <c r="B41" s="5" t="s">
        <v>24</v>
      </c>
      <c r="C41" s="12">
        <f>SUM(D41:I41)</f>
        <v>0</v>
      </c>
      <c r="D41" s="12">
        <f t="shared" ref="D41:I41" si="10">D18</f>
        <v>0</v>
      </c>
      <c r="E41" s="12">
        <f t="shared" si="10"/>
        <v>0</v>
      </c>
      <c r="F41" s="12">
        <f t="shared" si="10"/>
        <v>0</v>
      </c>
      <c r="G41" s="12">
        <f t="shared" si="10"/>
        <v>0</v>
      </c>
      <c r="H41" s="12">
        <f t="shared" si="10"/>
        <v>0</v>
      </c>
      <c r="I41" s="12">
        <f t="shared" si="10"/>
        <v>0</v>
      </c>
    </row>
    <row r="42" spans="1:9">
      <c r="C42" s="107"/>
      <c r="D42" s="107"/>
      <c r="E42" s="107"/>
      <c r="F42" s="107"/>
      <c r="G42" s="107"/>
      <c r="H42" s="107"/>
      <c r="I42" s="107"/>
    </row>
    <row r="43" spans="1:9">
      <c r="B43" s="5" t="s">
        <v>25</v>
      </c>
      <c r="C43" s="12">
        <f>SUM(D43:I43)</f>
        <v>5682812987.6409712</v>
      </c>
      <c r="D43" s="12">
        <f t="shared" ref="D43:I43" si="11">D40+D41</f>
        <v>2436265024.8310003</v>
      </c>
      <c r="E43" s="12">
        <f t="shared" si="11"/>
        <v>627095502.53599989</v>
      </c>
      <c r="F43" s="12">
        <f t="shared" si="11"/>
        <v>1376028976.257</v>
      </c>
      <c r="G43" s="12">
        <f t="shared" si="11"/>
        <v>1085901581.3150001</v>
      </c>
      <c r="H43" s="12">
        <f t="shared" si="11"/>
        <v>139559979.042</v>
      </c>
      <c r="I43" s="12">
        <f t="shared" si="11"/>
        <v>17961923.65997</v>
      </c>
    </row>
    <row r="44" spans="1:9" s="8" customFormat="1">
      <c r="A44" s="34"/>
      <c r="B44" s="88" t="s">
        <v>26</v>
      </c>
      <c r="C44" s="108">
        <f>SUM(D44:I44)</f>
        <v>-52372625</v>
      </c>
      <c r="D44" s="108">
        <f t="shared" ref="D44:I44" si="12">D21</f>
        <v>-40779500</v>
      </c>
      <c r="E44" s="108">
        <f t="shared" si="12"/>
        <v>-5197349</v>
      </c>
      <c r="F44" s="108">
        <f t="shared" si="12"/>
        <v>-6458850</v>
      </c>
      <c r="G44" s="108">
        <f t="shared" si="12"/>
        <v>0</v>
      </c>
      <c r="H44" s="108">
        <f t="shared" si="12"/>
        <v>63074</v>
      </c>
      <c r="I44" s="108">
        <f t="shared" si="12"/>
        <v>0</v>
      </c>
    </row>
    <row r="45" spans="1:9">
      <c r="C45" s="107"/>
      <c r="D45" s="107"/>
      <c r="E45" s="107"/>
      <c r="F45" s="107"/>
      <c r="G45" s="107"/>
      <c r="H45" s="107"/>
      <c r="I45" s="107"/>
    </row>
    <row r="46" spans="1:9">
      <c r="B46" s="5" t="s">
        <v>27</v>
      </c>
      <c r="C46" s="12">
        <f>IF(ROUND(SUM(D46:I46),3)&lt;&gt;ROUND(SUM(C43:C44),3),#VALUE!,SUM(D46:I46))</f>
        <v>5630440362.6409712</v>
      </c>
      <c r="D46" s="12">
        <f t="shared" ref="D46:I46" si="13">D43+D44</f>
        <v>2395485524.8310003</v>
      </c>
      <c r="E46" s="12">
        <f t="shared" si="13"/>
        <v>621898153.53599989</v>
      </c>
      <c r="F46" s="12">
        <f t="shared" si="13"/>
        <v>1369570126.257</v>
      </c>
      <c r="G46" s="12">
        <f t="shared" si="13"/>
        <v>1085901581.3150001</v>
      </c>
      <c r="H46" s="12">
        <f t="shared" si="13"/>
        <v>139623053.042</v>
      </c>
      <c r="I46" s="12">
        <f t="shared" si="13"/>
        <v>17961923.65997</v>
      </c>
    </row>
    <row r="47" spans="1:9">
      <c r="C47" s="12"/>
      <c r="D47" s="12"/>
      <c r="E47" s="12"/>
      <c r="F47" s="12"/>
      <c r="G47" s="12"/>
      <c r="H47" s="12"/>
      <c r="I47" s="12"/>
    </row>
    <row r="48" spans="1:9">
      <c r="B48" s="5" t="s">
        <v>28</v>
      </c>
      <c r="C48" s="12"/>
      <c r="D48" s="12">
        <f>D25</f>
        <v>2619517</v>
      </c>
      <c r="E48" s="12">
        <f>E25</f>
        <v>391801</v>
      </c>
      <c r="F48" s="12">
        <f>F25</f>
        <v>22941</v>
      </c>
      <c r="G48" s="12">
        <f>G25</f>
        <v>276</v>
      </c>
      <c r="H48" s="12">
        <f>H25</f>
        <v>29492</v>
      </c>
      <c r="I48" s="12"/>
    </row>
    <row r="49" spans="1:14">
      <c r="B49" s="5" t="s">
        <v>29</v>
      </c>
      <c r="C49" s="12"/>
      <c r="D49" s="12"/>
      <c r="E49" s="12"/>
      <c r="F49" s="12"/>
      <c r="G49" s="12"/>
      <c r="H49" s="12"/>
      <c r="I49" s="12"/>
    </row>
    <row r="50" spans="1:14">
      <c r="B50" s="5" t="s">
        <v>30</v>
      </c>
      <c r="C50" s="12"/>
      <c r="D50" s="12"/>
      <c r="E50" s="12">
        <f>E27</f>
        <v>438307.97692307696</v>
      </c>
      <c r="F50" s="12">
        <f>F27</f>
        <v>2648035.6015384616</v>
      </c>
      <c r="G50" s="12">
        <f>G27</f>
        <v>1278599.155</v>
      </c>
      <c r="H50" s="12"/>
      <c r="I50" s="12"/>
    </row>
    <row r="51" spans="1:14" s="2" customFormat="1">
      <c r="A51" s="1"/>
      <c r="C51" s="7"/>
      <c r="D51" s="7"/>
      <c r="E51" s="7"/>
      <c r="F51" s="7"/>
      <c r="G51" s="7"/>
      <c r="H51" s="7"/>
      <c r="I51" s="7"/>
    </row>
    <row r="52" spans="1:14" s="2" customFormat="1">
      <c r="A52" s="1"/>
      <c r="C52" s="7"/>
      <c r="D52" s="7"/>
      <c r="E52" s="7"/>
      <c r="F52" s="7"/>
      <c r="G52" s="7"/>
      <c r="H52" s="7"/>
      <c r="I52" s="7"/>
    </row>
    <row r="53" spans="1:14" s="2" customFormat="1" ht="27.75" customHeight="1">
      <c r="A53" s="1"/>
      <c r="C53" s="7"/>
      <c r="D53" s="7"/>
      <c r="E53" s="7"/>
      <c r="F53" s="7"/>
      <c r="G53" s="7"/>
      <c r="H53" s="7"/>
      <c r="I53" s="7"/>
    </row>
    <row r="54" spans="1:14" s="2" customFormat="1">
      <c r="A54" s="1"/>
      <c r="C54" s="7"/>
      <c r="D54" s="7"/>
      <c r="E54" s="7"/>
      <c r="F54" s="7"/>
      <c r="G54" s="7"/>
      <c r="H54" s="7"/>
      <c r="I54" s="7"/>
    </row>
    <row r="55" spans="1:14" s="2" customFormat="1">
      <c r="A55" s="1"/>
      <c r="C55" s="7"/>
      <c r="D55" s="119">
        <v>1</v>
      </c>
      <c r="E55" s="119">
        <v>2</v>
      </c>
      <c r="F55" s="119">
        <v>3</v>
      </c>
      <c r="G55" s="119">
        <v>4</v>
      </c>
      <c r="H55" s="119">
        <v>5</v>
      </c>
      <c r="I55" s="119">
        <v>6</v>
      </c>
      <c r="L55" s="120">
        <f>SUMPRODUCT(--(ISBLANK(D55:I55)))</f>
        <v>0</v>
      </c>
    </row>
    <row r="56" spans="1:14" s="2" customFormat="1">
      <c r="A56" s="1" t="s">
        <v>0</v>
      </c>
      <c r="C56" s="2" t="s">
        <v>1</v>
      </c>
      <c r="D56" s="2" t="s">
        <v>2</v>
      </c>
      <c r="E56" s="2" t="s">
        <v>3</v>
      </c>
      <c r="F56" s="2" t="s">
        <v>4</v>
      </c>
      <c r="G56" s="2" t="s">
        <v>5</v>
      </c>
      <c r="H56" s="2" t="s">
        <v>6</v>
      </c>
      <c r="I56" s="2" t="s">
        <v>7</v>
      </c>
      <c r="L56" s="5" t="str">
        <f ca="1">"selected in cell "&amp;CELL("address",Base1_Billing2)&amp;":"</f>
        <v>selected in cell $N$8:</v>
      </c>
    </row>
    <row r="57" spans="1:14" s="2" customFormat="1">
      <c r="A57" s="1" t="s">
        <v>8</v>
      </c>
      <c r="C57" s="3" t="s">
        <v>9</v>
      </c>
      <c r="D57" s="3" t="s">
        <v>10</v>
      </c>
      <c r="E57" s="3" t="s">
        <v>11</v>
      </c>
      <c r="F57" s="3" t="s">
        <v>12</v>
      </c>
      <c r="G57" s="3" t="s">
        <v>13</v>
      </c>
      <c r="H57" s="3" t="s">
        <v>14</v>
      </c>
      <c r="I57" s="3" t="s">
        <v>15</v>
      </c>
      <c r="L57" s="14" t="str">
        <f>N10</f>
        <v>Base</v>
      </c>
    </row>
    <row r="58" spans="1:14">
      <c r="B58" s="4" t="s">
        <v>32</v>
      </c>
      <c r="L58" s="5" t="str">
        <f>"Rates_"&amp;$L$57&amp;"_Present"</f>
        <v>Rates_Base_Present</v>
      </c>
      <c r="N58" s="135" t="s">
        <v>235</v>
      </c>
    </row>
    <row r="59" spans="1:14">
      <c r="A59" s="1" t="s">
        <v>830</v>
      </c>
      <c r="B59" s="5" t="s">
        <v>33</v>
      </c>
      <c r="D59" s="136">
        <f t="shared" ref="D59:I59" ca="1" si="14">INDEX(INDIRECT($L$58),$K59,D$55)</f>
        <v>9</v>
      </c>
      <c r="E59" s="136">
        <f t="shared" ca="1" si="14"/>
        <v>20</v>
      </c>
      <c r="F59" s="136">
        <f t="shared" ca="1" si="14"/>
        <v>0</v>
      </c>
      <c r="G59" s="136">
        <f t="shared" ca="1" si="14"/>
        <v>0</v>
      </c>
      <c r="H59" s="136">
        <f t="shared" ca="1" si="14"/>
        <v>20</v>
      </c>
      <c r="I59" s="136">
        <f t="shared" ca="1" si="14"/>
        <v>0</v>
      </c>
      <c r="K59" s="118">
        <v>1</v>
      </c>
      <c r="L59" s="5" t="str">
        <f>"Rates_"&amp;$L$57&amp;"_Proposed"</f>
        <v>Rates_Base_Proposed</v>
      </c>
      <c r="N59" s="135" t="s">
        <v>236</v>
      </c>
    </row>
    <row r="60" spans="1:14">
      <c r="B60" s="5" t="s">
        <v>34</v>
      </c>
      <c r="D60" s="9"/>
    </row>
    <row r="62" spans="1:14">
      <c r="A62" s="1" t="s">
        <v>830</v>
      </c>
      <c r="B62" s="5" t="s">
        <v>35</v>
      </c>
      <c r="D62" s="137">
        <f t="shared" ref="D62:I64" ca="1" si="15">INDEX(INDIRECT($L$58),$K62,D$55)</f>
        <v>8.1029999999999998</v>
      </c>
      <c r="E62" s="137">
        <f t="shared" ca="1" si="15"/>
        <v>11.686</v>
      </c>
      <c r="F62" s="137">
        <f t="shared" ca="1" si="15"/>
        <v>7.5350000000000001</v>
      </c>
      <c r="G62" s="137">
        <f t="shared" ca="1" si="15"/>
        <v>5.5049999999999999</v>
      </c>
      <c r="H62" s="137">
        <f t="shared" ca="1" si="15"/>
        <v>10.292</v>
      </c>
      <c r="I62" s="137">
        <f t="shared" ca="1" si="15"/>
        <v>0</v>
      </c>
      <c r="K62" s="118">
        <v>2</v>
      </c>
    </row>
    <row r="63" spans="1:14">
      <c r="A63" s="1" t="s">
        <v>830</v>
      </c>
      <c r="B63" s="5" t="s">
        <v>36</v>
      </c>
      <c r="D63" s="137">
        <f t="shared" ca="1" si="15"/>
        <v>9.4269999999999996</v>
      </c>
      <c r="E63" s="137">
        <f t="shared" ca="1" si="15"/>
        <v>8.5879999999999992</v>
      </c>
      <c r="F63" s="137">
        <f t="shared" ca="1" si="15"/>
        <v>6.742</v>
      </c>
      <c r="G63" s="137">
        <f t="shared" ca="1" si="15"/>
        <v>4.9530000000000003</v>
      </c>
      <c r="H63" s="137">
        <f t="shared" ca="1" si="15"/>
        <v>7.35</v>
      </c>
      <c r="I63" s="137">
        <f t="shared" ca="1" si="15"/>
        <v>0</v>
      </c>
      <c r="K63" s="118">
        <v>3</v>
      </c>
    </row>
    <row r="64" spans="1:14">
      <c r="A64" s="1" t="s">
        <v>830</v>
      </c>
      <c r="B64" s="5" t="s">
        <v>37</v>
      </c>
      <c r="D64" s="137">
        <f t="shared" ca="1" si="15"/>
        <v>11.053000000000001</v>
      </c>
      <c r="E64" s="137">
        <f t="shared" ca="1" si="15"/>
        <v>0</v>
      </c>
      <c r="F64" s="137">
        <f t="shared" ca="1" si="15"/>
        <v>0</v>
      </c>
      <c r="G64" s="137">
        <f t="shared" ca="1" si="15"/>
        <v>4.2350000000000003</v>
      </c>
      <c r="H64" s="137">
        <f t="shared" ca="1" si="15"/>
        <v>0</v>
      </c>
      <c r="I64" s="137">
        <f t="shared" ca="1" si="15"/>
        <v>0</v>
      </c>
      <c r="K64" s="118">
        <v>4</v>
      </c>
    </row>
    <row r="65" spans="1:12">
      <c r="B65" s="5" t="s">
        <v>38</v>
      </c>
      <c r="D65" s="10"/>
      <c r="E65" s="10"/>
      <c r="F65" s="10"/>
      <c r="G65" s="10"/>
      <c r="H65" s="10"/>
      <c r="I65" s="10"/>
      <c r="K65" s="118">
        <v>5</v>
      </c>
    </row>
    <row r="66" spans="1:12">
      <c r="D66" s="10"/>
      <c r="E66" s="10"/>
      <c r="F66" s="10"/>
      <c r="G66" s="10"/>
      <c r="H66" s="10"/>
      <c r="I66" s="10"/>
    </row>
    <row r="67" spans="1:12">
      <c r="B67" s="5" t="s">
        <v>39</v>
      </c>
      <c r="D67" s="137">
        <f ca="1">(D124-D111)/D14*100</f>
        <v>8.7393395751256353</v>
      </c>
      <c r="E67" s="137">
        <f ca="1">(E124-E111-SUM(E117:E120))/E14*100</f>
        <v>10.74183989162527</v>
      </c>
      <c r="F67" s="137">
        <f ca="1">(F124-F111-SUM(F117:F120))/F14*100</f>
        <v>7.4507237259552941</v>
      </c>
      <c r="G67" s="137"/>
      <c r="H67" s="137">
        <f ca="1">(H124-H111-SUM(H117:H120))/H14*100</f>
        <v>8.3363741166074004</v>
      </c>
      <c r="I67" s="137"/>
    </row>
    <row r="68" spans="1:12">
      <c r="D68" s="10"/>
      <c r="E68" s="10"/>
      <c r="F68" s="10"/>
      <c r="G68" s="10"/>
      <c r="H68" s="10"/>
      <c r="I68" s="10"/>
    </row>
    <row r="69" spans="1:12" s="9" customFormat="1">
      <c r="A69" s="1" t="s">
        <v>830</v>
      </c>
      <c r="B69" s="9" t="s">
        <v>40</v>
      </c>
      <c r="D69" s="136">
        <f t="shared" ref="D69:I70" ca="1" si="16">INDEX(INDIRECT($L$58),$K69,D$55)</f>
        <v>0</v>
      </c>
      <c r="E69" s="136">
        <f t="shared" ca="1" si="16"/>
        <v>0</v>
      </c>
      <c r="F69" s="136">
        <f t="shared" ca="1" si="16"/>
        <v>550</v>
      </c>
      <c r="G69" s="136">
        <f t="shared" ca="1" si="16"/>
        <v>30650</v>
      </c>
      <c r="H69" s="136">
        <f t="shared" ca="1" si="16"/>
        <v>0</v>
      </c>
      <c r="I69" s="136">
        <f t="shared" ca="1" si="16"/>
        <v>0</v>
      </c>
      <c r="K69" s="118">
        <v>6</v>
      </c>
    </row>
    <row r="70" spans="1:12" s="9" customFormat="1">
      <c r="A70" s="1" t="s">
        <v>830</v>
      </c>
      <c r="B70" s="9" t="s">
        <v>41</v>
      </c>
      <c r="D70" s="136">
        <f t="shared" ca="1" si="16"/>
        <v>0</v>
      </c>
      <c r="E70" s="136">
        <f t="shared" ca="1" si="16"/>
        <v>7</v>
      </c>
      <c r="F70" s="136">
        <f t="shared" ca="1" si="16"/>
        <v>7</v>
      </c>
      <c r="G70" s="136">
        <f t="shared" ca="1" si="16"/>
        <v>8.3000000000000007</v>
      </c>
      <c r="H70" s="136">
        <f t="shared" ca="1" si="16"/>
        <v>0</v>
      </c>
      <c r="I70" s="136">
        <f t="shared" ca="1" si="16"/>
        <v>0</v>
      </c>
      <c r="K70" s="118">
        <v>7</v>
      </c>
    </row>
    <row r="71" spans="1:12">
      <c r="D71" s="10"/>
      <c r="E71" s="10"/>
      <c r="F71" s="10"/>
      <c r="G71" s="10"/>
      <c r="H71" s="10"/>
      <c r="I71" s="10"/>
    </row>
    <row r="72" spans="1:12">
      <c r="D72" s="10"/>
      <c r="E72" s="10"/>
      <c r="F72" s="10"/>
      <c r="G72" s="10"/>
      <c r="H72" s="10"/>
      <c r="I72" s="10"/>
    </row>
    <row r="73" spans="1:12">
      <c r="D73" s="10"/>
      <c r="E73" s="10"/>
      <c r="F73" s="10"/>
      <c r="G73" s="10"/>
      <c r="H73" s="10"/>
      <c r="I73" s="10"/>
    </row>
    <row r="74" spans="1:12">
      <c r="D74" s="10"/>
      <c r="E74" s="10"/>
      <c r="F74" s="10"/>
      <c r="G74" s="10"/>
      <c r="H74" s="10"/>
      <c r="I74" s="10"/>
    </row>
    <row r="75" spans="1:12">
      <c r="B75" s="4" t="s">
        <v>42</v>
      </c>
    </row>
    <row r="76" spans="1:12">
      <c r="B76" s="5" t="s">
        <v>33</v>
      </c>
      <c r="D76" s="136">
        <f ca="1">INDEX(INDIRECT($L$59),$K76,D$55)</f>
        <v>9</v>
      </c>
      <c r="E76" s="136">
        <f ca="1">INDEX(INDIRECT($L$59),$K76,E$55)</f>
        <v>20</v>
      </c>
      <c r="F76" s="136"/>
      <c r="G76" s="136"/>
      <c r="H76" s="136">
        <f ca="1">INDEX(INDIRECT($L$59),$K76,H$55)</f>
        <v>20</v>
      </c>
      <c r="I76" s="136"/>
      <c r="K76" s="118">
        <v>1</v>
      </c>
      <c r="L76" s="103"/>
    </row>
    <row r="77" spans="1:12">
      <c r="B77" s="5" t="s">
        <v>34</v>
      </c>
      <c r="D77" s="9"/>
    </row>
    <row r="79" spans="1:12">
      <c r="B79" s="5" t="s">
        <v>35</v>
      </c>
      <c r="C79" s="223"/>
      <c r="D79" s="137">
        <f t="shared" ref="D79:H81" ca="1" si="17">INDEX(INDIRECT($L$59),$K79,D$55)</f>
        <v>8.8520000000000003</v>
      </c>
      <c r="E79" s="137">
        <f t="shared" ca="1" si="17"/>
        <v>12.815</v>
      </c>
      <c r="F79" s="137">
        <f t="shared" ca="1" si="17"/>
        <v>8.3529999999999998</v>
      </c>
      <c r="G79" s="137">
        <f t="shared" ca="1" si="17"/>
        <v>6.117</v>
      </c>
      <c r="H79" s="137">
        <f t="shared" ca="1" si="17"/>
        <v>11.191000000000001</v>
      </c>
      <c r="I79" s="137"/>
      <c r="K79" s="118">
        <v>2</v>
      </c>
    </row>
    <row r="80" spans="1:12">
      <c r="B80" s="5" t="s">
        <v>36</v>
      </c>
      <c r="C80" s="223"/>
      <c r="D80" s="137">
        <f t="shared" ca="1" si="17"/>
        <v>10.298999999999999</v>
      </c>
      <c r="E80" s="137">
        <f t="shared" ca="1" si="17"/>
        <v>9.4179999999999993</v>
      </c>
      <c r="F80" s="137">
        <f t="shared" ca="1" si="17"/>
        <v>7.4740000000000002</v>
      </c>
      <c r="G80" s="137">
        <f t="shared" ca="1" si="17"/>
        <v>5.5030000000000001</v>
      </c>
      <c r="H80" s="137">
        <f t="shared" ca="1" si="17"/>
        <v>7.992</v>
      </c>
      <c r="I80" s="137"/>
      <c r="K80" s="118">
        <v>3</v>
      </c>
    </row>
    <row r="81" spans="1:11">
      <c r="B81" s="5" t="s">
        <v>37</v>
      </c>
      <c r="C81" s="223"/>
      <c r="D81" s="137">
        <f t="shared" ca="1" si="17"/>
        <v>12.074999999999999</v>
      </c>
      <c r="E81" s="137"/>
      <c r="F81" s="137"/>
      <c r="G81" s="137">
        <f t="shared" ca="1" si="17"/>
        <v>4.7060000000000004</v>
      </c>
      <c r="H81" s="137"/>
      <c r="I81" s="137"/>
      <c r="K81" s="118">
        <v>4</v>
      </c>
    </row>
    <row r="82" spans="1:11">
      <c r="B82" s="5" t="s">
        <v>38</v>
      </c>
      <c r="D82" s="10"/>
      <c r="E82" s="10"/>
      <c r="F82" s="10"/>
      <c r="G82" s="10"/>
      <c r="H82" s="10"/>
      <c r="I82" s="10"/>
      <c r="K82" s="118">
        <v>5</v>
      </c>
    </row>
    <row r="83" spans="1:11">
      <c r="D83" s="10"/>
      <c r="E83" s="10"/>
      <c r="F83" s="10"/>
      <c r="G83" s="10"/>
      <c r="H83" s="10"/>
      <c r="I83" s="10"/>
    </row>
    <row r="84" spans="1:11">
      <c r="B84" s="5" t="s">
        <v>39</v>
      </c>
      <c r="D84" s="137">
        <f ca="1">(D177-D164)/D37*100</f>
        <v>9.5473260942181337</v>
      </c>
      <c r="E84" s="137">
        <f ca="1">(E177-E164-SUM(E170:E173))/E37*100</f>
        <v>11.779715335426012</v>
      </c>
      <c r="F84" s="137">
        <f ca="1">(F177-F164-SUM(F170:F173))/F37*100</f>
        <v>8.2595840546291566</v>
      </c>
      <c r="G84" s="137"/>
      <c r="H84" s="137">
        <f ca="1">(H177-H164-SUM(H170:H173))/H37*100</f>
        <v>9.064539359233418</v>
      </c>
      <c r="I84" s="137"/>
    </row>
    <row r="85" spans="1:11">
      <c r="D85" s="10"/>
      <c r="E85" s="10"/>
      <c r="F85" s="10"/>
      <c r="G85" s="10"/>
      <c r="H85" s="10"/>
      <c r="I85" s="10"/>
    </row>
    <row r="86" spans="1:11" s="9" customFormat="1">
      <c r="A86" s="1"/>
      <c r="B86" s="9" t="s">
        <v>40</v>
      </c>
      <c r="D86" s="136"/>
      <c r="E86" s="136"/>
      <c r="F86" s="136">
        <f ca="1">INDEX(INDIRECT($L$59),$K86,F$55)</f>
        <v>550</v>
      </c>
      <c r="G86" s="136">
        <f ca="1">INDEX(INDIRECT($L$59),$K86,G$55)</f>
        <v>30650</v>
      </c>
      <c r="H86" s="136"/>
      <c r="I86" s="136"/>
      <c r="K86" s="118">
        <v>6</v>
      </c>
    </row>
    <row r="87" spans="1:11" s="9" customFormat="1">
      <c r="A87" s="1"/>
      <c r="B87" s="9" t="s">
        <v>41</v>
      </c>
      <c r="D87" s="136"/>
      <c r="E87" s="136">
        <f ca="1">INDEX(INDIRECT($L$59),$K87,E$55)</f>
        <v>7</v>
      </c>
      <c r="F87" s="136">
        <f ca="1">INDEX(INDIRECT($L$59),$K87,F$55)</f>
        <v>7</v>
      </c>
      <c r="G87" s="136">
        <f ca="1">INDEX(INDIRECT($L$59),$K87,G$55)</f>
        <v>8.3000000000000007</v>
      </c>
      <c r="H87" s="136"/>
      <c r="I87" s="136"/>
      <c r="K87" s="118">
        <v>7</v>
      </c>
    </row>
    <row r="88" spans="1:11" s="9" customFormat="1">
      <c r="A88" s="1"/>
      <c r="D88" s="5"/>
    </row>
    <row r="89" spans="1:11" s="9" customFormat="1">
      <c r="A89" s="1"/>
      <c r="D89" s="5"/>
    </row>
    <row r="90" spans="1:11" s="9" customFormat="1">
      <c r="A90" s="1"/>
      <c r="D90" s="5"/>
    </row>
    <row r="91" spans="1:11" s="9" customFormat="1">
      <c r="A91" s="1"/>
      <c r="D91" s="5"/>
    </row>
    <row r="92" spans="1:11" s="9" customFormat="1">
      <c r="A92" s="1"/>
      <c r="D92" s="5"/>
    </row>
    <row r="93" spans="1:11" s="9" customFormat="1">
      <c r="A93" s="1"/>
      <c r="D93" s="5"/>
    </row>
    <row r="94" spans="1:11" s="9" customFormat="1">
      <c r="A94" s="1"/>
      <c r="D94" s="5"/>
    </row>
    <row r="95" spans="1:11" s="9" customFormat="1">
      <c r="A95" s="1"/>
      <c r="B95" s="803" t="str">
        <f>CHOOSE(Base1_Billing2,"Note: Rates do not include BPA Residential Exchange Program Schedule 59, , Decoupling Schedule 75, Public Purpose Adjustment Schedules 89,91,92, REC Revenue Adjustment Schedule 98 or Power Cost Surcharge Schedule 93.","")</f>
        <v>Note: Rates do not include BPA Residential Exchange Program Schedule 59, , Decoupling Schedule 75, Public Purpose Adjustment Schedules 89,91,92, REC Revenue Adjustment Schedule 98 or Power Cost Surcharge Schedule 93.</v>
      </c>
      <c r="C95" s="804"/>
      <c r="D95" s="804"/>
      <c r="E95" s="804"/>
      <c r="F95" s="804"/>
      <c r="G95" s="804"/>
      <c r="H95" s="804"/>
    </row>
    <row r="96" spans="1:11" s="9" customFormat="1">
      <c r="A96" s="1"/>
      <c r="B96" s="804"/>
      <c r="C96" s="804"/>
      <c r="D96" s="804"/>
      <c r="E96" s="804"/>
      <c r="F96" s="804"/>
      <c r="G96" s="804"/>
      <c r="H96" s="804"/>
    </row>
    <row r="97" spans="1:9" s="9" customFormat="1">
      <c r="A97" s="1"/>
      <c r="D97" s="5"/>
    </row>
    <row r="98" spans="1:9" s="9" customFormat="1">
      <c r="A98" s="1"/>
      <c r="D98" s="5"/>
    </row>
    <row r="99" spans="1:9" s="9" customFormat="1">
      <c r="A99" s="1"/>
      <c r="D99" s="5"/>
    </row>
    <row r="100" spans="1:9" s="9" customFormat="1">
      <c r="A100" s="1"/>
      <c r="D100" s="5"/>
    </row>
    <row r="101" spans="1:9" s="9" customFormat="1">
      <c r="A101" s="1"/>
      <c r="D101" s="5"/>
    </row>
    <row r="102" spans="1:9" s="9" customFormat="1">
      <c r="A102" s="1"/>
      <c r="D102" s="5"/>
    </row>
    <row r="103" spans="1:9" s="9" customFormat="1">
      <c r="A103" s="1"/>
      <c r="D103" s="5"/>
    </row>
    <row r="104" spans="1:9" s="9" customFormat="1">
      <c r="A104" s="1"/>
      <c r="D104" s="5"/>
    </row>
    <row r="105" spans="1:9" s="9" customFormat="1">
      <c r="A105" s="1"/>
      <c r="D105" s="5"/>
    </row>
    <row r="106" spans="1:9" s="9" customFormat="1">
      <c r="A106" s="1"/>
      <c r="D106" s="5"/>
    </row>
    <row r="107" spans="1:9" s="2" customFormat="1">
      <c r="A107" s="1" t="s">
        <v>0</v>
      </c>
      <c r="C107" s="2" t="s">
        <v>1</v>
      </c>
      <c r="D107" s="2" t="s">
        <v>2</v>
      </c>
      <c r="E107" s="2" t="s">
        <v>3</v>
      </c>
      <c r="F107" s="2" t="s">
        <v>4</v>
      </c>
      <c r="G107" s="2" t="s">
        <v>5</v>
      </c>
      <c r="H107" s="2" t="s">
        <v>6</v>
      </c>
      <c r="I107" s="2" t="s">
        <v>7</v>
      </c>
    </row>
    <row r="108" spans="1:9" s="2" customFormat="1">
      <c r="A108" s="1" t="s">
        <v>8</v>
      </c>
      <c r="C108" s="3" t="s">
        <v>9</v>
      </c>
      <c r="D108" s="3" t="s">
        <v>10</v>
      </c>
      <c r="E108" s="3" t="s">
        <v>11</v>
      </c>
      <c r="F108" s="3" t="s">
        <v>12</v>
      </c>
      <c r="G108" s="3" t="s">
        <v>13</v>
      </c>
      <c r="H108" s="3" t="s">
        <v>14</v>
      </c>
      <c r="I108" s="3" t="s">
        <v>15</v>
      </c>
    </row>
    <row r="109" spans="1:9">
      <c r="B109" s="4" t="s">
        <v>43</v>
      </c>
      <c r="C109" s="11"/>
      <c r="D109" s="11"/>
      <c r="E109" s="11"/>
      <c r="F109" s="11"/>
      <c r="G109" s="11"/>
      <c r="H109" s="11"/>
      <c r="I109" s="11"/>
    </row>
    <row r="110" spans="1:9">
      <c r="B110" s="5" t="str">
        <f>UPPER(CHOOSE(Base1_Billing2,$N$9,$N$10))&amp;" REVENUE"</f>
        <v>BASE TARIFF REVENUE</v>
      </c>
      <c r="C110" s="11"/>
      <c r="D110" s="11"/>
      <c r="E110" s="11"/>
      <c r="F110" s="11"/>
      <c r="G110" s="11"/>
      <c r="H110" s="11"/>
      <c r="I110" s="11"/>
    </row>
    <row r="111" spans="1:9">
      <c r="B111" s="89" t="s">
        <v>33</v>
      </c>
      <c r="C111" s="11">
        <f t="shared" ref="C111:C122" ca="1" si="18">SUM(D111:I111)</f>
        <v>32001513</v>
      </c>
      <c r="D111" s="11">
        <f ca="1">D25*D59</f>
        <v>23575653</v>
      </c>
      <c r="E111" s="11">
        <f ca="1">E25*E59</f>
        <v>7836020</v>
      </c>
      <c r="F111" s="11"/>
      <c r="G111" s="11"/>
      <c r="H111" s="11">
        <f ca="1">H25*H59</f>
        <v>589840</v>
      </c>
      <c r="I111" s="11"/>
    </row>
    <row r="112" spans="1:9">
      <c r="B112" s="89" t="s">
        <v>34</v>
      </c>
      <c r="C112" s="12">
        <f t="shared" si="18"/>
        <v>0</v>
      </c>
      <c r="D112" s="12"/>
      <c r="E112" s="12"/>
      <c r="F112" s="12"/>
      <c r="G112" s="12"/>
      <c r="H112" s="12"/>
      <c r="I112" s="12"/>
    </row>
    <row r="113" spans="1:9">
      <c r="B113" s="89" t="s">
        <v>18</v>
      </c>
      <c r="C113" s="12">
        <f t="shared" ca="1" si="18"/>
        <v>288318686.73000002</v>
      </c>
      <c r="D113" s="12">
        <f t="shared" ref="D113:H115" ca="1" si="19">ROUND(D8*D62/100,2)</f>
        <v>132292800.93000001</v>
      </c>
      <c r="E113" s="12">
        <f t="shared" ca="1" si="19"/>
        <v>50948519.780000001</v>
      </c>
      <c r="F113" s="12">
        <f t="shared" ca="1" si="19"/>
        <v>92664763.290000007</v>
      </c>
      <c r="G113" s="12">
        <f ca="1">ROUND(G8*G62/100,2)</f>
        <v>7596900</v>
      </c>
      <c r="H113" s="12">
        <f t="shared" ca="1" si="19"/>
        <v>4815702.7300000004</v>
      </c>
      <c r="I113" s="12"/>
    </row>
    <row r="114" spans="1:9">
      <c r="B114" s="89" t="s">
        <v>19</v>
      </c>
      <c r="C114" s="12">
        <f t="shared" ca="1" si="18"/>
        <v>108621977.98</v>
      </c>
      <c r="D114" s="12">
        <f t="shared" ca="1" si="19"/>
        <v>47564180.009999998</v>
      </c>
      <c r="E114" s="12">
        <f t="shared" ca="1" si="19"/>
        <v>16413075.07</v>
      </c>
      <c r="F114" s="12">
        <f t="shared" ca="1" si="19"/>
        <v>9859354.1199999992</v>
      </c>
      <c r="G114" s="12">
        <f t="shared" ca="1" si="19"/>
        <v>27966829.539999999</v>
      </c>
      <c r="H114" s="12">
        <f t="shared" ca="1" si="19"/>
        <v>6818539.2400000002</v>
      </c>
      <c r="I114" s="12"/>
    </row>
    <row r="115" spans="1:9">
      <c r="B115" s="89" t="s">
        <v>20</v>
      </c>
      <c r="C115" s="12">
        <f t="shared" ca="1" si="18"/>
        <v>49287440.649999999</v>
      </c>
      <c r="D115" s="12">
        <f ca="1">ROUND(D10*D64/100,2)</f>
        <v>33056492.530000001</v>
      </c>
      <c r="E115" s="12"/>
      <c r="F115" s="12"/>
      <c r="G115" s="12">
        <f t="shared" ca="1" si="19"/>
        <v>16230948.119999999</v>
      </c>
      <c r="H115" s="12"/>
      <c r="I115" s="12"/>
    </row>
    <row r="116" spans="1:9">
      <c r="B116" s="89" t="s">
        <v>21</v>
      </c>
      <c r="C116" s="12">
        <f t="shared" si="18"/>
        <v>0</v>
      </c>
      <c r="D116" s="12"/>
      <c r="E116" s="12"/>
      <c r="F116" s="12"/>
      <c r="G116" s="12"/>
      <c r="H116" s="12"/>
      <c r="I116" s="12"/>
    </row>
    <row r="117" spans="1:9">
      <c r="B117" s="89" t="s">
        <v>40</v>
      </c>
      <c r="C117" s="12">
        <f t="shared" ca="1" si="18"/>
        <v>21076950</v>
      </c>
      <c r="D117" s="12"/>
      <c r="E117" s="12"/>
      <c r="F117" s="12">
        <f ca="1">F25*F69</f>
        <v>12617550</v>
      </c>
      <c r="G117" s="12">
        <f ca="1">G25*G69</f>
        <v>8459400</v>
      </c>
      <c r="H117" s="12"/>
      <c r="I117" s="12"/>
    </row>
    <row r="118" spans="1:9">
      <c r="B118" s="89" t="s">
        <v>41</v>
      </c>
      <c r="C118" s="12">
        <f t="shared" ca="1" si="18"/>
        <v>32216778.035730772</v>
      </c>
      <c r="D118" s="12"/>
      <c r="E118" s="12">
        <f ca="1">E27*E70</f>
        <v>3068155.8384615388</v>
      </c>
      <c r="F118" s="12">
        <f ca="1">F27*F70</f>
        <v>18536249.210769232</v>
      </c>
      <c r="G118" s="12">
        <f ca="1">G27*G70</f>
        <v>10612372.986500001</v>
      </c>
      <c r="H118" s="12"/>
      <c r="I118" s="12"/>
    </row>
    <row r="119" spans="1:9">
      <c r="A119" s="342" t="s">
        <v>831</v>
      </c>
      <c r="B119" s="89" t="s">
        <v>211</v>
      </c>
      <c r="C119" s="12">
        <f t="shared" si="18"/>
        <v>126292.44</v>
      </c>
      <c r="D119" s="12"/>
      <c r="E119" s="538">
        <f>'Bill Determ'!G17*0.5</f>
        <v>0</v>
      </c>
      <c r="F119" s="538">
        <f>('Bill Determ'!G28)*0.5</f>
        <v>126292.44</v>
      </c>
      <c r="G119" s="538"/>
      <c r="H119" s="538">
        <f>'Bill Determ'!G41*0.5</f>
        <v>0</v>
      </c>
      <c r="I119" s="112"/>
    </row>
    <row r="120" spans="1:9">
      <c r="A120" s="342" t="s">
        <v>832</v>
      </c>
      <c r="B120" s="89" t="s">
        <v>212</v>
      </c>
      <c r="C120" s="12">
        <f t="shared" si="18"/>
        <v>-1683452.7990999999</v>
      </c>
      <c r="D120" s="12"/>
      <c r="E120" s="112"/>
      <c r="F120" s="538">
        <f>'REVRUNS 12ME1219'!P360+'REVRUNS 12ME1219'!P367</f>
        <v>-65169.210000000006</v>
      </c>
      <c r="G120" s="112">
        <f>'WA Sch 25'!P116</f>
        <v>-1618283.5891</v>
      </c>
      <c r="H120" s="112"/>
      <c r="I120" s="112"/>
    </row>
    <row r="121" spans="1:9" ht="13.2">
      <c r="A121" s="337"/>
      <c r="B121" s="89" t="s">
        <v>213</v>
      </c>
      <c r="C121" s="12">
        <f t="shared" si="18"/>
        <v>0</v>
      </c>
      <c r="D121" s="12"/>
      <c r="E121" s="112"/>
      <c r="F121" s="112"/>
      <c r="G121" s="112">
        <f>'WA Sch 25'!T147</f>
        <v>0</v>
      </c>
      <c r="H121" s="112"/>
      <c r="I121" s="112"/>
    </row>
    <row r="122" spans="1:9">
      <c r="A122" s="338" t="s">
        <v>833</v>
      </c>
      <c r="B122" s="89" t="s">
        <v>214</v>
      </c>
      <c r="C122" s="104">
        <f t="shared" si="18"/>
        <v>6628665.0019919993</v>
      </c>
      <c r="D122" s="248"/>
      <c r="E122" s="249"/>
      <c r="F122" s="249"/>
      <c r="G122" s="249"/>
      <c r="H122" s="249"/>
      <c r="I122" s="250">
        <f>'Lighting summary'!D19</f>
        <v>6628665.0019919993</v>
      </c>
    </row>
    <row r="123" spans="1:9">
      <c r="C123" s="11"/>
      <c r="D123" s="11"/>
      <c r="E123" s="11"/>
      <c r="F123" s="11"/>
      <c r="G123" s="11"/>
      <c r="H123" s="11"/>
      <c r="I123" s="11"/>
    </row>
    <row r="124" spans="1:9">
      <c r="B124" s="5" t="s">
        <v>23</v>
      </c>
      <c r="C124" s="11">
        <f ca="1">IF(ROUND(SUM(C111:C122),3)&lt;&gt;ROUND(SUM(D124:I124),3),#VALUE!,SUM(D124:I124))</f>
        <v>536594851.03862274</v>
      </c>
      <c r="D124" s="11">
        <f t="shared" ref="D124:I124" ca="1" si="20">SUM(D111:D122)</f>
        <v>236489126.47</v>
      </c>
      <c r="E124" s="11">
        <f t="shared" ca="1" si="20"/>
        <v>78265770.688461527</v>
      </c>
      <c r="F124" s="11">
        <f t="shared" ca="1" si="20"/>
        <v>133739039.85076925</v>
      </c>
      <c r="G124" s="11">
        <f t="shared" ca="1" si="20"/>
        <v>69248167.057399988</v>
      </c>
      <c r="H124" s="11">
        <f t="shared" ca="1" si="20"/>
        <v>12224081.970000001</v>
      </c>
      <c r="I124" s="11">
        <f t="shared" si="20"/>
        <v>6628665.0019919993</v>
      </c>
    </row>
    <row r="125" spans="1:9">
      <c r="B125" s="88"/>
      <c r="C125" s="104">
        <f ca="1">SUM(D125:I125)</f>
        <v>0</v>
      </c>
      <c r="D125" s="104">
        <f ca="1">ROUND(D15*D67/100,2)</f>
        <v>0</v>
      </c>
      <c r="E125" s="104">
        <f ca="1">ROUND(E15*E67/100,2)</f>
        <v>0</v>
      </c>
      <c r="F125" s="104">
        <f ca="1">ROUND(F15*F67/100,2)</f>
        <v>0</v>
      </c>
      <c r="G125" s="104">
        <f ca="1">ROUND(G15*G63/100,2)</f>
        <v>0</v>
      </c>
      <c r="H125" s="104">
        <f ca="1">ROUND(H15*H67/100,2)</f>
        <v>0</v>
      </c>
      <c r="I125" s="104"/>
    </row>
    <row r="126" spans="1:9">
      <c r="C126" s="11"/>
      <c r="D126" s="11"/>
      <c r="E126" s="11"/>
      <c r="F126" s="11"/>
      <c r="G126" s="11"/>
      <c r="H126" s="11"/>
      <c r="I126" s="11"/>
    </row>
    <row r="127" spans="1:9">
      <c r="B127" s="5" t="s">
        <v>23</v>
      </c>
      <c r="C127" s="11">
        <f ca="1">SUM(D127:I127)</f>
        <v>536594851.03862274</v>
      </c>
      <c r="D127" s="11">
        <f t="shared" ref="D127:I127" ca="1" si="21">D124+D125</f>
        <v>236489126.47</v>
      </c>
      <c r="E127" s="11">
        <f t="shared" ca="1" si="21"/>
        <v>78265770.688461527</v>
      </c>
      <c r="F127" s="11">
        <f t="shared" ca="1" si="21"/>
        <v>133739039.85076925</v>
      </c>
      <c r="G127" s="11">
        <f t="shared" ca="1" si="21"/>
        <v>69248167.057399988</v>
      </c>
      <c r="H127" s="11">
        <f t="shared" ca="1" si="21"/>
        <v>12224081.970000001</v>
      </c>
      <c r="I127" s="11">
        <f t="shared" si="21"/>
        <v>6628665.0019919993</v>
      </c>
    </row>
    <row r="128" spans="1:9">
      <c r="B128" s="5" t="s">
        <v>44</v>
      </c>
      <c r="C128" s="104">
        <f ca="1">SUM(D128:I128)</f>
        <v>0</v>
      </c>
      <c r="D128" s="104">
        <f t="shared" ref="D128:I128" ca="1" si="22">ROUND(D18*D67/100,2)</f>
        <v>0</v>
      </c>
      <c r="E128" s="104">
        <f t="shared" ca="1" si="22"/>
        <v>0</v>
      </c>
      <c r="F128" s="104">
        <f t="shared" ca="1" si="22"/>
        <v>0</v>
      </c>
      <c r="G128" s="104">
        <f t="shared" si="22"/>
        <v>0</v>
      </c>
      <c r="H128" s="104">
        <f t="shared" ca="1" si="22"/>
        <v>0</v>
      </c>
      <c r="I128" s="104">
        <f t="shared" si="22"/>
        <v>0</v>
      </c>
    </row>
    <row r="129" spans="1:16">
      <c r="C129" s="11"/>
      <c r="D129" s="11"/>
      <c r="E129" s="11"/>
      <c r="F129" s="11"/>
      <c r="G129" s="11"/>
      <c r="H129" s="11"/>
      <c r="I129" s="11"/>
    </row>
    <row r="130" spans="1:16">
      <c r="B130" s="5" t="str">
        <f>"TOTAL "&amp;UPPER(CHOOSE(Base1_Billing2,$N$9,$N$10))&amp;" REVENUE"</f>
        <v>TOTAL BASE TARIFF REVENUE</v>
      </c>
      <c r="C130" s="11">
        <f ca="1">IF(ROUND(SUM(D130:I130),3)&lt;&gt;ROUND(SUM(C127:C128),3),#VALUE!,SUM(D130:I130))</f>
        <v>536594851.03862274</v>
      </c>
      <c r="D130" s="11">
        <f t="shared" ref="D130:I130" ca="1" si="23">D127+D128</f>
        <v>236489126.47</v>
      </c>
      <c r="E130" s="11">
        <f t="shared" ca="1" si="23"/>
        <v>78265770.688461527</v>
      </c>
      <c r="F130" s="11">
        <f t="shared" ca="1" si="23"/>
        <v>133739039.85076925</v>
      </c>
      <c r="G130" s="11">
        <f t="shared" ca="1" si="23"/>
        <v>69248167.057399988</v>
      </c>
      <c r="H130" s="11">
        <f t="shared" ca="1" si="23"/>
        <v>12224081.970000001</v>
      </c>
      <c r="I130" s="11">
        <f t="shared" si="23"/>
        <v>6628665.0019919993</v>
      </c>
    </row>
    <row r="131" spans="1:16">
      <c r="C131" s="11"/>
      <c r="D131" s="11"/>
      <c r="E131" s="11"/>
      <c r="F131" s="11"/>
      <c r="G131" s="11"/>
      <c r="H131" s="11"/>
      <c r="I131" s="11"/>
    </row>
    <row r="132" spans="1:16">
      <c r="B132" s="5" t="s">
        <v>45</v>
      </c>
      <c r="C132" s="11"/>
      <c r="D132" s="11"/>
      <c r="E132" s="11"/>
      <c r="F132" s="11"/>
      <c r="G132" s="11"/>
      <c r="H132" s="11"/>
      <c r="I132" s="11"/>
    </row>
    <row r="133" spans="1:16">
      <c r="B133" s="193" t="s">
        <v>46</v>
      </c>
      <c r="C133" s="11"/>
      <c r="D133" s="11"/>
      <c r="E133" s="11"/>
      <c r="F133" s="11"/>
      <c r="G133" s="11"/>
      <c r="H133" s="11"/>
      <c r="I133" s="11"/>
      <c r="L133" s="449">
        <f>D8/$D$14</f>
        <v>0.67014046413149253</v>
      </c>
      <c r="N133" s="8">
        <f>$D$134*L133</f>
        <v>-3298050.0545311156</v>
      </c>
      <c r="P133" s="450">
        <f ca="1">N133*(D62/100)</f>
        <v>-267240.99591865629</v>
      </c>
    </row>
    <row r="134" spans="1:16" s="12" customFormat="1">
      <c r="A134" s="339" t="s">
        <v>834</v>
      </c>
      <c r="B134" s="90" t="s">
        <v>437</v>
      </c>
      <c r="C134" s="12">
        <f>SUM(D134:I134)</f>
        <v>-9617800</v>
      </c>
      <c r="D134" s="538">
        <f>'REVRUNS 12ME1219'!P322</f>
        <v>-4921431</v>
      </c>
      <c r="E134" s="538">
        <f>'REVRUNS 12ME1219'!P323</f>
        <v>-1087941</v>
      </c>
      <c r="F134" s="538">
        <f>'REVRUNS 12ME1219'!P324</f>
        <v>-3671502</v>
      </c>
      <c r="G134" s="538"/>
      <c r="H134" s="538">
        <f>'REVRUNS 12ME1219'!P326</f>
        <v>63074</v>
      </c>
      <c r="I134" s="386"/>
      <c r="L134" s="449">
        <f>D9/$D$14</f>
        <v>0.20710089536472007</v>
      </c>
      <c r="M134" s="5"/>
      <c r="N134" s="8">
        <f>$D$134*L134</f>
        <v>-1019232.7665756897</v>
      </c>
      <c r="O134" s="5"/>
      <c r="P134" s="450">
        <f ca="1">N134*(D63/100)</f>
        <v>-96083.072905090259</v>
      </c>
    </row>
    <row r="135" spans="1:16" s="10" customFormat="1">
      <c r="A135" s="341" t="s">
        <v>835</v>
      </c>
      <c r="B135" s="91" t="s">
        <v>438</v>
      </c>
      <c r="D135" s="10">
        <f ca="1">D67</f>
        <v>8.7393395751256353</v>
      </c>
      <c r="E135" s="10">
        <f ca="1">E67</f>
        <v>10.74183989162527</v>
      </c>
      <c r="F135" s="10">
        <f ca="1">F67</f>
        <v>7.4507237259552941</v>
      </c>
      <c r="H135" s="194">
        <f ca="1">H67</f>
        <v>8.3363741166074004</v>
      </c>
      <c r="L135" s="454">
        <f>D10/$D$14</f>
        <v>0.12275864050378736</v>
      </c>
      <c r="M135" s="12"/>
      <c r="N135" s="452">
        <f>$D$134*L135</f>
        <v>-604148.17889319477</v>
      </c>
      <c r="O135" s="106"/>
      <c r="P135" s="453">
        <f ca="1">N135*(D64/100)</f>
        <v>-66776.498213064813</v>
      </c>
    </row>
    <row r="136" spans="1:16" s="11" customFormat="1">
      <c r="A136" s="341"/>
      <c r="B136" s="92" t="s">
        <v>439</v>
      </c>
      <c r="C136" s="11">
        <f ca="1">SUM(D136:I136)</f>
        <v>-815260.84</v>
      </c>
      <c r="D136" s="195">
        <f ca="1">ROUND(D134*D135/100,2)</f>
        <v>-430100.57</v>
      </c>
      <c r="E136" s="195">
        <f ca="1">ROUND(E134*E135/100,2)</f>
        <v>-116864.88</v>
      </c>
      <c r="F136" s="195">
        <f ca="1">ROUND(F134*F135/100,2)</f>
        <v>-273553.46999999997</v>
      </c>
      <c r="G136" s="195"/>
      <c r="H136" s="195">
        <f ca="1">ROUND(H134*H135/100,2)</f>
        <v>5258.08</v>
      </c>
      <c r="I136" s="195"/>
      <c r="L136" s="449">
        <f>SUM(L133:L135)</f>
        <v>1</v>
      </c>
      <c r="M136" s="10"/>
      <c r="N136" s="8">
        <f>SUM(N133:N135)</f>
        <v>-4921431</v>
      </c>
      <c r="O136" s="10"/>
      <c r="P136" s="450">
        <f ca="1">SUM(P133:P135)</f>
        <v>-430100.56703681132</v>
      </c>
    </row>
    <row r="137" spans="1:16" s="11" customFormat="1">
      <c r="A137" s="341"/>
      <c r="B137" s="92"/>
    </row>
    <row r="138" spans="1:16" s="8" customFormat="1" ht="11.25" customHeight="1">
      <c r="A138" s="341" t="s">
        <v>836</v>
      </c>
      <c r="B138" s="92" t="s">
        <v>215</v>
      </c>
      <c r="C138" s="108">
        <f>SUM(D138:I138)</f>
        <v>0</v>
      </c>
      <c r="D138" s="324">
        <v>0</v>
      </c>
      <c r="E138" s="324">
        <v>0</v>
      </c>
      <c r="F138" s="324">
        <v>0</v>
      </c>
      <c r="G138" s="109"/>
      <c r="H138" s="109"/>
      <c r="I138" s="109"/>
    </row>
    <row r="139" spans="1:16" s="10" customFormat="1" ht="11.25" customHeight="1">
      <c r="A139" s="341" t="s">
        <v>835</v>
      </c>
      <c r="B139" s="91" t="s">
        <v>216</v>
      </c>
      <c r="D139" s="194">
        <f ca="1">I226</f>
        <v>9.7746120488289812</v>
      </c>
      <c r="E139" s="194">
        <f ca="1">I245</f>
        <v>8.5879999999999992</v>
      </c>
      <c r="F139" s="10">
        <f ca="1">G278</f>
        <v>7.1628323614999605</v>
      </c>
    </row>
    <row r="140" spans="1:16" s="11" customFormat="1" ht="11.25" customHeight="1">
      <c r="A140" s="341"/>
      <c r="B140" s="92" t="s">
        <v>217</v>
      </c>
      <c r="C140" s="11">
        <f ca="1">SUM(D140:I140)</f>
        <v>0</v>
      </c>
      <c r="D140" s="197">
        <f ca="1">ROUND(D138*D139/100,2)</f>
        <v>0</v>
      </c>
      <c r="E140" s="197">
        <f ca="1">ROUND(E138*E139/100,2)</f>
        <v>0</v>
      </c>
      <c r="F140" s="197">
        <f ca="1">ROUND(F138*F139/100,2)</f>
        <v>0</v>
      </c>
      <c r="G140" s="195"/>
      <c r="H140" s="195"/>
      <c r="I140" s="195"/>
    </row>
    <row r="141" spans="1:16" s="11" customFormat="1" ht="11.25" customHeight="1">
      <c r="A141" s="341"/>
      <c r="B141" s="92"/>
      <c r="D141" s="113"/>
      <c r="E141" s="113"/>
    </row>
    <row r="142" spans="1:16" s="7" customFormat="1">
      <c r="A142" s="339" t="s">
        <v>834</v>
      </c>
      <c r="B142" s="93" t="s">
        <v>218</v>
      </c>
      <c r="C142" s="12">
        <f>IF(ROUND(C134+C138,3)&lt;&gt;ROUND(SUM(D142:I142),3),#VALUE!,C134+C138)</f>
        <v>-9617800</v>
      </c>
      <c r="D142" s="112">
        <f>D134+D138</f>
        <v>-4921431</v>
      </c>
      <c r="E142" s="112">
        <f>E134+E138</f>
        <v>-1087941</v>
      </c>
      <c r="F142" s="12">
        <f>F134+F138</f>
        <v>-3671502</v>
      </c>
      <c r="G142" s="12"/>
      <c r="H142" s="12">
        <f>H134+H138</f>
        <v>63074</v>
      </c>
      <c r="I142" s="12">
        <f>I134+I138</f>
        <v>0</v>
      </c>
    </row>
    <row r="143" spans="1:16" s="11" customFormat="1">
      <c r="A143" s="341"/>
      <c r="B143" s="92" t="s">
        <v>219</v>
      </c>
      <c r="C143" s="11">
        <f ca="1">IF(ROUND(C136+C140,3)&lt;&gt;ROUND(SUM(D143:I143),3),#VALUE!,C136+C140)</f>
        <v>-815260.84</v>
      </c>
      <c r="D143" s="113">
        <f ca="1">D136+D140</f>
        <v>-430100.57</v>
      </c>
      <c r="E143" s="113">
        <f ca="1">E136+E140</f>
        <v>-116864.88</v>
      </c>
      <c r="F143" s="11">
        <f ca="1">F136+F140</f>
        <v>-273553.46999999997</v>
      </c>
      <c r="H143" s="11">
        <f ca="1">H136+H140</f>
        <v>5258.08</v>
      </c>
    </row>
    <row r="144" spans="1:16" ht="13.2">
      <c r="A144" s="340"/>
      <c r="B144" s="193" t="s">
        <v>47</v>
      </c>
      <c r="C144" s="11"/>
      <c r="D144" s="113"/>
      <c r="E144" s="113"/>
      <c r="F144" s="11"/>
      <c r="G144" s="11"/>
      <c r="H144" s="11"/>
      <c r="I144" s="11"/>
    </row>
    <row r="145" spans="1:9" s="8" customFormat="1">
      <c r="A145" s="339" t="s">
        <v>836</v>
      </c>
      <c r="B145" s="91" t="s">
        <v>215</v>
      </c>
      <c r="C145" s="8">
        <f>SUM(D145:I145)</f>
        <v>-42754825</v>
      </c>
      <c r="D145" s="763">
        <v>-35858069</v>
      </c>
      <c r="E145" s="763">
        <v>-4109408</v>
      </c>
      <c r="F145" s="763">
        <v>-2787348</v>
      </c>
      <c r="G145" s="615"/>
      <c r="H145" s="615"/>
      <c r="I145" s="100"/>
    </row>
    <row r="146" spans="1:9" s="10" customFormat="1">
      <c r="A146" s="341" t="s">
        <v>835</v>
      </c>
      <c r="B146" s="91" t="s">
        <v>216</v>
      </c>
      <c r="C146" s="18"/>
      <c r="D146" s="10">
        <f ca="1">I226</f>
        <v>9.7746120488289812</v>
      </c>
      <c r="E146" s="10">
        <f ca="1">I245</f>
        <v>8.5879999999999992</v>
      </c>
      <c r="F146" s="10">
        <f ca="1">G278</f>
        <v>7.1628323614999605</v>
      </c>
    </row>
    <row r="147" spans="1:9" s="11" customFormat="1">
      <c r="A147" s="1"/>
      <c r="B147" s="92" t="s">
        <v>217</v>
      </c>
      <c r="C147" s="11">
        <f ca="1">SUM(D147:I147)</f>
        <v>-4057556.15</v>
      </c>
      <c r="D147" s="195">
        <f ca="1">ROUND(D145*D146/100,2)</f>
        <v>-3504987.13</v>
      </c>
      <c r="E147" s="195">
        <f ca="1">ROUND(E145*E146/100,2)</f>
        <v>-352915.96</v>
      </c>
      <c r="F147" s="195">
        <f ca="1">ROUND(F145*F146/100,2)</f>
        <v>-199653.06</v>
      </c>
      <c r="G147" s="195"/>
      <c r="H147" s="195"/>
      <c r="I147" s="195"/>
    </row>
    <row r="148" spans="1:9">
      <c r="C148" s="11"/>
      <c r="D148" s="11"/>
      <c r="E148" s="11"/>
      <c r="F148" s="11"/>
      <c r="G148" s="11"/>
      <c r="H148" s="11"/>
      <c r="I148" s="11"/>
    </row>
    <row r="149" spans="1:9">
      <c r="B149" s="5" t="s">
        <v>48</v>
      </c>
      <c r="C149" s="11">
        <f ca="1">IF(ROUND(C143+C147,3)&lt;&gt;ROUND(SUM(D149:I149),3),#VALUE!,C143+C147)</f>
        <v>-4872816.99</v>
      </c>
      <c r="D149" s="11">
        <f ca="1">D147+D143</f>
        <v>-3935087.6999999997</v>
      </c>
      <c r="E149" s="11">
        <f ca="1">E147+E143</f>
        <v>-469780.84</v>
      </c>
      <c r="F149" s="11">
        <f ca="1">F147+F143</f>
        <v>-473206.52999999997</v>
      </c>
      <c r="G149" s="11"/>
      <c r="H149" s="11">
        <f ca="1">H147+H143</f>
        <v>5258.08</v>
      </c>
      <c r="I149" s="11"/>
    </row>
    <row r="150" spans="1:9">
      <c r="B150" s="5" t="str">
        <f>B130</f>
        <v>TOTAL BASE TARIFF REVENUE</v>
      </c>
      <c r="C150" s="12">
        <f t="shared" ref="C150:I150" ca="1" si="24">C130</f>
        <v>536594851.03862274</v>
      </c>
      <c r="D150" s="12">
        <f t="shared" ca="1" si="24"/>
        <v>236489126.47</v>
      </c>
      <c r="E150" s="12">
        <f t="shared" ca="1" si="24"/>
        <v>78265770.688461527</v>
      </c>
      <c r="F150" s="12">
        <f t="shared" ca="1" si="24"/>
        <v>133739039.85076925</v>
      </c>
      <c r="G150" s="12">
        <f t="shared" ca="1" si="24"/>
        <v>69248167.057399988</v>
      </c>
      <c r="H150" s="12">
        <f t="shared" ca="1" si="24"/>
        <v>12224081.970000001</v>
      </c>
      <c r="I150" s="12">
        <f t="shared" si="24"/>
        <v>6628665.0019919993</v>
      </c>
    </row>
    <row r="151" spans="1:9">
      <c r="C151" s="195"/>
      <c r="D151" s="195"/>
      <c r="E151" s="195"/>
      <c r="F151" s="195"/>
      <c r="G151" s="195"/>
      <c r="H151" s="195"/>
      <c r="I151" s="195"/>
    </row>
    <row r="152" spans="1:9">
      <c r="B152" s="5" t="s">
        <v>49</v>
      </c>
      <c r="C152" s="11">
        <f ca="1">IF(ROUND(C149+C150,3)&lt;&gt;ROUND(SUM(D152:I152),3),#VALUE!,SUM(D152:I152))</f>
        <v>531722034.04862279</v>
      </c>
      <c r="D152" s="11">
        <f t="shared" ref="D152:I152" ca="1" si="25">D149+D150</f>
        <v>232554038.77000001</v>
      </c>
      <c r="E152" s="11">
        <f t="shared" ca="1" si="25"/>
        <v>77795989.848461524</v>
      </c>
      <c r="F152" s="11">
        <f t="shared" ca="1" si="25"/>
        <v>133265833.32076925</v>
      </c>
      <c r="G152" s="11">
        <f t="shared" ca="1" si="25"/>
        <v>69248167.057399988</v>
      </c>
      <c r="H152" s="11">
        <f t="shared" ca="1" si="25"/>
        <v>12229340.050000001</v>
      </c>
      <c r="I152" s="11">
        <f t="shared" si="25"/>
        <v>6628665.0019919993</v>
      </c>
    </row>
    <row r="153" spans="1:9">
      <c r="C153" s="11"/>
      <c r="D153" s="11"/>
      <c r="E153" s="220"/>
      <c r="F153" s="11"/>
      <c r="G153" s="11"/>
      <c r="H153" s="11"/>
      <c r="I153" s="11"/>
    </row>
    <row r="154" spans="1:9">
      <c r="C154" s="11"/>
      <c r="D154" s="11"/>
      <c r="E154" s="11"/>
      <c r="F154" s="11"/>
      <c r="G154" s="11"/>
      <c r="H154" s="11"/>
      <c r="I154" s="11"/>
    </row>
    <row r="155" spans="1:9">
      <c r="C155" s="675"/>
      <c r="D155" s="11"/>
      <c r="E155" s="11"/>
      <c r="F155" s="11"/>
      <c r="G155" s="11"/>
      <c r="H155" s="11"/>
      <c r="I155" s="11"/>
    </row>
    <row r="156" spans="1:9">
      <c r="C156" s="11"/>
      <c r="D156" s="11"/>
      <c r="E156" s="11"/>
      <c r="F156" s="11"/>
      <c r="G156" s="11"/>
      <c r="H156" s="11"/>
      <c r="I156" s="11"/>
    </row>
    <row r="157" spans="1:9">
      <c r="C157" s="11"/>
      <c r="D157" s="11"/>
      <c r="E157" s="11"/>
      <c r="F157" s="11"/>
      <c r="G157" s="11"/>
      <c r="H157" s="11"/>
      <c r="I157" s="11"/>
    </row>
    <row r="158" spans="1:9">
      <c r="C158" s="11"/>
      <c r="D158" s="11"/>
      <c r="E158" s="11"/>
      <c r="F158" s="11"/>
      <c r="G158" s="11"/>
      <c r="H158" s="11"/>
      <c r="I158" s="11"/>
    </row>
    <row r="159" spans="1:9">
      <c r="C159" s="11"/>
      <c r="D159" s="11"/>
      <c r="E159" s="11"/>
      <c r="F159" s="11"/>
      <c r="G159" s="11"/>
      <c r="H159" s="11"/>
      <c r="I159" s="11"/>
    </row>
    <row r="160" spans="1:9" s="2" customFormat="1">
      <c r="A160" s="1" t="s">
        <v>0</v>
      </c>
      <c r="C160" s="2" t="s">
        <v>1</v>
      </c>
      <c r="D160" s="2" t="s">
        <v>2</v>
      </c>
      <c r="E160" s="2" t="s">
        <v>3</v>
      </c>
      <c r="F160" s="2" t="s">
        <v>4</v>
      </c>
      <c r="G160" s="2" t="s">
        <v>5</v>
      </c>
      <c r="H160" s="2" t="s">
        <v>6</v>
      </c>
      <c r="I160" s="2" t="s">
        <v>7</v>
      </c>
    </row>
    <row r="161" spans="1:9" s="2" customFormat="1">
      <c r="A161" s="1" t="s">
        <v>8</v>
      </c>
      <c r="C161" s="3" t="s">
        <v>9</v>
      </c>
      <c r="D161" s="3" t="s">
        <v>10</v>
      </c>
      <c r="E161" s="3" t="s">
        <v>11</v>
      </c>
      <c r="F161" s="3" t="s">
        <v>12</v>
      </c>
      <c r="G161" s="3" t="s">
        <v>13</v>
      </c>
      <c r="H161" s="3" t="s">
        <v>14</v>
      </c>
      <c r="I161" s="3" t="s">
        <v>15</v>
      </c>
    </row>
    <row r="162" spans="1:9">
      <c r="B162" s="4" t="s">
        <v>50</v>
      </c>
      <c r="C162" s="11"/>
      <c r="D162" s="11"/>
      <c r="E162" s="11"/>
      <c r="F162" s="11"/>
      <c r="G162" s="11"/>
      <c r="H162" s="11"/>
      <c r="I162" s="11"/>
    </row>
    <row r="163" spans="1:9">
      <c r="B163" s="5" t="str">
        <f>UPPER(CHOOSE(Base1_Billing2,$N$9,$N$10))&amp;" REVENUE"</f>
        <v>BASE TARIFF REVENUE</v>
      </c>
      <c r="C163" s="11"/>
      <c r="D163" s="11"/>
      <c r="E163" s="11"/>
      <c r="F163" s="11"/>
      <c r="G163" s="11"/>
      <c r="H163" s="11"/>
      <c r="I163" s="11"/>
    </row>
    <row r="164" spans="1:9">
      <c r="B164" s="89" t="s">
        <v>33</v>
      </c>
      <c r="C164" s="11">
        <f t="shared" ref="C164:C175" ca="1" si="26">SUM(D164:I164)</f>
        <v>32001513</v>
      </c>
      <c r="D164" s="11">
        <f ca="1">D48*D76</f>
        <v>23575653</v>
      </c>
      <c r="E164" s="11">
        <f ca="1">E48*E76</f>
        <v>7836020</v>
      </c>
      <c r="F164" s="11"/>
      <c r="G164" s="11"/>
      <c r="H164" s="11">
        <f ca="1">H48*H76</f>
        <v>589840</v>
      </c>
      <c r="I164" s="11"/>
    </row>
    <row r="165" spans="1:9">
      <c r="B165" s="89" t="s">
        <v>34</v>
      </c>
      <c r="C165" s="12">
        <f t="shared" si="26"/>
        <v>0</v>
      </c>
      <c r="D165" s="12">
        <f>D49*D77</f>
        <v>0</v>
      </c>
      <c r="E165" s="12"/>
      <c r="F165" s="12"/>
      <c r="G165" s="12"/>
      <c r="H165" s="12"/>
      <c r="I165" s="12"/>
    </row>
    <row r="166" spans="1:9">
      <c r="B166" s="89" t="s">
        <v>18</v>
      </c>
      <c r="C166" s="12">
        <f t="shared" ca="1" si="26"/>
        <v>316794263.22999996</v>
      </c>
      <c r="D166" s="12">
        <f t="shared" ref="D166:H168" ca="1" si="27">ROUND(D31*D79/100,2)</f>
        <v>144521272.84</v>
      </c>
      <c r="E166" s="12">
        <f t="shared" ca="1" si="27"/>
        <v>55870724.020000003</v>
      </c>
      <c r="F166" s="12">
        <f t="shared" ca="1" si="27"/>
        <v>102724454.91</v>
      </c>
      <c r="G166" s="12">
        <f t="shared" ca="1" si="27"/>
        <v>8441460</v>
      </c>
      <c r="H166" s="12">
        <f ca="1">ROUND(H31*H79/100,2)</f>
        <v>5236351.46</v>
      </c>
      <c r="I166" s="12"/>
    </row>
    <row r="167" spans="1:9">
      <c r="B167" s="89" t="s">
        <v>19</v>
      </c>
      <c r="C167" s="12">
        <f t="shared" ca="1" si="26"/>
        <v>119379526.01000001</v>
      </c>
      <c r="D167" s="12">
        <f t="shared" ca="1" si="27"/>
        <v>51963879.280000001</v>
      </c>
      <c r="E167" s="12">
        <f t="shared" ca="1" si="27"/>
        <v>17999341.059999999</v>
      </c>
      <c r="F167" s="12">
        <f t="shared" ca="1" si="27"/>
        <v>10929815</v>
      </c>
      <c r="G167" s="12">
        <f t="shared" ca="1" si="27"/>
        <v>31072372.899999999</v>
      </c>
      <c r="H167" s="12">
        <f t="shared" ca="1" si="27"/>
        <v>7414117.7699999996</v>
      </c>
      <c r="I167" s="12"/>
    </row>
    <row r="168" spans="1:9">
      <c r="B168" s="89" t="s">
        <v>20</v>
      </c>
      <c r="C168" s="12">
        <f t="shared" ca="1" si="26"/>
        <v>54149104.490000002</v>
      </c>
      <c r="D168" s="12">
        <f ca="1">ROUND(D33*D81/100,2)</f>
        <v>36113014.32</v>
      </c>
      <c r="E168" s="12"/>
      <c r="F168" s="12"/>
      <c r="G168" s="12">
        <f t="shared" ca="1" si="27"/>
        <v>18036090.170000002</v>
      </c>
      <c r="H168" s="12"/>
      <c r="I168" s="12"/>
    </row>
    <row r="169" spans="1:9">
      <c r="B169" s="89" t="s">
        <v>21</v>
      </c>
      <c r="C169" s="12">
        <f t="shared" si="26"/>
        <v>0</v>
      </c>
      <c r="D169" s="12">
        <f>ROUND(D34*D82/100,2)</f>
        <v>0</v>
      </c>
      <c r="E169" s="12"/>
      <c r="F169" s="12"/>
      <c r="G169" s="12"/>
      <c r="H169" s="12"/>
      <c r="I169" s="12"/>
    </row>
    <row r="170" spans="1:9">
      <c r="B170" s="89" t="s">
        <v>40</v>
      </c>
      <c r="C170" s="12">
        <f t="shared" ca="1" si="26"/>
        <v>21076950</v>
      </c>
      <c r="D170" s="12"/>
      <c r="E170" s="12"/>
      <c r="F170" s="12">
        <f ca="1">ROUND(F48*F86,2)</f>
        <v>12617550</v>
      </c>
      <c r="G170" s="12">
        <f ca="1">ROUND(G48*G86,2)</f>
        <v>8459400</v>
      </c>
      <c r="H170" s="12"/>
      <c r="I170" s="12"/>
    </row>
    <row r="171" spans="1:9">
      <c r="B171" s="89" t="s">
        <v>41</v>
      </c>
      <c r="C171" s="12">
        <f t="shared" ca="1" si="26"/>
        <v>32216778.039999999</v>
      </c>
      <c r="D171" s="12"/>
      <c r="E171" s="12">
        <f ca="1">ROUND(E50*E87,2)</f>
        <v>3068155.84</v>
      </c>
      <c r="F171" s="12">
        <f ca="1">ROUND(F50*F87,2)</f>
        <v>18536249.210000001</v>
      </c>
      <c r="G171" s="12">
        <f ca="1">ROUND(G50*G87,2)</f>
        <v>10612372.99</v>
      </c>
      <c r="H171" s="12"/>
      <c r="I171" s="12"/>
    </row>
    <row r="172" spans="1:9">
      <c r="B172" s="89" t="s">
        <v>211</v>
      </c>
      <c r="C172" s="12">
        <f t="shared" si="26"/>
        <v>126292.44</v>
      </c>
      <c r="D172" s="12"/>
      <c r="E172" s="12">
        <f>E119</f>
        <v>0</v>
      </c>
      <c r="F172" s="12">
        <f>F119</f>
        <v>126292.44</v>
      </c>
      <c r="G172" s="12"/>
      <c r="H172" s="12">
        <f>H119</f>
        <v>0</v>
      </c>
      <c r="I172" s="12"/>
    </row>
    <row r="173" spans="1:9">
      <c r="B173" s="89" t="s">
        <v>212</v>
      </c>
      <c r="C173" s="12">
        <f t="shared" si="26"/>
        <v>-1683452.7990999999</v>
      </c>
      <c r="D173" s="12"/>
      <c r="E173" s="12"/>
      <c r="F173" s="12">
        <f>F120</f>
        <v>-65169.210000000006</v>
      </c>
      <c r="G173" s="112">
        <f>'WA Sch 25'!P121</f>
        <v>-1618283.5891</v>
      </c>
      <c r="H173" s="12"/>
      <c r="I173" s="12"/>
    </row>
    <row r="174" spans="1:9">
      <c r="B174" s="89" t="s">
        <v>213</v>
      </c>
      <c r="C174" s="12">
        <f t="shared" si="26"/>
        <v>0</v>
      </c>
      <c r="D174" s="12"/>
      <c r="E174" s="12"/>
      <c r="F174" s="12"/>
      <c r="G174" s="12">
        <v>0</v>
      </c>
      <c r="H174" s="12"/>
      <c r="I174" s="12"/>
    </row>
    <row r="175" spans="1:9">
      <c r="A175" s="342" t="s">
        <v>833</v>
      </c>
      <c r="B175" s="89" t="s">
        <v>214</v>
      </c>
      <c r="C175" s="104">
        <f t="shared" si="26"/>
        <v>7178826.1219920004</v>
      </c>
      <c r="D175" s="104"/>
      <c r="E175" s="248"/>
      <c r="F175" s="248"/>
      <c r="G175" s="248"/>
      <c r="H175" s="248"/>
      <c r="I175" s="250">
        <f>'Lighting summary'!G19</f>
        <v>7178826.1219920004</v>
      </c>
    </row>
    <row r="176" spans="1:9">
      <c r="C176" s="11"/>
      <c r="D176" s="11"/>
      <c r="E176" s="11"/>
      <c r="F176" s="11"/>
      <c r="G176" s="11"/>
      <c r="H176" s="11"/>
      <c r="I176" s="11"/>
    </row>
    <row r="177" spans="1:9">
      <c r="B177" s="5" t="s">
        <v>23</v>
      </c>
      <c r="C177" s="11">
        <f ca="1">IF(ROUND(SUM(C164:C175),3)&lt;&gt;ROUND(SUM(D177:I177),3),#VALUE!,SUM(D177:I177))</f>
        <v>581239800.53289211</v>
      </c>
      <c r="D177" s="11">
        <f t="shared" ref="D177:I177" ca="1" si="28">SUM(D164:D175)</f>
        <v>256173819.44</v>
      </c>
      <c r="E177" s="11">
        <f t="shared" ca="1" si="28"/>
        <v>84774240.920000002</v>
      </c>
      <c r="F177" s="11">
        <f t="shared" ca="1" si="28"/>
        <v>144869192.34999999</v>
      </c>
      <c r="G177" s="11">
        <f t="shared" ca="1" si="28"/>
        <v>75003412.470899999</v>
      </c>
      <c r="H177" s="11">
        <f t="shared" ca="1" si="28"/>
        <v>13240309.23</v>
      </c>
      <c r="I177" s="11">
        <f t="shared" si="28"/>
        <v>7178826.1219920004</v>
      </c>
    </row>
    <row r="178" spans="1:9">
      <c r="B178" s="88"/>
      <c r="C178" s="104">
        <f ca="1">SUM(D178:I178)</f>
        <v>0</v>
      </c>
      <c r="D178" s="104">
        <f ca="1">ROUND(D38*D84/100,2)</f>
        <v>0</v>
      </c>
      <c r="E178" s="104">
        <f ca="1">ROUND(E38*E84/100,2)</f>
        <v>0</v>
      </c>
      <c r="F178" s="104">
        <f ca="1">ROUND(F38*F84/100,2)</f>
        <v>0</v>
      </c>
      <c r="G178" s="104">
        <f ca="1">ROUND(G38*G80/100,2)</f>
        <v>0</v>
      </c>
      <c r="H178" s="104">
        <f ca="1">ROUND(H38*H84/100,2)</f>
        <v>0</v>
      </c>
      <c r="I178" s="104">
        <v>0</v>
      </c>
    </row>
    <row r="179" spans="1:9">
      <c r="C179" s="11"/>
      <c r="D179" s="11"/>
      <c r="E179" s="94"/>
      <c r="F179" s="94"/>
      <c r="G179" s="11"/>
      <c r="H179" s="11"/>
      <c r="I179" s="11"/>
    </row>
    <row r="180" spans="1:9">
      <c r="B180" s="5" t="s">
        <v>23</v>
      </c>
      <c r="C180" s="11">
        <f ca="1">SUM(D180:I180)</f>
        <v>581239800.53289211</v>
      </c>
      <c r="D180" s="11">
        <f t="shared" ref="D180:I180" ca="1" si="29">D177+D178</f>
        <v>256173819.44</v>
      </c>
      <c r="E180" s="11">
        <f t="shared" ca="1" si="29"/>
        <v>84774240.920000002</v>
      </c>
      <c r="F180" s="11">
        <f t="shared" ca="1" si="29"/>
        <v>144869192.34999999</v>
      </c>
      <c r="G180" s="11">
        <f t="shared" ca="1" si="29"/>
        <v>75003412.470899999</v>
      </c>
      <c r="H180" s="11">
        <f t="shared" ca="1" si="29"/>
        <v>13240309.23</v>
      </c>
      <c r="I180" s="11">
        <f t="shared" si="29"/>
        <v>7178826.1219920004</v>
      </c>
    </row>
    <row r="181" spans="1:9">
      <c r="B181" s="5" t="s">
        <v>44</v>
      </c>
      <c r="C181" s="12">
        <f ca="1">SUM(D181:I181)</f>
        <v>0</v>
      </c>
      <c r="D181" s="12">
        <f t="shared" ref="D181:I181" ca="1" si="30">ROUND(D41*D84/100,2)</f>
        <v>0</v>
      </c>
      <c r="E181" s="12">
        <f t="shared" ca="1" si="30"/>
        <v>0</v>
      </c>
      <c r="F181" s="12">
        <f t="shared" ca="1" si="30"/>
        <v>0</v>
      </c>
      <c r="G181" s="12">
        <f t="shared" si="30"/>
        <v>0</v>
      </c>
      <c r="H181" s="12">
        <f t="shared" ca="1" si="30"/>
        <v>0</v>
      </c>
      <c r="I181" s="12">
        <f t="shared" si="30"/>
        <v>0</v>
      </c>
    </row>
    <row r="182" spans="1:9">
      <c r="C182" s="195"/>
      <c r="D182" s="195"/>
      <c r="E182" s="195"/>
      <c r="F182" s="195"/>
      <c r="G182" s="195"/>
      <c r="H182" s="195"/>
      <c r="I182" s="195"/>
    </row>
    <row r="183" spans="1:9">
      <c r="B183" s="5" t="str">
        <f>"SUBTOTAL "&amp;UPPER(CHOOSE(Base1_Billing2,$N$9,$N$10))&amp;" REVENUE"</f>
        <v>SUBTOTAL BASE TARIFF REVENUE</v>
      </c>
      <c r="C183" s="11">
        <f ca="1">IF(ROUND(SUM(D183:I183),3)&lt;&gt;ROUND(SUM(C180:C181),3),#VALUE!,SUM(D183:I183))</f>
        <v>581239800.53289211</v>
      </c>
      <c r="D183" s="11">
        <f t="shared" ref="D183:I183" ca="1" si="31">D180+D181</f>
        <v>256173819.44</v>
      </c>
      <c r="E183" s="11">
        <f t="shared" ca="1" si="31"/>
        <v>84774240.920000002</v>
      </c>
      <c r="F183" s="11">
        <f t="shared" ca="1" si="31"/>
        <v>144869192.34999999</v>
      </c>
      <c r="G183" s="11">
        <f t="shared" ca="1" si="31"/>
        <v>75003412.470899999</v>
      </c>
      <c r="H183" s="11">
        <f t="shared" ca="1" si="31"/>
        <v>13240309.23</v>
      </c>
      <c r="I183" s="11">
        <f t="shared" si="31"/>
        <v>7178826.1219920004</v>
      </c>
    </row>
    <row r="184" spans="1:9">
      <c r="C184" s="11"/>
      <c r="D184" s="11"/>
      <c r="E184" s="11"/>
      <c r="F184" s="11"/>
      <c r="G184" s="11"/>
      <c r="H184" s="11"/>
      <c r="I184" s="11"/>
    </row>
    <row r="185" spans="1:9">
      <c r="B185" s="5" t="s">
        <v>45</v>
      </c>
      <c r="C185" s="11"/>
      <c r="D185" s="11"/>
      <c r="E185" s="11"/>
      <c r="F185" s="11"/>
      <c r="G185" s="11"/>
      <c r="H185" s="11"/>
      <c r="I185" s="11"/>
    </row>
    <row r="186" spans="1:9">
      <c r="B186" s="193" t="s">
        <v>46</v>
      </c>
      <c r="C186" s="11"/>
      <c r="D186" s="11"/>
      <c r="E186" s="11"/>
      <c r="F186" s="11"/>
      <c r="G186" s="11"/>
      <c r="H186" s="11"/>
      <c r="I186" s="11"/>
    </row>
    <row r="187" spans="1:9" s="8" customFormat="1">
      <c r="A187" s="1"/>
      <c r="B187" s="91" t="s">
        <v>437</v>
      </c>
      <c r="C187" s="108">
        <f>SUM(D187:I187)</f>
        <v>-9617800</v>
      </c>
      <c r="D187" s="12">
        <f>D134</f>
        <v>-4921431</v>
      </c>
      <c r="E187" s="12">
        <f>E134</f>
        <v>-1087941</v>
      </c>
      <c r="F187" s="12">
        <f>F134</f>
        <v>-3671502</v>
      </c>
      <c r="G187" s="12"/>
      <c r="H187" s="12">
        <f>H134</f>
        <v>63074</v>
      </c>
      <c r="I187" s="108"/>
    </row>
    <row r="188" spans="1:9" s="10" customFormat="1">
      <c r="A188" s="1"/>
      <c r="B188" s="91" t="s">
        <v>438</v>
      </c>
      <c r="D188" s="10">
        <f ca="1">D84</f>
        <v>9.5473260942181337</v>
      </c>
      <c r="E188" s="10">
        <f ca="1">E84</f>
        <v>11.779715335426012</v>
      </c>
      <c r="F188" s="10">
        <f ca="1">F84</f>
        <v>8.2595840546291566</v>
      </c>
      <c r="H188" s="194">
        <f ca="1">H84</f>
        <v>9.064539359233418</v>
      </c>
    </row>
    <row r="189" spans="1:9" s="11" customFormat="1">
      <c r="A189" s="1"/>
      <c r="B189" s="91" t="s">
        <v>439</v>
      </c>
      <c r="C189" s="11">
        <f ca="1">SUM(D189:I189)</f>
        <v>-895554.84</v>
      </c>
      <c r="D189" s="195">
        <f ca="1">ROUND(D187*D188/100,2)</f>
        <v>-469865.07</v>
      </c>
      <c r="E189" s="195">
        <f ca="1">ROUND(E187*E188/100,2)</f>
        <v>-128156.35</v>
      </c>
      <c r="F189" s="195">
        <f ca="1">ROUND(F187*F188/100,2)</f>
        <v>-303250.78999999998</v>
      </c>
      <c r="G189" s="195"/>
      <c r="H189" s="195">
        <f ca="1">ROUND(H187*H188/100,2)</f>
        <v>5717.37</v>
      </c>
      <c r="I189" s="195"/>
    </row>
    <row r="190" spans="1:9" s="11" customFormat="1">
      <c r="A190" s="1"/>
      <c r="B190" s="91"/>
    </row>
    <row r="191" spans="1:9" s="8" customFormat="1">
      <c r="A191" s="1"/>
      <c r="B191" s="91" t="s">
        <v>215</v>
      </c>
      <c r="C191" s="108">
        <f>SUM(D191:I191)</f>
        <v>0</v>
      </c>
      <c r="D191" s="108">
        <f>D138</f>
        <v>0</v>
      </c>
      <c r="E191" s="108">
        <f>E138</f>
        <v>0</v>
      </c>
      <c r="F191" s="108">
        <f>F138</f>
        <v>0</v>
      </c>
      <c r="G191" s="108"/>
      <c r="H191" s="108"/>
      <c r="I191" s="108"/>
    </row>
    <row r="192" spans="1:9" s="10" customFormat="1">
      <c r="A192" s="1"/>
      <c r="B192" s="91" t="s">
        <v>216</v>
      </c>
      <c r="D192" s="10">
        <f ca="1">I235</f>
        <v>10.678564812635475</v>
      </c>
      <c r="E192" s="10">
        <f ca="1">I253</f>
        <v>9.4179999999999993</v>
      </c>
      <c r="F192" s="10">
        <f ca="1">G286</f>
        <v>7.9404388262401273</v>
      </c>
    </row>
    <row r="193" spans="1:15" s="11" customFormat="1">
      <c r="A193" s="1"/>
      <c r="B193" s="91" t="s">
        <v>217</v>
      </c>
      <c r="C193" s="11">
        <f ca="1">SUM(D193:I193)</f>
        <v>0</v>
      </c>
      <c r="D193" s="195">
        <f ca="1">ROUND(D191*D192/100,2)</f>
        <v>0</v>
      </c>
      <c r="E193" s="195">
        <f ca="1">ROUND(E191*E192/100,2)</f>
        <v>0</v>
      </c>
      <c r="F193" s="195">
        <f ca="1">ROUND(F191*F192/100,2)</f>
        <v>0</v>
      </c>
      <c r="G193" s="195"/>
      <c r="H193" s="195"/>
      <c r="I193" s="195"/>
    </row>
    <row r="194" spans="1:15" s="11" customFormat="1">
      <c r="A194" s="1"/>
      <c r="B194" s="91"/>
    </row>
    <row r="195" spans="1:15" s="7" customFormat="1">
      <c r="A195" s="1"/>
      <c r="B195" s="91" t="s">
        <v>218</v>
      </c>
      <c r="C195" s="12">
        <f>IF(ROUND(C187+C191,3)&lt;&gt;ROUND(SUM(D195:I195),3),#VALUE!,SUM(D195:I195))</f>
        <v>-9617800</v>
      </c>
      <c r="D195" s="12">
        <f>D187+D191</f>
        <v>-4921431</v>
      </c>
      <c r="E195" s="12">
        <f>E187+E191</f>
        <v>-1087941</v>
      </c>
      <c r="F195" s="12">
        <f>F187+F191</f>
        <v>-3671502</v>
      </c>
      <c r="G195" s="12"/>
      <c r="H195" s="12">
        <f>H187+H191</f>
        <v>63074</v>
      </c>
      <c r="I195" s="12"/>
    </row>
    <row r="196" spans="1:15" s="11" customFormat="1">
      <c r="A196" s="1"/>
      <c r="B196" s="91" t="s">
        <v>219</v>
      </c>
      <c r="C196" s="11">
        <f ca="1">IF(ROUND(C189+C193,3)&lt;&gt;ROUND(SUM(D196:I196),3),#VALUE!,SUM(D196:I196))</f>
        <v>-895554.84</v>
      </c>
      <c r="D196" s="11">
        <f ca="1">D189+D193</f>
        <v>-469865.07</v>
      </c>
      <c r="E196" s="11">
        <f ca="1">E189+E193</f>
        <v>-128156.35</v>
      </c>
      <c r="F196" s="11">
        <f ca="1">F189+F193</f>
        <v>-303250.78999999998</v>
      </c>
      <c r="H196" s="11">
        <f ca="1">H189+H193</f>
        <v>5717.37</v>
      </c>
    </row>
    <row r="197" spans="1:15">
      <c r="B197" s="193" t="s">
        <v>47</v>
      </c>
      <c r="C197" s="11"/>
      <c r="D197" s="11"/>
      <c r="E197" s="11"/>
      <c r="F197" s="11"/>
      <c r="G197" s="11"/>
      <c r="H197" s="11"/>
      <c r="I197" s="11"/>
    </row>
    <row r="198" spans="1:15" s="8" customFormat="1">
      <c r="A198" s="1"/>
      <c r="B198" s="91" t="s">
        <v>215</v>
      </c>
      <c r="C198" s="108">
        <f>SUM(D198:I198)</f>
        <v>-42754825</v>
      </c>
      <c r="D198" s="108">
        <f>D145</f>
        <v>-35858069</v>
      </c>
      <c r="E198" s="108">
        <f>E145</f>
        <v>-4109408</v>
      </c>
      <c r="F198" s="108">
        <f>F145</f>
        <v>-2787348</v>
      </c>
      <c r="G198" s="108"/>
      <c r="H198" s="108"/>
      <c r="I198" s="108"/>
    </row>
    <row r="199" spans="1:15" s="10" customFormat="1">
      <c r="A199" s="1"/>
      <c r="B199" s="91" t="s">
        <v>216</v>
      </c>
      <c r="C199" s="18" t="s">
        <v>1</v>
      </c>
      <c r="D199" s="10">
        <f ca="1">I235</f>
        <v>10.678564812635475</v>
      </c>
      <c r="E199" s="10">
        <f ca="1">I253</f>
        <v>9.4179999999999993</v>
      </c>
      <c r="F199" s="10">
        <f ca="1">G286</f>
        <v>7.9404388262401273</v>
      </c>
    </row>
    <row r="200" spans="1:15" s="11" customFormat="1">
      <c r="A200" s="1"/>
      <c r="B200" s="92" t="s">
        <v>217</v>
      </c>
      <c r="C200" s="11">
        <f ca="1">SUM(D200:I200)</f>
        <v>-4437478.8500000006</v>
      </c>
      <c r="D200" s="195">
        <f ca="1">ROUND(D198*D199/100,2)</f>
        <v>-3829127.14</v>
      </c>
      <c r="E200" s="195">
        <f ca="1">ROUND(E198*E199/100,2)</f>
        <v>-387024.05</v>
      </c>
      <c r="F200" s="195">
        <f ca="1">ROUND(F198*F199/100,2)</f>
        <v>-221327.66</v>
      </c>
      <c r="G200" s="195"/>
      <c r="H200" s="195"/>
      <c r="I200" s="195"/>
    </row>
    <row r="201" spans="1:15" s="11" customFormat="1">
      <c r="A201" s="1"/>
      <c r="C201" s="94"/>
      <c r="D201" s="94"/>
      <c r="E201" s="94"/>
      <c r="F201" s="94"/>
      <c r="G201" s="94"/>
      <c r="H201" s="94"/>
      <c r="I201" s="94"/>
    </row>
    <row r="202" spans="1:15">
      <c r="B202" s="5" t="s">
        <v>48</v>
      </c>
      <c r="C202" s="195">
        <f ca="1">IF(ROUND(SUM(D202:I202),3)&lt;&gt;ROUND(C196+C200,3),#VALUE!,SUM(D202:I202))</f>
        <v>-5333033.6900000004</v>
      </c>
      <c r="D202" s="195">
        <f ca="1">D200+D196</f>
        <v>-4298992.21</v>
      </c>
      <c r="E202" s="195">
        <f ca="1">E200+E196</f>
        <v>-515180.4</v>
      </c>
      <c r="F202" s="195">
        <f ca="1">F200+F196</f>
        <v>-524578.44999999995</v>
      </c>
      <c r="G202" s="195"/>
      <c r="H202" s="195">
        <f ca="1">H200+H196</f>
        <v>5717.37</v>
      </c>
      <c r="I202" s="195"/>
    </row>
    <row r="203" spans="1:15">
      <c r="B203" s="5" t="str">
        <f>"TOTAL "&amp;UPPER(CHOOSE(Base1_Billing2,$N$9,$N$10))&amp;" REVENUE"</f>
        <v>TOTAL BASE TARIFF REVENUE</v>
      </c>
      <c r="C203" s="12">
        <f ca="1">SUM(D203:I203)</f>
        <v>581239800.53289211</v>
      </c>
      <c r="D203" s="12">
        <f t="shared" ref="D203:I203" ca="1" si="32">D183</f>
        <v>256173819.44</v>
      </c>
      <c r="E203" s="12">
        <f t="shared" ca="1" si="32"/>
        <v>84774240.920000002</v>
      </c>
      <c r="F203" s="12">
        <f t="shared" ca="1" si="32"/>
        <v>144869192.34999999</v>
      </c>
      <c r="G203" s="12">
        <f t="shared" ca="1" si="32"/>
        <v>75003412.470899999</v>
      </c>
      <c r="H203" s="12">
        <f t="shared" ca="1" si="32"/>
        <v>13240309.23</v>
      </c>
      <c r="I203" s="12">
        <f t="shared" si="32"/>
        <v>7178826.1219920004</v>
      </c>
    </row>
    <row r="204" spans="1:15">
      <c r="B204" s="5" t="s">
        <v>51</v>
      </c>
      <c r="C204" s="195">
        <f ca="1">IF(ROUND(SUM(D204:I204),3)&lt;&gt;ROUND(SUM(C202:C203),3),#VALUE!,SUM(D204:I204))</f>
        <v>575906766.84289193</v>
      </c>
      <c r="D204" s="195">
        <f t="shared" ref="D204:I204" ca="1" si="33">D202+D203</f>
        <v>251874827.22999999</v>
      </c>
      <c r="E204" s="195">
        <f t="shared" ca="1" si="33"/>
        <v>84259060.519999996</v>
      </c>
      <c r="F204" s="195">
        <f t="shared" ca="1" si="33"/>
        <v>144344613.90000001</v>
      </c>
      <c r="G204" s="195">
        <f t="shared" ca="1" si="33"/>
        <v>75003412.470899999</v>
      </c>
      <c r="H204" s="195">
        <f t="shared" ca="1" si="33"/>
        <v>13246026.6</v>
      </c>
      <c r="I204" s="195">
        <f t="shared" si="33"/>
        <v>7178826.1219920004</v>
      </c>
      <c r="L204" s="11"/>
      <c r="O204" s="11"/>
    </row>
    <row r="205" spans="1:15">
      <c r="B205" s="5" t="s">
        <v>49</v>
      </c>
      <c r="C205" s="11">
        <f ca="1">SUM(D205:I205)</f>
        <v>531722034.04862279</v>
      </c>
      <c r="D205" s="11">
        <f t="shared" ref="D205:I205" ca="1" si="34">D152</f>
        <v>232554038.77000001</v>
      </c>
      <c r="E205" s="11">
        <f t="shared" ca="1" si="34"/>
        <v>77795989.848461524</v>
      </c>
      <c r="F205" s="11">
        <f t="shared" ca="1" si="34"/>
        <v>133265833.32076925</v>
      </c>
      <c r="G205" s="11">
        <f t="shared" ca="1" si="34"/>
        <v>69248167.057399988</v>
      </c>
      <c r="H205" s="11">
        <f t="shared" ca="1" si="34"/>
        <v>12229340.050000001</v>
      </c>
      <c r="I205" s="11">
        <f t="shared" si="34"/>
        <v>6628665.0019919993</v>
      </c>
      <c r="L205" s="11"/>
      <c r="O205" s="11"/>
    </row>
    <row r="206" spans="1:15">
      <c r="C206" s="196"/>
      <c r="D206" s="196"/>
      <c r="E206" s="196"/>
      <c r="F206" s="196"/>
      <c r="G206" s="196"/>
      <c r="H206" s="196"/>
      <c r="I206" s="196"/>
    </row>
    <row r="207" spans="1:15" s="14" customFormat="1">
      <c r="A207" s="13"/>
      <c r="B207" s="14" t="s">
        <v>52</v>
      </c>
      <c r="C207" s="15">
        <f ca="1">SUM(D207:I207)</f>
        <v>44184732.794269219</v>
      </c>
      <c r="D207" s="15">
        <f t="shared" ref="D207:I207" ca="1" si="35">D204-D205</f>
        <v>19320788.459999979</v>
      </c>
      <c r="E207" s="15">
        <f t="shared" ca="1" si="35"/>
        <v>6463070.6715384722</v>
      </c>
      <c r="F207" s="15">
        <f t="shared" ca="1" si="35"/>
        <v>11078780.579230756</v>
      </c>
      <c r="G207" s="15">
        <f t="shared" ca="1" si="35"/>
        <v>5755245.413500011</v>
      </c>
      <c r="H207" s="15">
        <f t="shared" ca="1" si="35"/>
        <v>1016686.5499999989</v>
      </c>
      <c r="I207" s="15">
        <f t="shared" si="35"/>
        <v>550161.12000000104</v>
      </c>
      <c r="L207" s="15"/>
      <c r="O207" s="15"/>
    </row>
    <row r="208" spans="1:15" s="14" customFormat="1">
      <c r="A208" s="13"/>
      <c r="B208" s="14" t="s">
        <v>53</v>
      </c>
      <c r="C208" s="16">
        <f t="shared" ref="C208:H208" ca="1" si="36">C207/C205</f>
        <v>8.3097426784891876E-2</v>
      </c>
      <c r="D208" s="16">
        <f ca="1">D207/D205</f>
        <v>8.3080855366732959E-2</v>
      </c>
      <c r="E208" s="16">
        <f t="shared" ca="1" si="36"/>
        <v>8.3077169968887338E-2</v>
      </c>
      <c r="F208" s="16">
        <f t="shared" ca="1" si="36"/>
        <v>8.3132940403143424E-2</v>
      </c>
      <c r="G208" s="16">
        <f t="shared" ca="1" si="36"/>
        <v>8.3110436825417675E-2</v>
      </c>
      <c r="H208" s="16">
        <f t="shared" ca="1" si="36"/>
        <v>8.3135029841614291E-2</v>
      </c>
      <c r="I208" s="16">
        <f>I207/I205</f>
        <v>8.2997273181654299E-2</v>
      </c>
      <c r="J208" s="16"/>
      <c r="L208" s="16"/>
      <c r="O208" s="15"/>
    </row>
    <row r="209" spans="1:15" s="2" customFormat="1" ht="13.2">
      <c r="A209" s="1"/>
      <c r="B209" s="288" t="str">
        <f>IF(Base1_Billing2=2,"Pres and Prop Revenues may be incorrect due to Sch 59--for example all of Sch 11 gets benefit of Sch 59 but it s/only be Sch 12; see Billing Rev on Exhibit page for fix","")</f>
        <v/>
      </c>
      <c r="C209" s="17"/>
      <c r="D209" s="317"/>
      <c r="E209" s="317"/>
      <c r="F209" s="317"/>
      <c r="G209" s="317"/>
      <c r="H209" s="317"/>
      <c r="I209" s="317"/>
    </row>
    <row r="210" spans="1:15" s="2" customFormat="1" ht="13.2">
      <c r="A210" s="1"/>
      <c r="C210" t="str">
        <f>C4</f>
        <v xml:space="preserve"> </v>
      </c>
      <c r="D210"/>
      <c r="E210" s="220"/>
      <c r="F210" s="17"/>
      <c r="G210" s="17"/>
      <c r="H210" s="17"/>
      <c r="I210" s="17"/>
    </row>
    <row r="211" spans="1:15" s="2" customFormat="1" ht="13.2">
      <c r="A211" s="1"/>
      <c r="C211" s="334"/>
      <c r="D211" s="334"/>
      <c r="E211" s="220"/>
      <c r="F211" s="17"/>
      <c r="G211" s="17"/>
      <c r="H211" s="17"/>
      <c r="I211" s="17"/>
    </row>
    <row r="212" spans="1:15" s="2" customFormat="1" ht="13.2">
      <c r="A212" s="1"/>
      <c r="C212" s="334"/>
      <c r="D212" s="334"/>
      <c r="E212" s="220"/>
      <c r="F212" s="17"/>
      <c r="G212" s="17"/>
      <c r="H212" s="17"/>
      <c r="I212" s="17"/>
    </row>
    <row r="213" spans="1:15" s="2" customFormat="1" ht="13.2">
      <c r="A213" s="1"/>
      <c r="C213" s="334"/>
      <c r="D213" s="334"/>
      <c r="E213" s="220"/>
      <c r="F213" s="17"/>
      <c r="G213" s="17"/>
      <c r="H213" s="17"/>
      <c r="I213" s="17"/>
    </row>
    <row r="214" spans="1:15" s="2" customFormat="1" ht="13.2">
      <c r="A214" s="1"/>
      <c r="C214" s="334"/>
      <c r="D214" s="334"/>
      <c r="E214" s="220"/>
      <c r="F214" s="17"/>
      <c r="G214" s="17"/>
      <c r="H214" s="17"/>
      <c r="I214" s="17"/>
    </row>
    <row r="215" spans="1:15" s="2" customFormat="1">
      <c r="A215" s="1"/>
      <c r="C215" s="17"/>
      <c r="D215" s="17"/>
      <c r="E215" s="17"/>
      <c r="F215" s="17"/>
      <c r="G215" s="17"/>
      <c r="H215" s="17"/>
      <c r="I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11" t="s">
        <v>59</v>
      </c>
    </row>
    <row r="220" spans="1:15">
      <c r="B220" s="14" t="s">
        <v>10</v>
      </c>
    </row>
    <row r="221" spans="1:15">
      <c r="B221" s="89" t="s">
        <v>721</v>
      </c>
      <c r="C221" s="10">
        <f ca="1">D62</f>
        <v>8.1029999999999998</v>
      </c>
      <c r="D221" s="12">
        <f>D8</f>
        <v>1632639774.4875689</v>
      </c>
      <c r="E221" s="11">
        <f ca="1">C221*D221/100</f>
        <v>132292800.9267277</v>
      </c>
      <c r="F221" s="12">
        <f>MIN(D221,F225)</f>
        <v>1508841792</v>
      </c>
      <c r="G221" s="11">
        <f ca="1">F221*C221/100</f>
        <v>122261450.40576001</v>
      </c>
      <c r="H221" s="12">
        <f>D221-F221</f>
        <v>123797982.48756886</v>
      </c>
      <c r="I221" s="11">
        <f ca="1">H221*C221/100</f>
        <v>10031350.520967703</v>
      </c>
      <c r="L221" s="449">
        <f>H221/$H$225</f>
        <v>0.13348596207760513</v>
      </c>
      <c r="N221" s="451">
        <f>L221*$D$145</f>
        <v>-4786548.8387101479</v>
      </c>
      <c r="O221" s="450">
        <f ca="1">N221*(C221/100)</f>
        <v>-387854.05240068323</v>
      </c>
    </row>
    <row r="222" spans="1:15">
      <c r="B222" s="89" t="s">
        <v>722</v>
      </c>
      <c r="C222" s="10">
        <f ca="1">D63</f>
        <v>9.4269999999999996</v>
      </c>
      <c r="D222" s="12">
        <f>D9</f>
        <v>504552667.9882521</v>
      </c>
      <c r="E222" s="11">
        <f ca="1">C222*D222/100</f>
        <v>47564180.01125253</v>
      </c>
      <c r="F222" s="12">
        <f>MIN(F225-F221,D222)</f>
        <v>0</v>
      </c>
      <c r="G222" s="11">
        <f ca="1">F222*C222/100</f>
        <v>0</v>
      </c>
      <c r="H222" s="12">
        <f>D222-F222</f>
        <v>504552667.9882521</v>
      </c>
      <c r="I222" s="11">
        <f ca="1">H222*C222/100</f>
        <v>47564180.01125253</v>
      </c>
      <c r="L222" s="449">
        <f>H222/$H$225</f>
        <v>0.54403712364211843</v>
      </c>
      <c r="N222" s="451">
        <f>L222*$D$145</f>
        <v>-19508120.718120612</v>
      </c>
      <c r="O222" s="450">
        <f ca="1">N222*(C222/100)</f>
        <v>-1839030.5400972299</v>
      </c>
    </row>
    <row r="223" spans="1:15">
      <c r="B223" s="89" t="s">
        <v>723</v>
      </c>
      <c r="C223" s="10">
        <f ca="1">D64</f>
        <v>11.053000000000001</v>
      </c>
      <c r="D223" s="12">
        <f>D10</f>
        <v>299072582.35517937</v>
      </c>
      <c r="E223" s="11">
        <f ca="1">C223*D223/100</f>
        <v>33056492.527717978</v>
      </c>
      <c r="F223" s="12">
        <f>MIN(F225-F221-F222,D223)</f>
        <v>0</v>
      </c>
      <c r="G223" s="11">
        <f ca="1">F223*C223/100</f>
        <v>0</v>
      </c>
      <c r="H223" s="12">
        <f>D223-F223</f>
        <v>299072582.35517937</v>
      </c>
      <c r="I223" s="11">
        <f ca="1">H223*C223/100</f>
        <v>33056492.527717978</v>
      </c>
      <c r="L223" s="449">
        <f>H223/$H$225</f>
        <v>0.32247691428027647</v>
      </c>
      <c r="N223" s="451">
        <f>L223*$D$145</f>
        <v>-11563399.44316924</v>
      </c>
      <c r="O223" s="450">
        <f ca="1">N223*(C223/100)</f>
        <v>-1278102.5404534962</v>
      </c>
    </row>
    <row r="224" spans="1:15">
      <c r="D224" s="107"/>
      <c r="E224" s="199"/>
      <c r="F224" s="107"/>
      <c r="G224" s="199"/>
      <c r="H224" s="107"/>
      <c r="I224" s="199"/>
      <c r="N224" s="451">
        <f>SUM(N221:N223)</f>
        <v>-35858069</v>
      </c>
      <c r="O224" s="450">
        <f ca="1">SUM(O221:O223)</f>
        <v>-3504987.1329514096</v>
      </c>
    </row>
    <row r="225" spans="2:9">
      <c r="B225" s="5" t="s">
        <v>9</v>
      </c>
      <c r="D225" s="12">
        <f t="shared" ref="D225:I225" si="37">D221+D222+D223</f>
        <v>2436265024.8310003</v>
      </c>
      <c r="E225" s="11">
        <f t="shared" ca="1" si="37"/>
        <v>212913473.46569821</v>
      </c>
      <c r="F225" s="690">
        <f>576*D25</f>
        <v>1508841792</v>
      </c>
      <c r="G225" s="11">
        <f t="shared" ca="1" si="37"/>
        <v>122261450.40576001</v>
      </c>
      <c r="H225" s="12">
        <f t="shared" si="37"/>
        <v>927423232.83100033</v>
      </c>
      <c r="I225" s="11">
        <f t="shared" ca="1" si="37"/>
        <v>90652023.059938207</v>
      </c>
    </row>
    <row r="226" spans="2:9">
      <c r="B226" s="5" t="s">
        <v>60</v>
      </c>
      <c r="D226" s="12"/>
      <c r="E226" s="10">
        <f ca="1">E225/D225*100</f>
        <v>8.7393395749490619</v>
      </c>
      <c r="F226" s="10"/>
      <c r="G226" s="10">
        <f ca="1">G225/F225*100</f>
        <v>8.1029999999999998</v>
      </c>
      <c r="H226" s="12"/>
      <c r="I226" s="10">
        <f ca="1">I225/H225*100</f>
        <v>9.7746120488289812</v>
      </c>
    </row>
    <row r="227" spans="2:9">
      <c r="D227" s="12"/>
      <c r="F227" s="12"/>
      <c r="H227" s="12"/>
    </row>
    <row r="228" spans="2:9">
      <c r="B228" s="111" t="s">
        <v>61</v>
      </c>
      <c r="D228" s="12"/>
      <c r="F228" s="12"/>
      <c r="H228" s="12"/>
    </row>
    <row r="229" spans="2:9">
      <c r="B229" s="14" t="s">
        <v>10</v>
      </c>
      <c r="D229" s="12"/>
      <c r="F229" s="12"/>
      <c r="H229" s="12"/>
    </row>
    <row r="230" spans="2:9">
      <c r="B230" s="89" t="s">
        <v>721</v>
      </c>
      <c r="C230" s="10">
        <f ca="1">D79</f>
        <v>8.8520000000000003</v>
      </c>
      <c r="D230" s="12">
        <f>D221</f>
        <v>1632639774.4875689</v>
      </c>
      <c r="E230" s="11">
        <f ca="1">C230*D230/100</f>
        <v>144521272.8376396</v>
      </c>
      <c r="F230" s="12">
        <f>MIN(D230,F234)</f>
        <v>1508841792</v>
      </c>
      <c r="G230" s="11">
        <f ca="1">F230*C230/100</f>
        <v>133562675.42784001</v>
      </c>
      <c r="H230" s="12">
        <f>H221</f>
        <v>123797982.48756886</v>
      </c>
      <c r="I230" s="11">
        <f ca="1">H230*C230/100</f>
        <v>10958597.409799594</v>
      </c>
    </row>
    <row r="231" spans="2:9">
      <c r="B231" s="89" t="s">
        <v>722</v>
      </c>
      <c r="C231" s="10">
        <f ca="1">D80</f>
        <v>10.298999999999999</v>
      </c>
      <c r="D231" s="12">
        <f>D222</f>
        <v>504552667.9882521</v>
      </c>
      <c r="E231" s="11">
        <f ca="1">C231*D231/100</f>
        <v>51963879.276110075</v>
      </c>
      <c r="F231" s="12">
        <f>MIN(F234-F230,D231)</f>
        <v>0</v>
      </c>
      <c r="G231" s="11">
        <f ca="1">F231*C231/100</f>
        <v>0</v>
      </c>
      <c r="H231" s="12">
        <f>H222</f>
        <v>504552667.9882521</v>
      </c>
      <c r="I231" s="11">
        <f ca="1">H231*C231/100</f>
        <v>51963879.276110075</v>
      </c>
    </row>
    <row r="232" spans="2:9">
      <c r="B232" s="89" t="s">
        <v>724</v>
      </c>
      <c r="C232" s="10">
        <f ca="1">D81</f>
        <v>12.074999999999999</v>
      </c>
      <c r="D232" s="12">
        <f>D223</f>
        <v>299072582.35517937</v>
      </c>
      <c r="E232" s="11">
        <f ca="1">C232*D232/100</f>
        <v>36113014.319387905</v>
      </c>
      <c r="F232" s="12">
        <f>MIN(F234-F230-F231,D232)</f>
        <v>0</v>
      </c>
      <c r="G232" s="11">
        <f ca="1">F232*C232/100</f>
        <v>0</v>
      </c>
      <c r="H232" s="12">
        <f>H223</f>
        <v>299072582.35517937</v>
      </c>
      <c r="I232" s="11">
        <f ca="1">H232*C232/100</f>
        <v>36113014.319387905</v>
      </c>
    </row>
    <row r="233" spans="2:9">
      <c r="D233" s="107"/>
      <c r="E233" s="199"/>
      <c r="F233" s="107"/>
      <c r="G233" s="199"/>
      <c r="H233" s="107"/>
      <c r="I233" s="199"/>
    </row>
    <row r="234" spans="2:9">
      <c r="B234" s="5" t="s">
        <v>9</v>
      </c>
      <c r="D234" s="12">
        <f t="shared" ref="D234:I234" si="38">D230+D231+D232</f>
        <v>2436265024.8310003</v>
      </c>
      <c r="E234" s="11">
        <f t="shared" ca="1" si="38"/>
        <v>232598166.4331376</v>
      </c>
      <c r="F234" s="12">
        <f>F225</f>
        <v>1508841792</v>
      </c>
      <c r="G234" s="11">
        <f t="shared" ca="1" si="38"/>
        <v>133562675.42784001</v>
      </c>
      <c r="H234" s="12">
        <f t="shared" si="38"/>
        <v>927423232.83100033</v>
      </c>
      <c r="I234" s="11">
        <f t="shared" ca="1" si="38"/>
        <v>99035491.005297571</v>
      </c>
    </row>
    <row r="235" spans="2:9">
      <c r="B235" s="5" t="s">
        <v>60</v>
      </c>
      <c r="D235" s="12"/>
      <c r="E235" s="10">
        <f ca="1">E234/D234*100</f>
        <v>9.5473260939364568</v>
      </c>
      <c r="F235" s="10"/>
      <c r="G235" s="10">
        <f ca="1">G234/F234*100</f>
        <v>8.8520000000000003</v>
      </c>
      <c r="H235" s="12"/>
      <c r="I235" s="10">
        <f ca="1">I234/H234*100</f>
        <v>10.678564812635475</v>
      </c>
    </row>
    <row r="236" spans="2:9">
      <c r="D236" s="12"/>
      <c r="F236" s="12"/>
      <c r="G236" s="10"/>
      <c r="H236" s="12"/>
      <c r="I236" s="10"/>
    </row>
    <row r="237" spans="2:9">
      <c r="D237" s="12"/>
      <c r="F237" s="12"/>
      <c r="H237" s="12"/>
    </row>
    <row r="238" spans="2:9">
      <c r="D238" s="12"/>
      <c r="F238" s="12"/>
      <c r="H238" s="12"/>
    </row>
    <row r="239" spans="2:9">
      <c r="B239" s="111" t="s">
        <v>59</v>
      </c>
      <c r="D239" s="12"/>
      <c r="F239" s="12"/>
      <c r="H239" s="12"/>
    </row>
    <row r="240" spans="2:9">
      <c r="B240" s="14" t="s">
        <v>62</v>
      </c>
      <c r="D240" s="12"/>
      <c r="F240" s="12"/>
      <c r="H240" s="12"/>
    </row>
    <row r="241" spans="2:9">
      <c r="B241" s="89" t="s">
        <v>239</v>
      </c>
      <c r="C241" s="10">
        <f ca="1">E62</f>
        <v>11.686</v>
      </c>
      <c r="D241" s="12">
        <f>E8</f>
        <v>435979118.38983351</v>
      </c>
      <c r="E241" s="11">
        <f ca="1">C241*D241/100</f>
        <v>50948519.775035948</v>
      </c>
      <c r="F241" s="12">
        <f>MIN(D241,F244)</f>
        <v>435979118.38983351</v>
      </c>
      <c r="G241" s="11">
        <f ca="1">F241*C241/100</f>
        <v>50948519.775035948</v>
      </c>
      <c r="H241" s="12">
        <f>D241-F241</f>
        <v>0</v>
      </c>
      <c r="I241" s="11">
        <f ca="1">H241*C241/100</f>
        <v>0</v>
      </c>
    </row>
    <row r="242" spans="2:9">
      <c r="B242" s="89" t="s">
        <v>240</v>
      </c>
      <c r="C242" s="10">
        <f ca="1">E63</f>
        <v>8.5879999999999992</v>
      </c>
      <c r="D242" s="12">
        <f>E9</f>
        <v>191116384.14616641</v>
      </c>
      <c r="E242" s="11">
        <f ca="1">C242*D242/100</f>
        <v>16413075.070472769</v>
      </c>
      <c r="F242" s="12">
        <f>MIN(F244-F241,D242)</f>
        <v>138009346.61016649</v>
      </c>
      <c r="G242" s="11">
        <f ca="1">F242*C242/100</f>
        <v>11852242.686881097</v>
      </c>
      <c r="H242" s="12">
        <f>D242-F242</f>
        <v>53107037.535999924</v>
      </c>
      <c r="I242" s="11">
        <f ca="1">H242*C242/100</f>
        <v>4560832.3835916724</v>
      </c>
    </row>
    <row r="243" spans="2:9">
      <c r="D243" s="107"/>
      <c r="E243" s="199"/>
      <c r="F243" s="107"/>
      <c r="G243" s="199"/>
      <c r="H243" s="107"/>
      <c r="I243" s="199"/>
    </row>
    <row r="244" spans="2:9">
      <c r="B244" s="5" t="s">
        <v>9</v>
      </c>
      <c r="D244" s="12">
        <f t="shared" ref="D244:I244" si="39">D241+D242</f>
        <v>627095502.53599989</v>
      </c>
      <c r="E244" s="11">
        <f t="shared" ca="1" si="39"/>
        <v>67361594.845508724</v>
      </c>
      <c r="F244" s="690">
        <f>1465*E25</f>
        <v>573988465</v>
      </c>
      <c r="G244" s="11">
        <f t="shared" ca="1" si="39"/>
        <v>62800762.461917043</v>
      </c>
      <c r="H244" s="12">
        <f t="shared" si="39"/>
        <v>53107037.535999924</v>
      </c>
      <c r="I244" s="11">
        <f t="shared" ca="1" si="39"/>
        <v>4560832.3835916724</v>
      </c>
    </row>
    <row r="245" spans="2:9">
      <c r="B245" s="5" t="s">
        <v>60</v>
      </c>
      <c r="D245" s="12"/>
      <c r="E245" s="10">
        <f ca="1">E244/D244*100</f>
        <v>10.741839890909068</v>
      </c>
      <c r="F245" s="10"/>
      <c r="G245" s="10">
        <f ca="1">G244/F244*100</f>
        <v>10.941119254359414</v>
      </c>
      <c r="H245" s="12"/>
      <c r="I245" s="10">
        <f ca="1">I244/H244*100</f>
        <v>8.5879999999999992</v>
      </c>
    </row>
    <row r="246" spans="2:9">
      <c r="D246" s="12"/>
      <c r="F246" s="12"/>
      <c r="G246" s="10"/>
      <c r="H246" s="12"/>
      <c r="I246" s="10"/>
    </row>
    <row r="247" spans="2:9">
      <c r="B247" s="111" t="s">
        <v>61</v>
      </c>
      <c r="D247" s="12"/>
      <c r="F247" s="12"/>
      <c r="H247" s="12"/>
    </row>
    <row r="248" spans="2:9">
      <c r="B248" s="14" t="s">
        <v>62</v>
      </c>
      <c r="D248" s="12"/>
      <c r="F248" s="12"/>
      <c r="H248" s="12"/>
    </row>
    <row r="249" spans="2:9">
      <c r="B249" s="89" t="s">
        <v>239</v>
      </c>
      <c r="C249" s="10">
        <f ca="1">E79</f>
        <v>12.815</v>
      </c>
      <c r="D249" s="12">
        <f>E31</f>
        <v>435979118.38983351</v>
      </c>
      <c r="E249" s="11">
        <f ca="1">C249*D249/100</f>
        <v>55870724.021657161</v>
      </c>
      <c r="F249" s="12">
        <f>MIN(D249,F252)</f>
        <v>435979118.38983351</v>
      </c>
      <c r="G249" s="11">
        <f ca="1">F249*C249/100</f>
        <v>55870724.021657161</v>
      </c>
      <c r="H249" s="12">
        <f>D249-F249</f>
        <v>0</v>
      </c>
      <c r="I249" s="11">
        <f ca="1">H249*C249/100</f>
        <v>0</v>
      </c>
    </row>
    <row r="250" spans="2:9">
      <c r="B250" s="89" t="s">
        <v>240</v>
      </c>
      <c r="C250" s="10">
        <f ca="1">E80</f>
        <v>9.4179999999999993</v>
      </c>
      <c r="D250" s="12">
        <f>E32</f>
        <v>191116384.14616641</v>
      </c>
      <c r="E250" s="11">
        <f ca="1">C250*D250/100</f>
        <v>17999341.058885951</v>
      </c>
      <c r="F250" s="12">
        <f>MIN(F252-F249,D250)</f>
        <v>138009346.61016649</v>
      </c>
      <c r="G250" s="11">
        <f ca="1">F250*C250/100</f>
        <v>12997720.263745479</v>
      </c>
      <c r="H250" s="12">
        <f>D250-F250</f>
        <v>53107037.535999924</v>
      </c>
      <c r="I250" s="11">
        <f ca="1">H250*C250/100</f>
        <v>5001620.7951404722</v>
      </c>
    </row>
    <row r="251" spans="2:9">
      <c r="D251" s="107"/>
      <c r="E251" s="199"/>
      <c r="F251" s="107"/>
      <c r="G251" s="199"/>
      <c r="H251" s="107"/>
      <c r="I251" s="199"/>
    </row>
    <row r="252" spans="2:9">
      <c r="B252" s="5" t="s">
        <v>9</v>
      </c>
      <c r="D252" s="12">
        <f t="shared" ref="D252:I252" si="40">D249+D250</f>
        <v>627095502.53599989</v>
      </c>
      <c r="E252" s="11">
        <f t="shared" ca="1" si="40"/>
        <v>73870065.080543116</v>
      </c>
      <c r="F252" s="12">
        <f>F244</f>
        <v>573988465</v>
      </c>
      <c r="G252" s="11">
        <f t="shared" ca="1" si="40"/>
        <v>68868444.285402641</v>
      </c>
      <c r="H252" s="12">
        <f t="shared" si="40"/>
        <v>53107037.535999924</v>
      </c>
      <c r="I252" s="11">
        <f t="shared" ca="1" si="40"/>
        <v>5001620.7951404722</v>
      </c>
    </row>
    <row r="253" spans="2:9">
      <c r="B253" s="5" t="s">
        <v>60</v>
      </c>
      <c r="E253" s="10">
        <f ca="1">E252/D252*100</f>
        <v>11.779715335512622</v>
      </c>
      <c r="F253" s="10"/>
      <c r="G253" s="10">
        <f ca="1">G252/F252*100</f>
        <v>11.998227923518053</v>
      </c>
      <c r="I253" s="10">
        <f ca="1">I252/H252*100</f>
        <v>9.4179999999999993</v>
      </c>
    </row>
    <row r="261" spans="1:9">
      <c r="B261" s="336" t="s">
        <v>875</v>
      </c>
      <c r="C261" s="336"/>
      <c r="D261" s="336"/>
      <c r="E261" s="336"/>
      <c r="F261" s="336"/>
    </row>
    <row r="262" spans="1:9">
      <c r="B262" s="336" t="str">
        <f>"663 X "&amp;TEXT(D25,"#,##0")&amp;" = "&amp;TEXT(F225,"#,##0")</f>
        <v>663 X 2,619,517 = 1,508,841,792</v>
      </c>
    </row>
    <row r="263" spans="1:9">
      <c r="B263" s="336" t="str">
        <f>"Total Base Load for Sch. 11 = 1,338 X "&amp;TEXT(E25,"#,##0")&amp;" = "&amp;TEXT(F244,"#,##0")</f>
        <v>Total Base Load for Sch. 11 = 1,338 X 391,801 = 573,988,465</v>
      </c>
    </row>
    <row r="264" spans="1:9" s="2" customFormat="1" ht="13.2">
      <c r="A264" s="1"/>
      <c r="B264" s="28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3.2">
      <c r="A265" s="1"/>
      <c r="C265"/>
      <c r="D265"/>
      <c r="E265" s="220"/>
      <c r="F265" s="17"/>
      <c r="G265" s="17"/>
      <c r="H265" s="17"/>
      <c r="I265" s="17"/>
    </row>
    <row r="266" spans="1:9" s="2" customFormat="1" ht="13.2">
      <c r="A266" s="1"/>
      <c r="C266" s="335"/>
      <c r="D266" s="335"/>
      <c r="E266" s="220"/>
      <c r="F266" s="17"/>
      <c r="G266" s="17"/>
      <c r="H266" s="17"/>
      <c r="I266" s="17"/>
    </row>
    <row r="267" spans="1:9" s="2" customFormat="1" ht="13.2">
      <c r="A267" s="1"/>
      <c r="C267" s="335"/>
      <c r="D267" s="335"/>
      <c r="E267" s="22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11" t="s">
        <v>59</v>
      </c>
    </row>
    <row r="273" spans="2:9">
      <c r="B273" s="14" t="s">
        <v>410</v>
      </c>
    </row>
    <row r="274" spans="2:9">
      <c r="B274" s="89" t="s">
        <v>411</v>
      </c>
      <c r="C274" s="10">
        <f ca="1">F62</f>
        <v>7.5350000000000001</v>
      </c>
      <c r="D274" s="12">
        <f>F8</f>
        <v>1229791151.8036699</v>
      </c>
      <c r="E274" s="11">
        <f ca="1">C274*D274/100</f>
        <v>92664763.288406521</v>
      </c>
      <c r="F274" s="12">
        <f>MIN(D274,F277)</f>
        <v>1229791151.8036699</v>
      </c>
      <c r="G274" s="11">
        <f ca="1">F274*C274/100</f>
        <v>92664763.288406521</v>
      </c>
      <c r="H274" s="12">
        <f>D274-F274</f>
        <v>0</v>
      </c>
      <c r="I274" s="11">
        <f ca="1">H274*C274/100</f>
        <v>0</v>
      </c>
    </row>
    <row r="275" spans="2:9">
      <c r="B275" s="89" t="s">
        <v>412</v>
      </c>
      <c r="C275" s="10">
        <f ca="1">F63</f>
        <v>6.742</v>
      </c>
      <c r="D275" s="12">
        <f>F9</f>
        <v>146237824.45333001</v>
      </c>
      <c r="E275" s="11">
        <f ca="1">C275*D275/100</f>
        <v>9859354.1246435102</v>
      </c>
      <c r="F275" s="12">
        <f>MIN(F277-F274,D275)</f>
        <v>146237824.45333001</v>
      </c>
      <c r="G275" s="11">
        <f ca="1">F275*C275/100</f>
        <v>9859354.1246435102</v>
      </c>
      <c r="H275" s="12">
        <f>D275-F275</f>
        <v>0</v>
      </c>
      <c r="I275" s="11">
        <f ca="1">H275*C275/100</f>
        <v>0</v>
      </c>
    </row>
    <row r="276" spans="2:9">
      <c r="D276" s="107"/>
      <c r="E276" s="199"/>
      <c r="F276" s="107"/>
      <c r="G276" s="199"/>
      <c r="H276" s="107"/>
      <c r="I276" s="199"/>
    </row>
    <row r="277" spans="2:9">
      <c r="B277" s="5" t="s">
        <v>9</v>
      </c>
      <c r="D277" s="12">
        <f>D274+D275</f>
        <v>1376028976.257</v>
      </c>
      <c r="E277" s="12">
        <f ca="1">E274+E275</f>
        <v>102524117.41305003</v>
      </c>
      <c r="F277" s="690">
        <f>62392*F25</f>
        <v>1431334872</v>
      </c>
      <c r="G277" s="12">
        <f ca="1">G274+G275</f>
        <v>102524117.41305003</v>
      </c>
      <c r="H277" s="12">
        <f>H274+H275</f>
        <v>0</v>
      </c>
      <c r="I277" s="12">
        <f ca="1">I274+I275</f>
        <v>0</v>
      </c>
    </row>
    <row r="278" spans="2:9">
      <c r="B278" s="5" t="s">
        <v>60</v>
      </c>
      <c r="D278" s="12"/>
      <c r="E278" s="10">
        <f ca="1">E277/D277*100</f>
        <v>7.4507237261769461</v>
      </c>
      <c r="F278" s="12"/>
      <c r="G278" s="10">
        <f ca="1">G277/F277*100</f>
        <v>7.1628323614999605</v>
      </c>
      <c r="H278" s="12"/>
      <c r="I278" s="10" t="e">
        <f ca="1">I277/H277*100</f>
        <v>#DIV/0!</v>
      </c>
    </row>
    <row r="279" spans="2:9">
      <c r="D279" s="12"/>
      <c r="F279" s="12"/>
      <c r="H279" s="12"/>
    </row>
    <row r="280" spans="2:9">
      <c r="B280" s="111" t="s">
        <v>61</v>
      </c>
      <c r="D280" s="12"/>
      <c r="F280" s="12"/>
      <c r="H280" s="12"/>
    </row>
    <row r="281" spans="2:9">
      <c r="B281" s="14" t="s">
        <v>410</v>
      </c>
      <c r="D281" s="12"/>
      <c r="F281" s="12"/>
      <c r="H281" s="12"/>
    </row>
    <row r="282" spans="2:9">
      <c r="B282" s="89" t="s">
        <v>411</v>
      </c>
      <c r="C282" s="10">
        <f ca="1">F79</f>
        <v>8.3529999999999998</v>
      </c>
      <c r="D282" s="12">
        <f>D274</f>
        <v>1229791151.8036699</v>
      </c>
      <c r="E282" s="11">
        <f ca="1">C282*D282/100</f>
        <v>102724454.91016054</v>
      </c>
      <c r="F282" s="12">
        <f>MIN(D282,F285)</f>
        <v>1229791151.8036699</v>
      </c>
      <c r="G282" s="11">
        <f ca="1">F282*C282/100</f>
        <v>102724454.91016054</v>
      </c>
      <c r="H282" s="12">
        <f>H274</f>
        <v>0</v>
      </c>
      <c r="I282" s="11">
        <f ca="1">H282*C282/100</f>
        <v>0</v>
      </c>
    </row>
    <row r="283" spans="2:9">
      <c r="B283" s="89" t="s">
        <v>412</v>
      </c>
      <c r="C283" s="10">
        <f ca="1">F80</f>
        <v>7.4740000000000002</v>
      </c>
      <c r="D283" s="12">
        <f>D275</f>
        <v>146237824.45333001</v>
      </c>
      <c r="E283" s="11">
        <f ca="1">C283*D283/100</f>
        <v>10929814.999641886</v>
      </c>
      <c r="F283" s="12">
        <f>MIN(F285-F282,D283)</f>
        <v>146237824.45333001</v>
      </c>
      <c r="G283" s="11">
        <f ca="1">F283*C283/100</f>
        <v>10929814.999641886</v>
      </c>
      <c r="H283" s="12">
        <f>H275</f>
        <v>0</v>
      </c>
      <c r="I283" s="11">
        <f ca="1">H283*C283/100</f>
        <v>0</v>
      </c>
    </row>
    <row r="284" spans="2:9">
      <c r="D284" s="107"/>
      <c r="E284" s="199"/>
      <c r="F284" s="107"/>
      <c r="G284" s="199"/>
      <c r="H284" s="107"/>
      <c r="I284" s="199"/>
    </row>
    <row r="285" spans="2:9">
      <c r="B285" s="5" t="s">
        <v>9</v>
      </c>
      <c r="D285" s="12">
        <f>D282+D283</f>
        <v>1376028976.257</v>
      </c>
      <c r="E285" s="12">
        <f ca="1">E282+E283</f>
        <v>113654269.90980242</v>
      </c>
      <c r="F285" s="12">
        <f>F277</f>
        <v>1431334872</v>
      </c>
      <c r="G285" s="12">
        <f ca="1">G282+G283</f>
        <v>113654269.90980242</v>
      </c>
      <c r="H285" s="12">
        <f>H282+H283</f>
        <v>0</v>
      </c>
      <c r="I285" s="12">
        <f ca="1">I282+I283</f>
        <v>0</v>
      </c>
    </row>
    <row r="286" spans="2:9">
      <c r="B286" s="5" t="s">
        <v>60</v>
      </c>
      <c r="D286" s="12"/>
      <c r="F286" s="12"/>
      <c r="G286" s="10">
        <f ca="1">G285/F285*100</f>
        <v>7.9404388262401273</v>
      </c>
      <c r="H286" s="12"/>
      <c r="I286" s="10" t="e">
        <f ca="1">I285/H285*100</f>
        <v>#DIV/0!</v>
      </c>
    </row>
    <row r="294" spans="2:9">
      <c r="B294" s="336" t="s">
        <v>876</v>
      </c>
      <c r="C294" s="336"/>
      <c r="D294" s="336"/>
      <c r="E294" s="336"/>
      <c r="F294" s="336"/>
    </row>
    <row r="295" spans="2:9">
      <c r="B295" s="336" t="str">
        <f>"53,800 X "&amp;TEXT(F25,"#,##0")&amp;" = "&amp;TEXT(F277,"#,##0")</f>
        <v>53,800 X 22,941 = 1,431,334,872</v>
      </c>
    </row>
    <row r="299" spans="2:9">
      <c r="D299" s="9">
        <f ca="1">D207/D48</f>
        <v>7.3757064603894449</v>
      </c>
      <c r="E299" s="9">
        <f ca="1">E207/E48</f>
        <v>16.495799325521048</v>
      </c>
      <c r="F299" s="9">
        <f ca="1">F207/F48</f>
        <v>482.92491954277301</v>
      </c>
      <c r="G299" s="9">
        <f ca="1">G207/G48</f>
        <v>20852.338454710185</v>
      </c>
      <c r="H299" s="9">
        <f ca="1">H207/H48</f>
        <v>34.473299538857958</v>
      </c>
      <c r="I299" s="9"/>
    </row>
    <row r="300" spans="2:9">
      <c r="D300" s="8">
        <f>D23/D25</f>
        <v>914.47603693009069</v>
      </c>
      <c r="E300" s="8">
        <f>E23/E25</f>
        <v>1587.2806693602106</v>
      </c>
      <c r="F300" s="8">
        <f>F23/F25</f>
        <v>59699.669859945076</v>
      </c>
      <c r="G300" s="8">
        <f>G23/G25</f>
        <v>3934426.0192572465</v>
      </c>
      <c r="H300" s="8">
        <f>H23/H25</f>
        <v>4734.268718364302</v>
      </c>
    </row>
    <row r="301" spans="2:9">
      <c r="D301" s="677">
        <f>D300*-'Tax Adj'!G13</f>
        <v>0</v>
      </c>
      <c r="E301" s="677">
        <f>E300*-'Tax Adj'!G15</f>
        <v>0</v>
      </c>
      <c r="F301" s="677">
        <f>F300*-'Tax Adj'!G17</f>
        <v>0</v>
      </c>
      <c r="G301" s="677">
        <f>G300*-'Tax Adj'!G19</f>
        <v>0</v>
      </c>
      <c r="H301" s="677">
        <f>H300*-'Tax Adj'!G21</f>
        <v>0</v>
      </c>
    </row>
    <row r="302" spans="2:9">
      <c r="D302" s="537">
        <f ca="1">(800*((D79-D62)/100))+(118*((D80-D63)/100))+(D76-D59)</f>
        <v>7.0209600000000041</v>
      </c>
    </row>
    <row r="305" spans="4:8">
      <c r="D305" s="9">
        <f ca="1">D299+D301</f>
        <v>7.3757064603894449</v>
      </c>
      <c r="E305" s="9">
        <f ca="1">E299+E301</f>
        <v>16.495799325521048</v>
      </c>
      <c r="F305" s="9">
        <f ca="1">F299+F301</f>
        <v>482.92491954277301</v>
      </c>
      <c r="G305" s="9">
        <f ca="1">G299+G301</f>
        <v>20852.338454710185</v>
      </c>
      <c r="H305" s="9">
        <f ca="1">H299+H301</f>
        <v>34.473299538857958</v>
      </c>
    </row>
    <row r="309" spans="4:8">
      <c r="D309" s="12"/>
    </row>
    <row r="310" spans="4:8">
      <c r="D310" s="12"/>
    </row>
    <row r="311" spans="4:8">
      <c r="D311" s="8"/>
    </row>
  </sheetData>
  <mergeCells count="2">
    <mergeCell ref="P6:R11"/>
    <mergeCell ref="B95:H96"/>
  </mergeCells>
  <phoneticPr fontId="0" type="noConversion"/>
  <conditionalFormatting sqref="L55">
    <cfRule type="cellIs" dxfId="35" priority="1" stopIfTrue="1" operator="greaterThan">
      <formula>0</formula>
    </cfRule>
  </conditionalFormatting>
  <pageMargins left="0.75" right="0.75" top="0.5" bottom="0.5" header="0.25" footer="0.5"/>
  <pageSetup scale="90" orientation="landscape" r:id="rId1"/>
  <headerFooter alignWithMargins="0">
    <oddHeader>&amp;C&amp;"Arial,Bold"&amp;9AVISTA UTILITIES
WASHINGTON ELECTRIC
PRO FORMA REVENUE UNDER PRESENT AND PROPOSED BASE TARIFF RATES
12 MONTHS ENDED DECEMBER 31, 2019</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W127"/>
  <sheetViews>
    <sheetView showGridLines="0" zoomScaleNormal="100" workbookViewId="0">
      <pane xSplit="2" ySplit="2" topLeftCell="C48" activePane="bottomRight" state="frozen"/>
      <selection activeCell="G120" sqref="G120"/>
      <selection pane="topRight" activeCell="G120" sqref="G120"/>
      <selection pane="bottomLeft" activeCell="G120" sqref="G120"/>
      <selection pane="bottomRight" activeCell="J95" sqref="J95"/>
    </sheetView>
  </sheetViews>
  <sheetFormatPr defaultRowHeight="13.2"/>
  <cols>
    <col min="1" max="1" width="8.6640625" customWidth="1"/>
    <col min="2" max="2" width="24.33203125" customWidth="1"/>
    <col min="3" max="3" width="20.6640625" bestFit="1" customWidth="1"/>
    <col min="4" max="4" width="16.33203125" bestFit="1" customWidth="1"/>
    <col min="5" max="5" width="14.6640625" customWidth="1"/>
    <col min="6" max="6" width="15.6640625" customWidth="1"/>
    <col min="7" max="10" width="14.6640625" customWidth="1"/>
    <col min="14" max="18" width="14.6640625" customWidth="1"/>
  </cols>
  <sheetData>
    <row r="1" spans="1:18" ht="13.8">
      <c r="A1" s="62" t="s">
        <v>32</v>
      </c>
      <c r="C1" s="117"/>
      <c r="D1">
        <v>1</v>
      </c>
      <c r="E1">
        <v>2</v>
      </c>
      <c r="F1">
        <v>3</v>
      </c>
      <c r="G1">
        <v>4</v>
      </c>
      <c r="H1">
        <v>5</v>
      </c>
      <c r="I1">
        <v>6</v>
      </c>
      <c r="N1" s="80" t="s">
        <v>276</v>
      </c>
    </row>
    <row r="2" spans="1:18">
      <c r="C2" s="59" t="s">
        <v>9</v>
      </c>
      <c r="D2" s="59" t="s">
        <v>725</v>
      </c>
      <c r="E2" s="59" t="s">
        <v>11</v>
      </c>
      <c r="F2" s="59" t="s">
        <v>12</v>
      </c>
      <c r="G2" s="59" t="s">
        <v>279</v>
      </c>
      <c r="H2" s="59" t="s">
        <v>14</v>
      </c>
      <c r="I2" s="59"/>
      <c r="L2" s="134" t="s">
        <v>232</v>
      </c>
      <c r="N2" s="59" t="s">
        <v>699</v>
      </c>
      <c r="O2" s="59" t="s">
        <v>11</v>
      </c>
      <c r="P2" s="59" t="s">
        <v>12</v>
      </c>
      <c r="Q2" s="59" t="s">
        <v>13</v>
      </c>
      <c r="R2" s="59" t="s">
        <v>14</v>
      </c>
    </row>
    <row r="3" spans="1:18">
      <c r="B3" s="117" t="s">
        <v>226</v>
      </c>
      <c r="C3" s="59"/>
      <c r="D3" s="59"/>
      <c r="E3" s="59"/>
      <c r="F3" s="59"/>
      <c r="G3" s="59"/>
      <c r="H3" s="59"/>
      <c r="I3" s="59"/>
      <c r="L3" s="134"/>
    </row>
    <row r="4" spans="1:18">
      <c r="A4">
        <v>1</v>
      </c>
      <c r="B4" t="s">
        <v>33</v>
      </c>
      <c r="D4" s="121">
        <v>9</v>
      </c>
      <c r="E4" s="121">
        <v>20</v>
      </c>
      <c r="F4" s="121">
        <v>0</v>
      </c>
      <c r="G4" s="121">
        <v>0</v>
      </c>
      <c r="H4" s="121">
        <v>20</v>
      </c>
      <c r="I4" s="121"/>
      <c r="J4" s="122"/>
    </row>
    <row r="5" spans="1:18">
      <c r="A5">
        <v>2</v>
      </c>
      <c r="B5" t="s">
        <v>35</v>
      </c>
      <c r="D5" s="123">
        <v>8.1029999999999998</v>
      </c>
      <c r="E5" s="123">
        <v>11.686</v>
      </c>
      <c r="F5" s="123">
        <v>7.5350000000000001</v>
      </c>
      <c r="G5" s="123">
        <v>5.5049999999999999</v>
      </c>
      <c r="H5" s="123">
        <v>10.292</v>
      </c>
      <c r="I5" s="123"/>
      <c r="J5" s="122"/>
      <c r="N5" s="175">
        <v>800</v>
      </c>
      <c r="O5" s="175">
        <v>3650</v>
      </c>
      <c r="P5" s="175">
        <v>250000</v>
      </c>
      <c r="Q5" s="175">
        <v>500000</v>
      </c>
      <c r="R5" s="175"/>
    </row>
    <row r="6" spans="1:18">
      <c r="A6">
        <v>3</v>
      </c>
      <c r="B6" t="s">
        <v>36</v>
      </c>
      <c r="D6" s="123">
        <v>9.4269999999999996</v>
      </c>
      <c r="E6" s="123">
        <v>8.5879999999999992</v>
      </c>
      <c r="F6" s="123">
        <v>6.742</v>
      </c>
      <c r="G6" s="123">
        <v>4.9530000000000003</v>
      </c>
      <c r="H6" s="123">
        <v>7.35</v>
      </c>
      <c r="I6" s="123"/>
      <c r="J6" s="122"/>
      <c r="N6" s="175">
        <v>1500</v>
      </c>
      <c r="O6" s="175">
        <v>9999999</v>
      </c>
      <c r="P6" s="175">
        <v>9999999</v>
      </c>
      <c r="Q6" s="175">
        <v>9999999</v>
      </c>
      <c r="R6" s="175"/>
    </row>
    <row r="7" spans="1:18">
      <c r="A7">
        <v>4</v>
      </c>
      <c r="B7" t="s">
        <v>37</v>
      </c>
      <c r="D7" s="123">
        <v>11.053000000000001</v>
      </c>
      <c r="E7" s="123">
        <v>0</v>
      </c>
      <c r="F7" s="123">
        <v>0</v>
      </c>
      <c r="G7" s="123">
        <v>4.2350000000000003</v>
      </c>
      <c r="H7" s="123">
        <v>0</v>
      </c>
      <c r="I7" s="123"/>
      <c r="J7" s="122"/>
      <c r="L7" t="s">
        <v>231</v>
      </c>
      <c r="N7" s="175">
        <v>9999999</v>
      </c>
      <c r="O7" s="175">
        <v>9999999</v>
      </c>
      <c r="P7" s="175">
        <v>9999999</v>
      </c>
      <c r="Q7" s="175">
        <v>9999999</v>
      </c>
      <c r="R7" s="175"/>
    </row>
    <row r="8" spans="1:18">
      <c r="A8">
        <v>5</v>
      </c>
      <c r="B8" t="s">
        <v>38</v>
      </c>
      <c r="D8" s="123"/>
      <c r="E8" s="123"/>
      <c r="F8" s="123"/>
      <c r="G8" s="123"/>
      <c r="H8" s="123"/>
      <c r="I8" s="123"/>
      <c r="J8" s="122"/>
    </row>
    <row r="9" spans="1:18">
      <c r="A9">
        <v>6</v>
      </c>
      <c r="B9" t="s">
        <v>277</v>
      </c>
      <c r="D9" s="121">
        <v>0</v>
      </c>
      <c r="E9" s="121">
        <v>0</v>
      </c>
      <c r="F9" s="121">
        <v>550</v>
      </c>
      <c r="G9" s="121">
        <v>30650</v>
      </c>
      <c r="H9" s="121">
        <v>0</v>
      </c>
      <c r="I9" s="121"/>
      <c r="J9" s="122"/>
      <c r="N9" s="175"/>
      <c r="O9" s="175"/>
      <c r="P9" s="175"/>
      <c r="Q9" s="175"/>
    </row>
    <row r="10" spans="1:18">
      <c r="A10">
        <v>7</v>
      </c>
      <c r="B10" t="s">
        <v>40</v>
      </c>
      <c r="D10" s="121">
        <v>0</v>
      </c>
      <c r="E10" s="121">
        <v>7</v>
      </c>
      <c r="F10" s="121">
        <v>7</v>
      </c>
      <c r="G10" s="121">
        <v>8.3000000000000007</v>
      </c>
      <c r="H10" s="121">
        <v>0</v>
      </c>
      <c r="I10" s="121"/>
      <c r="J10" s="122"/>
      <c r="N10" s="175">
        <v>0</v>
      </c>
      <c r="O10" s="175">
        <v>20</v>
      </c>
      <c r="P10" s="175">
        <v>50</v>
      </c>
      <c r="Q10" s="175">
        <v>3000</v>
      </c>
    </row>
    <row r="11" spans="1:18">
      <c r="D11" s="122"/>
      <c r="E11" s="122"/>
      <c r="F11" s="122"/>
      <c r="G11" s="122"/>
      <c r="H11" s="122"/>
      <c r="I11" s="122"/>
      <c r="J11" s="122"/>
    </row>
    <row r="12" spans="1:18">
      <c r="B12" s="117" t="s">
        <v>227</v>
      </c>
      <c r="C12" s="117"/>
      <c r="D12" t="str">
        <f>IF(D13&lt;&gt;'Pres &amp; Prop Rev'!D$5,#VALUE!,"")</f>
        <v/>
      </c>
      <c r="E12" t="str">
        <f>IF(E13&lt;&gt;'Pres &amp; Prop Rev'!E$5,#VALUE!,"")</f>
        <v/>
      </c>
      <c r="F12" t="str">
        <f>IF(F13&lt;&gt;'Pres &amp; Prop Rev'!F$5,#VALUE!,"")</f>
        <v/>
      </c>
      <c r="G12" t="str">
        <f>IF(G13&lt;&gt;'Pres &amp; Prop Rev'!G$5,#VALUE!,"")</f>
        <v/>
      </c>
      <c r="H12" t="str">
        <f>IF(H13&lt;&gt;'Pres &amp; Prop Rev'!H$5,#VALUE!,"")</f>
        <v/>
      </c>
    </row>
    <row r="13" spans="1:18">
      <c r="D13" s="59" t="s">
        <v>699</v>
      </c>
      <c r="E13" s="59" t="s">
        <v>11</v>
      </c>
      <c r="F13" s="59" t="s">
        <v>12</v>
      </c>
      <c r="G13" s="59" t="s">
        <v>13</v>
      </c>
      <c r="H13" s="59" t="s">
        <v>14</v>
      </c>
      <c r="I13" s="59"/>
      <c r="J13" s="230"/>
    </row>
    <row r="14" spans="1:18">
      <c r="A14">
        <v>1</v>
      </c>
      <c r="B14" t="s">
        <v>33</v>
      </c>
      <c r="D14" s="124">
        <f>D4</f>
        <v>9</v>
      </c>
      <c r="E14" s="124">
        <f>E4</f>
        <v>20</v>
      </c>
      <c r="F14" s="124">
        <f>F4</f>
        <v>0</v>
      </c>
      <c r="G14" s="124">
        <f>G4</f>
        <v>0</v>
      </c>
      <c r="H14" s="124">
        <f>H4</f>
        <v>20</v>
      </c>
      <c r="I14" s="124"/>
      <c r="J14" s="125"/>
    </row>
    <row r="15" spans="1:18">
      <c r="A15">
        <v>2</v>
      </c>
      <c r="B15" t="s">
        <v>35</v>
      </c>
      <c r="D15" s="126">
        <f>D5-0.414+0.244+0.323+0.141-0.418-0.089-0.032</f>
        <v>7.8579999999999997</v>
      </c>
      <c r="E15" s="126">
        <f>E5+0.365+0.426+0.205-0.416-0.119-0.032</f>
        <v>12.115</v>
      </c>
      <c r="F15" s="126">
        <f>F5+0.365+0.333+0.147-0.427-0.09-0.032</f>
        <v>7.8310000000000013</v>
      </c>
      <c r="G15" s="126">
        <f>G5+0.205+0.093-0.396-0.059-0.031</f>
        <v>5.3170000000000002</v>
      </c>
      <c r="H15" s="126">
        <f>H5+0.365+0.282+0.128-0.397-0.081-0.033</f>
        <v>10.556000000000001</v>
      </c>
      <c r="I15" s="126"/>
      <c r="J15" s="125"/>
      <c r="N15" s="73">
        <f>N5</f>
        <v>800</v>
      </c>
      <c r="O15" s="73">
        <f>O5</f>
        <v>3650</v>
      </c>
      <c r="P15" s="73">
        <f>P5</f>
        <v>250000</v>
      </c>
      <c r="Q15" s="73">
        <f>Q5</f>
        <v>500000</v>
      </c>
    </row>
    <row r="16" spans="1:18">
      <c r="A16">
        <v>3</v>
      </c>
      <c r="B16" t="s">
        <v>36</v>
      </c>
      <c r="D16" s="126">
        <f t="shared" ref="D16:D17" si="0">D6-0.414+0.244+0.323+0.141-0.418-0.089-0.032</f>
        <v>9.1820000000000004</v>
      </c>
      <c r="E16" s="126">
        <f>E6+0.365+0.426+0.205-0.416-0.119-0.032</f>
        <v>9.0169999999999995</v>
      </c>
      <c r="F16" s="126">
        <f>F6+0.365+0.333+0.147-0.427-0.09-0.032</f>
        <v>7.0380000000000011</v>
      </c>
      <c r="G16" s="126">
        <f>G6+0.205+0.093-0.396-0.059-0.031</f>
        <v>4.7650000000000006</v>
      </c>
      <c r="H16" s="126">
        <f>H6+0.365+0.282+0.128-0.397-0.081-0.033</f>
        <v>7.613999999999999</v>
      </c>
      <c r="I16" s="126"/>
      <c r="J16" s="125"/>
      <c r="N16" s="73">
        <f t="shared" ref="N16:Q17" si="1">N6</f>
        <v>1500</v>
      </c>
      <c r="O16" s="73">
        <f t="shared" si="1"/>
        <v>9999999</v>
      </c>
      <c r="P16" s="73">
        <f t="shared" si="1"/>
        <v>9999999</v>
      </c>
      <c r="Q16" s="73">
        <f t="shared" si="1"/>
        <v>9999999</v>
      </c>
    </row>
    <row r="17" spans="1:21">
      <c r="A17">
        <v>4</v>
      </c>
      <c r="B17" t="s">
        <v>37</v>
      </c>
      <c r="D17" s="126">
        <f t="shared" si="0"/>
        <v>10.808000000000002</v>
      </c>
      <c r="E17" s="126"/>
      <c r="F17" s="126"/>
      <c r="G17" s="126">
        <f>G7+0.205-0.396-0.059-0.031</f>
        <v>3.9540000000000002</v>
      </c>
      <c r="H17" s="126"/>
      <c r="I17" s="126"/>
      <c r="J17" s="125"/>
      <c r="L17" t="s">
        <v>233</v>
      </c>
      <c r="N17" s="73">
        <f t="shared" si="1"/>
        <v>9999999</v>
      </c>
      <c r="O17" s="73">
        <f t="shared" si="1"/>
        <v>9999999</v>
      </c>
      <c r="P17" s="73">
        <f t="shared" si="1"/>
        <v>9999999</v>
      </c>
      <c r="Q17" s="73">
        <f t="shared" si="1"/>
        <v>9999999</v>
      </c>
    </row>
    <row r="18" spans="1:21">
      <c r="A18">
        <v>5</v>
      </c>
      <c r="B18" t="s">
        <v>38</v>
      </c>
      <c r="D18" s="126"/>
      <c r="E18" s="126"/>
      <c r="F18" s="126"/>
      <c r="G18" s="126"/>
      <c r="H18" s="126"/>
      <c r="I18" s="126"/>
      <c r="J18" s="125"/>
    </row>
    <row r="19" spans="1:21">
      <c r="A19">
        <v>6</v>
      </c>
      <c r="B19" t="s">
        <v>277</v>
      </c>
      <c r="D19" s="127"/>
      <c r="E19" s="127"/>
      <c r="F19" s="124">
        <f>F9</f>
        <v>550</v>
      </c>
      <c r="G19" s="124">
        <f>G9</f>
        <v>30650</v>
      </c>
      <c r="H19" s="127"/>
      <c r="I19" s="127"/>
      <c r="J19" s="125"/>
      <c r="N19" s="73"/>
      <c r="O19" s="73"/>
      <c r="P19" s="73"/>
      <c r="Q19" s="73"/>
    </row>
    <row r="20" spans="1:21">
      <c r="A20">
        <v>7</v>
      </c>
      <c r="B20" t="s">
        <v>40</v>
      </c>
      <c r="D20" s="127"/>
      <c r="E20" s="124">
        <f>E10</f>
        <v>7</v>
      </c>
      <c r="F20" s="124">
        <f>F10</f>
        <v>7</v>
      </c>
      <c r="G20" s="124">
        <f>G10</f>
        <v>8.3000000000000007</v>
      </c>
      <c r="H20" s="127"/>
      <c r="I20" s="127"/>
      <c r="J20" s="125"/>
      <c r="N20" s="73">
        <f>N10</f>
        <v>0</v>
      </c>
      <c r="O20" s="73">
        <f>O10</f>
        <v>20</v>
      </c>
      <c r="P20" s="73">
        <f>P10</f>
        <v>50</v>
      </c>
      <c r="Q20" s="73">
        <f>Q10</f>
        <v>3000</v>
      </c>
    </row>
    <row r="21" spans="1:21">
      <c r="C21" s="286"/>
      <c r="D21" s="285"/>
      <c r="E21" s="297"/>
      <c r="F21" s="297"/>
      <c r="G21" s="297"/>
      <c r="H21" s="297"/>
      <c r="I21" s="125"/>
      <c r="J21" s="125"/>
    </row>
    <row r="22" spans="1:21" ht="13.8">
      <c r="A22" s="62" t="s">
        <v>42</v>
      </c>
      <c r="B22" s="117"/>
      <c r="C22" s="287"/>
      <c r="D22" s="287"/>
      <c r="E22" s="294"/>
      <c r="F22" s="294"/>
      <c r="G22" s="294"/>
      <c r="H22" s="294"/>
    </row>
    <row r="23" spans="1:21">
      <c r="A23" s="117"/>
      <c r="B23" s="117"/>
      <c r="C23" s="286"/>
      <c r="D23" s="286"/>
      <c r="E23" s="298"/>
      <c r="F23" s="298"/>
      <c r="G23" s="298"/>
      <c r="H23" s="298"/>
    </row>
    <row r="24" spans="1:21">
      <c r="B24" s="117" t="s">
        <v>226</v>
      </c>
      <c r="C24" s="117"/>
      <c r="D24" t="str">
        <f>IF(D25&lt;&gt;'Pres &amp; Prop Rev'!D$5,#VALUE!,"")</f>
        <v/>
      </c>
      <c r="E24" t="str">
        <f>IF(E25&lt;&gt;'Pres &amp; Prop Rev'!E$5,#VALUE!,"")</f>
        <v/>
      </c>
      <c r="F24" t="str">
        <f>IF(F25&lt;&gt;'Pres &amp; Prop Rev'!F$5,#VALUE!,"")</f>
        <v/>
      </c>
      <c r="G24" t="str">
        <f>IF(G25&lt;&gt;'Pres &amp; Prop Rev'!G$5,#VALUE!,"")</f>
        <v/>
      </c>
      <c r="H24" t="str">
        <f>IF(H25&lt;&gt;'Pres &amp; Prop Rev'!H$5,#VALUE!,"")</f>
        <v/>
      </c>
    </row>
    <row r="25" spans="1:21">
      <c r="D25" s="59" t="s">
        <v>699</v>
      </c>
      <c r="E25" s="59" t="s">
        <v>11</v>
      </c>
      <c r="F25" s="59" t="s">
        <v>12</v>
      </c>
      <c r="G25" s="59" t="s">
        <v>13</v>
      </c>
      <c r="H25" s="59" t="s">
        <v>14</v>
      </c>
      <c r="I25" s="59"/>
      <c r="T25" s="80" t="s">
        <v>305</v>
      </c>
    </row>
    <row r="26" spans="1:21">
      <c r="A26">
        <v>1</v>
      </c>
      <c r="B26" t="s">
        <v>33</v>
      </c>
      <c r="D26" s="128">
        <f>ROUND(D62,$T26)</f>
        <v>9</v>
      </c>
      <c r="E26" s="128">
        <f>ROUND(E62,$T26)</f>
        <v>20</v>
      </c>
      <c r="F26" s="128">
        <f>ROUND(F62,$T26)</f>
        <v>0</v>
      </c>
      <c r="G26" s="128">
        <f>ROUND(G62,$T26)</f>
        <v>0</v>
      </c>
      <c r="H26" s="128">
        <f>ROUND(H62,$T26)</f>
        <v>20</v>
      </c>
      <c r="I26" s="128"/>
      <c r="J26" s="129"/>
      <c r="T26" s="178">
        <v>2</v>
      </c>
      <c r="U26">
        <v>2</v>
      </c>
    </row>
    <row r="27" spans="1:21">
      <c r="A27">
        <v>2</v>
      </c>
      <c r="B27" t="s">
        <v>35</v>
      </c>
      <c r="D27" s="130">
        <f>ROUND(D85,$T27)</f>
        <v>8.8520000000000003</v>
      </c>
      <c r="E27" s="130">
        <f t="shared" ref="D27:H29" si="2">ROUND(E85,$T27)</f>
        <v>12.815</v>
      </c>
      <c r="F27" s="130">
        <f t="shared" si="2"/>
        <v>8.3529999999999998</v>
      </c>
      <c r="G27" s="130">
        <f t="shared" si="2"/>
        <v>6.117</v>
      </c>
      <c r="H27" s="130">
        <f t="shared" si="2"/>
        <v>11.191000000000001</v>
      </c>
      <c r="I27" s="130"/>
      <c r="J27" s="129"/>
      <c r="N27" s="175">
        <v>800</v>
      </c>
      <c r="O27" s="175">
        <v>3650</v>
      </c>
      <c r="P27" s="175">
        <v>250000</v>
      </c>
      <c r="Q27" s="175">
        <v>500000</v>
      </c>
      <c r="T27" s="155">
        <v>3</v>
      </c>
      <c r="U27">
        <v>3</v>
      </c>
    </row>
    <row r="28" spans="1:21">
      <c r="A28">
        <v>3</v>
      </c>
      <c r="B28" t="s">
        <v>36</v>
      </c>
      <c r="D28" s="130">
        <f t="shared" si="2"/>
        <v>10.298999999999999</v>
      </c>
      <c r="E28" s="130">
        <f>ROUND(E86,$T28)</f>
        <v>9.4179999999999993</v>
      </c>
      <c r="F28" s="130">
        <f t="shared" si="2"/>
        <v>7.4740000000000002</v>
      </c>
      <c r="G28" s="130">
        <f t="shared" si="2"/>
        <v>5.5030000000000001</v>
      </c>
      <c r="H28" s="130">
        <f t="shared" si="2"/>
        <v>7.992</v>
      </c>
      <c r="I28" s="130"/>
      <c r="J28" s="129"/>
      <c r="N28" s="175">
        <v>1500</v>
      </c>
      <c r="O28" s="175">
        <v>9999999</v>
      </c>
      <c r="P28" s="175">
        <v>9999999</v>
      </c>
      <c r="Q28" s="175">
        <v>6000000</v>
      </c>
      <c r="T28" s="155">
        <v>3</v>
      </c>
      <c r="U28">
        <v>3</v>
      </c>
    </row>
    <row r="29" spans="1:21">
      <c r="A29">
        <v>4</v>
      </c>
      <c r="B29" t="s">
        <v>37</v>
      </c>
      <c r="D29" s="130">
        <f t="shared" si="2"/>
        <v>12.074999999999999</v>
      </c>
      <c r="E29" s="130">
        <f t="shared" si="2"/>
        <v>0</v>
      </c>
      <c r="F29" s="130">
        <f t="shared" si="2"/>
        <v>0</v>
      </c>
      <c r="G29" s="130">
        <f t="shared" si="2"/>
        <v>4.7060000000000004</v>
      </c>
      <c r="H29" s="130">
        <f t="shared" si="2"/>
        <v>0</v>
      </c>
      <c r="I29" s="130"/>
      <c r="J29" s="129"/>
      <c r="L29" t="s">
        <v>237</v>
      </c>
      <c r="N29" s="175">
        <v>9999999</v>
      </c>
      <c r="O29" s="175">
        <v>9999999</v>
      </c>
      <c r="P29" s="175">
        <v>9999999</v>
      </c>
      <c r="Q29" s="175">
        <v>99999999</v>
      </c>
      <c r="T29" s="155">
        <v>3</v>
      </c>
      <c r="U29">
        <v>3</v>
      </c>
    </row>
    <row r="30" spans="1:21">
      <c r="A30">
        <v>5</v>
      </c>
      <c r="B30" t="s">
        <v>38</v>
      </c>
      <c r="D30" s="130"/>
      <c r="E30" s="130"/>
      <c r="F30" s="130"/>
      <c r="G30" s="130"/>
      <c r="H30" s="130"/>
      <c r="I30" s="130"/>
      <c r="J30" s="129"/>
      <c r="T30" s="155">
        <v>3</v>
      </c>
      <c r="U30">
        <v>3</v>
      </c>
    </row>
    <row r="31" spans="1:21">
      <c r="A31">
        <v>6</v>
      </c>
      <c r="B31" t="s">
        <v>277</v>
      </c>
      <c r="D31" s="128">
        <f>ROUND(D66,$T31)</f>
        <v>0</v>
      </c>
      <c r="E31" s="128">
        <f>ROUND(E66,$T31)</f>
        <v>0</v>
      </c>
      <c r="F31" s="128">
        <f>ROUND(F66,$T31)</f>
        <v>550</v>
      </c>
      <c r="G31" s="128">
        <f>ROUND(G66,$T31)</f>
        <v>30650</v>
      </c>
      <c r="H31" s="128">
        <f>ROUND(H66,$T31)</f>
        <v>0</v>
      </c>
      <c r="I31" s="128"/>
      <c r="J31" s="129"/>
      <c r="N31" s="175"/>
      <c r="O31" s="175"/>
      <c r="P31" s="175"/>
      <c r="Q31" s="175"/>
      <c r="T31" s="155">
        <v>2</v>
      </c>
      <c r="U31">
        <v>2</v>
      </c>
    </row>
    <row r="32" spans="1:21">
      <c r="A32">
        <v>7</v>
      </c>
      <c r="B32" t="s">
        <v>40</v>
      </c>
      <c r="D32" s="128">
        <f>ROUND(D69,$T32)</f>
        <v>0</v>
      </c>
      <c r="E32" s="128">
        <f>ROUND(E69,$T32)</f>
        <v>7</v>
      </c>
      <c r="F32" s="128">
        <f>ROUND(F69,$T32)</f>
        <v>7</v>
      </c>
      <c r="G32" s="128">
        <f>ROUND(G69,$T32)</f>
        <v>8.3000000000000007</v>
      </c>
      <c r="H32" s="128">
        <f>ROUND(H69,$T32)</f>
        <v>0</v>
      </c>
      <c r="I32" s="128"/>
      <c r="J32" s="129"/>
      <c r="N32" s="175">
        <v>0</v>
      </c>
      <c r="O32" s="175">
        <v>20</v>
      </c>
      <c r="P32" s="175">
        <v>50</v>
      </c>
      <c r="Q32" s="175">
        <v>3000</v>
      </c>
      <c r="T32" s="155">
        <v>2</v>
      </c>
      <c r="U32">
        <v>2</v>
      </c>
    </row>
    <row r="33" spans="1:23">
      <c r="D33" s="129"/>
      <c r="E33" s="129"/>
      <c r="F33" s="129"/>
      <c r="G33" s="129"/>
      <c r="H33" s="129"/>
      <c r="I33" s="129"/>
      <c r="J33" s="129"/>
    </row>
    <row r="34" spans="1:23">
      <c r="B34" s="117" t="s">
        <v>227</v>
      </c>
      <c r="C34" s="117"/>
      <c r="D34" t="str">
        <f>IF(D35&lt;&gt;'Pres &amp; Prop Rev'!D$5,#VALUE!,"")</f>
        <v/>
      </c>
      <c r="E34" t="str">
        <f>IF(E35&lt;&gt;'Pres &amp; Prop Rev'!E$5,#VALUE!,"")</f>
        <v/>
      </c>
      <c r="F34" t="str">
        <f>IF(F35&lt;&gt;'Pres &amp; Prop Rev'!F$5,#VALUE!,"")</f>
        <v/>
      </c>
      <c r="G34" t="str">
        <f>IF(G35&lt;&gt;'Pres &amp; Prop Rev'!G$5,#VALUE!,"")</f>
        <v/>
      </c>
      <c r="H34" t="str">
        <f>IF(H35&lt;&gt;'Pres &amp; Prop Rev'!H$5,#VALUE!,"")</f>
        <v/>
      </c>
    </row>
    <row r="35" spans="1:23">
      <c r="D35" s="59" t="s">
        <v>699</v>
      </c>
      <c r="E35" s="59" t="s">
        <v>11</v>
      </c>
      <c r="F35" s="59" t="s">
        <v>12</v>
      </c>
      <c r="G35" s="59" t="s">
        <v>13</v>
      </c>
      <c r="H35" s="59" t="s">
        <v>14</v>
      </c>
      <c r="I35" s="59"/>
      <c r="S35" s="117" t="s">
        <v>391</v>
      </c>
    </row>
    <row r="36" spans="1:23">
      <c r="A36">
        <v>1</v>
      </c>
      <c r="B36" t="s">
        <v>33</v>
      </c>
      <c r="D36" s="131">
        <f>D26</f>
        <v>9</v>
      </c>
      <c r="E36" s="131">
        <f>E26</f>
        <v>20</v>
      </c>
      <c r="F36" s="131">
        <f>F26</f>
        <v>0</v>
      </c>
      <c r="G36" s="131">
        <f>G26</f>
        <v>0</v>
      </c>
      <c r="H36" s="131">
        <f>H26</f>
        <v>20</v>
      </c>
      <c r="I36" s="131"/>
      <c r="J36" s="132"/>
      <c r="S36" s="296">
        <v>1</v>
      </c>
      <c r="T36" s="296">
        <v>11</v>
      </c>
      <c r="U36" s="296">
        <v>21</v>
      </c>
      <c r="V36" s="296">
        <v>25</v>
      </c>
      <c r="W36" s="296">
        <v>31</v>
      </c>
    </row>
    <row r="37" spans="1:23">
      <c r="A37">
        <v>2</v>
      </c>
      <c r="B37" t="s">
        <v>35</v>
      </c>
      <c r="D37" s="721">
        <f>D27-0.414+0.244+0.323+0.141-0.418-0.089-0.032</f>
        <v>8.6070000000000011</v>
      </c>
      <c r="E37" s="721">
        <f>E27+0.365+0.426+0.205-0.416-0.119-0.032</f>
        <v>13.244</v>
      </c>
      <c r="F37" s="721">
        <f>F27+0.365+0.333+0.147-0.427-0.09-0.032</f>
        <v>8.6490000000000009</v>
      </c>
      <c r="G37" s="721">
        <f>G27+0.205+0.093-0.396-0.059-0.031</f>
        <v>5.9290000000000003</v>
      </c>
      <c r="H37" s="721">
        <f>H27+0.365+0.282+0.128-0.397-0.081-0.033</f>
        <v>11.455000000000002</v>
      </c>
      <c r="I37" s="133"/>
      <c r="J37" s="132"/>
      <c r="N37" s="73">
        <f t="shared" ref="N37:Q39" si="3">N27</f>
        <v>800</v>
      </c>
      <c r="O37" s="73">
        <f t="shared" si="3"/>
        <v>3650</v>
      </c>
      <c r="P37" s="73">
        <f t="shared" si="3"/>
        <v>250000</v>
      </c>
      <c r="Q37" s="73">
        <f t="shared" si="3"/>
        <v>500000</v>
      </c>
      <c r="S37" s="282">
        <v>0</v>
      </c>
      <c r="T37" s="282">
        <v>0</v>
      </c>
      <c r="U37" s="282">
        <v>0</v>
      </c>
      <c r="V37" s="282">
        <v>0</v>
      </c>
      <c r="W37" s="282">
        <v>0</v>
      </c>
    </row>
    <row r="38" spans="1:23">
      <c r="A38">
        <v>3</v>
      </c>
      <c r="B38" t="s">
        <v>36</v>
      </c>
      <c r="D38" s="721">
        <f t="shared" ref="D38:D39" si="4">D28-0.414+0.244+0.323+0.141-0.418-0.089-0.032</f>
        <v>10.054</v>
      </c>
      <c r="E38" s="721">
        <f>E28+0.365+0.426+0.205-0.416-0.119-0.032</f>
        <v>9.8469999999999995</v>
      </c>
      <c r="F38" s="721">
        <f>F28+0.365+0.333+0.147-0.427-0.09-0.032</f>
        <v>7.7700000000000014</v>
      </c>
      <c r="G38" s="721">
        <f>G28+0.205+0.093-0.396-0.059-0.031</f>
        <v>5.3150000000000004</v>
      </c>
      <c r="H38" s="721">
        <f>H28+0.365+0.282+0.128-0.397-0.081-0.033</f>
        <v>8.2560000000000002</v>
      </c>
      <c r="I38" s="133"/>
      <c r="J38" s="132"/>
      <c r="N38" s="73">
        <f t="shared" si="3"/>
        <v>1500</v>
      </c>
      <c r="O38" s="73">
        <f t="shared" si="3"/>
        <v>9999999</v>
      </c>
      <c r="P38" s="73">
        <f t="shared" si="3"/>
        <v>9999999</v>
      </c>
      <c r="Q38" s="73">
        <f t="shared" si="3"/>
        <v>6000000</v>
      </c>
      <c r="S38" s="283">
        <f>S$37</f>
        <v>0</v>
      </c>
      <c r="T38" s="283">
        <f>T$37</f>
        <v>0</v>
      </c>
      <c r="U38" s="283">
        <f>U$37</f>
        <v>0</v>
      </c>
      <c r="V38" s="283">
        <f>V$37</f>
        <v>0</v>
      </c>
      <c r="W38" s="283">
        <f>W$37</f>
        <v>0</v>
      </c>
    </row>
    <row r="39" spans="1:23">
      <c r="A39">
        <v>4</v>
      </c>
      <c r="B39" t="s">
        <v>37</v>
      </c>
      <c r="D39" s="721">
        <f t="shared" si="4"/>
        <v>11.83</v>
      </c>
      <c r="E39" s="721"/>
      <c r="F39" s="721"/>
      <c r="G39" s="721">
        <f>G29+0.205-0.396-0.059-0.031</f>
        <v>4.4250000000000007</v>
      </c>
      <c r="H39" s="721"/>
      <c r="I39" s="133"/>
      <c r="J39" s="132"/>
      <c r="L39" t="s">
        <v>234</v>
      </c>
      <c r="N39" s="73">
        <f t="shared" si="3"/>
        <v>9999999</v>
      </c>
      <c r="O39" s="73">
        <f t="shared" si="3"/>
        <v>9999999</v>
      </c>
      <c r="P39" s="73">
        <f t="shared" si="3"/>
        <v>9999999</v>
      </c>
      <c r="Q39" s="73">
        <f t="shared" si="3"/>
        <v>99999999</v>
      </c>
      <c r="S39" s="283">
        <f t="shared" ref="S39:W40" si="5">S$37</f>
        <v>0</v>
      </c>
      <c r="T39" s="283">
        <f t="shared" si="5"/>
        <v>0</v>
      </c>
      <c r="U39" s="283">
        <f t="shared" si="5"/>
        <v>0</v>
      </c>
      <c r="V39" s="283">
        <f t="shared" si="5"/>
        <v>0</v>
      </c>
      <c r="W39" s="283">
        <f t="shared" si="5"/>
        <v>0</v>
      </c>
    </row>
    <row r="40" spans="1:23">
      <c r="A40">
        <v>5</v>
      </c>
      <c r="B40" t="s">
        <v>38</v>
      </c>
      <c r="D40" s="133"/>
      <c r="E40" s="133"/>
      <c r="F40" s="133"/>
      <c r="G40" s="133"/>
      <c r="H40" s="133"/>
      <c r="I40" s="133"/>
      <c r="J40" s="132"/>
      <c r="S40" s="283">
        <f t="shared" si="5"/>
        <v>0</v>
      </c>
      <c r="T40" s="283">
        <f t="shared" si="5"/>
        <v>0</v>
      </c>
      <c r="U40" s="283">
        <f t="shared" si="5"/>
        <v>0</v>
      </c>
      <c r="V40" s="283">
        <f t="shared" si="5"/>
        <v>0</v>
      </c>
      <c r="W40" s="283">
        <f t="shared" si="5"/>
        <v>0</v>
      </c>
    </row>
    <row r="41" spans="1:23">
      <c r="A41">
        <v>6</v>
      </c>
      <c r="B41" t="s">
        <v>277</v>
      </c>
      <c r="D41" s="131"/>
      <c r="E41" s="131"/>
      <c r="F41" s="131">
        <f>F31</f>
        <v>550</v>
      </c>
      <c r="G41" s="131">
        <f>G31</f>
        <v>30650</v>
      </c>
      <c r="H41" s="131"/>
      <c r="I41" s="131"/>
      <c r="J41" s="132"/>
      <c r="N41" s="73"/>
      <c r="O41" s="73"/>
      <c r="P41" s="73"/>
      <c r="Q41" s="73"/>
    </row>
    <row r="42" spans="1:23">
      <c r="A42">
        <v>7</v>
      </c>
      <c r="B42" t="s">
        <v>40</v>
      </c>
      <c r="D42" s="131"/>
      <c r="E42" s="131">
        <f>E32</f>
        <v>7</v>
      </c>
      <c r="F42" s="131">
        <f>F32</f>
        <v>7</v>
      </c>
      <c r="G42" s="131">
        <f>G32</f>
        <v>8.3000000000000007</v>
      </c>
      <c r="H42" s="131"/>
      <c r="I42" s="131"/>
      <c r="J42" s="132"/>
      <c r="N42" s="73">
        <f>N32</f>
        <v>0</v>
      </c>
      <c r="O42" s="73">
        <f>O32</f>
        <v>20</v>
      </c>
      <c r="P42" s="73">
        <f>P32</f>
        <v>50</v>
      </c>
      <c r="Q42" s="73">
        <f>Q32</f>
        <v>3000</v>
      </c>
    </row>
    <row r="43" spans="1:23">
      <c r="C43" s="291"/>
      <c r="D43" s="292"/>
      <c r="E43" s="292"/>
      <c r="F43" s="292"/>
      <c r="G43" s="292"/>
      <c r="H43" s="292"/>
      <c r="I43" s="132"/>
      <c r="J43" s="132"/>
    </row>
    <row r="44" spans="1:23">
      <c r="C44" s="291"/>
      <c r="D44" s="310"/>
      <c r="E44" s="310"/>
      <c r="F44" s="310"/>
      <c r="G44" s="310"/>
      <c r="H44" s="310"/>
    </row>
    <row r="45" spans="1:23">
      <c r="C45" s="291"/>
      <c r="D45" s="318">
        <v>0</v>
      </c>
      <c r="E45" s="319" t="s">
        <v>429</v>
      </c>
      <c r="F45" s="319"/>
      <c r="G45" s="310"/>
      <c r="H45" s="310"/>
    </row>
    <row r="46" spans="1:23">
      <c r="D46" s="310"/>
      <c r="E46" s="310"/>
      <c r="F46" s="310"/>
      <c r="G46" s="310"/>
      <c r="H46" s="310"/>
    </row>
    <row r="47" spans="1:23">
      <c r="A47" t="s">
        <v>1</v>
      </c>
      <c r="B47" s="117" t="s">
        <v>249</v>
      </c>
      <c r="C47" s="117"/>
    </row>
    <row r="49" spans="1:13">
      <c r="B49" t="s">
        <v>17</v>
      </c>
    </row>
    <row r="50" spans="1:13">
      <c r="B50" s="144" t="s">
        <v>18</v>
      </c>
      <c r="C50" s="69">
        <f>SUM(D50:H50)</f>
        <v>3483200782.391242</v>
      </c>
      <c r="D50" s="69">
        <f>'Pres &amp; Prop Rev'!D31</f>
        <v>1632639774.4875689</v>
      </c>
      <c r="E50" s="69">
        <f>'Pres &amp; Prop Rev'!E31</f>
        <v>435979118.38983351</v>
      </c>
      <c r="F50" s="69">
        <f>'Pres &amp; Prop Rev'!F31</f>
        <v>1229791151.8036699</v>
      </c>
      <c r="G50" s="69">
        <f>'Pres &amp; Prop Rev'!G31</f>
        <v>138000000</v>
      </c>
      <c r="H50" s="69">
        <f>'Pres &amp; Prop Rev'!H31</f>
        <v>46790737.710170001</v>
      </c>
    </row>
    <row r="51" spans="1:13">
      <c r="B51" s="144" t="s">
        <v>19</v>
      </c>
      <c r="C51" s="69">
        <f>SUM(D51:H51)</f>
        <v>1499320364.6345785</v>
      </c>
      <c r="D51" s="69">
        <f>'Pres &amp; Prop Rev'!D32</f>
        <v>504552667.9882521</v>
      </c>
      <c r="E51" s="69">
        <f>'Pres &amp; Prop Rev'!E32</f>
        <v>191116384.14616641</v>
      </c>
      <c r="F51" s="69">
        <f>'Pres &amp; Prop Rev'!F32</f>
        <v>146237824.45333001</v>
      </c>
      <c r="G51" s="69">
        <f>'Pres &amp; Prop Rev'!G32</f>
        <v>564644246.71499991</v>
      </c>
      <c r="H51" s="69">
        <f>'Pres &amp; Prop Rev'!H32</f>
        <v>92769241.331829995</v>
      </c>
    </row>
    <row r="52" spans="1:13">
      <c r="B52" s="144" t="s">
        <v>20</v>
      </c>
      <c r="C52" s="69">
        <f>SUM(D52:H52)</f>
        <v>682329916.95517945</v>
      </c>
      <c r="D52" s="69">
        <f>'Pres &amp; Prop Rev'!D33</f>
        <v>299072582.35517937</v>
      </c>
      <c r="E52" s="69">
        <f>'Pres &amp; Prop Rev'!E33</f>
        <v>0</v>
      </c>
      <c r="F52" s="69">
        <f>'Pres &amp; Prop Rev'!F33</f>
        <v>0</v>
      </c>
      <c r="G52" s="69">
        <f>'Pres &amp; Prop Rev'!G33</f>
        <v>383257334.60000014</v>
      </c>
      <c r="H52" s="69">
        <f>'Pres &amp; Prop Rev'!H33</f>
        <v>0</v>
      </c>
    </row>
    <row r="53" spans="1:13">
      <c r="B53" s="144" t="s">
        <v>440</v>
      </c>
      <c r="C53" s="69">
        <f>SUM(D53:H53)</f>
        <v>0</v>
      </c>
      <c r="D53" s="69">
        <f>'Pres &amp; Prop Rev'!D41+'Pres &amp; Prop Rev'!D38</f>
        <v>0</v>
      </c>
      <c r="E53" s="69">
        <f>'Pres &amp; Prop Rev'!E41+'Pres &amp; Prop Rev'!E38</f>
        <v>0</v>
      </c>
      <c r="F53" s="69">
        <f>'Pres &amp; Prop Rev'!F41+'Pres &amp; Prop Rev'!F38</f>
        <v>0</v>
      </c>
      <c r="G53" s="69">
        <f>'Pres &amp; Prop Rev'!G41+'Pres &amp; Prop Rev'!G38</f>
        <v>0</v>
      </c>
      <c r="H53" s="69">
        <f>'Pres &amp; Prop Rev'!H41+'Pres &amp; Prop Rev'!H38</f>
        <v>0</v>
      </c>
    </row>
    <row r="54" spans="1:13">
      <c r="B54" s="144" t="s">
        <v>241</v>
      </c>
      <c r="C54" s="69">
        <f>SUM(D54:H54)</f>
        <v>-52372625</v>
      </c>
      <c r="D54" s="69">
        <f>'Pres &amp; Prop Rev'!D44</f>
        <v>-40779500</v>
      </c>
      <c r="E54" s="69">
        <f>'Pres &amp; Prop Rev'!E44</f>
        <v>-5197349</v>
      </c>
      <c r="F54" s="69">
        <f>'Pres &amp; Prop Rev'!F44</f>
        <v>-6458850</v>
      </c>
      <c r="G54" s="69">
        <f>'Pres &amp; Prop Rev'!G44</f>
        <v>0</v>
      </c>
      <c r="H54" s="69">
        <f>'Pres &amp; Prop Rev'!H44</f>
        <v>63074</v>
      </c>
    </row>
    <row r="55" spans="1:13">
      <c r="B55" t="s">
        <v>27</v>
      </c>
      <c r="C55" s="77">
        <f>IF(ROUND(SUM(D55:I55),3)&lt;&gt;ROUND(SUM(C50:C54),3),#VALUE!,SUM(D55:I55))</f>
        <v>5612478438.9810009</v>
      </c>
      <c r="D55" s="77">
        <f>SUM(D50:D54)</f>
        <v>2395485524.8310003</v>
      </c>
      <c r="E55" s="77">
        <f>SUM(E50:E54)</f>
        <v>621898153.53599989</v>
      </c>
      <c r="F55" s="77">
        <f>SUM(F50:F54)</f>
        <v>1369570126.257</v>
      </c>
      <c r="G55" s="77">
        <f>SUM(G50:G54)</f>
        <v>1085901581.3150001</v>
      </c>
      <c r="H55" s="77">
        <f>SUM(H50:H54)</f>
        <v>139623053.042</v>
      </c>
    </row>
    <row r="56" spans="1:13">
      <c r="B56" t="s">
        <v>28</v>
      </c>
      <c r="C56" s="69"/>
      <c r="D56" s="69">
        <f>'Pres &amp; Prop Rev'!D48</f>
        <v>2619517</v>
      </c>
      <c r="E56" s="69">
        <f>'Pres &amp; Prop Rev'!E48</f>
        <v>391801</v>
      </c>
      <c r="F56" s="69">
        <f>'Pres &amp; Prop Rev'!F48</f>
        <v>22941</v>
      </c>
      <c r="G56" s="69">
        <f>'Pres &amp; Prop Rev'!G48</f>
        <v>276</v>
      </c>
      <c r="H56" s="69">
        <f>'Pres &amp; Prop Rev'!H48</f>
        <v>29492</v>
      </c>
    </row>
    <row r="57" spans="1:13">
      <c r="B57" t="s">
        <v>30</v>
      </c>
      <c r="C57" s="69"/>
      <c r="D57" s="69">
        <f>'Pres &amp; Prop Rev'!D50</f>
        <v>0</v>
      </c>
      <c r="E57" s="69">
        <f>'Pres &amp; Prop Rev'!E50</f>
        <v>438307.97692307696</v>
      </c>
      <c r="F57" s="69">
        <f>'Pres &amp; Prop Rev'!F50</f>
        <v>2648035.6015384616</v>
      </c>
      <c r="G57" s="69">
        <f>'Pres &amp; Prop Rev'!G50</f>
        <v>1278599.155</v>
      </c>
      <c r="H57" s="69">
        <f>'Pres &amp; Prop Rev'!H50</f>
        <v>0</v>
      </c>
    </row>
    <row r="58" spans="1:13">
      <c r="J58" t="s">
        <v>282</v>
      </c>
      <c r="K58" s="166" t="s">
        <v>261</v>
      </c>
      <c r="L58" s="166"/>
      <c r="M58" s="166"/>
    </row>
    <row r="59" spans="1:13">
      <c r="A59" s="284"/>
      <c r="B59" s="117" t="s">
        <v>238</v>
      </c>
      <c r="C59" s="209">
        <f ca="1">SUM(D59:I59)</f>
        <v>568726049.23202014</v>
      </c>
      <c r="D59" s="209">
        <f ca="1">'Rate Spread GRC'!H15*1000</f>
        <v>251878215.8566131</v>
      </c>
      <c r="E59" s="209">
        <f ca="1">'Rate Spread GRC'!H17*1000</f>
        <v>84260380.463280663</v>
      </c>
      <c r="F59" s="209">
        <f ca="1">'Rate Spread GRC'!H19*1000</f>
        <v>144339342.69154668</v>
      </c>
      <c r="G59" s="209">
        <f ca="1">'Rate Spread GRC'!H21*1000</f>
        <v>75002483.716770902</v>
      </c>
      <c r="H59" s="209">
        <f ca="1">'Rate Spread GRC'!H23*1000</f>
        <v>13245626.503808776</v>
      </c>
      <c r="J59" s="185" t="s">
        <v>280</v>
      </c>
      <c r="K59" s="59" t="s">
        <v>262</v>
      </c>
      <c r="L59" s="59" t="s">
        <v>263</v>
      </c>
      <c r="M59" s="59" t="s">
        <v>264</v>
      </c>
    </row>
    <row r="60" spans="1:13">
      <c r="B60" s="117" t="s">
        <v>348</v>
      </c>
      <c r="C60" s="182">
        <f ca="1">'Rate Spread GRC'!F27</f>
        <v>8.3094136695362891E-2</v>
      </c>
      <c r="D60" s="182">
        <f ca="1">'Rate Spread GRC'!F15</f>
        <v>8.3094136695362891E-2</v>
      </c>
      <c r="E60" s="182">
        <f ca="1">'Rate Spread GRC'!F17</f>
        <v>8.3094136695362891E-2</v>
      </c>
      <c r="F60" s="182">
        <f ca="1">'Rate Spread GRC'!F19</f>
        <v>8.3094136695362891E-2</v>
      </c>
      <c r="G60" s="182">
        <f ca="1">'Rate Spread GRC'!F21</f>
        <v>8.3094136695362891E-2</v>
      </c>
      <c r="H60" s="182">
        <f ca="1">'Rate Spread GRC'!F25</f>
        <v>8.3094136695362891E-2</v>
      </c>
      <c r="J60" s="186" t="s">
        <v>281</v>
      </c>
    </row>
    <row r="61" spans="1:13">
      <c r="B61" s="146" t="s">
        <v>245</v>
      </c>
      <c r="C61" s="169"/>
      <c r="D61" s="147">
        <f>D4</f>
        <v>9</v>
      </c>
      <c r="E61" s="147">
        <f>E4</f>
        <v>20</v>
      </c>
      <c r="F61" s="147">
        <f>F4</f>
        <v>0</v>
      </c>
      <c r="G61" s="147">
        <f>G4</f>
        <v>0</v>
      </c>
      <c r="H61" s="147">
        <v>20</v>
      </c>
      <c r="I61" s="148"/>
    </row>
    <row r="62" spans="1:13">
      <c r="B62" s="161" t="s">
        <v>33</v>
      </c>
      <c r="C62" s="159"/>
      <c r="D62" s="184">
        <v>9</v>
      </c>
      <c r="E62" s="184">
        <v>20</v>
      </c>
      <c r="F62" s="184">
        <v>0</v>
      </c>
      <c r="G62" s="184">
        <v>0</v>
      </c>
      <c r="H62" s="184">
        <v>20</v>
      </c>
      <c r="I62" s="162"/>
      <c r="K62">
        <f>FLOOR(K61*(1+K$60),$K63)</f>
        <v>0</v>
      </c>
      <c r="L62">
        <f>CEILING(L61*(1+L$60),$L63)</f>
        <v>0</v>
      </c>
      <c r="M62">
        <f>M61*(1+M$60)</f>
        <v>0</v>
      </c>
    </row>
    <row r="63" spans="1:13">
      <c r="B63" s="163" t="s">
        <v>258</v>
      </c>
      <c r="C63" s="170"/>
      <c r="D63" s="164">
        <f>IF(D61,D62/D61-1,0)</f>
        <v>0</v>
      </c>
      <c r="E63" s="164">
        <f>IF(E61,E62/E61-1,0)</f>
        <v>0</v>
      </c>
      <c r="F63" s="164">
        <f>IF(F61,F62/F61-1,0)</f>
        <v>0</v>
      </c>
      <c r="G63" s="164">
        <f>IF(G61,G62/G61-1,0)</f>
        <v>0</v>
      </c>
      <c r="H63" s="164">
        <f>IF(H61,H62/H61-1,0)</f>
        <v>0</v>
      </c>
      <c r="I63" s="150"/>
      <c r="K63" s="165">
        <v>0.05</v>
      </c>
      <c r="L63" s="165">
        <v>0.05</v>
      </c>
    </row>
    <row r="64" spans="1:13">
      <c r="B64" s="144" t="s">
        <v>242</v>
      </c>
      <c r="C64" s="70">
        <f>SUM(D64:I64)</f>
        <v>32001513</v>
      </c>
      <c r="D64" s="70">
        <f>D56*D62</f>
        <v>23575653</v>
      </c>
      <c r="E64" s="70">
        <f>E56*E62</f>
        <v>7836020</v>
      </c>
      <c r="F64" s="70">
        <f>F56*F62</f>
        <v>0</v>
      </c>
      <c r="G64" s="70">
        <f>G56*G62</f>
        <v>0</v>
      </c>
      <c r="H64" s="70">
        <f>H56*H62</f>
        <v>589840</v>
      </c>
      <c r="I64" s="70"/>
    </row>
    <row r="65" spans="2:13">
      <c r="B65" s="151" t="s">
        <v>246</v>
      </c>
      <c r="C65" s="171"/>
      <c r="D65" s="147">
        <f>D9</f>
        <v>0</v>
      </c>
      <c r="E65" s="147">
        <f>E9</f>
        <v>0</v>
      </c>
      <c r="F65" s="147">
        <f>F9</f>
        <v>550</v>
      </c>
      <c r="G65" s="147">
        <f>G9</f>
        <v>30650</v>
      </c>
      <c r="H65" s="147">
        <f>H9</f>
        <v>0</v>
      </c>
      <c r="I65" s="152"/>
    </row>
    <row r="66" spans="2:13">
      <c r="B66" s="161" t="s">
        <v>40</v>
      </c>
      <c r="C66" s="159"/>
      <c r="D66" s="160"/>
      <c r="E66" s="160"/>
      <c r="F66" s="184">
        <v>550</v>
      </c>
      <c r="G66" s="184">
        <v>30650</v>
      </c>
      <c r="H66" s="160"/>
      <c r="I66" s="162"/>
      <c r="K66">
        <f>FLOOR(K65*(1+K$60),$K67)</f>
        <v>0</v>
      </c>
      <c r="L66">
        <f>CEILING(L65*(1+L$60),$L67)</f>
        <v>0</v>
      </c>
      <c r="M66">
        <f>M65*(1+M$60)</f>
        <v>0</v>
      </c>
    </row>
    <row r="67" spans="2:13">
      <c r="B67" s="163" t="s">
        <v>259</v>
      </c>
      <c r="C67" s="170"/>
      <c r="D67" s="164">
        <f>IF(D65,D66/D65-1,0)</f>
        <v>0</v>
      </c>
      <c r="E67" s="164">
        <f>IF(E65,E66/E65-1,0)</f>
        <v>0</v>
      </c>
      <c r="F67" s="164">
        <f>IF(F65,F66/F65-1,0)</f>
        <v>0</v>
      </c>
      <c r="G67" s="164">
        <f>IF(G65,G66/G65-1,0)</f>
        <v>0</v>
      </c>
      <c r="H67" s="164">
        <f>IF(H65,H66/H65-1,0)</f>
        <v>0</v>
      </c>
      <c r="I67" s="150"/>
      <c r="K67" s="165">
        <v>5</v>
      </c>
      <c r="L67" s="165">
        <v>10</v>
      </c>
    </row>
    <row r="68" spans="2:13">
      <c r="B68" s="151" t="s">
        <v>247</v>
      </c>
      <c r="C68" s="171"/>
      <c r="D68" s="147">
        <f>D10</f>
        <v>0</v>
      </c>
      <c r="E68" s="147">
        <v>7</v>
      </c>
      <c r="F68" s="147">
        <v>7</v>
      </c>
      <c r="G68" s="147">
        <v>8.3000000000000007</v>
      </c>
      <c r="H68" s="147">
        <f>H10</f>
        <v>0</v>
      </c>
      <c r="I68" s="148"/>
    </row>
    <row r="69" spans="2:13">
      <c r="B69" s="161" t="s">
        <v>41</v>
      </c>
      <c r="C69" s="159"/>
      <c r="D69" s="160"/>
      <c r="E69" s="184">
        <v>7</v>
      </c>
      <c r="F69" s="184">
        <v>7</v>
      </c>
      <c r="G69" s="184">
        <v>8.3000000000000007</v>
      </c>
      <c r="H69" s="184">
        <v>0</v>
      </c>
      <c r="I69" s="162"/>
      <c r="K69">
        <f>FLOOR(K68*(1+K$60),$K70)</f>
        <v>0</v>
      </c>
      <c r="L69">
        <f>CEILING(L68*(1+L$60),$L70)</f>
        <v>0</v>
      </c>
      <c r="M69">
        <f>M68*(1+M$60)</f>
        <v>0</v>
      </c>
    </row>
    <row r="70" spans="2:13">
      <c r="B70" s="163" t="s">
        <v>260</v>
      </c>
      <c r="C70" s="170"/>
      <c r="D70" s="164">
        <f>IF(D68,D69/D68-1,0)</f>
        <v>0</v>
      </c>
      <c r="E70" s="164">
        <f>IF(E68,E69/E68-1,0)</f>
        <v>0</v>
      </c>
      <c r="F70" s="164">
        <f>IF(F68,F69/F68-1,0)</f>
        <v>0</v>
      </c>
      <c r="G70" s="164">
        <f>IF(G68,G69/G68-1,0)</f>
        <v>0</v>
      </c>
      <c r="H70" s="164">
        <f>IF(H68,H69/H68-1,0)</f>
        <v>0</v>
      </c>
      <c r="I70" s="150"/>
      <c r="K70" s="165">
        <v>0.05</v>
      </c>
      <c r="L70" s="165">
        <v>0.05</v>
      </c>
    </row>
    <row r="71" spans="2:13">
      <c r="B71" s="144" t="s">
        <v>244</v>
      </c>
      <c r="C71" s="70">
        <f>SUM(D71:I71)</f>
        <v>53293728.035730772</v>
      </c>
      <c r="D71" s="70">
        <f>D56*D66+D57*D69</f>
        <v>0</v>
      </c>
      <c r="E71" s="70">
        <f>E56*E66+E57*E69</f>
        <v>3068155.8384615388</v>
      </c>
      <c r="F71" s="70">
        <f>F56*F66+F57*F69</f>
        <v>31153799.210769232</v>
      </c>
      <c r="G71" s="70">
        <f>G56*G66+G57*G69</f>
        <v>19071772.986500002</v>
      </c>
      <c r="H71" s="70">
        <f>H56*H66+H57*H69</f>
        <v>0</v>
      </c>
      <c r="I71" s="70"/>
    </row>
    <row r="72" spans="2:13">
      <c r="B72" s="144" t="s">
        <v>248</v>
      </c>
      <c r="C72" s="70">
        <f>SUM(D72:I72)</f>
        <v>-1557160.3591</v>
      </c>
      <c r="D72" s="70">
        <f>'Pres &amp; Prop Rev'!D172+'Pres &amp; Prop Rev'!D173</f>
        <v>0</v>
      </c>
      <c r="E72" s="70">
        <f>'Pres &amp; Prop Rev'!E172+'Pres &amp; Prop Rev'!E173</f>
        <v>0</v>
      </c>
      <c r="F72" s="70">
        <f>'Pres &amp; Prop Rev'!F172+'Pres &amp; Prop Rev'!F173</f>
        <v>61123.229999999996</v>
      </c>
      <c r="G72" s="70">
        <f>'Pres &amp; Prop Rev'!G172+'Pres &amp; Prop Rev'!G173</f>
        <v>-1618283.5891</v>
      </c>
      <c r="H72" s="70">
        <f>'Pres &amp; Prop Rev'!H172+'Pres &amp; Prop Rev'!H173</f>
        <v>0</v>
      </c>
      <c r="I72" s="70"/>
    </row>
    <row r="73" spans="2:13">
      <c r="B73" s="144"/>
      <c r="C73" s="144"/>
      <c r="D73" s="145"/>
      <c r="E73" s="145"/>
      <c r="F73" s="145"/>
      <c r="G73" s="145"/>
      <c r="I73" s="145"/>
    </row>
    <row r="74" spans="2:13">
      <c r="B74" s="153" t="s">
        <v>342</v>
      </c>
      <c r="C74" s="153"/>
      <c r="D74" s="154">
        <f>D5</f>
        <v>8.1029999999999998</v>
      </c>
      <c r="E74" s="154">
        <f>E5</f>
        <v>11.686</v>
      </c>
      <c r="F74" s="154">
        <f>F5</f>
        <v>7.5350000000000001</v>
      </c>
      <c r="G74" s="154">
        <f>G5</f>
        <v>5.5049999999999999</v>
      </c>
      <c r="H74" s="154">
        <f>H5</f>
        <v>10.292</v>
      </c>
      <c r="I74" s="154"/>
    </row>
    <row r="75" spans="2:13">
      <c r="B75" s="153" t="s">
        <v>343</v>
      </c>
      <c r="C75" s="153"/>
      <c r="D75" s="154">
        <f t="shared" ref="D75:H76" si="6">D6</f>
        <v>9.4269999999999996</v>
      </c>
      <c r="E75" s="154">
        <f t="shared" si="6"/>
        <v>8.5879999999999992</v>
      </c>
      <c r="F75" s="154">
        <f t="shared" si="6"/>
        <v>6.742</v>
      </c>
      <c r="G75" s="154">
        <f t="shared" si="6"/>
        <v>4.9530000000000003</v>
      </c>
      <c r="H75" s="154">
        <f t="shared" si="6"/>
        <v>7.35</v>
      </c>
      <c r="I75" s="154"/>
    </row>
    <row r="76" spans="2:13">
      <c r="B76" s="153" t="s">
        <v>344</v>
      </c>
      <c r="C76" s="153"/>
      <c r="D76" s="154">
        <f t="shared" si="6"/>
        <v>11.053000000000001</v>
      </c>
      <c r="E76" s="154">
        <f t="shared" si="6"/>
        <v>0</v>
      </c>
      <c r="F76" s="154">
        <f t="shared" si="6"/>
        <v>0</v>
      </c>
      <c r="G76" s="154">
        <f t="shared" si="6"/>
        <v>4.2350000000000003</v>
      </c>
      <c r="H76" s="154">
        <f t="shared" si="6"/>
        <v>0</v>
      </c>
      <c r="I76" s="154"/>
    </row>
    <row r="77" spans="2:13">
      <c r="B77" s="153"/>
      <c r="C77" s="153"/>
      <c r="D77" s="154"/>
      <c r="E77" s="154"/>
      <c r="F77" s="154"/>
      <c r="G77" s="154"/>
      <c r="H77" s="154"/>
      <c r="I77" s="154"/>
      <c r="K77" s="35"/>
    </row>
    <row r="78" spans="2:13">
      <c r="B78" s="153" t="s">
        <v>254</v>
      </c>
      <c r="C78" s="153"/>
      <c r="D78" s="156">
        <v>0</v>
      </c>
      <c r="E78" s="156">
        <v>1</v>
      </c>
      <c r="F78" s="156">
        <v>1</v>
      </c>
      <c r="G78" s="156">
        <v>1</v>
      </c>
      <c r="H78" s="156">
        <v>1</v>
      </c>
      <c r="I78" s="154"/>
    </row>
    <row r="79" spans="2:13">
      <c r="B79" s="153" t="s">
        <v>253</v>
      </c>
      <c r="C79" s="153"/>
      <c r="D79" s="157">
        <v>9.2469889356922602E-2</v>
      </c>
      <c r="E79" s="157">
        <v>9.6639508655557538E-2</v>
      </c>
      <c r="F79" s="157">
        <v>0.10850991657062692</v>
      </c>
      <c r="G79" s="157">
        <v>0.11109863080198981</v>
      </c>
      <c r="H79" s="157">
        <v>8.7313584289324911E-2</v>
      </c>
      <c r="I79" s="154"/>
      <c r="M79">
        <f>M$60</f>
        <v>0</v>
      </c>
    </row>
    <row r="80" spans="2:13">
      <c r="B80" s="153" t="s">
        <v>255</v>
      </c>
      <c r="C80" s="153"/>
      <c r="D80" s="167">
        <v>2</v>
      </c>
      <c r="E80" s="167">
        <v>2</v>
      </c>
      <c r="F80" s="167">
        <v>2</v>
      </c>
      <c r="G80" s="167">
        <v>2</v>
      </c>
      <c r="H80" s="167">
        <v>2</v>
      </c>
      <c r="I80" s="155"/>
    </row>
    <row r="81" spans="1:14">
      <c r="B81" s="153"/>
      <c r="C81" s="153"/>
      <c r="D81" s="154"/>
      <c r="E81" s="154"/>
      <c r="F81" s="154"/>
      <c r="G81" s="154"/>
      <c r="H81" s="154"/>
      <c r="I81" s="154"/>
    </row>
    <row r="82" spans="1:14">
      <c r="A82" t="s">
        <v>256</v>
      </c>
      <c r="B82" t="s">
        <v>35</v>
      </c>
      <c r="D82" s="154">
        <f>CHOOSE(D$80,D74+D$78,D74*(1+D$79))</f>
        <v>8.8522835134591435</v>
      </c>
      <c r="E82" s="154">
        <f>CHOOSE(E$80,E74+E$78,E74*(1+E$79))</f>
        <v>12.815329298148846</v>
      </c>
      <c r="F82" s="154">
        <f>CHOOSE(F$80,F74+F$78,F74*(1+F$79))</f>
        <v>8.3526222213596739</v>
      </c>
      <c r="G82" s="154">
        <f>CHOOSE(G$80,G74+G$78,G74*(1+G$79))</f>
        <v>6.1165979625649545</v>
      </c>
      <c r="H82" s="154">
        <f t="shared" ref="D82:H84" si="7">CHOOSE(H$80,H74+H$78,H74*(1+H$79))</f>
        <v>11.190631409505732</v>
      </c>
      <c r="I82" s="154"/>
    </row>
    <row r="83" spans="1:14">
      <c r="B83" t="s">
        <v>36</v>
      </c>
      <c r="D83" s="154">
        <f t="shared" si="7"/>
        <v>10.298713646967709</v>
      </c>
      <c r="E83" s="154">
        <f>CHOOSE(E$80,E75+E$78,E75*(1+E$79))</f>
        <v>9.4179401003339276</v>
      </c>
      <c r="F83" s="154">
        <f t="shared" si="7"/>
        <v>7.4735738575191668</v>
      </c>
      <c r="G83" s="154">
        <f>CHOOSE(G$80,G75+G$78,G75*(1+G$79))</f>
        <v>5.503271518362256</v>
      </c>
      <c r="H83" s="154">
        <f>CHOOSE(H$80,H75+H$78,H75*(1+H$79))</f>
        <v>7.9917548445265378</v>
      </c>
      <c r="I83" s="154"/>
      <c r="K83" s="154"/>
      <c r="M83">
        <f>0.75*M82</f>
        <v>0</v>
      </c>
    </row>
    <row r="84" spans="1:14">
      <c r="B84" t="s">
        <v>37</v>
      </c>
      <c r="D84" s="154">
        <f t="shared" si="7"/>
        <v>12.075069687062067</v>
      </c>
      <c r="E84" s="154">
        <f t="shared" si="7"/>
        <v>0</v>
      </c>
      <c r="F84" s="154">
        <f t="shared" si="7"/>
        <v>0</v>
      </c>
      <c r="G84" s="154">
        <f>CHOOSE(G$80,G76+G$78,G76*(1+G$79))</f>
        <v>4.7055027014464272</v>
      </c>
      <c r="H84" s="154">
        <f t="shared" si="7"/>
        <v>0</v>
      </c>
      <c r="I84" s="154"/>
    </row>
    <row r="85" spans="1:14">
      <c r="A85" t="s">
        <v>257</v>
      </c>
      <c r="B85" s="146" t="s">
        <v>35</v>
      </c>
      <c r="C85" s="169"/>
      <c r="D85" s="190">
        <f>D82</f>
        <v>8.8522835134591435</v>
      </c>
      <c r="E85" s="190">
        <f t="shared" ref="E85:H87" si="8">E82</f>
        <v>12.815329298148846</v>
      </c>
      <c r="F85" s="190">
        <f>F82</f>
        <v>8.3526222213596739</v>
      </c>
      <c r="G85" s="190">
        <f>G82</f>
        <v>6.1165979625649545</v>
      </c>
      <c r="H85" s="190">
        <f t="shared" si="8"/>
        <v>11.190631409505732</v>
      </c>
      <c r="I85" s="187"/>
      <c r="M85">
        <f>M82</f>
        <v>0</v>
      </c>
    </row>
    <row r="86" spans="1:14">
      <c r="B86" s="161" t="s">
        <v>36</v>
      </c>
      <c r="C86" s="159"/>
      <c r="D86" s="191">
        <f>D83</f>
        <v>10.298713646967709</v>
      </c>
      <c r="E86" s="191">
        <f>E83</f>
        <v>9.4179401003339276</v>
      </c>
      <c r="F86" s="191">
        <f>F83</f>
        <v>7.4735738575191668</v>
      </c>
      <c r="G86" s="191">
        <f>G83</f>
        <v>5.503271518362256</v>
      </c>
      <c r="H86" s="191">
        <f>H83</f>
        <v>7.9917548445265378</v>
      </c>
      <c r="I86" s="188"/>
      <c r="J86" s="53">
        <f>G86-G85</f>
        <v>-0.61332644420269844</v>
      </c>
      <c r="M86">
        <f>M83</f>
        <v>0</v>
      </c>
      <c r="N86">
        <f>0.75*(N85-N74)+N75</f>
        <v>0</v>
      </c>
    </row>
    <row r="87" spans="1:14">
      <c r="B87" s="149" t="s">
        <v>37</v>
      </c>
      <c r="C87" s="172"/>
      <c r="D87" s="192">
        <f>D84</f>
        <v>12.075069687062067</v>
      </c>
      <c r="E87" s="168">
        <f t="shared" si="8"/>
        <v>0</v>
      </c>
      <c r="F87" s="168">
        <f t="shared" si="8"/>
        <v>0</v>
      </c>
      <c r="G87" s="192">
        <f>G84</f>
        <v>4.7055027014464272</v>
      </c>
      <c r="H87" s="168">
        <f t="shared" si="8"/>
        <v>0</v>
      </c>
      <c r="I87" s="189"/>
      <c r="J87" s="53">
        <f>G87-G86</f>
        <v>-0.79776881691582879</v>
      </c>
      <c r="M87">
        <f>M84</f>
        <v>0</v>
      </c>
    </row>
    <row r="88" spans="1:14">
      <c r="B88" t="s">
        <v>250</v>
      </c>
      <c r="C88" s="70">
        <f>SUM(D88:I88)</f>
        <v>490321010.67359281</v>
      </c>
      <c r="D88" s="145">
        <f>SUMPRODUCT(D50:D52,D85:D87)/100</f>
        <v>232601558.79966941</v>
      </c>
      <c r="E88" s="145">
        <f>SUMPRODUCT(E50:E52,E85:E87)/100</f>
        <v>73871386.27363342</v>
      </c>
      <c r="F88" s="145">
        <f>SUMPRODUCT(F50:F52,F85:F87)/100</f>
        <v>113649000.84001726</v>
      </c>
      <c r="G88" s="145">
        <f>SUMPRODUCT(G50:G52,G85:G87)/100</f>
        <v>57548995.43097192</v>
      </c>
      <c r="H88" s="145">
        <f>SUMPRODUCT(H50:H52,H85:H87)/100</f>
        <v>12650069.329300767</v>
      </c>
      <c r="I88" s="145"/>
    </row>
    <row r="89" spans="1:14">
      <c r="B89" s="353" t="s">
        <v>251</v>
      </c>
      <c r="C89" s="70">
        <f ca="1">SUM(D89:I89)</f>
        <v>0</v>
      </c>
      <c r="D89" s="145">
        <f ca="1">'Pres &amp; Prop Rev'!D181+'Pres &amp; Prop Rev'!D178</f>
        <v>0</v>
      </c>
      <c r="E89" s="145">
        <f ca="1">'Pres &amp; Prop Rev'!E181+'Pres &amp; Prop Rev'!E178</f>
        <v>0</v>
      </c>
      <c r="F89" s="145">
        <f ca="1">'Pres &amp; Prop Rev'!F181+'Pres &amp; Prop Rev'!F178</f>
        <v>0</v>
      </c>
      <c r="G89" s="145">
        <f ca="1">'Pres &amp; Prop Rev'!G181+'Pres &amp; Prop Rev'!G178+'Pres &amp; Prop Rev'!G174</f>
        <v>0</v>
      </c>
      <c r="H89" s="145">
        <f ca="1">'Pres &amp; Prop Rev'!H181+'Pres &amp; Prop Rev'!H178</f>
        <v>0</v>
      </c>
      <c r="I89" s="145"/>
    </row>
    <row r="90" spans="1:14">
      <c r="B90" t="s">
        <v>252</v>
      </c>
      <c r="C90" s="70">
        <f ca="1">SUM(D90:I90)</f>
        <v>-5333033.6900000004</v>
      </c>
      <c r="D90" s="145">
        <f ca="1">'Pres &amp; Prop Rev'!D202</f>
        <v>-4298992.21</v>
      </c>
      <c r="E90" s="145">
        <f ca="1">'Pres &amp; Prop Rev'!E202</f>
        <v>-515180.4</v>
      </c>
      <c r="F90" s="145">
        <f ca="1">'Pres &amp; Prop Rev'!F202</f>
        <v>-524578.44999999995</v>
      </c>
      <c r="G90" s="145">
        <f>'Pres &amp; Prop Rev'!G202</f>
        <v>0</v>
      </c>
      <c r="H90" s="145">
        <f ca="1">'Pres &amp; Prop Rev'!H202</f>
        <v>5717.37</v>
      </c>
      <c r="I90" s="145"/>
    </row>
    <row r="92" spans="1:14">
      <c r="A92" t="s">
        <v>1</v>
      </c>
      <c r="B92" s="183" t="s">
        <v>243</v>
      </c>
      <c r="C92" s="145">
        <f ca="1">IF(ROUND(C59-C64-C71-C72-SUM(C88:C90),3)&lt;&gt;ROUND(SUM(D92:I92),3),#VALUE!,SUM(D92:I92))</f>
        <v>-8.4282034169882536</v>
      </c>
      <c r="D92" s="145">
        <f ca="1">D59-D64-D71-D72-SUM(D88:D90)</f>
        <v>-3.7330563068389893</v>
      </c>
      <c r="E92" s="145">
        <f ca="1">E59-E64-E71-E72-SUM(E88:E90)</f>
        <v>-1.2488142848014832</v>
      </c>
      <c r="F92" s="145">
        <f ca="1">F59-F64-F71-F72-SUM(F88:F90)</f>
        <v>-2.1392398178577423</v>
      </c>
      <c r="G92" s="145">
        <f ca="1">G59-G64-G71-G72-SUM(G88:G90)</f>
        <v>-1.1116010174155235</v>
      </c>
      <c r="H92" s="145">
        <f ca="1">H59-H64-H71-H72-SUM(H88:H90)</f>
        <v>-0.19549199007451534</v>
      </c>
      <c r="J92" t="s">
        <v>306</v>
      </c>
    </row>
    <row r="93" spans="1:14">
      <c r="B93" s="153" t="s">
        <v>274</v>
      </c>
      <c r="C93" s="181">
        <f t="shared" ref="C93:H93" ca="1" si="9">C92/C55*100</f>
        <v>-1.5016901193688103E-7</v>
      </c>
      <c r="D93" s="181">
        <f ca="1">D92/D55*100</f>
        <v>-1.5583714733998878E-7</v>
      </c>
      <c r="E93" s="181">
        <f t="shared" ca="1" si="9"/>
        <v>-2.0080688095003207E-7</v>
      </c>
      <c r="F93" s="181">
        <f t="shared" ca="1" si="9"/>
        <v>-1.5619790303868775E-7</v>
      </c>
      <c r="G93" s="181">
        <f t="shared" ca="1" si="9"/>
        <v>-1.0236664505722536E-7</v>
      </c>
      <c r="H93" s="181">
        <f t="shared" ca="1" si="9"/>
        <v>-1.4001412074531089E-7</v>
      </c>
    </row>
    <row r="94" spans="1:14">
      <c r="B94" s="153" t="s">
        <v>351</v>
      </c>
      <c r="C94" s="145">
        <f ca="1">SUM(D94:I94)</f>
        <v>-1883.0606764536351</v>
      </c>
      <c r="D94" s="145">
        <f ca="1">D59-'Pres &amp; Prop Rev'!D204-D92</f>
        <v>3392.3596694171429</v>
      </c>
      <c r="E94" s="145">
        <f ca="1">E59-'Pres &amp; Prop Rev'!E204-E92</f>
        <v>1321.1920949518681</v>
      </c>
      <c r="F94" s="145">
        <f ca="1">F59-'Pres &amp; Prop Rev'!F204-F92</f>
        <v>-5269.0692135095596</v>
      </c>
      <c r="G94" s="145">
        <f ca="1">G59-'Pres &amp; Prop Rev'!G204-G92</f>
        <v>-927.64252807945013</v>
      </c>
      <c r="H94" s="145">
        <f ca="1">H59-'Pres &amp; Prop Rev'!H204-H92</f>
        <v>-399.90069923363626</v>
      </c>
      <c r="I94" s="145"/>
    </row>
    <row r="95" spans="1:14">
      <c r="A95" s="222" t="str">
        <f>IF(Base1_Billing2=2,"MAKE SURE TO CHANGE Base1_Billing2 to '1' before designing Base Rates","")</f>
        <v/>
      </c>
      <c r="B95" s="153"/>
      <c r="C95" s="145"/>
      <c r="D95" s="145"/>
      <c r="E95" s="145"/>
      <c r="F95" s="145"/>
      <c r="G95" s="145"/>
      <c r="H95" s="145"/>
      <c r="I95" s="145"/>
    </row>
    <row r="96" spans="1:14">
      <c r="B96" s="183" t="s">
        <v>339</v>
      </c>
      <c r="C96" s="209">
        <f ca="1">SUM(D96:I96)</f>
        <v>568726049.23202014</v>
      </c>
      <c r="D96" s="145">
        <f ca="1">D59</f>
        <v>251878215.8566131</v>
      </c>
      <c r="E96" s="145">
        <f ca="1">E59</f>
        <v>84260380.463280663</v>
      </c>
      <c r="F96" s="145">
        <f ca="1">F59</f>
        <v>144339342.69154668</v>
      </c>
      <c r="G96" s="145">
        <f ca="1">G59</f>
        <v>75002483.716770902</v>
      </c>
      <c r="H96" s="145">
        <f ca="1">H59</f>
        <v>13245626.503808776</v>
      </c>
      <c r="I96" s="145"/>
    </row>
    <row r="97" spans="2:12">
      <c r="B97" s="183" t="s">
        <v>340</v>
      </c>
      <c r="C97" s="209">
        <f ca="1">SUM(D97:I97)</f>
        <v>568727940.72089994</v>
      </c>
      <c r="D97" s="226">
        <f ca="1">'Pres &amp; Prop Rev'!D204</f>
        <v>251874827.22999999</v>
      </c>
      <c r="E97" s="226">
        <f ca="1">'Pres &amp; Prop Rev'!E204</f>
        <v>84259060.519999996</v>
      </c>
      <c r="F97" s="226">
        <f ca="1">'Pres &amp; Prop Rev'!F204</f>
        <v>144344613.90000001</v>
      </c>
      <c r="G97" s="226">
        <f ca="1">'Pres &amp; Prop Rev'!G204</f>
        <v>75003412.470899999</v>
      </c>
      <c r="H97" s="226">
        <f ca="1">'Pres &amp; Prop Rev'!H204</f>
        <v>13246026.6</v>
      </c>
      <c r="I97" s="226"/>
    </row>
    <row r="98" spans="2:12">
      <c r="B98" s="153"/>
      <c r="C98" s="228">
        <f ca="1">SUM(D98:H98)</f>
        <v>1891.4888798706234</v>
      </c>
      <c r="D98" s="227">
        <f ca="1">D97-D96</f>
        <v>-3388.6266131103039</v>
      </c>
      <c r="E98" s="227">
        <f ca="1">E97-E96</f>
        <v>-1319.9432806670666</v>
      </c>
      <c r="F98" s="227">
        <f ca="1">F97-F96</f>
        <v>5271.2084533274174</v>
      </c>
      <c r="G98" s="227">
        <f ca="1">G97-G96</f>
        <v>928.75412909686565</v>
      </c>
      <c r="H98" s="227">
        <f ca="1">H97-H96</f>
        <v>400.09619122371078</v>
      </c>
      <c r="I98" s="227"/>
    </row>
    <row r="99" spans="2:12">
      <c r="B99" s="80" t="s">
        <v>265</v>
      </c>
      <c r="C99" s="80"/>
    </row>
    <row r="100" spans="2:12">
      <c r="B100" s="144" t="s">
        <v>266</v>
      </c>
      <c r="C100" s="158">
        <f ca="1">'Pres &amp; Prop Rev'!C164/'Pres &amp; Prop Rev'!C111-1</f>
        <v>0</v>
      </c>
      <c r="D100" s="158">
        <f ca="1">'Pres &amp; Prop Rev'!D164/'Pres &amp; Prop Rev'!D111-1</f>
        <v>0</v>
      </c>
      <c r="E100" s="158">
        <f ca="1">'Pres &amp; Prop Rev'!E164/'Pres &amp; Prop Rev'!E111-1</f>
        <v>0</v>
      </c>
      <c r="F100" s="158" t="e">
        <f>'Pres &amp; Prop Rev'!F164/'Pres &amp; Prop Rev'!F111-1</f>
        <v>#DIV/0!</v>
      </c>
      <c r="G100" s="158" t="e">
        <f>'Pres &amp; Prop Rev'!G164/'Pres &amp; Prop Rev'!G111-1</f>
        <v>#DIV/0!</v>
      </c>
      <c r="H100" s="158">
        <f ca="1">'Pres &amp; Prop Rev'!H164/'Pres &amp; Prop Rev'!H111-1</f>
        <v>0</v>
      </c>
      <c r="I100" s="158"/>
    </row>
    <row r="101" spans="2:12">
      <c r="B101" s="144" t="s">
        <v>267</v>
      </c>
      <c r="C101" s="158">
        <f ca="1">SUM('Pres &amp; Prop Rev'!C170:C171)/SUM('Pres &amp; Prop Rev'!C117:C118)-1</f>
        <v>8.0107476208013395E-11</v>
      </c>
      <c r="D101" s="158" t="e">
        <f>SUM('Pres &amp; Prop Rev'!D170:D171)/SUM('Pres &amp; Prop Rev'!D117:D118)-1</f>
        <v>#DIV/0!</v>
      </c>
      <c r="E101" s="158">
        <f ca="1">SUM('Pres &amp; Prop Rev'!E170:E171)/SUM('Pres &amp; Prop Rev'!E117:E118)-1</f>
        <v>5.0142867635827315E-10</v>
      </c>
      <c r="F101" s="158">
        <f ca="1">SUM('Pres &amp; Prop Rev'!F170:F171)/SUM('Pres &amp; Prop Rev'!F117:F118)-1</f>
        <v>-2.4691471089965944E-11</v>
      </c>
      <c r="G101" s="158">
        <f ca="1">SUM('Pres &amp; Prop Rev'!G170:G171)/SUM('Pres &amp; Prop Rev'!G117:G118)-1</f>
        <v>1.8351720143527928E-10</v>
      </c>
      <c r="H101" s="158" t="e">
        <f>SUM('Pres &amp; Prop Rev'!H170:H171)/SUM('Pres &amp; Prop Rev'!H117:H118)-1</f>
        <v>#DIV/0!</v>
      </c>
    </row>
    <row r="102" spans="2:12">
      <c r="B102" s="144" t="s">
        <v>251</v>
      </c>
      <c r="C102" s="158" t="e">
        <f ca="1">'Pres &amp; Prop Rev'!C181/'Pres &amp; Prop Rev'!C128-1</f>
        <v>#DIV/0!</v>
      </c>
      <c r="D102" s="158" t="e">
        <f ca="1">'Pres &amp; Prop Rev'!D181/'Pres &amp; Prop Rev'!D128-1</f>
        <v>#DIV/0!</v>
      </c>
      <c r="E102" s="158" t="e">
        <f ca="1">'Pres &amp; Prop Rev'!E181/'Pres &amp; Prop Rev'!E128-1</f>
        <v>#DIV/0!</v>
      </c>
      <c r="F102" s="158" t="e">
        <f ca="1">'Pres &amp; Prop Rev'!F181/'Pres &amp; Prop Rev'!F128-1</f>
        <v>#DIV/0!</v>
      </c>
      <c r="G102" s="158" t="e">
        <f>'Pres &amp; Prop Rev'!G181/'Pres &amp; Prop Rev'!G128-1</f>
        <v>#DIV/0!</v>
      </c>
      <c r="H102" s="158" t="e">
        <f ca="1">'Pres &amp; Prop Rev'!H181/'Pres &amp; Prop Rev'!H128-1</f>
        <v>#DIV/0!</v>
      </c>
    </row>
    <row r="103" spans="2:12">
      <c r="B103" s="144" t="s">
        <v>252</v>
      </c>
      <c r="C103" s="158">
        <f ca="1">'Pres &amp; Prop Rev'!C202/'Pres &amp; Prop Rev'!C149-1</f>
        <v>9.444571814300784E-2</v>
      </c>
      <c r="D103" s="158">
        <f ca="1">'Pres &amp; Prop Rev'!D202/'Pres &amp; Prop Rev'!D149-1</f>
        <v>9.2476848737068851E-2</v>
      </c>
      <c r="E103" s="158">
        <f ca="1">'Pres &amp; Prop Rev'!E202/'Pres &amp; Prop Rev'!E149-1</f>
        <v>9.6639871477091299E-2</v>
      </c>
      <c r="F103" s="158">
        <f ca="1">'Pres &amp; Prop Rev'!F202/'Pres &amp; Prop Rev'!F149-1</f>
        <v>0.10856130831499722</v>
      </c>
      <c r="G103" s="158" t="e">
        <f>'Pres &amp; Prop Rev'!G202/'Pres &amp; Prop Rev'!G149-1</f>
        <v>#DIV/0!</v>
      </c>
      <c r="H103" s="158">
        <f ca="1">'Pres &amp; Prop Rev'!H202/'Pres &amp; Prop Rev'!H149-1</f>
        <v>8.7349374676688019E-2</v>
      </c>
    </row>
    <row r="104" spans="2:12">
      <c r="B104" s="144" t="s">
        <v>268</v>
      </c>
      <c r="C104" s="158">
        <f ca="1">SUM('Pres &amp; Prop Rev'!C166:C169)/SUM('Pres &amp; Prop Rev'!C113:C116)-1</f>
        <v>9.8816698993950514E-2</v>
      </c>
      <c r="D104" s="158">
        <f ca="1">SUM('Pres &amp; Prop Rev'!D166:D169)/SUM('Pres &amp; Prop Rev'!D113:D116)-1</f>
        <v>9.2453956291186135E-2</v>
      </c>
      <c r="E104" s="158">
        <f ca="1">SUM('Pres &amp; Prop Rev'!E166:E169)/SUM('Pres &amp; Prop Rev'!E113:E116)-1</f>
        <v>9.6619895127082245E-2</v>
      </c>
      <c r="F104" s="158">
        <f ca="1">SUM('Pres &amp; Prop Rev'!F166:F169)/SUM('Pres &amp; Prop Rev'!F113:F116)-1</f>
        <v>0.10856131007194958</v>
      </c>
      <c r="G104" s="158">
        <f ca="1">SUM('Pres &amp; Prop Rev'!G166:G169)/SUM('Pres &amp; Prop Rev'!G113:G116)-1</f>
        <v>0.11111654073377242</v>
      </c>
      <c r="H104" s="158">
        <f ca="1">SUM('Pres &amp; Prop Rev'!H166:H169)/SUM('Pres &amp; Prop Rev'!H113:H116)-1</f>
        <v>8.7347956370551483E-2</v>
      </c>
    </row>
    <row r="105" spans="2:12">
      <c r="B105" s="143" t="s">
        <v>269</v>
      </c>
      <c r="C105" s="182">
        <f ca="1">'Pres &amp; Prop Rev'!C208</f>
        <v>8.3097426784891876E-2</v>
      </c>
      <c r="D105" s="182">
        <f ca="1">'Pres &amp; Prop Rev'!D208</f>
        <v>8.3080855366732959E-2</v>
      </c>
      <c r="E105" s="182">
        <f ca="1">'Pres &amp; Prop Rev'!E208</f>
        <v>8.3077169968887338E-2</v>
      </c>
      <c r="F105" s="182">
        <f ca="1">'Pres &amp; Prop Rev'!F208</f>
        <v>8.3132940403143424E-2</v>
      </c>
      <c r="G105" s="182">
        <f ca="1">'Pres &amp; Prop Rev'!G208</f>
        <v>8.3110436825417675E-2</v>
      </c>
      <c r="H105" s="182">
        <f ca="1">'Pres &amp; Prop Rev'!H208</f>
        <v>8.3135029841614291E-2</v>
      </c>
    </row>
    <row r="107" spans="2:12">
      <c r="B107" t="s">
        <v>270</v>
      </c>
      <c r="D107" s="173">
        <f>D55/D56</f>
        <v>914.47603693009069</v>
      </c>
      <c r="E107" s="173">
        <f>E55/E56</f>
        <v>1587.2806693602106</v>
      </c>
      <c r="F107" s="173">
        <f>F55/F56</f>
        <v>59699.669859945076</v>
      </c>
      <c r="G107" s="173">
        <f>G55/G56</f>
        <v>3934426.0192572465</v>
      </c>
      <c r="H107" s="173">
        <f>H55/H56</f>
        <v>4734.268718364302</v>
      </c>
    </row>
    <row r="108" spans="2:12">
      <c r="B108" s="169" t="s">
        <v>271</v>
      </c>
      <c r="C108" s="177" t="str">
        <f>INDEX($D$2:$I$2,K108)</f>
        <v>SCH. 1,2</v>
      </c>
      <c r="D108" s="174"/>
      <c r="E108" s="169"/>
      <c r="F108" s="177" t="str">
        <f>INDEX($D$2:$I$2,L108)</f>
        <v>SCH. 11,12</v>
      </c>
      <c r="G108" s="174"/>
      <c r="H108" s="169"/>
      <c r="I108" s="180"/>
      <c r="J108" s="180"/>
      <c r="K108" s="176">
        <v>1</v>
      </c>
      <c r="L108" s="176">
        <v>2</v>
      </c>
    </row>
    <row r="109" spans="2:12">
      <c r="B109" s="222" t="str">
        <f>IF(Base1_Billing2=2,"BILLING RATES","BASE RATES")</f>
        <v>BASE RATES</v>
      </c>
      <c r="C109" s="59" t="s">
        <v>272</v>
      </c>
      <c r="D109" s="59" t="s">
        <v>273</v>
      </c>
      <c r="E109" s="59" t="s">
        <v>278</v>
      </c>
      <c r="F109" s="59" t="s">
        <v>272</v>
      </c>
      <c r="G109" s="59" t="s">
        <v>273</v>
      </c>
      <c r="H109" s="59" t="s">
        <v>278</v>
      </c>
      <c r="I109" s="59"/>
      <c r="J109" s="59"/>
    </row>
    <row r="110" spans="2:12">
      <c r="B110" s="175">
        <v>100</v>
      </c>
      <c r="C110" s="145"/>
      <c r="D110" s="145"/>
      <c r="E110" s="158"/>
      <c r="F110" s="145"/>
      <c r="G110" s="145"/>
      <c r="H110" s="158"/>
      <c r="I110" s="158"/>
      <c r="J110" s="158"/>
    </row>
    <row r="111" spans="2:12">
      <c r="B111" s="175">
        <v>200</v>
      </c>
      <c r="C111" s="145"/>
      <c r="D111" s="145"/>
      <c r="E111" s="158"/>
      <c r="F111" s="145"/>
      <c r="G111" s="145"/>
      <c r="H111" s="158"/>
      <c r="I111" s="158"/>
      <c r="J111" s="158"/>
    </row>
    <row r="112" spans="2:12">
      <c r="B112" s="175">
        <v>300</v>
      </c>
      <c r="C112" s="145"/>
      <c r="D112" s="145"/>
      <c r="E112" s="158"/>
      <c r="F112" s="145"/>
      <c r="G112" s="145"/>
      <c r="H112" s="158"/>
      <c r="I112" s="158"/>
      <c r="J112" s="158"/>
    </row>
    <row r="113" spans="2:10">
      <c r="B113" s="175">
        <v>400</v>
      </c>
      <c r="C113" s="145"/>
      <c r="D113" s="145"/>
      <c r="E113" s="158"/>
      <c r="F113" s="145"/>
      <c r="G113" s="145"/>
      <c r="H113" s="158"/>
      <c r="I113" s="158"/>
      <c r="J113" s="158"/>
    </row>
    <row r="114" spans="2:10">
      <c r="B114" s="175">
        <v>500</v>
      </c>
      <c r="C114" s="145"/>
      <c r="D114" s="145"/>
      <c r="E114" s="158"/>
      <c r="F114" s="145"/>
      <c r="G114" s="145"/>
      <c r="H114" s="158"/>
      <c r="I114" s="158"/>
      <c r="J114" s="158"/>
    </row>
    <row r="115" spans="2:10">
      <c r="B115" s="175">
        <v>600</v>
      </c>
      <c r="C115" s="145"/>
      <c r="D115" s="145"/>
      <c r="E115" s="158"/>
      <c r="F115" s="145"/>
      <c r="G115" s="145"/>
      <c r="H115" s="158"/>
      <c r="I115" s="158"/>
      <c r="J115" s="158"/>
    </row>
    <row r="116" spans="2:10">
      <c r="B116" s="175">
        <v>700</v>
      </c>
      <c r="C116" s="145"/>
      <c r="D116" s="145"/>
      <c r="E116" s="158"/>
      <c r="F116" s="145"/>
      <c r="G116" s="145"/>
      <c r="H116" s="158"/>
      <c r="I116" s="158"/>
      <c r="J116" s="158"/>
    </row>
    <row r="117" spans="2:10">
      <c r="B117" s="175">
        <v>800</v>
      </c>
      <c r="C117" s="145"/>
      <c r="D117" s="145"/>
      <c r="E117" s="158"/>
      <c r="F117" s="145"/>
      <c r="G117" s="145"/>
      <c r="H117" s="158"/>
      <c r="I117" s="158"/>
      <c r="J117" s="158"/>
    </row>
    <row r="118" spans="2:10">
      <c r="B118" s="175">
        <v>900</v>
      </c>
      <c r="C118" s="145"/>
      <c r="D118" s="145"/>
      <c r="E118" s="158"/>
      <c r="F118" s="145"/>
      <c r="G118" s="145"/>
      <c r="H118" s="158"/>
      <c r="I118" s="158"/>
      <c r="J118" s="158"/>
    </row>
    <row r="119" spans="2:10">
      <c r="B119" s="175">
        <v>1000</v>
      </c>
      <c r="C119" s="54">
        <f>ROUND(D14+600*D15/100+400*D16/100,2)</f>
        <v>92.88</v>
      </c>
      <c r="D119" s="54">
        <f>ROUND(D36+600*D37/100+400*D38/100,2)</f>
        <v>100.86</v>
      </c>
      <c r="E119" s="315">
        <f>D119/C119-1</f>
        <v>8.5917312661498713E-2</v>
      </c>
      <c r="F119" s="54">
        <f>D119-C119</f>
        <v>7.980000000000004</v>
      </c>
      <c r="G119" s="145"/>
      <c r="H119" s="158"/>
      <c r="I119" s="158"/>
      <c r="J119" s="158"/>
    </row>
    <row r="120" spans="2:10">
      <c r="B120" s="175">
        <v>1100</v>
      </c>
      <c r="C120" s="54"/>
      <c r="D120" s="54"/>
      <c r="E120" s="315"/>
      <c r="F120" s="54"/>
      <c r="G120" s="145"/>
      <c r="H120" s="158"/>
      <c r="I120" s="158"/>
      <c r="J120" s="158"/>
    </row>
    <row r="121" spans="2:10">
      <c r="B121" s="175">
        <v>1200</v>
      </c>
      <c r="C121" s="145"/>
      <c r="D121" s="145"/>
      <c r="E121" s="158"/>
      <c r="F121" s="145"/>
      <c r="G121" s="145"/>
      <c r="H121" s="158"/>
      <c r="I121" s="158"/>
      <c r="J121" s="158"/>
    </row>
    <row r="122" spans="2:10">
      <c r="B122" s="175">
        <v>1300</v>
      </c>
      <c r="C122" s="145"/>
      <c r="D122" s="145"/>
      <c r="E122" s="158"/>
      <c r="F122" s="145"/>
      <c r="G122" s="145"/>
      <c r="H122" s="158"/>
      <c r="I122" s="158"/>
      <c r="J122" s="158"/>
    </row>
    <row r="123" spans="2:10">
      <c r="B123" s="175">
        <v>1400</v>
      </c>
      <c r="C123" s="145"/>
      <c r="D123" s="145"/>
      <c r="E123" s="158"/>
      <c r="F123" s="145"/>
      <c r="G123" s="145"/>
      <c r="H123" s="158"/>
      <c r="I123" s="158"/>
      <c r="J123" s="158"/>
    </row>
    <row r="124" spans="2:10">
      <c r="B124" s="175">
        <v>1500</v>
      </c>
      <c r="C124" s="145"/>
      <c r="D124" s="145"/>
      <c r="E124" s="158"/>
      <c r="F124" s="145"/>
      <c r="G124" s="145"/>
      <c r="H124" s="158"/>
      <c r="I124" s="158"/>
      <c r="J124" s="158"/>
    </row>
    <row r="125" spans="2:10">
      <c r="D125">
        <v>2425727000</v>
      </c>
      <c r="E125">
        <f>395341000+52692000</f>
        <v>448033000</v>
      </c>
    </row>
    <row r="126" spans="2:10">
      <c r="D126">
        <f>205474*12</f>
        <v>2465688</v>
      </c>
      <c r="E126">
        <f>(19967+8691)*12</f>
        <v>343896</v>
      </c>
    </row>
    <row r="127" spans="2:10">
      <c r="D127">
        <f>D125/D126</f>
        <v>983.79316442307379</v>
      </c>
      <c r="E127" s="404">
        <f>E125/E126</f>
        <v>1302.8153860469445</v>
      </c>
    </row>
  </sheetData>
  <phoneticPr fontId="15" type="noConversion"/>
  <conditionalFormatting sqref="D14:I14 D36:I36 D18:I20 I15:I17 D40:I42 I37:I39">
    <cfRule type="expression" dxfId="34" priority="3" stopIfTrue="1">
      <formula>D14-D4&lt;0</formula>
    </cfRule>
  </conditionalFormatting>
  <conditionalFormatting sqref="D62:H62 F66:G66 E69:H69">
    <cfRule type="expression" dxfId="33" priority="4" stopIfTrue="1">
      <formula>ABS(D62-D61)&gt;0.001</formula>
    </cfRule>
  </conditionalFormatting>
  <conditionalFormatting sqref="D85:I87">
    <cfRule type="expression" dxfId="32" priority="5" stopIfTrue="1">
      <formula>ABS(D85-D74)&gt;0.000001</formula>
    </cfRule>
  </conditionalFormatting>
  <conditionalFormatting sqref="I94:I95">
    <cfRule type="expression" dxfId="31" priority="6" stopIfTrue="1">
      <formula>ABS(I94)&gt;0.1</formula>
    </cfRule>
  </conditionalFormatting>
  <conditionalFormatting sqref="D92:I92">
    <cfRule type="expression" dxfId="30" priority="7" stopIfTrue="1">
      <formula>ABS(D92)&gt;1000</formula>
    </cfRule>
  </conditionalFormatting>
  <conditionalFormatting sqref="C95:H95">
    <cfRule type="expression" dxfId="29" priority="8" stopIfTrue="1">
      <formula>ABS(C95)&gt;4000</formula>
    </cfRule>
  </conditionalFormatting>
  <conditionalFormatting sqref="D15:H17">
    <cfRule type="expression" dxfId="28" priority="2" stopIfTrue="1">
      <formula>D15-D5&lt;0</formula>
    </cfRule>
  </conditionalFormatting>
  <conditionalFormatting sqref="D37:H39">
    <cfRule type="expression" dxfId="27" priority="1" stopIfTrue="1">
      <formula>D37-D27&lt;0</formula>
    </cfRule>
  </conditionalFormatting>
  <pageMargins left="0.25" right="0.25" top="0.5" bottom="0.5" header="0.5" footer="0.25"/>
  <pageSetup scale="71" orientation="landscape" r:id="rId1"/>
  <headerFooter alignWithMargins="0">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6" tint="-0.249977111117893"/>
    <pageSetUpPr fitToPage="1"/>
  </sheetPr>
  <dimension ref="A1:AC102"/>
  <sheetViews>
    <sheetView showGridLines="0" view="pageBreakPreview" zoomScaleNormal="100" zoomScaleSheetLayoutView="100" workbookViewId="0">
      <selection activeCell="E24" sqref="E24"/>
    </sheetView>
  </sheetViews>
  <sheetFormatPr defaultColWidth="11.44140625" defaultRowHeight="13.2"/>
  <cols>
    <col min="1" max="1" width="5" style="214" customWidth="1"/>
    <col min="2" max="2" width="23.6640625" style="44" customWidth="1"/>
    <col min="3" max="3" width="8.6640625" style="214" customWidth="1"/>
    <col min="4" max="4" width="12.44140625" style="367" customWidth="1"/>
    <col min="5" max="5" width="9.6640625" style="367" customWidth="1"/>
    <col min="6" max="6" width="15" style="367" bestFit="1" customWidth="1"/>
    <col min="7" max="7" width="10.44140625" style="205" bestFit="1" customWidth="1"/>
    <col min="8" max="8" width="12.33203125" style="44" customWidth="1"/>
    <col min="9" max="9" width="15" style="434" hidden="1" customWidth="1"/>
    <col min="10" max="10" width="12.33203125" style="434" hidden="1" customWidth="1"/>
    <col min="11" max="11" width="13.33203125" style="44" bestFit="1" customWidth="1"/>
    <col min="12" max="12" width="13.33203125" style="434" hidden="1" customWidth="1"/>
    <col min="13" max="13" width="15" style="434" customWidth="1"/>
    <col min="14" max="14" width="15" style="434" hidden="1" customWidth="1"/>
    <col min="15" max="15" width="7.109375" style="434" bestFit="1" customWidth="1"/>
    <col min="16" max="16" width="9.6640625" style="44" customWidth="1"/>
    <col min="17" max="17" width="12.33203125" style="434" hidden="1" customWidth="1"/>
    <col min="18" max="18" width="8.33203125" style="44" hidden="1" customWidth="1"/>
    <col min="19" max="19" width="10.6640625" style="117" bestFit="1" customWidth="1"/>
    <col min="20" max="20" width="9.33203125" style="44" bestFit="1" customWidth="1"/>
    <col min="21" max="21" width="1.6640625" style="44" customWidth="1"/>
    <col min="22" max="22" width="11.44140625" style="44" customWidth="1"/>
    <col min="23" max="23" width="13.44140625" style="44" customWidth="1"/>
    <col min="24" max="16384" width="11.44140625" style="44"/>
  </cols>
  <sheetData>
    <row r="1" spans="1:29" s="214" customFormat="1">
      <c r="A1" s="805" t="s">
        <v>101</v>
      </c>
      <c r="B1" s="805"/>
      <c r="C1" s="805"/>
      <c r="D1" s="805"/>
      <c r="E1" s="805"/>
      <c r="F1" s="805"/>
      <c r="G1" s="805"/>
      <c r="H1" s="805"/>
      <c r="I1" s="805"/>
      <c r="J1" s="805"/>
      <c r="K1" s="805"/>
      <c r="L1" s="805"/>
      <c r="M1" s="805"/>
      <c r="N1" s="805"/>
      <c r="O1" s="805"/>
      <c r="P1" s="805"/>
      <c r="Q1" s="805"/>
      <c r="R1" s="805"/>
      <c r="S1" s="805"/>
      <c r="T1" s="805"/>
      <c r="U1" s="44"/>
      <c r="W1" s="806" t="s">
        <v>347</v>
      </c>
      <c r="X1" s="806"/>
    </row>
    <row r="2" spans="1:29" s="214" customFormat="1">
      <c r="A2" s="805" t="s">
        <v>405</v>
      </c>
      <c r="B2" s="805"/>
      <c r="C2" s="805"/>
      <c r="D2" s="805"/>
      <c r="E2" s="805"/>
      <c r="F2" s="805"/>
      <c r="G2" s="805"/>
      <c r="H2" s="805"/>
      <c r="I2" s="805"/>
      <c r="J2" s="805"/>
      <c r="K2" s="805"/>
      <c r="L2" s="805"/>
      <c r="M2" s="805"/>
      <c r="N2" s="805"/>
      <c r="O2" s="805"/>
      <c r="P2" s="805"/>
      <c r="Q2" s="805"/>
      <c r="R2" s="805"/>
      <c r="S2" s="805"/>
      <c r="T2" s="805"/>
      <c r="U2" s="44"/>
      <c r="W2" s="806"/>
      <c r="X2" s="806"/>
    </row>
    <row r="3" spans="1:29" s="214" customFormat="1">
      <c r="A3" s="805" t="s">
        <v>307</v>
      </c>
      <c r="B3" s="805"/>
      <c r="C3" s="805"/>
      <c r="D3" s="805"/>
      <c r="E3" s="805"/>
      <c r="F3" s="805"/>
      <c r="G3" s="805"/>
      <c r="H3" s="805"/>
      <c r="I3" s="805"/>
      <c r="J3" s="805"/>
      <c r="K3" s="805"/>
      <c r="L3" s="805"/>
      <c r="M3" s="805"/>
      <c r="N3" s="805"/>
      <c r="O3" s="805"/>
      <c r="P3" s="805"/>
      <c r="Q3" s="805"/>
      <c r="R3" s="805"/>
      <c r="S3" s="805"/>
      <c r="T3" s="805"/>
      <c r="U3" s="44"/>
      <c r="W3" s="806"/>
      <c r="X3" s="806"/>
    </row>
    <row r="4" spans="1:29" s="214" customFormat="1">
      <c r="A4" s="805" t="s">
        <v>943</v>
      </c>
      <c r="B4" s="805"/>
      <c r="C4" s="805"/>
      <c r="D4" s="805"/>
      <c r="E4" s="805"/>
      <c r="F4" s="805"/>
      <c r="G4" s="805"/>
      <c r="H4" s="805"/>
      <c r="I4" s="805"/>
      <c r="J4" s="805"/>
      <c r="K4" s="805"/>
      <c r="L4" s="805"/>
      <c r="M4" s="805"/>
      <c r="N4" s="805"/>
      <c r="O4" s="805"/>
      <c r="P4" s="805"/>
      <c r="Q4" s="805"/>
      <c r="R4" s="805"/>
      <c r="S4" s="805"/>
      <c r="T4" s="805"/>
      <c r="U4" s="44"/>
    </row>
    <row r="5" spans="1:29" s="214" customFormat="1">
      <c r="A5" s="805" t="s">
        <v>308</v>
      </c>
      <c r="B5" s="805"/>
      <c r="C5" s="805"/>
      <c r="D5" s="805"/>
      <c r="E5" s="805"/>
      <c r="F5" s="805"/>
      <c r="G5" s="805"/>
      <c r="H5" s="805"/>
      <c r="I5" s="805"/>
      <c r="J5" s="805"/>
      <c r="K5" s="805"/>
      <c r="L5" s="805"/>
      <c r="M5" s="805"/>
      <c r="N5" s="805"/>
      <c r="O5" s="805"/>
      <c r="P5" s="805"/>
      <c r="Q5" s="805"/>
      <c r="R5" s="805"/>
      <c r="S5" s="805"/>
      <c r="T5" s="805"/>
      <c r="U5" s="44"/>
    </row>
    <row r="6" spans="1:29" s="214" customFormat="1">
      <c r="C6" s="44"/>
      <c r="D6" s="362"/>
      <c r="E6" s="351"/>
      <c r="F6" s="351"/>
      <c r="G6" s="201"/>
      <c r="I6" s="584"/>
      <c r="J6" s="584"/>
      <c r="L6" s="584"/>
      <c r="M6" s="584"/>
      <c r="N6" s="584"/>
      <c r="O6" s="584"/>
      <c r="T6" s="352"/>
      <c r="U6" s="44"/>
    </row>
    <row r="7" spans="1:29" s="214" customFormat="1" ht="15.6">
      <c r="A7" s="610"/>
      <c r="C7" s="44"/>
      <c r="D7" s="362"/>
      <c r="E7" s="351"/>
      <c r="F7" s="351"/>
      <c r="G7" s="201"/>
      <c r="I7" s="584"/>
      <c r="J7" s="584"/>
      <c r="L7" s="584"/>
      <c r="M7" s="584"/>
      <c r="N7" s="584"/>
      <c r="O7" s="584"/>
      <c r="T7" s="352"/>
      <c r="U7" s="44"/>
    </row>
    <row r="8" spans="1:29" s="584" customFormat="1" ht="15.6">
      <c r="A8" s="610"/>
      <c r="C8" s="434"/>
      <c r="D8" s="362"/>
      <c r="E8" s="609"/>
      <c r="F8" s="609"/>
      <c r="G8" s="201"/>
      <c r="T8" s="597"/>
      <c r="U8" s="434"/>
    </row>
    <row r="9" spans="1:29" s="584" customFormat="1" ht="15.6">
      <c r="A9" s="610"/>
      <c r="C9" s="434"/>
      <c r="D9" s="362"/>
      <c r="E9" s="609"/>
      <c r="F9" s="609"/>
      <c r="G9" s="201"/>
      <c r="T9" s="597"/>
      <c r="U9" s="434"/>
    </row>
    <row r="10" spans="1:29" s="214" customFormat="1">
      <c r="C10" s="363"/>
      <c r="D10" s="362" t="s">
        <v>229</v>
      </c>
      <c r="E10" s="364"/>
      <c r="F10" s="362" t="s">
        <v>229</v>
      </c>
      <c r="G10" s="202" t="s">
        <v>283</v>
      </c>
      <c r="H10" s="214" t="s">
        <v>309</v>
      </c>
      <c r="I10" s="584"/>
      <c r="J10" s="584" t="s">
        <v>759</v>
      </c>
      <c r="K10" s="214" t="s">
        <v>908</v>
      </c>
      <c r="L10" s="584" t="s">
        <v>906</v>
      </c>
      <c r="M10" s="674" t="s">
        <v>1032</v>
      </c>
      <c r="N10" s="674" t="s">
        <v>899</v>
      </c>
      <c r="O10" s="674"/>
      <c r="P10" s="352" t="s">
        <v>315</v>
      </c>
      <c r="Q10" s="522"/>
      <c r="T10" s="352" t="s">
        <v>310</v>
      </c>
      <c r="U10" s="44"/>
      <c r="X10" s="522" t="s">
        <v>310</v>
      </c>
      <c r="Y10" s="214" t="s">
        <v>309</v>
      </c>
    </row>
    <row r="11" spans="1:29" s="214" customFormat="1">
      <c r="C11" s="363"/>
      <c r="D11" s="214" t="s">
        <v>106</v>
      </c>
      <c r="E11" s="362" t="s">
        <v>900</v>
      </c>
      <c r="F11" s="214" t="s">
        <v>106</v>
      </c>
      <c r="G11" s="200" t="s">
        <v>285</v>
      </c>
      <c r="H11" s="214" t="s">
        <v>106</v>
      </c>
      <c r="I11" s="584" t="s">
        <v>820</v>
      </c>
      <c r="J11" s="584" t="s">
        <v>106</v>
      </c>
      <c r="K11" s="362" t="s">
        <v>275</v>
      </c>
      <c r="L11" s="362" t="s">
        <v>907</v>
      </c>
      <c r="M11" s="362" t="s">
        <v>1031</v>
      </c>
      <c r="N11" s="362" t="s">
        <v>881</v>
      </c>
      <c r="O11" s="745" t="s">
        <v>66</v>
      </c>
      <c r="P11" s="352" t="s">
        <v>292</v>
      </c>
      <c r="Q11" s="214" t="s">
        <v>559</v>
      </c>
      <c r="R11" s="214" t="s">
        <v>578</v>
      </c>
      <c r="S11" s="362" t="s">
        <v>286</v>
      </c>
      <c r="T11" s="352" t="s">
        <v>292</v>
      </c>
      <c r="X11" s="522" t="s">
        <v>292</v>
      </c>
      <c r="Y11" s="214" t="s">
        <v>106</v>
      </c>
    </row>
    <row r="12" spans="1:29" s="214" customFormat="1">
      <c r="B12" s="214" t="s">
        <v>287</v>
      </c>
      <c r="C12" s="214" t="s">
        <v>311</v>
      </c>
      <c r="D12" s="362" t="s">
        <v>312</v>
      </c>
      <c r="E12" s="362" t="s">
        <v>313</v>
      </c>
      <c r="F12" s="362" t="s">
        <v>314</v>
      </c>
      <c r="G12" s="201" t="s">
        <v>315</v>
      </c>
      <c r="H12" s="214" t="s">
        <v>316</v>
      </c>
      <c r="I12" s="584" t="s">
        <v>758</v>
      </c>
      <c r="J12" s="584" t="s">
        <v>316</v>
      </c>
      <c r="K12" s="362" t="s">
        <v>313</v>
      </c>
      <c r="L12" s="362" t="s">
        <v>325</v>
      </c>
      <c r="M12" s="362" t="s">
        <v>325</v>
      </c>
      <c r="N12" s="362" t="s">
        <v>325</v>
      </c>
      <c r="O12" s="745" t="s">
        <v>905</v>
      </c>
      <c r="P12" s="352" t="s">
        <v>317</v>
      </c>
      <c r="Q12" s="214" t="s">
        <v>560</v>
      </c>
      <c r="R12" s="214" t="s">
        <v>577</v>
      </c>
      <c r="S12" s="362" t="s">
        <v>313</v>
      </c>
      <c r="T12" s="352" t="s">
        <v>317</v>
      </c>
      <c r="X12" s="522" t="s">
        <v>557</v>
      </c>
      <c r="Y12" s="214" t="s">
        <v>558</v>
      </c>
    </row>
    <row r="13" spans="1:29" s="349" customFormat="1">
      <c r="A13" s="349" t="s">
        <v>289</v>
      </c>
      <c r="B13" s="349" t="s">
        <v>290</v>
      </c>
      <c r="C13" s="349" t="s">
        <v>291</v>
      </c>
      <c r="D13" s="365" t="s">
        <v>318</v>
      </c>
      <c r="E13" s="365" t="s">
        <v>292</v>
      </c>
      <c r="F13" s="365" t="s">
        <v>318</v>
      </c>
      <c r="G13" s="203" t="s">
        <v>292</v>
      </c>
      <c r="H13" s="349" t="s">
        <v>441</v>
      </c>
      <c r="I13" s="349" t="s">
        <v>826</v>
      </c>
      <c r="J13" s="349" t="s">
        <v>441</v>
      </c>
      <c r="K13" s="365" t="s">
        <v>292</v>
      </c>
      <c r="L13" s="365" t="s">
        <v>765</v>
      </c>
      <c r="M13" s="365" t="s">
        <v>1055</v>
      </c>
      <c r="N13" s="365" t="s">
        <v>765</v>
      </c>
      <c r="O13" s="746" t="s">
        <v>460</v>
      </c>
      <c r="P13" s="204" t="s">
        <v>106</v>
      </c>
      <c r="Q13" s="349" t="s">
        <v>413</v>
      </c>
      <c r="R13" s="349" t="s">
        <v>292</v>
      </c>
      <c r="S13" s="349" t="s">
        <v>292</v>
      </c>
      <c r="T13" s="204" t="s">
        <v>106</v>
      </c>
      <c r="U13" s="44"/>
      <c r="V13" s="214"/>
      <c r="W13" s="214"/>
      <c r="X13" s="204" t="s">
        <v>106</v>
      </c>
      <c r="Y13" s="349" t="s">
        <v>441</v>
      </c>
      <c r="Z13" s="214"/>
      <c r="AA13" s="214" t="s">
        <v>767</v>
      </c>
      <c r="AB13" s="214" t="s">
        <v>577</v>
      </c>
      <c r="AC13" s="214" t="s">
        <v>881</v>
      </c>
    </row>
    <row r="14" spans="1:29" s="214" customFormat="1">
      <c r="B14" s="214" t="s">
        <v>293</v>
      </c>
      <c r="C14" s="214" t="s">
        <v>294</v>
      </c>
      <c r="D14" s="362" t="s">
        <v>295</v>
      </c>
      <c r="E14" s="214" t="s">
        <v>296</v>
      </c>
      <c r="F14" s="214" t="s">
        <v>297</v>
      </c>
      <c r="G14" s="201" t="s">
        <v>298</v>
      </c>
      <c r="H14" s="214" t="s">
        <v>299</v>
      </c>
      <c r="I14" s="584" t="s">
        <v>319</v>
      </c>
      <c r="J14" s="584" t="s">
        <v>319</v>
      </c>
      <c r="K14" s="214" t="s">
        <v>319</v>
      </c>
      <c r="L14" s="584" t="s">
        <v>320</v>
      </c>
      <c r="M14" s="584" t="s">
        <v>320</v>
      </c>
      <c r="N14" s="584" t="s">
        <v>428</v>
      </c>
      <c r="O14" s="597" t="s">
        <v>380</v>
      </c>
      <c r="P14" s="378" t="s">
        <v>428</v>
      </c>
      <c r="Q14" s="214" t="s">
        <v>380</v>
      </c>
      <c r="R14" s="214" t="s">
        <v>428</v>
      </c>
      <c r="S14" s="584" t="s">
        <v>380</v>
      </c>
      <c r="T14" s="597" t="s">
        <v>428</v>
      </c>
      <c r="U14" s="44"/>
      <c r="V14" s="347" t="str">
        <f>"col (m) source"</f>
        <v>col (m) source</v>
      </c>
    </row>
    <row r="15" spans="1:29">
      <c r="D15" s="366" t="str">
        <f>IF(Base1_Billing2&lt;&gt;1,"ERROR","")</f>
        <v/>
      </c>
      <c r="O15" s="117"/>
      <c r="S15" s="44"/>
      <c r="T15" s="117"/>
    </row>
    <row r="16" spans="1:29">
      <c r="A16" s="214">
        <v>1</v>
      </c>
      <c r="B16" s="44" t="s">
        <v>300</v>
      </c>
      <c r="C16" s="401" t="s">
        <v>700</v>
      </c>
      <c r="D16" s="362">
        <f ca="1">'Pres &amp; Prop Rev'!$D$152/1000</f>
        <v>232554.03877000001</v>
      </c>
      <c r="E16" s="362">
        <f ca="1">'Pres &amp; Prop Rev'!$D$207/1000</f>
        <v>19320.788459999978</v>
      </c>
      <c r="F16" s="362">
        <f ca="1">D16+E16</f>
        <v>251874.82723</v>
      </c>
      <c r="G16" s="343">
        <f ca="1">E16/D16</f>
        <v>8.3080855366732945E-2</v>
      </c>
      <c r="H16" s="656">
        <f>226685.09923-138</f>
        <v>226547.09922999999</v>
      </c>
      <c r="I16" s="350">
        <v>0</v>
      </c>
      <c r="J16" s="656">
        <f>H16+I16</f>
        <v>226547.09922999999</v>
      </c>
      <c r="K16" s="350">
        <f ca="1">E16</f>
        <v>19320.788459999978</v>
      </c>
      <c r="L16" s="350">
        <v>0</v>
      </c>
      <c r="M16" s="350">
        <f ca="1">-K16</f>
        <v>-19320.788459999978</v>
      </c>
      <c r="N16" s="350">
        <v>0</v>
      </c>
      <c r="O16" s="747">
        <f ca="1">K16+L16+M16+N16</f>
        <v>0</v>
      </c>
      <c r="P16" s="344">
        <f ca="1">(K16+L16+M16+N16)/J16</f>
        <v>0</v>
      </c>
      <c r="Q16" s="371" t="e">
        <f>#REF!/1000</f>
        <v>#REF!</v>
      </c>
      <c r="R16" s="367">
        <f>('Pres &amp; Prop Rev'!D23*(0))/1000</f>
        <v>0</v>
      </c>
      <c r="S16" s="362">
        <f ca="1">E16+R16</f>
        <v>19320.788459999978</v>
      </c>
      <c r="T16" s="182">
        <f ca="1">(S16)/H16</f>
        <v>8.5283760090808819E-2</v>
      </c>
      <c r="V16" s="44" t="s">
        <v>384</v>
      </c>
      <c r="X16" s="182">
        <f ca="1">(E16+R16)/D16</f>
        <v>8.3080855366732945E-2</v>
      </c>
      <c r="Y16" s="367">
        <f ca="1">K16+J16+M16+N16</f>
        <v>226547.09922999999</v>
      </c>
      <c r="AA16" s="532">
        <f ca="1">K16/J16</f>
        <v>8.5283760090808819E-2</v>
      </c>
      <c r="AB16" s="532">
        <f ca="1">M16/J16</f>
        <v>-8.5283760090808819E-2</v>
      </c>
      <c r="AC16" s="532">
        <f>N16/J16</f>
        <v>0</v>
      </c>
    </row>
    <row r="17" spans="1:29">
      <c r="D17" s="362"/>
      <c r="E17" s="362"/>
      <c r="F17" s="362"/>
      <c r="G17" s="343"/>
      <c r="H17" s="656"/>
      <c r="I17" s="350"/>
      <c r="J17" s="656"/>
      <c r="K17" s="350"/>
      <c r="L17" s="350"/>
      <c r="M17" s="350"/>
      <c r="N17" s="350"/>
      <c r="O17" s="747"/>
      <c r="P17" s="344"/>
      <c r="Q17" s="371"/>
      <c r="R17" s="367"/>
      <c r="S17" s="362"/>
      <c r="T17" s="182"/>
      <c r="Y17" s="367"/>
      <c r="AA17" s="532"/>
      <c r="AB17" s="532"/>
      <c r="AC17" s="532"/>
    </row>
    <row r="18" spans="1:29">
      <c r="A18" s="214">
        <v>2</v>
      </c>
      <c r="B18" s="44" t="s">
        <v>301</v>
      </c>
      <c r="C18" s="401" t="s">
        <v>466</v>
      </c>
      <c r="D18" s="362">
        <f ca="1">'Pres &amp; Prop Rev'!$E$152/1000</f>
        <v>77795.989848461526</v>
      </c>
      <c r="E18" s="371">
        <f ca="1">'Pres &amp; Prop Rev'!$E$207/1000</f>
        <v>6463.0706715384722</v>
      </c>
      <c r="F18" s="362">
        <f ca="1">D18+E18</f>
        <v>84259.060519999999</v>
      </c>
      <c r="G18" s="343">
        <f ca="1">E18/D18</f>
        <v>8.3077169968887338E-2</v>
      </c>
      <c r="H18" s="656">
        <f>80463.9329184615-253</f>
        <v>80210.932918461505</v>
      </c>
      <c r="I18" s="350">
        <v>0</v>
      </c>
      <c r="J18" s="656">
        <f t="shared" ref="J18:J28" si="0">H18+I18</f>
        <v>80210.932918461505</v>
      </c>
      <c r="K18" s="350">
        <f ca="1">E18</f>
        <v>6463.0706715384722</v>
      </c>
      <c r="L18" s="350">
        <v>0</v>
      </c>
      <c r="M18" s="350">
        <f t="shared" ref="M18:M26" ca="1" si="1">-K18</f>
        <v>-6463.0706715384722</v>
      </c>
      <c r="N18" s="350">
        <v>0</v>
      </c>
      <c r="O18" s="747">
        <f t="shared" ref="O18:O28" ca="1" si="2">K18+L18+M18+N18</f>
        <v>0</v>
      </c>
      <c r="P18" s="344">
        <f t="shared" ref="P18:P28" ca="1" si="3">(K18+L18+M18+N18)/J18</f>
        <v>0</v>
      </c>
      <c r="Q18" s="371" t="e">
        <f>#REF!/1000</f>
        <v>#REF!</v>
      </c>
      <c r="R18" s="367">
        <f>('Pres &amp; Prop Rev'!E23*(0))/1000</f>
        <v>0</v>
      </c>
      <c r="S18" s="362">
        <f ca="1">E18+R18</f>
        <v>6463.0706715384722</v>
      </c>
      <c r="T18" s="182">
        <f ca="1">(S18)/H18</f>
        <v>8.0575931938212372E-2</v>
      </c>
      <c r="V18" s="44" t="s">
        <v>385</v>
      </c>
      <c r="X18" s="182">
        <f ca="1">(E18+R18)/D18</f>
        <v>8.3077169968887338E-2</v>
      </c>
      <c r="Y18" s="367">
        <f ca="1">K18+J18+M18+N18</f>
        <v>80210.932918461505</v>
      </c>
      <c r="AA18" s="532">
        <f ca="1">K18/J18</f>
        <v>8.0575931938212372E-2</v>
      </c>
      <c r="AB18" s="532">
        <f ca="1">M18/J18</f>
        <v>-8.0575931938212372E-2</v>
      </c>
      <c r="AC18" s="532">
        <f>N18/J18</f>
        <v>0</v>
      </c>
    </row>
    <row r="19" spans="1:29">
      <c r="D19" s="362"/>
      <c r="E19" s="362"/>
      <c r="F19" s="362"/>
      <c r="G19" s="343"/>
      <c r="H19" s="656"/>
      <c r="I19" s="350"/>
      <c r="J19" s="656"/>
      <c r="K19" s="350"/>
      <c r="L19" s="350"/>
      <c r="M19" s="350"/>
      <c r="N19" s="350"/>
      <c r="O19" s="747"/>
      <c r="P19" s="344"/>
      <c r="Q19" s="371"/>
      <c r="R19" s="367"/>
      <c r="S19" s="362"/>
      <c r="T19" s="182"/>
      <c r="Y19" s="367"/>
      <c r="AA19" s="532"/>
      <c r="AB19" s="532"/>
      <c r="AC19" s="532"/>
    </row>
    <row r="20" spans="1:29">
      <c r="A20" s="214">
        <v>3</v>
      </c>
      <c r="B20" s="44" t="s">
        <v>302</v>
      </c>
      <c r="C20" s="402" t="s">
        <v>467</v>
      </c>
      <c r="D20" s="362">
        <f ca="1">'Pres &amp; Prop Rev'!$F$152/1000</f>
        <v>133265.83332076925</v>
      </c>
      <c r="E20" s="362">
        <f ca="1">'Pres &amp; Prop Rev'!$F$207/1000</f>
        <v>11078.780579230755</v>
      </c>
      <c r="F20" s="362">
        <f ca="1">D20+E20</f>
        <v>144344.6139</v>
      </c>
      <c r="G20" s="343">
        <f ca="1">E20/D20</f>
        <v>8.3132940403143424E-2</v>
      </c>
      <c r="H20" s="656">
        <f>137320.079690769-137</f>
        <v>137183.07969076899</v>
      </c>
      <c r="I20" s="350">
        <v>0</v>
      </c>
      <c r="J20" s="656">
        <f t="shared" si="0"/>
        <v>137183.07969076899</v>
      </c>
      <c r="K20" s="350">
        <f ca="1">E20</f>
        <v>11078.780579230755</v>
      </c>
      <c r="L20" s="350">
        <v>0</v>
      </c>
      <c r="M20" s="350">
        <f t="shared" ca="1" si="1"/>
        <v>-11078.780579230755</v>
      </c>
      <c r="N20" s="350">
        <v>0</v>
      </c>
      <c r="O20" s="747">
        <f t="shared" ca="1" si="2"/>
        <v>0</v>
      </c>
      <c r="P20" s="344">
        <f t="shared" ca="1" si="3"/>
        <v>0</v>
      </c>
      <c r="Q20" s="371" t="e">
        <f>#REF!/1000</f>
        <v>#REF!</v>
      </c>
      <c r="R20" s="367">
        <f>('Pres &amp; Prop Rev'!F23*(0))/1000</f>
        <v>0</v>
      </c>
      <c r="S20" s="362">
        <f ca="1">E20+R20</f>
        <v>11078.780579230755</v>
      </c>
      <c r="T20" s="182">
        <f ca="1">(S20)/H20</f>
        <v>8.0759089271096471E-2</v>
      </c>
      <c r="V20" s="44" t="s">
        <v>385</v>
      </c>
      <c r="X20" s="182">
        <f ca="1">(E20+R20)/D20</f>
        <v>8.3132940403143424E-2</v>
      </c>
      <c r="Y20" s="367">
        <f ca="1">K20+J20+M20+N20</f>
        <v>137183.07969076899</v>
      </c>
      <c r="AA20" s="532">
        <f ca="1">K20/J20</f>
        <v>8.0759089271096471E-2</v>
      </c>
      <c r="AB20" s="532">
        <f ca="1">M20/J20</f>
        <v>-8.0759089271096471E-2</v>
      </c>
      <c r="AC20" s="532">
        <f>N20/J20</f>
        <v>0</v>
      </c>
    </row>
    <row r="21" spans="1:29">
      <c r="D21" s="362"/>
      <c r="E21" s="362"/>
      <c r="F21" s="362"/>
      <c r="G21" s="343"/>
      <c r="H21" s="656"/>
      <c r="I21" s="350"/>
      <c r="J21" s="656"/>
      <c r="K21" s="350"/>
      <c r="L21" s="350"/>
      <c r="M21" s="350"/>
      <c r="N21" s="350"/>
      <c r="O21" s="747"/>
      <c r="P21" s="344"/>
      <c r="Q21" s="371"/>
      <c r="R21" s="367"/>
      <c r="S21" s="362"/>
      <c r="T21" s="182"/>
      <c r="Y21" s="367"/>
      <c r="AA21" s="532"/>
      <c r="AB21" s="532"/>
      <c r="AC21" s="532"/>
    </row>
    <row r="22" spans="1:29">
      <c r="A22" s="214">
        <v>4</v>
      </c>
      <c r="B22" s="44" t="s">
        <v>321</v>
      </c>
      <c r="C22" s="214">
        <v>25</v>
      </c>
      <c r="D22" s="362">
        <f ca="1">'Pres &amp; Prop Rev'!$G$152/1000</f>
        <v>69248.167057399987</v>
      </c>
      <c r="E22" s="362">
        <f ca="1">'Pres &amp; Prop Rev'!$G$207/1000</f>
        <v>5755.2454135000107</v>
      </c>
      <c r="F22" s="362">
        <f ca="1">D22+E22</f>
        <v>75003.412470900003</v>
      </c>
      <c r="G22" s="343">
        <f ca="1">E22/D22</f>
        <v>8.3110436825417675E-2</v>
      </c>
      <c r="H22" s="656">
        <v>66850.242767399992</v>
      </c>
      <c r="I22" s="350">
        <v>0</v>
      </c>
      <c r="J22" s="656">
        <f t="shared" si="0"/>
        <v>66850.242767399992</v>
      </c>
      <c r="K22" s="350">
        <f ca="1">E22</f>
        <v>5755.2454135000107</v>
      </c>
      <c r="L22" s="350">
        <v>0</v>
      </c>
      <c r="M22" s="350">
        <f t="shared" ca="1" si="1"/>
        <v>-5755.2454135000107</v>
      </c>
      <c r="N22" s="350">
        <v>0</v>
      </c>
      <c r="O22" s="747">
        <f t="shared" ca="1" si="2"/>
        <v>0</v>
      </c>
      <c r="P22" s="344">
        <f t="shared" ca="1" si="3"/>
        <v>0</v>
      </c>
      <c r="Q22" s="371" t="e">
        <f>#REF!/1000</f>
        <v>#REF!</v>
      </c>
      <c r="R22" s="367">
        <f>('Pres &amp; Prop Rev'!G23*(0))/1000</f>
        <v>0</v>
      </c>
      <c r="S22" s="362">
        <f ca="1">E22+R22</f>
        <v>5755.2454135000107</v>
      </c>
      <c r="T22" s="182">
        <f ca="1">(S22)/H22</f>
        <v>8.6091615755606477E-2</v>
      </c>
      <c r="V22" s="44" t="s">
        <v>384</v>
      </c>
      <c r="X22" s="182">
        <f ca="1">(E22+R22)/D22</f>
        <v>8.3110436825417675E-2</v>
      </c>
      <c r="Y22" s="367">
        <f ca="1">K22+J22+M22+N22</f>
        <v>66850.242767399992</v>
      </c>
      <c r="AA22" s="532">
        <f ca="1">K22/J22</f>
        <v>8.6091615755606477E-2</v>
      </c>
      <c r="AB22" s="532">
        <f ca="1">M22/J22</f>
        <v>-8.6091615755606477E-2</v>
      </c>
      <c r="AC22" s="532">
        <f>N22/J22</f>
        <v>0</v>
      </c>
    </row>
    <row r="23" spans="1:29">
      <c r="D23" s="362"/>
      <c r="E23" s="362"/>
      <c r="F23" s="362"/>
      <c r="G23" s="343"/>
      <c r="H23" s="656"/>
      <c r="I23" s="350"/>
      <c r="J23" s="656"/>
      <c r="K23" s="350"/>
      <c r="L23" s="350"/>
      <c r="M23" s="350"/>
      <c r="N23" s="350"/>
      <c r="O23" s="747"/>
      <c r="P23" s="344"/>
      <c r="Q23" s="371"/>
      <c r="R23" s="367"/>
      <c r="S23" s="362"/>
      <c r="T23" s="182"/>
      <c r="Y23" s="367"/>
      <c r="AA23" s="532"/>
      <c r="AB23" s="532"/>
      <c r="AC23" s="532"/>
    </row>
    <row r="24" spans="1:29">
      <c r="A24" s="214">
        <v>5</v>
      </c>
      <c r="B24" s="44" t="s">
        <v>303</v>
      </c>
      <c r="C24" s="402" t="s">
        <v>468</v>
      </c>
      <c r="D24" s="362">
        <f ca="1">'Pres &amp; Prop Rev'!$H$152/1000</f>
        <v>12229.340050000001</v>
      </c>
      <c r="E24" s="362">
        <f ca="1">'Pres &amp; Prop Rev'!$H$207/1000</f>
        <v>1016.6865499999989</v>
      </c>
      <c r="F24" s="362">
        <f ca="1">D24+E24</f>
        <v>13246.026599999999</v>
      </c>
      <c r="G24" s="343">
        <f ca="1">E24/D24</f>
        <v>8.3135029841614291E-2</v>
      </c>
      <c r="H24" s="656">
        <f>12597.94491-36</f>
        <v>12561.94491</v>
      </c>
      <c r="I24" s="350">
        <v>0</v>
      </c>
      <c r="J24" s="656">
        <f t="shared" si="0"/>
        <v>12561.94491</v>
      </c>
      <c r="K24" s="350">
        <f ca="1">E24</f>
        <v>1016.6865499999989</v>
      </c>
      <c r="L24" s="350">
        <v>0</v>
      </c>
      <c r="M24" s="350">
        <f t="shared" ca="1" si="1"/>
        <v>-1016.6865499999989</v>
      </c>
      <c r="N24" s="350">
        <v>0</v>
      </c>
      <c r="O24" s="747">
        <f t="shared" ca="1" si="2"/>
        <v>0</v>
      </c>
      <c r="P24" s="344">
        <f t="shared" ca="1" si="3"/>
        <v>0</v>
      </c>
      <c r="Q24" s="371" t="e">
        <f>#REF!/1000</f>
        <v>#REF!</v>
      </c>
      <c r="R24" s="367">
        <f>('Pres &amp; Prop Rev'!H23*(0))/1000</f>
        <v>0</v>
      </c>
      <c r="S24" s="362">
        <f ca="1">E24+R24</f>
        <v>1016.6865499999989</v>
      </c>
      <c r="T24" s="182">
        <f ca="1">(S24)/H24</f>
        <v>8.0933848801602398E-2</v>
      </c>
      <c r="V24" s="44" t="s">
        <v>385</v>
      </c>
      <c r="X24" s="182">
        <f ca="1">(E24+R24)/D24</f>
        <v>8.3135029841614291E-2</v>
      </c>
      <c r="Y24" s="367">
        <f ca="1">K24+J24+M24+N24</f>
        <v>12561.94491</v>
      </c>
      <c r="AA24" s="532">
        <f ca="1">K24/J24</f>
        <v>8.0933848801602398E-2</v>
      </c>
      <c r="AB24" s="532">
        <f ca="1">M24/J24</f>
        <v>-8.0933848801602398E-2</v>
      </c>
      <c r="AC24" s="532">
        <f>N24/J24</f>
        <v>0</v>
      </c>
    </row>
    <row r="25" spans="1:29">
      <c r="D25" s="362"/>
      <c r="E25" s="362"/>
      <c r="F25" s="362"/>
      <c r="G25" s="343"/>
      <c r="H25" s="656"/>
      <c r="I25" s="350"/>
      <c r="J25" s="656"/>
      <c r="K25" s="350"/>
      <c r="L25" s="350"/>
      <c r="M25" s="350"/>
      <c r="N25" s="350"/>
      <c r="O25" s="747"/>
      <c r="P25" s="344"/>
      <c r="Q25" s="371"/>
      <c r="R25" s="367"/>
      <c r="S25" s="362"/>
      <c r="T25" s="182"/>
      <c r="Y25" s="367"/>
      <c r="AA25" s="532"/>
      <c r="AB25" s="532"/>
      <c r="AC25" s="532"/>
    </row>
    <row r="26" spans="1:29">
      <c r="A26" s="214">
        <v>6</v>
      </c>
      <c r="B26" s="44" t="s">
        <v>304</v>
      </c>
      <c r="C26" s="214" t="s">
        <v>352</v>
      </c>
      <c r="D26" s="368">
        <f>'Pres &amp; Prop Rev'!$I$152/1000</f>
        <v>6628.6650019919989</v>
      </c>
      <c r="E26" s="369">
        <f>'Pres &amp; Prop Rev'!$I$207/1000</f>
        <v>550.16112000000101</v>
      </c>
      <c r="F26" s="369">
        <f>D26+E26</f>
        <v>7178.8261219919996</v>
      </c>
      <c r="G26" s="343">
        <f>E26/D26</f>
        <v>8.2997273181654299E-2</v>
      </c>
      <c r="H26" s="368">
        <f>6628.562281992+141</f>
        <v>6769.562281992</v>
      </c>
      <c r="I26" s="665">
        <v>0</v>
      </c>
      <c r="J26" s="666">
        <f>H26+I26</f>
        <v>6769.562281992</v>
      </c>
      <c r="K26" s="380">
        <f>E26</f>
        <v>550.16112000000101</v>
      </c>
      <c r="L26" s="380">
        <v>0</v>
      </c>
      <c r="M26" s="665">
        <f t="shared" si="1"/>
        <v>-550.16112000000101</v>
      </c>
      <c r="N26" s="665">
        <v>0</v>
      </c>
      <c r="O26" s="747">
        <f t="shared" si="2"/>
        <v>0</v>
      </c>
      <c r="P26" s="344">
        <f t="shared" si="3"/>
        <v>0</v>
      </c>
      <c r="Q26" s="523" t="e">
        <f>#REF!/1000</f>
        <v>#REF!</v>
      </c>
      <c r="R26" s="370">
        <f>('Pres &amp; Prop Rev'!I23*(0))/1000</f>
        <v>0</v>
      </c>
      <c r="S26" s="369">
        <f>E26+R26</f>
        <v>550.16112000000101</v>
      </c>
      <c r="T26" s="182">
        <f>(S26)/H26</f>
        <v>8.1269821752509463E-2</v>
      </c>
      <c r="V26" s="44" t="s">
        <v>384</v>
      </c>
      <c r="X26" s="182">
        <f>(E26+R26)/D26</f>
        <v>8.2997273181654299E-2</v>
      </c>
      <c r="Y26" s="367">
        <f>K26+J26+M26+N26</f>
        <v>6769.562281992</v>
      </c>
      <c r="AA26" s="532">
        <f>K26/J26</f>
        <v>8.1269821752509463E-2</v>
      </c>
      <c r="AB26" s="532">
        <f>M26/J26</f>
        <v>-8.1269821752509463E-2</v>
      </c>
      <c r="AC26" s="532">
        <f>N26/J26</f>
        <v>0</v>
      </c>
    </row>
    <row r="27" spans="1:29">
      <c r="D27" s="362"/>
      <c r="E27" s="362"/>
      <c r="F27" s="362"/>
      <c r="G27" s="345"/>
      <c r="H27" s="371"/>
      <c r="I27" s="350"/>
      <c r="J27" s="656"/>
      <c r="K27" s="350"/>
      <c r="L27" s="350"/>
      <c r="M27" s="350"/>
      <c r="N27" s="350"/>
      <c r="O27" s="747"/>
      <c r="P27" s="344"/>
      <c r="Q27" s="371"/>
      <c r="R27" s="372"/>
      <c r="S27" s="362"/>
      <c r="T27" s="182"/>
      <c r="AA27" s="532"/>
      <c r="AB27" s="532"/>
      <c r="AC27" s="532"/>
    </row>
    <row r="28" spans="1:29">
      <c r="A28" s="214">
        <v>7</v>
      </c>
      <c r="B28" s="373" t="s">
        <v>66</v>
      </c>
      <c r="D28" s="362">
        <f ca="1">SUM(D16:D26)</f>
        <v>531722.03404862282</v>
      </c>
      <c r="E28" s="362">
        <f ca="1">SUM(E16:E26)</f>
        <v>44184.732794269214</v>
      </c>
      <c r="F28" s="362">
        <f ca="1">SUM(F16:F26)</f>
        <v>575906.76684289193</v>
      </c>
      <c r="G28" s="343">
        <f ca="1">E28/D28</f>
        <v>8.3097426784891862E-2</v>
      </c>
      <c r="H28" s="362">
        <f>SUM(H16:H26)</f>
        <v>530122.86179862253</v>
      </c>
      <c r="I28" s="350">
        <f>SUM(I16:I26)</f>
        <v>0</v>
      </c>
      <c r="J28" s="656">
        <f t="shared" si="0"/>
        <v>530122.86179862253</v>
      </c>
      <c r="K28" s="350">
        <f ca="1">E28</f>
        <v>44184.732794269214</v>
      </c>
      <c r="L28" s="350">
        <f>SUM(L16:L26)</f>
        <v>0</v>
      </c>
      <c r="M28" s="350">
        <f ca="1">SUM(M16:M26)</f>
        <v>-44184.732794269214</v>
      </c>
      <c r="N28" s="350">
        <f>SUM(N16:N26)</f>
        <v>0</v>
      </c>
      <c r="O28" s="747">
        <f t="shared" ca="1" si="2"/>
        <v>0</v>
      </c>
      <c r="P28" s="344">
        <f t="shared" ca="1" si="3"/>
        <v>0</v>
      </c>
      <c r="Q28" s="371" t="e">
        <f>SUM(Q16:Q27)</f>
        <v>#REF!</v>
      </c>
      <c r="R28" s="367">
        <f>SUM(R16:R26)</f>
        <v>0</v>
      </c>
      <c r="S28" s="362">
        <f ca="1">E28+R28</f>
        <v>44184.732794269214</v>
      </c>
      <c r="T28" s="182">
        <f ca="1">(S28)/H28</f>
        <v>8.3348099050769939E-2</v>
      </c>
      <c r="V28" s="44" t="s">
        <v>385</v>
      </c>
      <c r="X28" s="182">
        <f ca="1">(E28+R28)/D28</f>
        <v>8.3097426784891862E-2</v>
      </c>
      <c r="Y28" s="367">
        <f ca="1">E28+H28+R28</f>
        <v>574307.59459289175</v>
      </c>
      <c r="AA28" s="532">
        <f ca="1">K28/J28</f>
        <v>8.3348099050769939E-2</v>
      </c>
      <c r="AB28" s="532">
        <f ca="1">M28/J28</f>
        <v>-8.3348099050769939E-2</v>
      </c>
      <c r="AC28" s="532">
        <f>N28/J28</f>
        <v>0</v>
      </c>
    </row>
    <row r="29" spans="1:29">
      <c r="B29" s="214"/>
      <c r="D29" s="374">
        <f ca="1">ROUND(D28-'Pres &amp; Prop Rev'!C205/1000,0)</f>
        <v>0</v>
      </c>
      <c r="E29" s="374"/>
      <c r="F29" s="374"/>
      <c r="H29" s="356"/>
      <c r="I29" s="356"/>
      <c r="J29" s="356"/>
      <c r="K29" s="356"/>
      <c r="L29" s="356"/>
      <c r="M29" s="356"/>
      <c r="N29" s="356"/>
      <c r="O29" s="356"/>
      <c r="R29" s="356"/>
      <c r="S29" s="356"/>
      <c r="T29" s="356"/>
    </row>
    <row r="30" spans="1:29">
      <c r="B30" s="214"/>
      <c r="D30" s="693"/>
      <c r="E30" s="356"/>
      <c r="Q30" s="532"/>
      <c r="R30" s="532"/>
      <c r="S30" s="356"/>
      <c r="T30" s="117"/>
    </row>
    <row r="31" spans="1:29">
      <c r="A31" s="44"/>
    </row>
    <row r="33" spans="1:19">
      <c r="A33" s="434" t="s">
        <v>878</v>
      </c>
      <c r="M33" s="532"/>
    </row>
    <row r="34" spans="1:19">
      <c r="A34" s="348" t="s">
        <v>1052</v>
      </c>
    </row>
    <row r="35" spans="1:19" s="434" customFormat="1">
      <c r="A35" s="348"/>
      <c r="C35" s="214"/>
      <c r="D35" s="367"/>
      <c r="E35" s="367"/>
      <c r="F35" s="367"/>
      <c r="G35" s="205"/>
      <c r="S35" s="117"/>
    </row>
    <row r="36" spans="1:19">
      <c r="A36" s="434" t="s">
        <v>879</v>
      </c>
    </row>
    <row r="37" spans="1:19">
      <c r="A37" s="348" t="s">
        <v>1053</v>
      </c>
    </row>
    <row r="40" spans="1:19">
      <c r="B40" s="80" t="s">
        <v>390</v>
      </c>
      <c r="F40" s="362"/>
      <c r="H40" s="362"/>
      <c r="I40" s="362"/>
      <c r="J40" s="362"/>
      <c r="K40" s="362"/>
      <c r="L40" s="362"/>
      <c r="M40" s="362"/>
      <c r="N40" s="362"/>
      <c r="O40" s="362"/>
      <c r="P40" s="362"/>
      <c r="Q40" s="362"/>
    </row>
    <row r="41" spans="1:19">
      <c r="F41" s="362" t="s">
        <v>426</v>
      </c>
      <c r="G41" s="80"/>
      <c r="H41" s="362"/>
      <c r="I41" s="362"/>
      <c r="J41" s="362"/>
      <c r="K41" s="362" t="s">
        <v>459</v>
      </c>
      <c r="L41" s="362"/>
      <c r="M41" s="362"/>
      <c r="N41" s="362"/>
      <c r="O41" s="362"/>
      <c r="P41" s="117"/>
      <c r="Q41" s="117"/>
      <c r="S41" s="44"/>
    </row>
    <row r="42" spans="1:19">
      <c r="F42" s="369" t="s">
        <v>458</v>
      </c>
      <c r="G42" s="80"/>
      <c r="H42" s="365" t="s">
        <v>521</v>
      </c>
      <c r="I42" s="364"/>
      <c r="J42" s="364"/>
      <c r="K42" s="369" t="s">
        <v>460</v>
      </c>
      <c r="L42" s="369"/>
      <c r="M42" s="369"/>
      <c r="N42" s="369"/>
      <c r="O42" s="369"/>
      <c r="P42" s="117"/>
      <c r="Q42" s="117"/>
      <c r="S42" s="44"/>
    </row>
    <row r="43" spans="1:19">
      <c r="B43" s="323" t="s">
        <v>387</v>
      </c>
      <c r="F43" s="179">
        <f>'REVRUNS 12ME1219'!P113</f>
        <v>61017333.256999999</v>
      </c>
      <c r="G43" s="44"/>
      <c r="H43" s="395">
        <v>-4.1399999999999996E-3</v>
      </c>
      <c r="I43" s="516"/>
      <c r="J43" s="516"/>
      <c r="K43" s="60">
        <f>F43*H43</f>
        <v>-252611.75968397997</v>
      </c>
      <c r="L43" s="528"/>
      <c r="M43" s="528"/>
      <c r="N43" s="528"/>
      <c r="O43" s="528"/>
      <c r="P43" s="616"/>
      <c r="Q43" s="117"/>
      <c r="S43" s="44"/>
    </row>
    <row r="44" spans="1:19">
      <c r="B44" s="323" t="s">
        <v>388</v>
      </c>
      <c r="F44" s="179">
        <f>'REVRUNS 12ME1219'!P143</f>
        <v>33141700.520000003</v>
      </c>
      <c r="G44" s="44"/>
      <c r="H44" s="516">
        <f>H43</f>
        <v>-4.1399999999999996E-3</v>
      </c>
      <c r="I44" s="516"/>
      <c r="J44" s="516"/>
      <c r="K44" s="60">
        <f>F44*H44</f>
        <v>-137206.64015280001</v>
      </c>
      <c r="L44" s="528"/>
      <c r="M44" s="528"/>
      <c r="N44" s="528"/>
      <c r="O44" s="528"/>
      <c r="P44" s="117"/>
      <c r="Q44" s="117"/>
      <c r="S44" s="44"/>
    </row>
    <row r="45" spans="1:19">
      <c r="B45" s="323" t="s">
        <v>389</v>
      </c>
      <c r="F45" s="280">
        <f>'REVRUNS 12ME1219'!P198</f>
        <v>8612374.1720000003</v>
      </c>
      <c r="G45" s="360"/>
      <c r="H45" s="516">
        <f t="shared" ref="H45:H46" si="4">H44</f>
        <v>-4.1399999999999996E-3</v>
      </c>
      <c r="I45" s="516"/>
      <c r="J45" s="516"/>
      <c r="K45" s="444">
        <f>F45*H45</f>
        <v>-35655.229072080001</v>
      </c>
      <c r="L45" s="444"/>
      <c r="M45" s="444"/>
      <c r="N45" s="444"/>
      <c r="O45" s="444"/>
      <c r="P45" s="117"/>
      <c r="Q45" s="117"/>
      <c r="S45" s="44"/>
    </row>
    <row r="46" spans="1:19" s="434" customFormat="1">
      <c r="A46" s="214"/>
      <c r="B46" s="323" t="s">
        <v>634</v>
      </c>
      <c r="C46" s="214"/>
      <c r="D46" s="367"/>
      <c r="E46" s="367"/>
      <c r="F46" s="280">
        <f>'REVRUNS 12ME1219'!P262</f>
        <v>2499245.1762899999</v>
      </c>
      <c r="H46" s="516">
        <f t="shared" si="4"/>
        <v>-4.1399999999999996E-3</v>
      </c>
      <c r="I46" s="516"/>
      <c r="J46" s="516"/>
      <c r="K46" s="444">
        <f>F46*H46</f>
        <v>-10346.875029840598</v>
      </c>
      <c r="L46" s="444"/>
      <c r="M46" s="444"/>
      <c r="N46" s="444"/>
      <c r="O46" s="444"/>
      <c r="P46" s="117"/>
      <c r="Q46" s="117"/>
    </row>
    <row r="47" spans="1:19">
      <c r="B47" s="323" t="s">
        <v>66</v>
      </c>
      <c r="C47" s="44"/>
      <c r="D47" s="44"/>
      <c r="E47" s="44"/>
      <c r="F47" s="48">
        <f>SUM(F43:F46)</f>
        <v>105270653.12529002</v>
      </c>
      <c r="K47" s="396">
        <f>SUM(K43:K46)</f>
        <v>-435820.5039387006</v>
      </c>
      <c r="L47" s="396"/>
      <c r="M47" s="396"/>
      <c r="N47" s="396"/>
      <c r="O47" s="396"/>
      <c r="P47" s="44" t="s">
        <v>461</v>
      </c>
      <c r="S47" s="44"/>
    </row>
    <row r="48" spans="1:19" s="434" customFormat="1">
      <c r="A48" s="584"/>
      <c r="B48" s="323"/>
      <c r="F48" s="48"/>
      <c r="G48" s="205"/>
      <c r="K48" s="396"/>
      <c r="L48" s="396"/>
      <c r="M48" s="396"/>
      <c r="N48" s="396"/>
      <c r="O48" s="396"/>
    </row>
    <row r="49" spans="1:20" s="434" customFormat="1">
      <c r="A49" s="584"/>
      <c r="B49" s="323" t="s">
        <v>636</v>
      </c>
      <c r="F49" s="48"/>
      <c r="G49" s="205"/>
      <c r="H49" s="365" t="s">
        <v>637</v>
      </c>
      <c r="I49" s="364"/>
      <c r="J49" s="364"/>
      <c r="K49" s="396"/>
      <c r="L49" s="396"/>
      <c r="M49" s="396"/>
      <c r="N49" s="396"/>
      <c r="O49" s="396"/>
    </row>
    <row r="50" spans="1:20" s="434" customFormat="1">
      <c r="A50" s="584"/>
      <c r="B50" s="323" t="s">
        <v>635</v>
      </c>
      <c r="C50" s="584"/>
      <c r="D50" s="367"/>
      <c r="E50" s="367"/>
      <c r="F50" s="280">
        <f>'REVRUNS 12ME1219'!P287</f>
        <v>17961923.65997</v>
      </c>
      <c r="H50" s="516">
        <v>-3.5E-4</v>
      </c>
      <c r="I50" s="516"/>
      <c r="J50" s="516"/>
      <c r="K50" s="444">
        <f>F50*H50</f>
        <v>-6286.6732809895002</v>
      </c>
      <c r="L50" s="444"/>
      <c r="M50" s="444"/>
      <c r="N50" s="444"/>
      <c r="O50" s="444"/>
    </row>
    <row r="51" spans="1:20" s="434" customFormat="1">
      <c r="A51" s="584"/>
      <c r="B51" s="323"/>
      <c r="C51" s="584"/>
      <c r="D51" s="367"/>
      <c r="E51" s="367"/>
      <c r="F51" s="280"/>
      <c r="H51" s="516"/>
      <c r="I51" s="516"/>
      <c r="J51" s="516"/>
      <c r="K51" s="444"/>
      <c r="L51" s="444"/>
      <c r="M51" s="444"/>
      <c r="N51" s="444"/>
      <c r="O51" s="444"/>
    </row>
    <row r="52" spans="1:20" s="434" customFormat="1">
      <c r="A52" s="584"/>
      <c r="B52" s="323" t="s">
        <v>950</v>
      </c>
      <c r="F52" s="48"/>
      <c r="G52" s="205"/>
      <c r="H52" s="365" t="s">
        <v>951</v>
      </c>
      <c r="I52" s="364"/>
      <c r="J52" s="364"/>
      <c r="K52" s="396"/>
      <c r="L52" s="444"/>
      <c r="M52" s="444"/>
      <c r="N52" s="444"/>
      <c r="O52" s="444"/>
    </row>
    <row r="53" spans="1:20" s="434" customFormat="1">
      <c r="A53" s="584"/>
      <c r="B53" s="323" t="s">
        <v>635</v>
      </c>
      <c r="C53" s="584"/>
      <c r="D53" s="367"/>
      <c r="E53" s="367"/>
      <c r="F53" s="444">
        <f>'Lighting summary'!D19</f>
        <v>6628665.0019919993</v>
      </c>
      <c r="H53" s="399">
        <v>1.66E-2</v>
      </c>
      <c r="I53" s="516"/>
      <c r="J53" s="516"/>
      <c r="K53" s="444">
        <f>F53*H53</f>
        <v>110035.8390330672</v>
      </c>
      <c r="L53" s="444"/>
      <c r="M53" s="444"/>
      <c r="N53" s="444"/>
      <c r="O53" s="444"/>
    </row>
    <row r="54" spans="1:20" s="434" customFormat="1">
      <c r="A54" s="584"/>
      <c r="B54" s="323"/>
      <c r="C54" s="584"/>
      <c r="D54" s="367"/>
      <c r="E54" s="367"/>
      <c r="F54" s="280"/>
      <c r="H54" s="516"/>
      <c r="I54" s="516"/>
      <c r="J54" s="516"/>
      <c r="K54" s="444"/>
      <c r="L54" s="444"/>
      <c r="M54" s="444"/>
      <c r="N54" s="444"/>
      <c r="O54" s="444"/>
    </row>
    <row r="55" spans="1:20" s="434" customFormat="1">
      <c r="A55" s="584"/>
      <c r="B55" s="323" t="s">
        <v>946</v>
      </c>
      <c r="F55" s="48"/>
      <c r="G55" s="205"/>
      <c r="H55" s="365" t="s">
        <v>947</v>
      </c>
      <c r="I55" s="364"/>
      <c r="J55" s="364"/>
      <c r="K55" s="396"/>
      <c r="L55" s="444"/>
      <c r="M55" s="444"/>
      <c r="N55" s="444"/>
      <c r="O55" s="444"/>
    </row>
    <row r="56" spans="1:20" s="434" customFormat="1">
      <c r="A56" s="584"/>
      <c r="B56" s="323" t="s">
        <v>635</v>
      </c>
      <c r="C56" s="584"/>
      <c r="D56" s="367"/>
      <c r="E56" s="367"/>
      <c r="F56" s="280">
        <f>'REVRUNS 12ME1219'!P287</f>
        <v>17961923.65997</v>
      </c>
      <c r="H56" s="516">
        <v>-7.8899999999999994E-3</v>
      </c>
      <c r="I56" s="516"/>
      <c r="J56" s="516"/>
      <c r="K56" s="444">
        <f>F56*H56</f>
        <v>-141719.5776771633</v>
      </c>
      <c r="L56" s="444"/>
      <c r="M56" s="444"/>
      <c r="N56" s="444"/>
      <c r="O56" s="444"/>
    </row>
    <row r="57" spans="1:20" s="434" customFormat="1">
      <c r="A57" s="584"/>
      <c r="B57" s="323"/>
      <c r="C57" s="584"/>
      <c r="D57" s="367"/>
      <c r="E57" s="367"/>
      <c r="F57" s="280"/>
      <c r="H57" s="516"/>
      <c r="I57" s="516"/>
      <c r="J57" s="516"/>
      <c r="K57" s="444"/>
      <c r="L57" s="444"/>
      <c r="M57" s="444"/>
      <c r="N57" s="444"/>
      <c r="O57" s="444"/>
    </row>
    <row r="58" spans="1:20" s="434" customFormat="1">
      <c r="A58" s="584"/>
      <c r="B58" s="323" t="s">
        <v>948</v>
      </c>
      <c r="F58" s="48"/>
      <c r="G58" s="205"/>
      <c r="H58" s="365" t="s">
        <v>949</v>
      </c>
      <c r="I58" s="364"/>
      <c r="J58" s="364"/>
      <c r="K58" s="396"/>
      <c r="L58" s="396"/>
      <c r="M58" s="444"/>
      <c r="N58" s="444"/>
      <c r="O58" s="444"/>
    </row>
    <row r="59" spans="1:20" s="434" customFormat="1">
      <c r="A59" s="584"/>
      <c r="B59" s="323" t="s">
        <v>635</v>
      </c>
      <c r="C59" s="584"/>
      <c r="D59" s="367"/>
      <c r="E59" s="367"/>
      <c r="F59" s="280">
        <f>'REVRUNS 12ME1219'!P287</f>
        <v>17961923.65997</v>
      </c>
      <c r="H59" s="516">
        <v>-3.3899999999999998E-3</v>
      </c>
      <c r="I59" s="516"/>
      <c r="J59" s="516"/>
      <c r="K59" s="444">
        <f>F59*H59</f>
        <v>-60890.921207298299</v>
      </c>
      <c r="L59" s="444"/>
      <c r="M59" s="444"/>
      <c r="N59" s="444"/>
      <c r="O59" s="444"/>
    </row>
    <row r="60" spans="1:20" s="434" customFormat="1">
      <c r="A60" s="584"/>
      <c r="B60" s="323"/>
      <c r="C60" s="584"/>
      <c r="D60" s="367"/>
      <c r="E60" s="367"/>
      <c r="F60" s="280"/>
      <c r="H60" s="516"/>
      <c r="I60" s="516"/>
      <c r="J60" s="516"/>
      <c r="K60" s="444"/>
      <c r="L60" s="444"/>
      <c r="M60" s="444"/>
      <c r="N60" s="444"/>
      <c r="O60" s="444"/>
    </row>
    <row r="61" spans="1:20" s="434" customFormat="1">
      <c r="A61" s="584"/>
      <c r="B61" s="323" t="s">
        <v>648</v>
      </c>
      <c r="F61" s="48"/>
      <c r="G61" s="205"/>
      <c r="H61" s="365" t="s">
        <v>650</v>
      </c>
      <c r="I61" s="364"/>
      <c r="J61" s="364"/>
      <c r="K61" s="396"/>
      <c r="L61" s="396"/>
      <c r="M61" s="396"/>
      <c r="N61" s="396"/>
      <c r="O61" s="396"/>
    </row>
    <row r="62" spans="1:20" s="434" customFormat="1">
      <c r="A62" s="584"/>
      <c r="B62" s="323" t="s">
        <v>635</v>
      </c>
      <c r="C62" s="584"/>
      <c r="D62" s="367"/>
      <c r="E62" s="367"/>
      <c r="F62" s="280">
        <f>'REVRUNS 12ME1219'!P287</f>
        <v>17961923.65997</v>
      </c>
      <c r="H62" s="516">
        <v>1.3939999999999999E-2</v>
      </c>
      <c r="I62" s="516"/>
      <c r="J62" s="516"/>
      <c r="K62" s="444">
        <f>F62*H62</f>
        <v>250389.21581998179</v>
      </c>
      <c r="L62" s="444"/>
      <c r="M62" s="444"/>
      <c r="N62" s="444"/>
      <c r="O62" s="444"/>
    </row>
    <row r="63" spans="1:20">
      <c r="P63" s="117"/>
      <c r="Q63" s="117"/>
      <c r="S63" s="44"/>
      <c r="T63" s="434" t="s">
        <v>520</v>
      </c>
    </row>
    <row r="64" spans="1:20">
      <c r="H64" s="365" t="s">
        <v>729</v>
      </c>
      <c r="I64" s="364"/>
      <c r="J64" s="364"/>
    </row>
    <row r="65" spans="2:23">
      <c r="B65" s="323" t="s">
        <v>728</v>
      </c>
      <c r="F65" s="48">
        <f>'REVRUNS 12ME1219'!P83</f>
        <v>4501964.0179999992</v>
      </c>
      <c r="H65" s="516">
        <v>-3.0640000000000001E-2</v>
      </c>
      <c r="I65" s="516"/>
      <c r="J65" s="516"/>
      <c r="K65" s="528">
        <f>F65*H65</f>
        <v>-137940.17751151999</v>
      </c>
      <c r="L65" s="528"/>
      <c r="M65" s="528"/>
      <c r="N65" s="528"/>
      <c r="O65" s="528"/>
      <c r="R65" s="397">
        <v>0</v>
      </c>
      <c r="S65" s="117">
        <v>1</v>
      </c>
      <c r="T65" s="398">
        <f ca="1">-D16*$R$66</f>
        <v>0</v>
      </c>
      <c r="V65" s="210">
        <f>0/'Pres &amp; Prop Rev'!D23</f>
        <v>0</v>
      </c>
      <c r="W65" s="212">
        <f ca="1">(D16/$D$28)*$T$71</f>
        <v>0</v>
      </c>
    </row>
    <row r="66" spans="2:23">
      <c r="R66" s="399">
        <f ca="1">R65/D28</f>
        <v>0</v>
      </c>
      <c r="S66" s="117">
        <v>11</v>
      </c>
      <c r="T66" s="398">
        <f ca="1">-D18*R66</f>
        <v>0</v>
      </c>
      <c r="W66" s="212">
        <f ca="1">(D18/$D$28)*$T$71</f>
        <v>0</v>
      </c>
    </row>
    <row r="67" spans="2:23">
      <c r="S67" s="117">
        <v>21</v>
      </c>
      <c r="T67" s="398">
        <f ca="1">-D20*R66</f>
        <v>0</v>
      </c>
      <c r="W67" s="212">
        <f ca="1">(D20/$D$28)*$T$71</f>
        <v>0</v>
      </c>
    </row>
    <row r="68" spans="2:23">
      <c r="S68" s="117">
        <v>25</v>
      </c>
      <c r="T68" s="398">
        <f ca="1">-D22*R66</f>
        <v>0</v>
      </c>
      <c r="W68" s="212">
        <f ca="1">(D22/$D$28)*$T$71</f>
        <v>0</v>
      </c>
    </row>
    <row r="69" spans="2:23">
      <c r="B69" s="323" t="s">
        <v>750</v>
      </c>
      <c r="K69" s="396">
        <f>K46+K50+K62+K59+K56+K53</f>
        <v>141181.00765775729</v>
      </c>
      <c r="L69" s="396"/>
      <c r="M69" s="396"/>
      <c r="N69" s="396"/>
      <c r="O69" s="396"/>
      <c r="S69" s="117">
        <v>31</v>
      </c>
      <c r="T69" s="398">
        <f ca="1">-D24*R66</f>
        <v>0</v>
      </c>
      <c r="W69" s="212">
        <f ca="1">(D24/$D$28)*$T$71</f>
        <v>0</v>
      </c>
    </row>
    <row r="70" spans="2:23">
      <c r="S70" s="71" t="s">
        <v>352</v>
      </c>
      <c r="T70" s="398">
        <f ca="1">-D26*R66</f>
        <v>0</v>
      </c>
      <c r="W70" s="212">
        <f ca="1">(D26/$D$28)*$T$71</f>
        <v>0</v>
      </c>
    </row>
    <row r="71" spans="2:23">
      <c r="T71" s="398">
        <f ca="1">SUM(T65:T70)</f>
        <v>0</v>
      </c>
      <c r="W71" s="212">
        <f ca="1">SUM(W65:W70)</f>
        <v>0</v>
      </c>
    </row>
    <row r="102" spans="2:2">
      <c r="B102" s="434"/>
    </row>
  </sheetData>
  <mergeCells count="6">
    <mergeCell ref="A5:T5"/>
    <mergeCell ref="W1:X3"/>
    <mergeCell ref="A1:T1"/>
    <mergeCell ref="A2:T2"/>
    <mergeCell ref="A3:T3"/>
    <mergeCell ref="A4:T4"/>
  </mergeCells>
  <phoneticPr fontId="0" type="noConversion"/>
  <conditionalFormatting sqref="D29:F29">
    <cfRule type="cellIs" dxfId="26" priority="1" stopIfTrue="1" operator="notEqual">
      <formula>0</formula>
    </cfRule>
  </conditionalFormatting>
  <pageMargins left="0.5" right="0.5" top="1" bottom="1" header="0.5" footer="0.5"/>
  <pageSetup scale="91"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3746-75D7-4680-8D08-F704B0B1EAE6}">
  <sheetPr>
    <tabColor theme="6" tint="-0.249977111117893"/>
    <pageSetUpPr fitToPage="1"/>
  </sheetPr>
  <dimension ref="A1:N22"/>
  <sheetViews>
    <sheetView workbookViewId="0">
      <selection activeCell="N14" sqref="N14"/>
    </sheetView>
  </sheetViews>
  <sheetFormatPr defaultColWidth="11.44140625" defaultRowHeight="13.2"/>
  <cols>
    <col min="1" max="1" width="5.6640625" style="434" customWidth="1"/>
    <col min="2" max="2" width="21.44140625" style="434" customWidth="1"/>
    <col min="3" max="3" width="7.6640625" style="584" customWidth="1"/>
    <col min="4" max="5" width="9.6640625" style="434" customWidth="1"/>
    <col min="6" max="6" width="8.6640625" style="434" customWidth="1"/>
    <col min="7" max="7" width="1.6640625" style="434" customWidth="1"/>
    <col min="8" max="8" width="8.88671875" style="584" customWidth="1"/>
    <col min="9" max="9" width="1.6640625" style="584" customWidth="1"/>
    <col min="10" max="11" width="9.6640625" style="434" customWidth="1"/>
    <col min="12" max="12" width="9" style="434" customWidth="1"/>
    <col min="13" max="16384" width="11.44140625" style="434"/>
  </cols>
  <sheetData>
    <row r="1" spans="1:14">
      <c r="A1" s="138" t="s">
        <v>101</v>
      </c>
      <c r="B1" s="765"/>
      <c r="C1" s="354"/>
      <c r="D1" s="354"/>
      <c r="E1" s="354"/>
      <c r="F1" s="354"/>
      <c r="G1" s="354"/>
      <c r="H1" s="354"/>
      <c r="I1" s="354"/>
      <c r="J1" s="354"/>
      <c r="K1" s="354"/>
      <c r="L1" s="354"/>
      <c r="N1" s="764" t="s">
        <v>955</v>
      </c>
    </row>
    <row r="2" spans="1:14">
      <c r="A2" s="138" t="s">
        <v>405</v>
      </c>
      <c r="B2" s="765"/>
      <c r="C2" s="354"/>
      <c r="D2" s="354"/>
      <c r="E2" s="354"/>
      <c r="F2" s="354"/>
      <c r="G2" s="354"/>
      <c r="H2" s="354"/>
      <c r="I2" s="354"/>
      <c r="J2" s="354"/>
      <c r="K2" s="354"/>
      <c r="L2" s="354"/>
    </row>
    <row r="3" spans="1:14">
      <c r="A3" s="138" t="s">
        <v>956</v>
      </c>
      <c r="B3" s="765"/>
      <c r="C3" s="354"/>
      <c r="D3" s="354"/>
      <c r="E3" s="354"/>
      <c r="F3" s="354"/>
      <c r="G3" s="354"/>
      <c r="H3" s="354"/>
      <c r="I3" s="354"/>
      <c r="J3" s="354"/>
      <c r="K3" s="354"/>
      <c r="L3" s="354"/>
    </row>
    <row r="4" spans="1:14">
      <c r="A4" s="138" t="s">
        <v>943</v>
      </c>
      <c r="B4" s="765"/>
      <c r="C4" s="354"/>
      <c r="D4" s="354"/>
      <c r="E4" s="354"/>
      <c r="F4" s="354"/>
      <c r="G4" s="354"/>
      <c r="H4" s="354"/>
      <c r="I4" s="354"/>
      <c r="J4" s="354"/>
      <c r="K4" s="354"/>
      <c r="L4" s="354"/>
    </row>
    <row r="6" spans="1:14" s="584" customFormat="1">
      <c r="C6" s="434"/>
      <c r="F6" s="597"/>
      <c r="H6" s="434"/>
      <c r="I6" s="434"/>
      <c r="J6" s="764"/>
      <c r="K6" s="801"/>
      <c r="L6" s="764"/>
    </row>
    <row r="7" spans="1:14" s="584" customFormat="1">
      <c r="A7" s="764"/>
      <c r="B7" s="764"/>
      <c r="C7" s="284"/>
      <c r="D7" s="764"/>
      <c r="E7" s="801"/>
      <c r="F7" s="764"/>
      <c r="G7" s="764"/>
      <c r="H7" s="434"/>
      <c r="I7" s="434"/>
      <c r="J7" s="764"/>
      <c r="K7" s="801"/>
      <c r="L7" s="764"/>
    </row>
    <row r="8" spans="1:14" s="584" customFormat="1">
      <c r="J8" s="764"/>
      <c r="K8" s="801"/>
      <c r="L8" s="764"/>
    </row>
    <row r="9" spans="1:14" s="584" customFormat="1">
      <c r="C9" s="597"/>
      <c r="D9" s="166" t="s">
        <v>103</v>
      </c>
      <c r="E9" s="166"/>
      <c r="F9" s="354"/>
      <c r="G9" s="354"/>
      <c r="H9" s="584" t="s">
        <v>283</v>
      </c>
      <c r="J9" s="166" t="s">
        <v>104</v>
      </c>
      <c r="K9" s="166"/>
      <c r="L9" s="354"/>
    </row>
    <row r="10" spans="1:14" s="584" customFormat="1">
      <c r="C10" s="597"/>
      <c r="D10" s="584" t="s">
        <v>284</v>
      </c>
      <c r="E10" s="597" t="s">
        <v>284</v>
      </c>
      <c r="F10" s="597" t="s">
        <v>284</v>
      </c>
      <c r="G10" s="597"/>
      <c r="H10" s="584" t="s">
        <v>285</v>
      </c>
      <c r="J10" s="584" t="s">
        <v>286</v>
      </c>
      <c r="K10" s="597" t="s">
        <v>286</v>
      </c>
      <c r="L10" s="597" t="s">
        <v>286</v>
      </c>
    </row>
    <row r="11" spans="1:14" s="584" customFormat="1">
      <c r="A11" s="584" t="s">
        <v>958</v>
      </c>
      <c r="B11" s="584" t="s">
        <v>287</v>
      </c>
      <c r="C11" s="584" t="s">
        <v>959</v>
      </c>
      <c r="D11" s="584" t="s">
        <v>960</v>
      </c>
      <c r="E11" s="790" t="s">
        <v>1033</v>
      </c>
      <c r="F11" s="790" t="s">
        <v>961</v>
      </c>
      <c r="G11" s="790"/>
      <c r="H11" s="674" t="s">
        <v>288</v>
      </c>
      <c r="I11" s="674"/>
      <c r="J11" s="674" t="s">
        <v>960</v>
      </c>
      <c r="K11" s="790" t="s">
        <v>1033</v>
      </c>
      <c r="L11" s="790" t="s">
        <v>961</v>
      </c>
    </row>
    <row r="12" spans="1:14" s="584" customFormat="1">
      <c r="A12" s="355" t="s">
        <v>289</v>
      </c>
      <c r="B12" s="355" t="s">
        <v>290</v>
      </c>
      <c r="C12" s="355" t="s">
        <v>291</v>
      </c>
      <c r="D12" s="355" t="s">
        <v>961</v>
      </c>
      <c r="E12" s="791" t="s">
        <v>1034</v>
      </c>
      <c r="F12" s="791" t="s">
        <v>1034</v>
      </c>
      <c r="G12" s="791"/>
      <c r="H12" s="792" t="s">
        <v>292</v>
      </c>
      <c r="I12" s="792"/>
      <c r="J12" s="792" t="s">
        <v>961</v>
      </c>
      <c r="K12" s="791" t="s">
        <v>1034</v>
      </c>
      <c r="L12" s="791" t="s">
        <v>1034</v>
      </c>
    </row>
    <row r="13" spans="1:14" s="584" customFormat="1">
      <c r="B13" s="584" t="s">
        <v>293</v>
      </c>
      <c r="C13" s="584" t="s">
        <v>294</v>
      </c>
      <c r="D13" s="584" t="s">
        <v>295</v>
      </c>
      <c r="E13" s="597" t="s">
        <v>296</v>
      </c>
      <c r="F13" s="597" t="s">
        <v>297</v>
      </c>
      <c r="G13" s="597"/>
      <c r="H13" s="584" t="s">
        <v>298</v>
      </c>
      <c r="J13" s="584" t="s">
        <v>299</v>
      </c>
      <c r="K13" s="597" t="s">
        <v>319</v>
      </c>
      <c r="L13" s="597" t="s">
        <v>320</v>
      </c>
    </row>
    <row r="14" spans="1:14" ht="24.9" customHeight="1">
      <c r="A14" s="584">
        <v>1</v>
      </c>
      <c r="B14" s="434" t="s">
        <v>300</v>
      </c>
      <c r="C14" s="402" t="s">
        <v>700</v>
      </c>
      <c r="D14" s="766">
        <f>INDEX(ROR!$C$20:$I$20,$A14+1)</f>
        <v>1.709501123157714E-2</v>
      </c>
      <c r="E14" s="767">
        <v>0.82</v>
      </c>
      <c r="F14" s="767">
        <f>INDEX(ROR!$C$21:$I$21,$A14+1)</f>
        <v>0.30242679333018901</v>
      </c>
      <c r="G14" s="767"/>
      <c r="H14" s="768">
        <f>INDEX(ROR!$C$47:$I$47,$A14+1)</f>
        <v>8.3081778855663924E-2</v>
      </c>
      <c r="I14" s="768"/>
      <c r="J14" s="766">
        <f>INDEX(ROR!$C$38:$I$38,$A14+1)</f>
        <v>3.2878007058643549E-2</v>
      </c>
      <c r="K14" s="767">
        <v>0.82</v>
      </c>
      <c r="L14" s="767">
        <f>INDEX(ROR!$C$37:$I$37,$A14+1)</f>
        <v>0.44249865451173886</v>
      </c>
    </row>
    <row r="15" spans="1:14" ht="24.9" customHeight="1">
      <c r="A15" s="584">
        <v>2</v>
      </c>
      <c r="B15" s="434" t="s">
        <v>301</v>
      </c>
      <c r="C15" s="402" t="s">
        <v>466</v>
      </c>
      <c r="D15" s="766">
        <f>INDEX(ROR!$C$20:$I$20,$A15+1)</f>
        <v>0.10671054047598949</v>
      </c>
      <c r="E15" s="767">
        <v>1.24</v>
      </c>
      <c r="F15" s="767">
        <f>INDEX(ROR!$C$21:$I$21,$A15+1)</f>
        <v>1.8878096149520636</v>
      </c>
      <c r="G15" s="767"/>
      <c r="H15" s="768">
        <f>INDEX(ROR!$C$47:$I$47,$A15+1)</f>
        <v>8.3076250706977328E-2</v>
      </c>
      <c r="I15" s="768"/>
      <c r="J15" s="766">
        <f>INDEX(ROR!$C$38:$I$38,$A15+1)</f>
        <v>0.12608355947881225</v>
      </c>
      <c r="K15" s="767">
        <v>1.24</v>
      </c>
      <c r="L15" s="767">
        <f>INDEX(ROR!$C$37:$I$37,$A15+1)</f>
        <v>1.6969339207790481</v>
      </c>
    </row>
    <row r="16" spans="1:14" ht="24.9" customHeight="1">
      <c r="A16" s="584">
        <v>3</v>
      </c>
      <c r="B16" s="434" t="s">
        <v>302</v>
      </c>
      <c r="C16" s="402" t="s">
        <v>467</v>
      </c>
      <c r="D16" s="766">
        <f>INDEX(ROR!$C$20:$I$20,$A16+1)</f>
        <v>0.10958848002046147</v>
      </c>
      <c r="E16" s="767">
        <v>1.25</v>
      </c>
      <c r="F16" s="767">
        <f>INDEX(ROR!$C$21:$I$21,$A16+1)</f>
        <v>1.9387230666042687</v>
      </c>
      <c r="G16" s="767"/>
      <c r="H16" s="768">
        <f>INDEX(ROR!$C$47:$I$47,$A16+1)</f>
        <v>8.3134482913871377E-2</v>
      </c>
      <c r="I16" s="768"/>
      <c r="J16" s="766">
        <f>INDEX(ROR!$C$38:$I$38,$A16+1)</f>
        <v>0.12967826817578512</v>
      </c>
      <c r="K16" s="767">
        <v>1.25</v>
      </c>
      <c r="L16" s="767">
        <f>INDEX(ROR!$C$37:$I$37,$A16+1)</f>
        <v>1.7453144007435104</v>
      </c>
    </row>
    <row r="17" spans="1:12" ht="24.9" customHeight="1">
      <c r="A17" s="584">
        <v>4</v>
      </c>
      <c r="B17" s="434" t="s">
        <v>962</v>
      </c>
      <c r="C17" s="584">
        <v>25</v>
      </c>
      <c r="D17" s="766">
        <f>INDEX(ROR!$C$20:$I$20,$A17+1)</f>
        <v>9.1262954285412493E-2</v>
      </c>
      <c r="E17" s="767">
        <v>1.1499999999999999</v>
      </c>
      <c r="F17" s="767">
        <f>INDEX(ROR!$C$21:$I$21,$A17+1)</f>
        <v>1.6145273167995804</v>
      </c>
      <c r="G17" s="767"/>
      <c r="H17" s="768">
        <f>INDEX(ROR!$C$47:$I$47,$A17+1)</f>
        <v>8.3107093345655914E-2</v>
      </c>
      <c r="I17" s="768"/>
      <c r="J17" s="766">
        <f>INDEX(ROR!$C$38:$I$38,$A17+1)</f>
        <v>0.11435002504866575</v>
      </c>
      <c r="K17" s="767">
        <v>1.1499999999999999</v>
      </c>
      <c r="L17" s="767">
        <f>INDEX(ROR!$C$37:$I$37,$A17+1)</f>
        <v>1.5390145800858599</v>
      </c>
    </row>
    <row r="18" spans="1:12" ht="24.9" customHeight="1">
      <c r="A18" s="584">
        <v>5</v>
      </c>
      <c r="B18" s="434" t="s">
        <v>303</v>
      </c>
      <c r="C18" s="402" t="s">
        <v>468</v>
      </c>
      <c r="D18" s="766">
        <f>INDEX(ROR!$C$20:$I$20,$A18+1)</f>
        <v>6.3168828421576978E-2</v>
      </c>
      <c r="E18" s="767">
        <v>1.03</v>
      </c>
      <c r="F18" s="767">
        <f>INDEX(ROR!$C$21:$I$21,$A18+1)</f>
        <v>1.1175158623279799</v>
      </c>
      <c r="G18" s="767"/>
      <c r="H18" s="768">
        <f>INDEX(ROR!$C$47:$I$47,$A18+1)</f>
        <v>8.3162973260282991E-2</v>
      </c>
      <c r="I18" s="768"/>
      <c r="J18" s="766">
        <f>INDEX(ROR!$C$38:$I$38,$A18+1)</f>
        <v>8.0443892886248966E-2</v>
      </c>
      <c r="K18" s="767">
        <v>1.03</v>
      </c>
      <c r="L18" s="767">
        <f>INDEX(ROR!$C$37:$I$37,$A18+1)</f>
        <v>1.0826785912649601</v>
      </c>
    </row>
    <row r="19" spans="1:12" ht="24.9" customHeight="1">
      <c r="A19" s="584">
        <v>6</v>
      </c>
      <c r="B19" s="434" t="s">
        <v>304</v>
      </c>
      <c r="C19" s="584" t="s">
        <v>352</v>
      </c>
      <c r="D19" s="766">
        <f>INDEX(ROR!$C$20:$I$20,$A19+1)</f>
        <v>7.8819890118505709E-2</v>
      </c>
      <c r="E19" s="767">
        <v>1.1200000000000001</v>
      </c>
      <c r="F19" s="767">
        <f>INDEX(ROR!$C$21:$I$21,$A19+1)</f>
        <v>1.3943978331611995</v>
      </c>
      <c r="G19" s="767"/>
      <c r="H19" s="768">
        <f>INDEX(ROR!$C$47:$I$47,$A19+1)</f>
        <v>8.2968773570674337E-2</v>
      </c>
      <c r="I19" s="768"/>
      <c r="J19" s="766">
        <f>INDEX(ROR!$C$38:$I$38,$A19+1)</f>
        <v>9.0179239028663288E-2</v>
      </c>
      <c r="K19" s="767">
        <v>1.1200000000000001</v>
      </c>
      <c r="L19" s="767">
        <f>INDEX(ROR!$C$37:$I$37,$A19+1)</f>
        <v>1.213704707341295</v>
      </c>
    </row>
    <row r="20" spans="1:12" ht="24.9" customHeight="1">
      <c r="A20" s="584">
        <v>7</v>
      </c>
      <c r="B20" s="373" t="s">
        <v>66</v>
      </c>
      <c r="D20" s="766">
        <f>INDEX(ROR!$C$20:$I$20,1)</f>
        <v>5.6526113454877784E-2</v>
      </c>
      <c r="E20" s="767">
        <f>INDEX(ROR!$C$21:$I$21,1)</f>
        <v>1</v>
      </c>
      <c r="F20" s="767">
        <f>INDEX(ROR!$C$21:$I$21,1)</f>
        <v>1</v>
      </c>
      <c r="G20" s="767"/>
      <c r="H20" s="768">
        <f>INDEX(ROR!$C$47:$I$47,1)</f>
        <v>8.3097934635016024E-2</v>
      </c>
      <c r="I20" s="768"/>
      <c r="J20" s="766">
        <f>INDEX(ROR!$C$38:$I$38,1)</f>
        <v>7.4300806846343395E-2</v>
      </c>
      <c r="K20" s="767">
        <f>INDEX(ROR!$C$37:$I$37,1)</f>
        <v>1</v>
      </c>
      <c r="L20" s="767">
        <f>INDEX(ROR!$C$37:$I$37,1)</f>
        <v>1</v>
      </c>
    </row>
    <row r="22" spans="1:12">
      <c r="D22" s="764"/>
      <c r="E22" s="801"/>
      <c r="F22" s="764"/>
      <c r="G22" s="764"/>
      <c r="H22" s="764"/>
      <c r="I22" s="764"/>
      <c r="J22" s="764"/>
      <c r="K22" s="801"/>
      <c r="L22" s="764"/>
    </row>
  </sheetData>
  <pageMargins left="0.7" right="0.7" top="0.75" bottom="0.75" header="0.3" footer="0.3"/>
  <pageSetup scale="89" orientation="portrait" r:id="rId1"/>
  <headerFooter>
    <oddHeader>&amp;RJDM-4</oddHeader>
    <oddFooter>&amp;RPage 2 of 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6" tint="-0.249977111117893"/>
    <pageSetUpPr fitToPage="1"/>
  </sheetPr>
  <dimension ref="A1:Y66"/>
  <sheetViews>
    <sheetView showGridLines="0" view="pageBreakPreview" zoomScale="110" zoomScaleNormal="85" zoomScaleSheetLayoutView="110" workbookViewId="0">
      <pane xSplit="3" ySplit="12" topLeftCell="D13" activePane="bottomRight" state="frozen"/>
      <selection activeCell="E21" sqref="E21"/>
      <selection pane="topRight" activeCell="E21" sqref="E21"/>
      <selection pane="bottomLeft" activeCell="E21" sqref="E21"/>
      <selection pane="bottomRight" activeCell="F26" sqref="F26"/>
    </sheetView>
  </sheetViews>
  <sheetFormatPr defaultColWidth="9.33203125" defaultRowHeight="13.2"/>
  <cols>
    <col min="1" max="2" width="9.33203125" style="44"/>
    <col min="3" max="3" width="8.6640625" style="44" customWidth="1"/>
    <col min="4" max="4" width="10.33203125" style="44" customWidth="1"/>
    <col min="5" max="5" width="10.6640625" style="44" customWidth="1"/>
    <col min="6" max="6" width="10.33203125" style="44" customWidth="1"/>
    <col min="7" max="7" width="9.5546875" style="117" hidden="1" customWidth="1"/>
    <col min="8" max="8" width="10.33203125" style="434" hidden="1" customWidth="1"/>
    <col min="9" max="9" width="1.6640625" style="44" customWidth="1"/>
    <col min="10" max="10" width="11.6640625" style="117" customWidth="1"/>
    <col min="11" max="11" width="15.33203125" style="117" hidden="1" customWidth="1"/>
    <col min="12" max="12" width="11.33203125" style="117" customWidth="1"/>
    <col min="13" max="13" width="11.6640625" style="117" customWidth="1"/>
    <col min="14" max="14" width="13" style="117" customWidth="1"/>
    <col min="15" max="16" width="13.5546875" style="117" hidden="1" customWidth="1"/>
    <col min="17" max="17" width="17.5546875" style="117" hidden="1" customWidth="1"/>
    <col min="18" max="20" width="9.33203125" style="44"/>
    <col min="21" max="21" width="11.6640625" style="44" bestFit="1" customWidth="1"/>
    <col min="22" max="22" width="11.44140625" style="44" bestFit="1" customWidth="1"/>
    <col min="23" max="23" width="10.33203125" style="44" bestFit="1" customWidth="1"/>
    <col min="24" max="24" width="14.5546875" style="360" bestFit="1" customWidth="1"/>
    <col min="25" max="25" width="9.33203125" style="360" bestFit="1" customWidth="1"/>
    <col min="26" max="16384" width="9.33203125" style="44"/>
  </cols>
  <sheetData>
    <row r="1" spans="1:25">
      <c r="A1" s="138" t="s">
        <v>101</v>
      </c>
      <c r="B1" s="354"/>
      <c r="C1" s="354"/>
      <c r="D1" s="354"/>
      <c r="E1" s="354"/>
      <c r="F1" s="354"/>
      <c r="G1" s="138"/>
      <c r="H1" s="354"/>
      <c r="I1" s="354"/>
      <c r="J1" s="138"/>
      <c r="K1" s="138"/>
      <c r="L1" s="138"/>
      <c r="M1" s="138"/>
      <c r="N1" s="138"/>
      <c r="O1" s="138"/>
      <c r="P1" s="138"/>
      <c r="Q1" s="138"/>
      <c r="S1" s="44" t="s">
        <v>346</v>
      </c>
    </row>
    <row r="2" spans="1:25">
      <c r="A2" s="138" t="s">
        <v>405</v>
      </c>
      <c r="B2" s="354"/>
      <c r="C2" s="354"/>
      <c r="D2" s="354"/>
      <c r="E2" s="354"/>
      <c r="F2" s="354"/>
      <c r="G2" s="138"/>
      <c r="H2" s="354"/>
      <c r="I2" s="354"/>
      <c r="J2" s="138"/>
      <c r="K2" s="138"/>
      <c r="L2" s="138"/>
      <c r="M2" s="138"/>
      <c r="N2" s="138"/>
      <c r="O2" s="138"/>
      <c r="P2" s="138"/>
      <c r="Q2" s="138"/>
    </row>
    <row r="3" spans="1:25">
      <c r="A3" s="138" t="s">
        <v>322</v>
      </c>
      <c r="B3" s="354"/>
      <c r="C3" s="354"/>
      <c r="D3" s="354"/>
      <c r="E3" s="354"/>
      <c r="F3" s="354"/>
      <c r="G3" s="138"/>
      <c r="H3" s="354"/>
      <c r="I3" s="354"/>
      <c r="J3" s="138"/>
      <c r="K3" s="138"/>
      <c r="L3" s="138"/>
      <c r="M3" s="138"/>
      <c r="N3" s="138"/>
      <c r="O3" s="138"/>
      <c r="P3" s="138"/>
      <c r="Q3" s="138"/>
    </row>
    <row r="4" spans="1:25">
      <c r="F4" s="352"/>
      <c r="H4" s="597"/>
    </row>
    <row r="6" spans="1:25" ht="15.6">
      <c r="A6" s="610"/>
    </row>
    <row r="7" spans="1:25" s="434" customFormat="1" ht="15.6">
      <c r="A7" s="610"/>
      <c r="G7" s="117"/>
      <c r="J7" s="117"/>
      <c r="K7" s="117"/>
      <c r="L7" s="117"/>
      <c r="M7" s="117"/>
      <c r="N7" s="117"/>
      <c r="O7" s="117"/>
      <c r="P7" s="117"/>
      <c r="Q7" s="117"/>
      <c r="X7" s="360"/>
      <c r="Y7" s="360"/>
    </row>
    <row r="8" spans="1:25" s="434" customFormat="1" ht="15.6">
      <c r="A8" s="610"/>
      <c r="G8" s="117"/>
      <c r="J8" s="117"/>
      <c r="K8" s="117"/>
      <c r="L8" s="117"/>
      <c r="M8" s="117"/>
      <c r="N8" s="117"/>
      <c r="O8" s="117"/>
      <c r="P8" s="117"/>
      <c r="Q8" s="117"/>
      <c r="X8" s="360"/>
      <c r="Y8" s="360"/>
    </row>
    <row r="9" spans="1:25">
      <c r="D9" s="214"/>
      <c r="E9" s="214"/>
      <c r="F9" s="214"/>
      <c r="G9" s="597" t="s">
        <v>820</v>
      </c>
      <c r="H9" s="584"/>
      <c r="I9" s="214"/>
      <c r="J9" s="352" t="s">
        <v>323</v>
      </c>
      <c r="K9" s="522" t="s">
        <v>897</v>
      </c>
      <c r="L9" s="553" t="s">
        <v>953</v>
      </c>
      <c r="M9" s="352" t="s">
        <v>288</v>
      </c>
      <c r="N9" s="352" t="s">
        <v>288</v>
      </c>
      <c r="O9" s="522" t="s">
        <v>559</v>
      </c>
      <c r="P9" s="522" t="s">
        <v>553</v>
      </c>
      <c r="Q9" s="378" t="s">
        <v>464</v>
      </c>
    </row>
    <row r="10" spans="1:25">
      <c r="D10" s="214" t="s">
        <v>229</v>
      </c>
      <c r="E10" s="214" t="s">
        <v>284</v>
      </c>
      <c r="F10" s="214" t="s">
        <v>324</v>
      </c>
      <c r="G10" s="597" t="s">
        <v>275</v>
      </c>
      <c r="H10" s="584" t="s">
        <v>766</v>
      </c>
      <c r="I10" s="214"/>
      <c r="J10" s="352" t="s">
        <v>325</v>
      </c>
      <c r="K10" s="522" t="s">
        <v>898</v>
      </c>
      <c r="L10" s="553" t="s">
        <v>1054</v>
      </c>
      <c r="M10" s="352" t="s">
        <v>326</v>
      </c>
      <c r="N10" s="352" t="s">
        <v>229</v>
      </c>
      <c r="O10" s="522" t="s">
        <v>560</v>
      </c>
      <c r="P10" s="522" t="s">
        <v>554</v>
      </c>
      <c r="Q10" s="378" t="s">
        <v>465</v>
      </c>
      <c r="X10" s="363"/>
    </row>
    <row r="11" spans="1:25">
      <c r="A11" s="807" t="s">
        <v>444</v>
      </c>
      <c r="B11" s="807"/>
      <c r="C11" s="807"/>
      <c r="D11" s="355" t="s">
        <v>327</v>
      </c>
      <c r="E11" s="355" t="s">
        <v>328</v>
      </c>
      <c r="F11" s="355" t="s">
        <v>329</v>
      </c>
      <c r="G11" s="139" t="s">
        <v>765</v>
      </c>
      <c r="H11" s="355" t="s">
        <v>329</v>
      </c>
      <c r="I11" s="355"/>
      <c r="J11" s="139" t="s">
        <v>561</v>
      </c>
      <c r="K11" s="139" t="s">
        <v>292</v>
      </c>
      <c r="L11" s="139" t="s">
        <v>1055</v>
      </c>
      <c r="M11" s="139" t="s">
        <v>275</v>
      </c>
      <c r="N11" s="139" t="s">
        <v>275</v>
      </c>
      <c r="O11" s="139" t="s">
        <v>413</v>
      </c>
      <c r="P11" s="139" t="s">
        <v>292</v>
      </c>
      <c r="Q11" s="139" t="s">
        <v>469</v>
      </c>
      <c r="R11" s="311" t="s">
        <v>427</v>
      </c>
      <c r="S11" s="311"/>
      <c r="T11" s="214"/>
      <c r="U11" s="214" t="s">
        <v>284</v>
      </c>
      <c r="V11" s="214" t="s">
        <v>286</v>
      </c>
      <c r="W11" s="214" t="s">
        <v>288</v>
      </c>
      <c r="X11" s="363"/>
    </row>
    <row r="12" spans="1:25">
      <c r="B12" s="214" t="s">
        <v>293</v>
      </c>
      <c r="D12" s="214" t="s">
        <v>294</v>
      </c>
      <c r="E12" s="214" t="s">
        <v>295</v>
      </c>
      <c r="F12" s="214" t="s">
        <v>296</v>
      </c>
      <c r="G12" s="597" t="s">
        <v>297</v>
      </c>
      <c r="H12" s="584" t="s">
        <v>297</v>
      </c>
      <c r="I12" s="214"/>
      <c r="J12" s="352" t="s">
        <v>297</v>
      </c>
      <c r="K12" s="522" t="s">
        <v>298</v>
      </c>
      <c r="L12" s="597" t="s">
        <v>298</v>
      </c>
      <c r="M12" s="597" t="s">
        <v>299</v>
      </c>
      <c r="N12" s="597" t="s">
        <v>319</v>
      </c>
      <c r="O12" s="378" t="s">
        <v>319</v>
      </c>
      <c r="P12" s="522" t="s">
        <v>320</v>
      </c>
      <c r="Q12" s="522" t="s">
        <v>380</v>
      </c>
      <c r="R12" s="214" t="s">
        <v>283</v>
      </c>
      <c r="S12" s="214" t="s">
        <v>426</v>
      </c>
      <c r="T12" s="214"/>
      <c r="U12" s="214" t="s">
        <v>426</v>
      </c>
      <c r="V12" s="214" t="s">
        <v>283</v>
      </c>
      <c r="W12" s="214" t="s">
        <v>426</v>
      </c>
      <c r="X12" s="363"/>
    </row>
    <row r="13" spans="1:25">
      <c r="A13" s="206" t="s">
        <v>330</v>
      </c>
      <c r="U13" s="405"/>
    </row>
    <row r="14" spans="1:25">
      <c r="A14" s="44" t="s">
        <v>266</v>
      </c>
      <c r="D14" s="212">
        <f>'Rate Design'!D4</f>
        <v>9</v>
      </c>
      <c r="E14" s="211">
        <f>F14-D14</f>
        <v>0</v>
      </c>
      <c r="F14" s="212">
        <f>'Rate Design'!D14</f>
        <v>9</v>
      </c>
      <c r="G14" s="207"/>
      <c r="H14" s="212"/>
      <c r="J14" s="207">
        <f>IF(ROUND(M14-F14,5)&lt;&gt;ROUND(N14-D14,5),#VALUE!,N14-D14)</f>
        <v>0</v>
      </c>
      <c r="K14" s="207"/>
      <c r="L14" s="207"/>
      <c r="M14" s="207">
        <f>'Rate Design'!D36</f>
        <v>9</v>
      </c>
      <c r="N14" s="207">
        <f>'Rate Design'!D26</f>
        <v>9</v>
      </c>
      <c r="O14" s="207"/>
      <c r="P14" s="207"/>
      <c r="Q14" s="207">
        <f>N14</f>
        <v>9</v>
      </c>
      <c r="R14" s="356">
        <f>J14/D14</f>
        <v>0</v>
      </c>
      <c r="S14" s="356">
        <f>J14/F14</f>
        <v>0</v>
      </c>
      <c r="T14" s="356"/>
      <c r="U14" s="406"/>
      <c r="V14" s="406"/>
      <c r="X14" s="444"/>
      <c r="Y14" s="444"/>
    </row>
    <row r="15" spans="1:25">
      <c r="A15" s="44" t="s">
        <v>331</v>
      </c>
      <c r="U15" s="406"/>
      <c r="V15" s="406"/>
      <c r="X15" s="444"/>
      <c r="Y15" s="444"/>
    </row>
    <row r="16" spans="1:25">
      <c r="A16" s="323" t="str">
        <f>"First "&amp;TEXT('Rate Design'!N5,"#,##0")&amp;" kWhs"</f>
        <v>First 800 kWhs</v>
      </c>
      <c r="D16" s="210">
        <f>'Rate Design'!D5/100</f>
        <v>8.1029999999999991E-2</v>
      </c>
      <c r="E16" s="210">
        <f>F16-D16</f>
        <v>-2.4499999999999938E-3</v>
      </c>
      <c r="F16" s="210">
        <f>'Rate Design'!D15/100</f>
        <v>7.8579999999999997E-2</v>
      </c>
      <c r="G16" s="403"/>
      <c r="H16" s="210">
        <f>F16+G16</f>
        <v>7.8579999999999997E-2</v>
      </c>
      <c r="I16" s="210"/>
      <c r="J16" s="208">
        <f>N16-D16</f>
        <v>7.4900000000000105E-3</v>
      </c>
      <c r="K16" s="527">
        <v>0</v>
      </c>
      <c r="L16" s="208">
        <f>-J16</f>
        <v>-7.4900000000000105E-3</v>
      </c>
      <c r="M16" s="208">
        <f>F16+J16+K16+L16</f>
        <v>7.8579999999999997E-2</v>
      </c>
      <c r="N16" s="357">
        <f>'Rate Design'!D27/100</f>
        <v>8.8520000000000001E-2</v>
      </c>
      <c r="O16" s="403" t="e">
        <f>#REF!</f>
        <v>#REF!</v>
      </c>
      <c r="P16" s="403">
        <f>0.00164+0.00083</f>
        <v>2.47E-3</v>
      </c>
      <c r="Q16" s="357" t="e">
        <f>M16+O16+P16</f>
        <v>#REF!</v>
      </c>
      <c r="R16" s="356">
        <f>J16/D16</f>
        <v>9.2434900654078875E-2</v>
      </c>
      <c r="S16" s="356">
        <f>(J16+L16)/F16</f>
        <v>0</v>
      </c>
      <c r="U16" s="210">
        <f>D16+E16-F16</f>
        <v>0</v>
      </c>
      <c r="V16" s="210">
        <f>D16+J16-N16</f>
        <v>0</v>
      </c>
      <c r="W16" s="210">
        <f>F16+G16+J16+K16+L16-M16</f>
        <v>0</v>
      </c>
      <c r="X16" s="444"/>
      <c r="Y16" s="444"/>
    </row>
    <row r="17" spans="1:25">
      <c r="A17" s="323" t="str">
        <f>TEXT('Rate Design'!N5,"#,##0")&amp;" - "&amp;TEXT('Rate Design'!N6,"#,##0")&amp;" kWhs"</f>
        <v>800 - 1,500 kWhs</v>
      </c>
      <c r="D17" s="210">
        <f>'Rate Design'!D6/100</f>
        <v>9.4269999999999993E-2</v>
      </c>
      <c r="E17" s="210">
        <f>F17-D17</f>
        <v>-2.4499999999999938E-3</v>
      </c>
      <c r="F17" s="210">
        <f>'Rate Design'!D16/100</f>
        <v>9.1819999999999999E-2</v>
      </c>
      <c r="G17" s="403"/>
      <c r="H17" s="210">
        <f>F17+G17</f>
        <v>9.1819999999999999E-2</v>
      </c>
      <c r="I17" s="210"/>
      <c r="J17" s="208">
        <f>N17-D17</f>
        <v>8.7200000000000055E-3</v>
      </c>
      <c r="K17" s="527">
        <f>K16</f>
        <v>0</v>
      </c>
      <c r="L17" s="208">
        <f t="shared" ref="L17:L18" si="0">-J17</f>
        <v>-8.7200000000000055E-3</v>
      </c>
      <c r="M17" s="208">
        <f t="shared" ref="M17" si="1">F17+J17+K17+L17</f>
        <v>9.1819999999999999E-2</v>
      </c>
      <c r="N17" s="357">
        <f>'Rate Design'!D28/100</f>
        <v>0.10299</v>
      </c>
      <c r="O17" s="403" t="e">
        <f>O16</f>
        <v>#REF!</v>
      </c>
      <c r="P17" s="403">
        <f>P16</f>
        <v>2.47E-3</v>
      </c>
      <c r="Q17" s="357" t="e">
        <f>M17+O17</f>
        <v>#REF!</v>
      </c>
      <c r="R17" s="356">
        <f>J17/D17</f>
        <v>9.2500265195714498E-2</v>
      </c>
      <c r="S17" s="356">
        <f t="shared" ref="S17:S18" si="2">(J17+L17)/F17</f>
        <v>0</v>
      </c>
      <c r="U17" s="210">
        <f>D17+E17-F17</f>
        <v>0</v>
      </c>
      <c r="V17" s="210">
        <f>D17+J17-N17</f>
        <v>0</v>
      </c>
      <c r="W17" s="210">
        <f>F17+G17+J17+K17+L17-M17</f>
        <v>0</v>
      </c>
      <c r="X17" s="444"/>
      <c r="Y17" s="444"/>
    </row>
    <row r="18" spans="1:25">
      <c r="A18" s="323" t="str">
        <f>"All over "&amp;TEXT('Rate Design'!N6,"#,##0")&amp;" kWhs"</f>
        <v>All over 1,500 kWhs</v>
      </c>
      <c r="D18" s="210">
        <f>'Rate Design'!D7/100</f>
        <v>0.11053</v>
      </c>
      <c r="E18" s="210">
        <f>F18-D18</f>
        <v>-2.4499999999999938E-3</v>
      </c>
      <c r="F18" s="210">
        <f>'Rate Design'!D17/100</f>
        <v>0.10808000000000001</v>
      </c>
      <c r="G18" s="403"/>
      <c r="H18" s="210">
        <f>F18+G18</f>
        <v>0.10808000000000001</v>
      </c>
      <c r="I18" s="210"/>
      <c r="J18" s="208">
        <f>N18-D18</f>
        <v>1.0219999999999993E-2</v>
      </c>
      <c r="K18" s="527">
        <f>K16</f>
        <v>0</v>
      </c>
      <c r="L18" s="208">
        <f t="shared" si="0"/>
        <v>-1.0219999999999993E-2</v>
      </c>
      <c r="M18" s="208">
        <f>F18+J18+K18+L18</f>
        <v>0.10808000000000001</v>
      </c>
      <c r="N18" s="357">
        <f>'Rate Design'!D29/100</f>
        <v>0.12075</v>
      </c>
      <c r="O18" s="403" t="e">
        <f>O16</f>
        <v>#REF!</v>
      </c>
      <c r="P18" s="403">
        <f>P16</f>
        <v>2.47E-3</v>
      </c>
      <c r="Q18" s="357" t="e">
        <f>M18+O18</f>
        <v>#REF!</v>
      </c>
      <c r="R18" s="356">
        <f>J18/D18</f>
        <v>9.246358454718169E-2</v>
      </c>
      <c r="S18" s="356">
        <f t="shared" si="2"/>
        <v>0</v>
      </c>
      <c r="U18" s="210">
        <f>D18+E18-F18</f>
        <v>0</v>
      </c>
      <c r="V18" s="210">
        <f>D18+J18-N18</f>
        <v>0</v>
      </c>
      <c r="W18" s="210">
        <f>F18+G18+J18+K18+L18-M18</f>
        <v>0</v>
      </c>
      <c r="X18" s="444"/>
      <c r="Y18" s="444"/>
    </row>
    <row r="19" spans="1:25">
      <c r="D19" s="210"/>
      <c r="E19" s="210"/>
      <c r="F19" s="210"/>
      <c r="G19" s="208"/>
      <c r="H19" s="210"/>
      <c r="I19" s="210"/>
      <c r="J19" s="208"/>
      <c r="K19" s="208"/>
      <c r="L19" s="208"/>
      <c r="M19" s="208"/>
      <c r="U19" s="210"/>
      <c r="V19" s="210"/>
      <c r="W19" s="210"/>
      <c r="X19" s="444"/>
      <c r="Y19" s="444"/>
    </row>
    <row r="20" spans="1:25">
      <c r="A20" s="206" t="s">
        <v>332</v>
      </c>
      <c r="K20" s="208"/>
      <c r="U20" s="210"/>
      <c r="V20" s="210"/>
      <c r="W20" s="210"/>
      <c r="X20" s="444"/>
      <c r="Y20" s="444"/>
    </row>
    <row r="21" spans="1:25">
      <c r="A21" s="44" t="s">
        <v>266</v>
      </c>
      <c r="D21" s="212">
        <f>'Rate Design'!E4</f>
        <v>20</v>
      </c>
      <c r="E21" s="211">
        <f>F21-D21</f>
        <v>0</v>
      </c>
      <c r="F21" s="212">
        <f>'Rate Design'!E14</f>
        <v>20</v>
      </c>
      <c r="G21" s="207"/>
      <c r="H21" s="212"/>
      <c r="J21" s="207">
        <f>IF(ROUND(M21-F21,5)&lt;&gt;ROUND(N21-D21,5),#VALUE!,N21-D21)</f>
        <v>0</v>
      </c>
      <c r="K21" s="208"/>
      <c r="L21" s="207"/>
      <c r="M21" s="207">
        <f>'Rate Design'!E36</f>
        <v>20</v>
      </c>
      <c r="N21" s="207">
        <f>'Rate Design'!E26</f>
        <v>20</v>
      </c>
      <c r="O21" s="207"/>
      <c r="P21" s="207"/>
      <c r="Q21" s="207">
        <f>N21</f>
        <v>20</v>
      </c>
      <c r="R21" s="356">
        <f>J21/D21</f>
        <v>0</v>
      </c>
      <c r="S21" s="356">
        <f>J21/F21</f>
        <v>0</v>
      </c>
      <c r="U21" s="210"/>
      <c r="V21" s="210"/>
      <c r="W21" s="210"/>
      <c r="X21" s="444"/>
      <c r="Y21" s="444"/>
    </row>
    <row r="22" spans="1:25">
      <c r="A22" s="44" t="s">
        <v>331</v>
      </c>
      <c r="K22" s="208"/>
      <c r="U22" s="210"/>
      <c r="V22" s="210"/>
      <c r="W22" s="210"/>
      <c r="X22" s="444"/>
      <c r="Y22" s="444"/>
    </row>
    <row r="23" spans="1:25">
      <c r="A23" s="323" t="str">
        <f>"First "&amp;TEXT('Rate Design'!O5,"#,##0")&amp;" kWhs"</f>
        <v>First 3,650 kWhs</v>
      </c>
      <c r="D23" s="210">
        <f>'Rate Design'!E5/100</f>
        <v>0.11686000000000001</v>
      </c>
      <c r="E23" s="210">
        <f>F23-D23</f>
        <v>4.2900000000000021E-3</v>
      </c>
      <c r="F23" s="210">
        <f>'Rate Design'!E15/100</f>
        <v>0.12115000000000001</v>
      </c>
      <c r="G23" s="208"/>
      <c r="H23" s="210">
        <f>F23+G23</f>
        <v>0.12115000000000001</v>
      </c>
      <c r="I23" s="210"/>
      <c r="J23" s="208">
        <f>N23-D23</f>
        <v>1.1289999999999981E-2</v>
      </c>
      <c r="K23" s="208">
        <v>0</v>
      </c>
      <c r="L23" s="208">
        <f>-J23</f>
        <v>-1.1289999999999981E-2</v>
      </c>
      <c r="M23" s="208">
        <f>F23+J23+K23+L23</f>
        <v>0.12115000000000002</v>
      </c>
      <c r="N23" s="357">
        <f>'Rate Design'!E27/100</f>
        <v>0.12814999999999999</v>
      </c>
      <c r="O23" s="357" t="e">
        <f>O16</f>
        <v>#REF!</v>
      </c>
      <c r="P23" s="357">
        <f>P16</f>
        <v>2.47E-3</v>
      </c>
      <c r="Q23" s="357" t="e">
        <f>M23+O23</f>
        <v>#REF!</v>
      </c>
      <c r="R23" s="356">
        <f>J23/D23</f>
        <v>9.6611329796337325E-2</v>
      </c>
      <c r="S23" s="356">
        <f>(J23+L23)/F23</f>
        <v>0</v>
      </c>
      <c r="U23" s="210">
        <f>D23+E23-F23</f>
        <v>0</v>
      </c>
      <c r="V23" s="210">
        <f>D23+J23-N23</f>
        <v>0</v>
      </c>
      <c r="W23" s="210">
        <f>F23+G23+J23+K23+L23-M23</f>
        <v>0</v>
      </c>
      <c r="X23" s="444"/>
      <c r="Y23" s="444"/>
    </row>
    <row r="24" spans="1:25">
      <c r="A24" s="323" t="str">
        <f>"All over "&amp;TEXT('Rate Design'!O5,"#,##0")&amp;" kWhs"</f>
        <v>All over 3,650 kWhs</v>
      </c>
      <c r="D24" s="210">
        <f>'Rate Design'!E6/100</f>
        <v>8.5879999999999998E-2</v>
      </c>
      <c r="E24" s="210">
        <f>F24-D24</f>
        <v>4.2900000000000021E-3</v>
      </c>
      <c r="F24" s="210">
        <f>'Rate Design'!E16/100</f>
        <v>9.017E-2</v>
      </c>
      <c r="G24" s="208"/>
      <c r="H24" s="210">
        <f>F24+G24</f>
        <v>9.017E-2</v>
      </c>
      <c r="I24" s="210"/>
      <c r="J24" s="208">
        <f>N24-D24</f>
        <v>8.2999999999999879E-3</v>
      </c>
      <c r="K24" s="208">
        <f>K23</f>
        <v>0</v>
      </c>
      <c r="L24" s="208">
        <f>-J24</f>
        <v>-8.2999999999999879E-3</v>
      </c>
      <c r="M24" s="208">
        <f>F24+J24+K24+L24</f>
        <v>9.017E-2</v>
      </c>
      <c r="N24" s="357">
        <f>'Rate Design'!E28/100</f>
        <v>9.4179999999999986E-2</v>
      </c>
      <c r="O24" s="357" t="e">
        <f>O23</f>
        <v>#REF!</v>
      </c>
      <c r="P24" s="357">
        <f>P23</f>
        <v>2.47E-3</v>
      </c>
      <c r="Q24" s="357" t="e">
        <f>M24+O24</f>
        <v>#REF!</v>
      </c>
      <c r="R24" s="356">
        <f>J24/D24</f>
        <v>9.6646483465300276E-2</v>
      </c>
      <c r="S24" s="356">
        <f>(J24+L24)/F24</f>
        <v>0</v>
      </c>
      <c r="U24" s="210">
        <f>D24+E24-F24</f>
        <v>0</v>
      </c>
      <c r="V24" s="210">
        <f>D24+J24-N24</f>
        <v>0</v>
      </c>
      <c r="W24" s="210">
        <f>F24+G24+J24+K24+L24-M24</f>
        <v>0</v>
      </c>
      <c r="X24" s="444"/>
      <c r="Y24" s="444"/>
    </row>
    <row r="25" spans="1:25">
      <c r="A25" s="44" t="s">
        <v>333</v>
      </c>
      <c r="K25" s="208"/>
      <c r="U25" s="210"/>
      <c r="V25" s="210"/>
      <c r="W25" s="210"/>
      <c r="X25" s="444"/>
      <c r="Y25" s="444"/>
    </row>
    <row r="26" spans="1:25">
      <c r="A26" s="323" t="str">
        <f>TEXT('Rate Design'!O10,"#,##0")&amp;" kW or less"</f>
        <v>20 kW or less</v>
      </c>
      <c r="D26" s="215" t="s">
        <v>334</v>
      </c>
      <c r="E26" s="214"/>
      <c r="F26" s="215" t="s">
        <v>334</v>
      </c>
      <c r="H26" s="215"/>
      <c r="J26" s="71" t="s">
        <v>334</v>
      </c>
      <c r="K26" s="524"/>
      <c r="N26" s="71" t="s">
        <v>334</v>
      </c>
      <c r="O26" s="71"/>
      <c r="P26" s="71"/>
      <c r="Q26" s="71" t="s">
        <v>334</v>
      </c>
      <c r="U26" s="210"/>
      <c r="V26" s="210"/>
      <c r="W26" s="210"/>
      <c r="X26" s="444"/>
      <c r="Y26" s="444"/>
    </row>
    <row r="27" spans="1:25">
      <c r="A27" s="323" t="str">
        <f>"Over "&amp;TEXT('Rate Design'!O10,"#,##0")&amp;" kW"</f>
        <v>Over 20 kW</v>
      </c>
      <c r="D27" s="213">
        <f>'Rate Design'!E10</f>
        <v>7</v>
      </c>
      <c r="E27" s="213">
        <f>F27-D27</f>
        <v>0</v>
      </c>
      <c r="F27" s="213">
        <f>'Rate Design'!E20</f>
        <v>7</v>
      </c>
      <c r="G27" s="213"/>
      <c r="H27" s="213"/>
      <c r="J27" s="213">
        <f>IF(ROUND(M27-F27,5)&lt;&gt;ROUND(N27-D27,5),#VALUE!,N27-D27)</f>
        <v>0</v>
      </c>
      <c r="K27" s="526"/>
      <c r="L27" s="213"/>
      <c r="M27" s="213">
        <f>'Rate Design'!E42</f>
        <v>7</v>
      </c>
      <c r="N27" s="213">
        <f>'Rate Design'!E32</f>
        <v>7</v>
      </c>
      <c r="O27" s="213"/>
      <c r="P27" s="213"/>
      <c r="Q27" s="213">
        <f>'Rate Design'!E32</f>
        <v>7</v>
      </c>
      <c r="R27" s="356">
        <f>J27/D27</f>
        <v>0</v>
      </c>
      <c r="S27" s="356">
        <f>J27/F27</f>
        <v>0</v>
      </c>
      <c r="U27" s="210"/>
      <c r="V27" s="210"/>
      <c r="W27" s="210"/>
      <c r="X27" s="444"/>
      <c r="Y27" s="444"/>
    </row>
    <row r="28" spans="1:25" s="434" customFormat="1">
      <c r="A28" s="434" t="s">
        <v>618</v>
      </c>
      <c r="D28" s="673" t="s">
        <v>619</v>
      </c>
      <c r="E28" s="213"/>
      <c r="F28" s="213"/>
      <c r="G28" s="213"/>
      <c r="H28" s="213"/>
      <c r="J28" s="606"/>
      <c r="K28" s="526"/>
      <c r="L28" s="213"/>
      <c r="M28" s="673" t="s">
        <v>619</v>
      </c>
      <c r="N28" s="213"/>
      <c r="O28" s="213"/>
      <c r="P28" s="213"/>
      <c r="Q28" s="213"/>
      <c r="R28" s="356"/>
      <c r="S28" s="356"/>
      <c r="U28" s="210"/>
      <c r="V28" s="210"/>
      <c r="W28" s="210"/>
      <c r="X28" s="444"/>
      <c r="Y28" s="444"/>
    </row>
    <row r="29" spans="1:25">
      <c r="D29" s="673" t="s">
        <v>620</v>
      </c>
      <c r="K29" s="208"/>
      <c r="M29" s="673" t="s">
        <v>620</v>
      </c>
      <c r="U29" s="210"/>
      <c r="V29" s="210"/>
      <c r="W29" s="210"/>
      <c r="X29" s="444"/>
      <c r="Y29" s="444"/>
    </row>
    <row r="30" spans="1:25" s="434" customFormat="1">
      <c r="D30" s="607"/>
      <c r="G30" s="117"/>
      <c r="J30" s="117"/>
      <c r="K30" s="208"/>
      <c r="L30" s="117"/>
      <c r="M30" s="607"/>
      <c r="N30" s="117"/>
      <c r="O30" s="117"/>
      <c r="P30" s="117"/>
      <c r="Q30" s="117"/>
      <c r="U30" s="210"/>
      <c r="V30" s="210"/>
      <c r="W30" s="210"/>
      <c r="X30" s="444"/>
      <c r="Y30" s="444"/>
    </row>
    <row r="31" spans="1:25">
      <c r="A31" s="206" t="s">
        <v>335</v>
      </c>
      <c r="K31" s="208"/>
      <c r="U31" s="210"/>
      <c r="V31" s="210"/>
      <c r="W31" s="210"/>
      <c r="X31" s="444"/>
      <c r="Y31" s="444"/>
    </row>
    <row r="32" spans="1:25">
      <c r="A32" s="44" t="s">
        <v>331</v>
      </c>
      <c r="K32" s="208"/>
      <c r="U32" s="210"/>
      <c r="V32" s="210"/>
      <c r="W32" s="210"/>
      <c r="X32" s="444"/>
      <c r="Y32" s="444"/>
    </row>
    <row r="33" spans="1:25">
      <c r="A33" s="323" t="str">
        <f>"First "&amp;TEXT('Rate Design'!P5,"#,##0")&amp;" kWhs"</f>
        <v>First 250,000 kWhs</v>
      </c>
      <c r="D33" s="210">
        <f>'Rate Design'!F5/100</f>
        <v>7.535E-2</v>
      </c>
      <c r="E33" s="210">
        <f>F33-D33</f>
        <v>2.9600000000000182E-3</v>
      </c>
      <c r="F33" s="210">
        <f>'Rate Design'!F15/100</f>
        <v>7.8310000000000018E-2</v>
      </c>
      <c r="G33" s="208"/>
      <c r="H33" s="210">
        <f>F33+G33</f>
        <v>7.8310000000000018E-2</v>
      </c>
      <c r="I33" s="210"/>
      <c r="J33" s="208">
        <f>N33-D33</f>
        <v>8.1799999999999928E-3</v>
      </c>
      <c r="K33" s="208">
        <v>0</v>
      </c>
      <c r="L33" s="208">
        <f>-J33</f>
        <v>-8.1799999999999928E-3</v>
      </c>
      <c r="M33" s="208">
        <f>F33+J33+K33+L33</f>
        <v>7.8310000000000018E-2</v>
      </c>
      <c r="N33" s="357">
        <f>'Rate Design'!F27/100</f>
        <v>8.3529999999999993E-2</v>
      </c>
      <c r="O33" s="357" t="e">
        <f>O16</f>
        <v>#REF!</v>
      </c>
      <c r="P33" s="357">
        <f>P16</f>
        <v>2.47E-3</v>
      </c>
      <c r="Q33" s="357" t="e">
        <f>M33+O33</f>
        <v>#REF!</v>
      </c>
      <c r="R33" s="356">
        <f>J33/D33</f>
        <v>0.10856005308560043</v>
      </c>
      <c r="S33" s="356">
        <f>(J33+L33)/F33</f>
        <v>0</v>
      </c>
      <c r="U33" s="210">
        <f>D33+E33-F33</f>
        <v>0</v>
      </c>
      <c r="V33" s="210">
        <f>D33+J33-N33</f>
        <v>0</v>
      </c>
      <c r="W33" s="210">
        <f>F33+G33+J33+K33+L33-M33</f>
        <v>0</v>
      </c>
      <c r="X33" s="444"/>
      <c r="Y33" s="444"/>
    </row>
    <row r="34" spans="1:25">
      <c r="A34" s="323" t="str">
        <f>"All over "&amp;TEXT('Rate Design'!P5,"#,##0")&amp;" kWhs"</f>
        <v>All over 250,000 kWhs</v>
      </c>
      <c r="D34" s="210">
        <f>'Rate Design'!F6/100</f>
        <v>6.7419999999999994E-2</v>
      </c>
      <c r="E34" s="210">
        <f>F34-D34</f>
        <v>2.9600000000000182E-3</v>
      </c>
      <c r="F34" s="210">
        <f>'Rate Design'!F16/100</f>
        <v>7.0380000000000012E-2</v>
      </c>
      <c r="G34" s="208"/>
      <c r="H34" s="210">
        <f>F34+G34</f>
        <v>7.0380000000000012E-2</v>
      </c>
      <c r="I34" s="210"/>
      <c r="J34" s="208">
        <f>N34-D34</f>
        <v>7.3200000000000071E-3</v>
      </c>
      <c r="K34" s="208">
        <f>K33</f>
        <v>0</v>
      </c>
      <c r="L34" s="208">
        <f>-J34</f>
        <v>-7.3200000000000071E-3</v>
      </c>
      <c r="M34" s="208">
        <f>F34+J34+K34+L34</f>
        <v>7.0380000000000012E-2</v>
      </c>
      <c r="N34" s="357">
        <f>'Rate Design'!F28/100</f>
        <v>7.4740000000000001E-2</v>
      </c>
      <c r="O34" s="357" t="e">
        <f>O33</f>
        <v>#REF!</v>
      </c>
      <c r="P34" s="357">
        <f>P33</f>
        <v>2.47E-3</v>
      </c>
      <c r="Q34" s="357" t="e">
        <f>M34+O34</f>
        <v>#REF!</v>
      </c>
      <c r="R34" s="356">
        <f>J34/D34</f>
        <v>0.10857312370216564</v>
      </c>
      <c r="S34" s="356">
        <f>(J34+L34)/F34</f>
        <v>0</v>
      </c>
      <c r="U34" s="210">
        <f>D34+E34-F34</f>
        <v>0</v>
      </c>
      <c r="V34" s="210">
        <f>D34+J34-N34</f>
        <v>0</v>
      </c>
      <c r="W34" s="210">
        <f>F34+G34+J34+K34+L34-M34</f>
        <v>0</v>
      </c>
      <c r="X34" s="444"/>
      <c r="Y34" s="444"/>
    </row>
    <row r="35" spans="1:25">
      <c r="A35" s="44" t="s">
        <v>333</v>
      </c>
      <c r="K35" s="208"/>
      <c r="U35" s="210"/>
      <c r="V35" s="210"/>
      <c r="W35" s="210"/>
      <c r="X35" s="444"/>
      <c r="Y35" s="444"/>
    </row>
    <row r="36" spans="1:25">
      <c r="A36" s="323" t="str">
        <f>TEXT('Rate Design'!P10,"#,##0")&amp;" kW or less"</f>
        <v>50 kW or less</v>
      </c>
      <c r="D36" s="212">
        <f>'Rate Design'!F9</f>
        <v>550</v>
      </c>
      <c r="E36" s="211">
        <f>F36-D36</f>
        <v>0</v>
      </c>
      <c r="F36" s="212">
        <f>'Rate Design'!F19</f>
        <v>550</v>
      </c>
      <c r="G36" s="207"/>
      <c r="H36" s="212"/>
      <c r="J36" s="207">
        <f>IF(ROUND(M36-F36,5)&lt;&gt;ROUND(N36-D36,5),#VALUE!,N36-D36)</f>
        <v>0</v>
      </c>
      <c r="K36" s="208"/>
      <c r="L36" s="207"/>
      <c r="M36" s="207">
        <f>'Rate Design'!F41</f>
        <v>550</v>
      </c>
      <c r="N36" s="207">
        <f>'Rate Design'!F31</f>
        <v>550</v>
      </c>
      <c r="O36" s="207"/>
      <c r="P36" s="207"/>
      <c r="Q36" s="207">
        <f>N36</f>
        <v>550</v>
      </c>
      <c r="R36" s="356">
        <f>J36/D36</f>
        <v>0</v>
      </c>
      <c r="S36" s="356">
        <f>J36/F36</f>
        <v>0</v>
      </c>
      <c r="U36" s="210"/>
      <c r="V36" s="210"/>
      <c r="W36" s="210"/>
      <c r="X36" s="444"/>
      <c r="Y36" s="444"/>
    </row>
    <row r="37" spans="1:25">
      <c r="A37" s="323" t="str">
        <f>"Over "&amp;TEXT('Rate Design'!P10,"#,##0")&amp;" kW"</f>
        <v>Over 50 kW</v>
      </c>
      <c r="D37" s="213">
        <f>'Rate Design'!F10</f>
        <v>7</v>
      </c>
      <c r="E37" s="213">
        <f>F37-D37</f>
        <v>0</v>
      </c>
      <c r="F37" s="213">
        <f>'Rate Design'!F20</f>
        <v>7</v>
      </c>
      <c r="G37" s="213"/>
      <c r="H37" s="213"/>
      <c r="J37" s="213">
        <f>IF(ROUND(M37-F37,5)&lt;&gt;ROUND(N37-D37,5),#VALUE!,N37-D37)</f>
        <v>0</v>
      </c>
      <c r="K37" s="526"/>
      <c r="L37" s="213"/>
      <c r="M37" s="213">
        <f>'Rate Design'!F42</f>
        <v>7</v>
      </c>
      <c r="N37" s="213">
        <f>'Rate Design'!F32</f>
        <v>7</v>
      </c>
      <c r="O37" s="213"/>
      <c r="P37" s="213"/>
      <c r="Q37" s="213">
        <f>'Rate Design'!F32</f>
        <v>7</v>
      </c>
      <c r="R37" s="356">
        <f>J37/D37</f>
        <v>0</v>
      </c>
      <c r="S37" s="356">
        <f>J37/F37</f>
        <v>0</v>
      </c>
      <c r="U37" s="210"/>
      <c r="V37" s="210"/>
      <c r="W37" s="210"/>
      <c r="X37" s="444"/>
      <c r="Y37" s="444"/>
    </row>
    <row r="38" spans="1:25">
      <c r="A38" s="44" t="s">
        <v>97</v>
      </c>
      <c r="D38" s="213">
        <v>0.2</v>
      </c>
      <c r="E38" s="213">
        <f>F38-D38</f>
        <v>0</v>
      </c>
      <c r="F38" s="213">
        <v>0.2</v>
      </c>
      <c r="G38" s="213"/>
      <c r="H38" s="213"/>
      <c r="J38" s="213">
        <f>IF(ROUND(M38-F38,5)&lt;&gt;ROUND(N38-D38,5),#VALUE!,N38-D38)</f>
        <v>0</v>
      </c>
      <c r="K38" s="526"/>
      <c r="L38" s="213"/>
      <c r="M38" s="213">
        <v>0.2</v>
      </c>
      <c r="N38" s="213">
        <v>0.2</v>
      </c>
      <c r="O38" s="213"/>
      <c r="P38" s="213"/>
      <c r="Q38" s="213">
        <v>0.2</v>
      </c>
      <c r="R38" s="356">
        <f>J38/D38</f>
        <v>0</v>
      </c>
      <c r="S38" s="356">
        <f>J38/F38</f>
        <v>0</v>
      </c>
      <c r="U38" s="210"/>
      <c r="V38" s="210"/>
      <c r="W38" s="210"/>
      <c r="X38" s="444"/>
      <c r="Y38" s="444"/>
    </row>
    <row r="39" spans="1:25">
      <c r="D39" s="215"/>
      <c r="E39" s="214"/>
      <c r="F39" s="215"/>
      <c r="G39" s="71"/>
      <c r="H39" s="215"/>
      <c r="J39" s="352"/>
      <c r="K39" s="208"/>
      <c r="L39" s="71"/>
      <c r="M39" s="71"/>
      <c r="U39" s="210"/>
      <c r="V39" s="210"/>
      <c r="W39" s="210"/>
      <c r="X39" s="444"/>
      <c r="Y39" s="444"/>
    </row>
    <row r="40" spans="1:25">
      <c r="A40" s="206" t="s">
        <v>336</v>
      </c>
      <c r="K40" s="208"/>
      <c r="U40" s="210"/>
      <c r="V40" s="210"/>
      <c r="W40" s="210"/>
      <c r="X40" s="444"/>
      <c r="Y40" s="444"/>
    </row>
    <row r="41" spans="1:25">
      <c r="A41" s="44" t="s">
        <v>331</v>
      </c>
      <c r="K41" s="208"/>
      <c r="U41" s="210"/>
      <c r="V41" s="210"/>
      <c r="W41" s="210"/>
      <c r="X41" s="444"/>
      <c r="Y41" s="444"/>
    </row>
    <row r="42" spans="1:25">
      <c r="A42" s="323" t="str">
        <f>"First "&amp;TEXT('Rate Design'!Q5,"#,##0")&amp;" kWhs"</f>
        <v>First 500,000 kWhs</v>
      </c>
      <c r="D42" s="210">
        <f>'Rate Design'!G5/100</f>
        <v>5.5050000000000002E-2</v>
      </c>
      <c r="E42" s="210">
        <f>F42-D42</f>
        <v>-1.8799999999999997E-3</v>
      </c>
      <c r="F42" s="210">
        <f>'Rate Design'!G15/100</f>
        <v>5.3170000000000002E-2</v>
      </c>
      <c r="G42" s="208"/>
      <c r="H42" s="210">
        <f>F42+G42</f>
        <v>5.3170000000000002E-2</v>
      </c>
      <c r="I42" s="210"/>
      <c r="J42" s="208">
        <f>N42-D42</f>
        <v>6.1200000000000004E-3</v>
      </c>
      <c r="K42" s="208">
        <v>0</v>
      </c>
      <c r="L42" s="208">
        <f>-J42</f>
        <v>-6.1200000000000004E-3</v>
      </c>
      <c r="M42" s="208">
        <f>F42+J42+K42+L42</f>
        <v>5.3170000000000002E-2</v>
      </c>
      <c r="N42" s="357">
        <f>'Rate Design'!G27/100</f>
        <v>6.1170000000000002E-2</v>
      </c>
      <c r="O42" s="357" t="e">
        <f>O16</f>
        <v>#REF!</v>
      </c>
      <c r="P42" s="357">
        <f>P16</f>
        <v>2.47E-3</v>
      </c>
      <c r="Q42" s="357" t="e">
        <f>M42+O42</f>
        <v>#REF!</v>
      </c>
      <c r="R42" s="356">
        <f>J42/D42</f>
        <v>0.1111716621253406</v>
      </c>
      <c r="S42" s="356">
        <f>(J42+L42)/F42</f>
        <v>0</v>
      </c>
      <c r="U42" s="210">
        <f>D42+E42-F42</f>
        <v>0</v>
      </c>
      <c r="V42" s="210">
        <f>D42+J42-N42</f>
        <v>0</v>
      </c>
      <c r="W42" s="210">
        <f>F42+G42+J42+K42+L42-M42</f>
        <v>0</v>
      </c>
      <c r="X42" s="444"/>
      <c r="Y42" s="444"/>
    </row>
    <row r="43" spans="1:25">
      <c r="A43" s="323" t="str">
        <f>TEXT('Rate Design'!Q27,"#,##0")&amp;" - "&amp;TEXT('Rate Design'!Q28,"#,##0")&amp;" kWhs"</f>
        <v>500,000 - 6,000,000 kWhs</v>
      </c>
      <c r="D43" s="210">
        <f>'Rate Design'!G6/100</f>
        <v>4.9530000000000005E-2</v>
      </c>
      <c r="E43" s="210">
        <f>F43-D43</f>
        <v>-1.8799999999999997E-3</v>
      </c>
      <c r="F43" s="210">
        <f>'Rate Design'!G16/100</f>
        <v>4.7650000000000005E-2</v>
      </c>
      <c r="G43" s="208"/>
      <c r="H43" s="210">
        <f>F43+G43</f>
        <v>4.7650000000000005E-2</v>
      </c>
      <c r="I43" s="210"/>
      <c r="J43" s="208">
        <f>N43-D43</f>
        <v>5.4999999999999979E-3</v>
      </c>
      <c r="K43" s="208">
        <f>K42</f>
        <v>0</v>
      </c>
      <c r="L43" s="208">
        <f t="shared" ref="L43:L44" si="3">-J43</f>
        <v>-5.4999999999999979E-3</v>
      </c>
      <c r="M43" s="208">
        <f t="shared" ref="M43:M44" si="4">F43+J43+K43+L43</f>
        <v>4.7650000000000005E-2</v>
      </c>
      <c r="N43" s="357">
        <f>'Rate Design'!G28/100</f>
        <v>5.5030000000000003E-2</v>
      </c>
      <c r="O43" s="357" t="e">
        <f>O42</f>
        <v>#REF!</v>
      </c>
      <c r="P43" s="357">
        <f>P42</f>
        <v>2.47E-3</v>
      </c>
      <c r="Q43" s="357" t="e">
        <f>M43+O43</f>
        <v>#REF!</v>
      </c>
      <c r="R43" s="356">
        <f>J43/D43</f>
        <v>0.11104381183121335</v>
      </c>
      <c r="S43" s="356">
        <f t="shared" ref="S43:S44" si="5">(J43+L43)/F43</f>
        <v>0</v>
      </c>
      <c r="U43" s="210">
        <f>D43+E43-F43</f>
        <v>0</v>
      </c>
      <c r="V43" s="210">
        <f>D43+J43-N43</f>
        <v>0</v>
      </c>
      <c r="W43" s="210">
        <f>F43+G43+J43+K43+L43-M43</f>
        <v>0</v>
      </c>
      <c r="X43" s="444"/>
      <c r="Y43" s="444"/>
    </row>
    <row r="44" spans="1:25">
      <c r="A44" s="323" t="str">
        <f>"All over "&amp;TEXT('Rate Design'!Q28,"#,##0")&amp;" kWhs"</f>
        <v>All over 6,000,000 kWhs</v>
      </c>
      <c r="D44" s="210">
        <f>'Rate Design'!G7/100</f>
        <v>4.2350000000000006E-2</v>
      </c>
      <c r="E44" s="210">
        <f>F44-D44</f>
        <v>-2.8100000000000069E-3</v>
      </c>
      <c r="F44" s="210">
        <f>'Rate Design'!G17/100</f>
        <v>3.9539999999999999E-2</v>
      </c>
      <c r="G44" s="208"/>
      <c r="H44" s="210">
        <f>F44+G44</f>
        <v>3.9539999999999999E-2</v>
      </c>
      <c r="I44" s="210"/>
      <c r="J44" s="208">
        <f>N44-D44</f>
        <v>4.7099999999999989E-3</v>
      </c>
      <c r="K44" s="208"/>
      <c r="L44" s="208">
        <f t="shared" si="3"/>
        <v>-4.7099999999999989E-3</v>
      </c>
      <c r="M44" s="208">
        <f t="shared" si="4"/>
        <v>3.9539999999999999E-2</v>
      </c>
      <c r="N44" s="357">
        <f>'Rate Design'!G29/100</f>
        <v>4.7060000000000005E-2</v>
      </c>
      <c r="O44" s="357" t="e">
        <f>O42</f>
        <v>#REF!</v>
      </c>
      <c r="P44" s="357">
        <f>P42</f>
        <v>2.47E-3</v>
      </c>
      <c r="Q44" s="357" t="e">
        <f>M44+O44</f>
        <v>#REF!</v>
      </c>
      <c r="R44" s="356">
        <f>J44/D44</f>
        <v>0.11121605667060208</v>
      </c>
      <c r="S44" s="356">
        <f t="shared" si="5"/>
        <v>0</v>
      </c>
      <c r="U44" s="210">
        <f>D44+E44-F44</f>
        <v>0</v>
      </c>
      <c r="V44" s="210">
        <f>D44+J44-N44</f>
        <v>0</v>
      </c>
      <c r="W44" s="210">
        <f>F44+G44+J44+K44+L44-M44</f>
        <v>0</v>
      </c>
      <c r="X44" s="444"/>
      <c r="Y44" s="444"/>
    </row>
    <row r="45" spans="1:25">
      <c r="A45" s="44" t="s">
        <v>333</v>
      </c>
      <c r="K45" s="208"/>
      <c r="U45" s="210"/>
      <c r="V45" s="210"/>
      <c r="W45" s="210"/>
      <c r="X45" s="444"/>
      <c r="Y45" s="444"/>
    </row>
    <row r="46" spans="1:25">
      <c r="A46" s="323" t="str">
        <f>TEXT('Rate Design'!Q10,"#,##0")&amp;" kva or less"</f>
        <v>3,000 kva or less</v>
      </c>
      <c r="D46" s="216">
        <f>'Rate Design'!G9</f>
        <v>30650</v>
      </c>
      <c r="E46" s="216">
        <f>F46-D46</f>
        <v>0</v>
      </c>
      <c r="F46" s="216">
        <f>'Rate Design'!G19</f>
        <v>30650</v>
      </c>
      <c r="G46" s="217"/>
      <c r="H46" s="216"/>
      <c r="I46" s="216"/>
      <c r="J46" s="217">
        <f>IF(ROUND(M46-F46,5)&lt;&gt;ROUND(N46-D46,5),#VALUE!,N46-D46)</f>
        <v>0</v>
      </c>
      <c r="K46" s="208"/>
      <c r="L46" s="217"/>
      <c r="M46" s="217">
        <f>'Rate Design'!G41</f>
        <v>30650</v>
      </c>
      <c r="N46" s="217">
        <f>'Rate Design'!G31</f>
        <v>30650</v>
      </c>
      <c r="O46" s="217"/>
      <c r="P46" s="217"/>
      <c r="Q46" s="217">
        <f>'Rate Design'!G31</f>
        <v>30650</v>
      </c>
      <c r="R46" s="356">
        <f>J46/D46</f>
        <v>0</v>
      </c>
      <c r="S46" s="356">
        <f>J46/F46</f>
        <v>0</v>
      </c>
      <c r="U46" s="210"/>
      <c r="V46" s="210"/>
      <c r="W46" s="210"/>
      <c r="X46" s="444"/>
      <c r="Y46" s="444"/>
    </row>
    <row r="47" spans="1:25">
      <c r="A47" s="323" t="str">
        <f>"Over "&amp;TEXT('Rate Design'!Q10,"#,##0")&amp;" kva"</f>
        <v>Over 3,000 kva</v>
      </c>
      <c r="D47" s="218">
        <f>'Rate Design'!G10</f>
        <v>8.3000000000000007</v>
      </c>
      <c r="E47" s="218">
        <f>F47-D47</f>
        <v>0</v>
      </c>
      <c r="F47" s="218">
        <f>'Rate Design'!G20</f>
        <v>8.3000000000000007</v>
      </c>
      <c r="G47" s="218"/>
      <c r="H47" s="218"/>
      <c r="J47" s="218">
        <f>IF(ROUND(M47-F47,5)&lt;&gt;ROUND(N47-D47,5),#VALUE!,N47-D47)</f>
        <v>0</v>
      </c>
      <c r="K47" s="526"/>
      <c r="L47" s="218"/>
      <c r="M47" s="218">
        <f>'Rate Design'!G42</f>
        <v>8.3000000000000007</v>
      </c>
      <c r="N47" s="218">
        <f>'Rate Design'!G32</f>
        <v>8.3000000000000007</v>
      </c>
      <c r="O47" s="218"/>
      <c r="P47" s="218"/>
      <c r="Q47" s="218">
        <f>'Rate Design'!G32</f>
        <v>8.3000000000000007</v>
      </c>
      <c r="R47" s="356">
        <f>J47/D47</f>
        <v>0</v>
      </c>
      <c r="S47" s="356">
        <f>J47/F47</f>
        <v>0</v>
      </c>
      <c r="U47" s="210"/>
      <c r="V47" s="210"/>
      <c r="W47" s="210"/>
      <c r="X47" s="444"/>
      <c r="Y47" s="444"/>
    </row>
    <row r="48" spans="1:25">
      <c r="A48" s="44" t="s">
        <v>357</v>
      </c>
      <c r="G48" s="434"/>
      <c r="J48" s="44"/>
      <c r="K48" s="210"/>
      <c r="L48" s="44"/>
      <c r="M48" s="44"/>
      <c r="N48" s="44"/>
      <c r="O48" s="44"/>
      <c r="P48" s="434"/>
      <c r="Q48" s="44"/>
      <c r="U48" s="210"/>
      <c r="V48" s="210"/>
      <c r="W48" s="210"/>
      <c r="X48" s="444"/>
      <c r="Y48" s="444"/>
    </row>
    <row r="49" spans="1:25">
      <c r="A49" s="323" t="s">
        <v>358</v>
      </c>
      <c r="D49" s="218">
        <v>0.2</v>
      </c>
      <c r="E49" s="213">
        <f>F49-D49</f>
        <v>0</v>
      </c>
      <c r="F49" s="218">
        <v>0.2</v>
      </c>
      <c r="G49" s="213"/>
      <c r="H49" s="213"/>
      <c r="J49" s="213">
        <f>IF(ROUND(M49-F49,5)&lt;&gt;ROUND(N49-D49,5),#VALUE!,N49-D49)</f>
        <v>0</v>
      </c>
      <c r="K49" s="526"/>
      <c r="L49" s="213"/>
      <c r="M49" s="218">
        <v>0.2</v>
      </c>
      <c r="N49" s="218">
        <v>0.2</v>
      </c>
      <c r="O49" s="213"/>
      <c r="P49" s="213"/>
      <c r="Q49" s="213">
        <f>N49</f>
        <v>0.2</v>
      </c>
      <c r="R49" s="356">
        <f>J49/D49</f>
        <v>0</v>
      </c>
      <c r="S49" s="356">
        <f>J49/F49</f>
        <v>0</v>
      </c>
      <c r="U49" s="210"/>
      <c r="V49" s="210"/>
      <c r="W49" s="210"/>
      <c r="X49" s="444"/>
      <c r="Y49" s="444"/>
    </row>
    <row r="50" spans="1:25">
      <c r="A50" s="323" t="s">
        <v>359</v>
      </c>
      <c r="D50" s="218">
        <v>1.52</v>
      </c>
      <c r="E50" s="213">
        <f>F50-D50</f>
        <v>0</v>
      </c>
      <c r="F50" s="218">
        <v>1.52</v>
      </c>
      <c r="G50" s="213"/>
      <c r="H50" s="213"/>
      <c r="J50" s="218">
        <f>IF(ROUND(M50-F50,5)&lt;&gt;ROUND(N50-D50,5),#VALUE!,N50-D50)</f>
        <v>0</v>
      </c>
      <c r="K50" s="526"/>
      <c r="L50" s="213"/>
      <c r="M50" s="218">
        <v>1.52</v>
      </c>
      <c r="N50" s="218">
        <v>1.52</v>
      </c>
      <c r="O50" s="213"/>
      <c r="P50" s="213"/>
      <c r="Q50" s="213">
        <f>N50</f>
        <v>1.52</v>
      </c>
      <c r="R50" s="356">
        <f>J50/D50</f>
        <v>0</v>
      </c>
      <c r="S50" s="356">
        <f>J50/F50</f>
        <v>0</v>
      </c>
      <c r="U50" s="210"/>
      <c r="V50" s="210"/>
      <c r="W50" s="210"/>
      <c r="X50" s="444"/>
      <c r="Y50" s="444"/>
    </row>
    <row r="51" spans="1:25">
      <c r="A51" s="323" t="s">
        <v>360</v>
      </c>
      <c r="D51" s="218">
        <v>1.93</v>
      </c>
      <c r="E51" s="213">
        <f>F51-D51</f>
        <v>0</v>
      </c>
      <c r="F51" s="218">
        <v>1.93</v>
      </c>
      <c r="G51" s="213"/>
      <c r="H51" s="213"/>
      <c r="J51" s="218">
        <f>IF(ROUND(M51-F51,5)&lt;&gt;ROUND(N51-D51,5),#VALUE!,N51-D51)</f>
        <v>0</v>
      </c>
      <c r="K51" s="526"/>
      <c r="L51" s="213"/>
      <c r="M51" s="218">
        <v>1.93</v>
      </c>
      <c r="N51" s="218">
        <v>1.93</v>
      </c>
      <c r="O51" s="213"/>
      <c r="P51" s="213"/>
      <c r="Q51" s="213">
        <f>N51</f>
        <v>1.93</v>
      </c>
      <c r="R51" s="356">
        <f>J51/D51</f>
        <v>0</v>
      </c>
      <c r="S51" s="356">
        <f>J51/F51</f>
        <v>0</v>
      </c>
      <c r="U51" s="210"/>
      <c r="V51" s="210"/>
      <c r="W51" s="210"/>
      <c r="X51" s="444"/>
      <c r="Y51" s="444"/>
    </row>
    <row r="52" spans="1:25">
      <c r="A52" s="44" t="s">
        <v>337</v>
      </c>
      <c r="D52" s="358" t="s">
        <v>349</v>
      </c>
      <c r="E52" s="359">
        <v>945750</v>
      </c>
      <c r="F52" s="360"/>
      <c r="G52" s="361"/>
      <c r="H52" s="360"/>
      <c r="I52" s="360"/>
      <c r="J52" s="358"/>
      <c r="K52" s="525"/>
      <c r="L52" s="361" t="s">
        <v>350</v>
      </c>
      <c r="M52" s="794">
        <f>6000000*N42+5000000*N43+12*N46</f>
        <v>1009970</v>
      </c>
      <c r="N52" s="225"/>
      <c r="O52" s="225"/>
      <c r="P52" s="225"/>
      <c r="Q52" s="224">
        <f>M52</f>
        <v>1009970</v>
      </c>
      <c r="R52" s="356">
        <f>M52/E52-1</f>
        <v>6.7903780068728548E-2</v>
      </c>
      <c r="S52" s="356"/>
      <c r="U52" s="210"/>
      <c r="V52" s="210"/>
      <c r="W52" s="210"/>
      <c r="X52" s="444"/>
      <c r="Y52" s="444"/>
    </row>
    <row r="53" spans="1:25">
      <c r="K53" s="208"/>
      <c r="U53" s="210"/>
      <c r="V53" s="210"/>
      <c r="W53" s="210"/>
      <c r="X53" s="444"/>
      <c r="Y53" s="444"/>
    </row>
    <row r="54" spans="1:25">
      <c r="A54" s="206" t="s">
        <v>338</v>
      </c>
      <c r="K54" s="208"/>
      <c r="U54" s="210"/>
      <c r="V54" s="210"/>
      <c r="W54" s="210"/>
      <c r="X54" s="444"/>
      <c r="Y54" s="444"/>
    </row>
    <row r="55" spans="1:25">
      <c r="A55" s="44" t="s">
        <v>266</v>
      </c>
      <c r="D55" s="212">
        <f>'Rate Design'!H4</f>
        <v>20</v>
      </c>
      <c r="E55" s="211">
        <f>F55-D55</f>
        <v>0</v>
      </c>
      <c r="F55" s="212">
        <f>'Rate Design'!H14</f>
        <v>20</v>
      </c>
      <c r="G55" s="207"/>
      <c r="H55" s="212"/>
      <c r="J55" s="207">
        <f>IF(ROUND(M55-F55,5)&lt;&gt;ROUND(N55-D55,5),#VALUE!,N55-D55)</f>
        <v>0</v>
      </c>
      <c r="K55" s="208"/>
      <c r="L55" s="207"/>
      <c r="M55" s="207">
        <f>'Rate Design'!H36</f>
        <v>20</v>
      </c>
      <c r="N55" s="207">
        <f>'Rate Design'!H26</f>
        <v>20</v>
      </c>
      <c r="O55" s="207"/>
      <c r="P55" s="207"/>
      <c r="Q55" s="207">
        <f>N55</f>
        <v>20</v>
      </c>
      <c r="R55" s="356">
        <f>J55/D55</f>
        <v>0</v>
      </c>
      <c r="S55" s="356">
        <f>J55/F55</f>
        <v>0</v>
      </c>
      <c r="U55" s="210"/>
      <c r="V55" s="210"/>
      <c r="W55" s="210"/>
      <c r="X55" s="444"/>
      <c r="Y55" s="444"/>
    </row>
    <row r="56" spans="1:25">
      <c r="A56" s="44" t="s">
        <v>331</v>
      </c>
      <c r="K56" s="208"/>
      <c r="U56" s="210"/>
      <c r="V56" s="210"/>
      <c r="W56" s="210"/>
      <c r="X56" s="444"/>
      <c r="Y56" s="444"/>
    </row>
    <row r="57" spans="1:25">
      <c r="A57" s="375" t="s">
        <v>756</v>
      </c>
      <c r="B57" s="664"/>
      <c r="C57" s="664"/>
      <c r="D57" s="210">
        <f>'Rate Design'!H5/100</f>
        <v>0.10292</v>
      </c>
      <c r="E57" s="210">
        <f>F57-D57</f>
        <v>2.6400000000000173E-3</v>
      </c>
      <c r="F57" s="210">
        <f>'Rate Design'!H15/100</f>
        <v>0.10556000000000001</v>
      </c>
      <c r="G57" s="208"/>
      <c r="H57" s="210">
        <f>F57+G57</f>
        <v>0.10556000000000001</v>
      </c>
      <c r="I57" s="210"/>
      <c r="J57" s="208">
        <f>N57-D57</f>
        <v>8.9900000000000119E-3</v>
      </c>
      <c r="K57" s="208">
        <v>0</v>
      </c>
      <c r="L57" s="208">
        <f>-J57</f>
        <v>-8.9900000000000119E-3</v>
      </c>
      <c r="M57" s="208">
        <f>F57+J57+K57+L57</f>
        <v>0.10556000000000001</v>
      </c>
      <c r="N57" s="357">
        <f>'Rate Design'!H27/100</f>
        <v>0.11191000000000001</v>
      </c>
      <c r="O57" s="357" t="e">
        <f>O16</f>
        <v>#REF!</v>
      </c>
      <c r="P57" s="357">
        <f>P16</f>
        <v>2.47E-3</v>
      </c>
      <c r="Q57" s="357" t="e">
        <f>M57+O57</f>
        <v>#REF!</v>
      </c>
      <c r="R57" s="356">
        <f>J57/D57</f>
        <v>8.734939759036156E-2</v>
      </c>
      <c r="S57" s="356">
        <f>(J57+L57)/F57</f>
        <v>0</v>
      </c>
      <c r="U57" s="210">
        <f>D57+E57-F57</f>
        <v>0</v>
      </c>
      <c r="V57" s="210">
        <f>D57+J57-N57</f>
        <v>0</v>
      </c>
      <c r="W57" s="210">
        <f>F57+G57+J57+K57+L57-M57</f>
        <v>0</v>
      </c>
      <c r="X57" s="444"/>
      <c r="Y57" s="444"/>
    </row>
    <row r="58" spans="1:25" s="434" customFormat="1">
      <c r="A58" s="375" t="s">
        <v>757</v>
      </c>
      <c r="B58" s="664"/>
      <c r="C58" s="664"/>
      <c r="D58" s="210">
        <f>'Rate Design'!H5/100</f>
        <v>0.10292</v>
      </c>
      <c r="E58" s="210">
        <f>F57-D57</f>
        <v>2.6400000000000173E-3</v>
      </c>
      <c r="F58" s="210">
        <f>'Rate Design'!H15/100</f>
        <v>0.10556000000000001</v>
      </c>
      <c r="G58" s="208"/>
      <c r="H58" s="210">
        <f>F58+G58</f>
        <v>0.10556000000000001</v>
      </c>
      <c r="I58" s="210"/>
      <c r="J58" s="208">
        <f>N57-D57</f>
        <v>8.9900000000000119E-3</v>
      </c>
      <c r="K58" s="208">
        <f>K57</f>
        <v>0</v>
      </c>
      <c r="L58" s="208">
        <f t="shared" ref="L58:L59" si="6">-J58</f>
        <v>-8.9900000000000119E-3</v>
      </c>
      <c r="M58" s="208">
        <f t="shared" ref="M58:M59" si="7">F58+J58+K58+L58</f>
        <v>0.10556000000000001</v>
      </c>
      <c r="N58" s="357">
        <f>'Rate Design'!H27/100</f>
        <v>0.11191000000000001</v>
      </c>
      <c r="O58" s="357"/>
      <c r="P58" s="357"/>
      <c r="Q58" s="357"/>
      <c r="R58" s="356">
        <f>J58/D58</f>
        <v>8.734939759036156E-2</v>
      </c>
      <c r="S58" s="356">
        <f t="shared" ref="S58:S59" si="8">(J58+L58)/F58</f>
        <v>0</v>
      </c>
      <c r="U58" s="210">
        <f>D58+E58-F58</f>
        <v>0</v>
      </c>
      <c r="V58" s="210">
        <f>D58+J58-N58</f>
        <v>0</v>
      </c>
      <c r="W58" s="210">
        <f>F58+G58+J58+K58+L58-M58</f>
        <v>0</v>
      </c>
      <c r="X58" s="444"/>
      <c r="Y58" s="444"/>
    </row>
    <row r="59" spans="1:25">
      <c r="A59" s="323" t="s">
        <v>341</v>
      </c>
      <c r="D59" s="210">
        <f>'Rate Design'!H6/100</f>
        <v>7.3499999999999996E-2</v>
      </c>
      <c r="E59" s="210">
        <f>F59-D59</f>
        <v>2.6399999999999896E-3</v>
      </c>
      <c r="F59" s="210">
        <f>'Rate Design'!H16/100</f>
        <v>7.6139999999999985E-2</v>
      </c>
      <c r="G59" s="208"/>
      <c r="H59" s="210">
        <f>F59+G59</f>
        <v>7.6139999999999985E-2</v>
      </c>
      <c r="I59" s="210"/>
      <c r="J59" s="208">
        <f>N59-D59</f>
        <v>6.420000000000009E-3</v>
      </c>
      <c r="K59" s="208">
        <f>K57</f>
        <v>0</v>
      </c>
      <c r="L59" s="208">
        <f t="shared" si="6"/>
        <v>-6.420000000000009E-3</v>
      </c>
      <c r="M59" s="208">
        <f t="shared" si="7"/>
        <v>7.6139999999999985E-2</v>
      </c>
      <c r="N59" s="357">
        <f>'Rate Design'!H28/100</f>
        <v>7.9920000000000005E-2</v>
      </c>
      <c r="O59" s="357" t="e">
        <f>O57</f>
        <v>#REF!</v>
      </c>
      <c r="P59" s="357">
        <f>P57</f>
        <v>2.47E-3</v>
      </c>
      <c r="Q59" s="357" t="e">
        <f>M59+O59</f>
        <v>#REF!</v>
      </c>
      <c r="R59" s="356">
        <f>J59/D59</f>
        <v>8.7346938775510335E-2</v>
      </c>
      <c r="S59" s="356">
        <f t="shared" si="8"/>
        <v>0</v>
      </c>
      <c r="U59" s="210">
        <f>D59+E59-F59</f>
        <v>0</v>
      </c>
      <c r="V59" s="210">
        <f>D59+J59-N59</f>
        <v>0</v>
      </c>
      <c r="W59" s="210">
        <f>F59+G59+J59+K59+L59-M59</f>
        <v>0</v>
      </c>
      <c r="X59" s="444"/>
      <c r="Y59" s="444"/>
    </row>
    <row r="60" spans="1:25">
      <c r="D60" s="210"/>
      <c r="E60" s="210"/>
      <c r="F60" s="210"/>
      <c r="G60" s="208"/>
      <c r="H60" s="210"/>
      <c r="I60" s="210"/>
      <c r="J60" s="208"/>
      <c r="L60" s="208"/>
      <c r="M60" s="208"/>
      <c r="U60" s="407"/>
      <c r="V60" s="407"/>
      <c r="X60" s="444"/>
      <c r="Y60" s="444"/>
    </row>
    <row r="61" spans="1:25">
      <c r="D61" s="210"/>
      <c r="E61" s="210"/>
      <c r="F61" s="210"/>
      <c r="G61" s="208"/>
      <c r="H61" s="210"/>
      <c r="I61" s="210"/>
      <c r="J61" s="208"/>
      <c r="L61" s="208"/>
      <c r="M61" s="208"/>
    </row>
    <row r="62" spans="1:25">
      <c r="A62" s="434" t="s">
        <v>880</v>
      </c>
      <c r="D62" s="210"/>
      <c r="E62" s="210"/>
      <c r="F62" s="210"/>
      <c r="G62" s="208"/>
      <c r="H62" s="210"/>
      <c r="I62" s="210"/>
      <c r="J62" s="208"/>
      <c r="L62" s="208"/>
      <c r="M62" s="208"/>
    </row>
    <row r="63" spans="1:25" ht="12.75" customHeight="1">
      <c r="A63" s="348" t="s">
        <v>837</v>
      </c>
      <c r="B63" s="346"/>
      <c r="C63" s="346"/>
      <c r="D63" s="346"/>
      <c r="E63" s="346"/>
      <c r="F63" s="346"/>
      <c r="G63" s="346"/>
      <c r="H63" s="346"/>
      <c r="I63" s="346"/>
      <c r="J63" s="346"/>
      <c r="K63" s="346"/>
      <c r="L63" s="346"/>
      <c r="M63" s="346"/>
      <c r="N63" s="346"/>
      <c r="O63" s="346"/>
      <c r="P63" s="346"/>
      <c r="Q63" s="346"/>
    </row>
    <row r="64" spans="1:25">
      <c r="A64" s="434" t="s">
        <v>1051</v>
      </c>
      <c r="B64" s="346"/>
      <c r="C64" s="346"/>
      <c r="D64" s="346"/>
      <c r="E64" s="346"/>
      <c r="F64" s="346"/>
      <c r="G64" s="346"/>
      <c r="H64" s="346"/>
      <c r="I64" s="346"/>
      <c r="J64" s="346"/>
      <c r="K64" s="346"/>
      <c r="L64" s="346"/>
      <c r="M64" s="346"/>
      <c r="N64" s="346"/>
      <c r="O64" s="346"/>
      <c r="P64" s="346"/>
      <c r="Q64" s="346"/>
    </row>
    <row r="65" spans="1:25" s="434" customFormat="1">
      <c r="A65" s="531"/>
      <c r="B65" s="346"/>
      <c r="C65" s="346"/>
      <c r="D65" s="346"/>
      <c r="E65" s="346"/>
      <c r="F65" s="346"/>
      <c r="G65" s="346"/>
      <c r="H65" s="346"/>
      <c r="I65" s="346"/>
      <c r="J65" s="346"/>
      <c r="K65" s="346"/>
      <c r="L65" s="346"/>
      <c r="M65" s="346"/>
      <c r="N65" s="346"/>
      <c r="O65" s="346"/>
      <c r="P65" s="346"/>
      <c r="Q65" s="346"/>
      <c r="X65" s="360"/>
      <c r="Y65" s="360"/>
    </row>
    <row r="66" spans="1:25">
      <c r="A66" s="530"/>
      <c r="B66" s="346"/>
      <c r="C66" s="346"/>
      <c r="D66" s="346"/>
      <c r="E66" s="346"/>
      <c r="F66" s="346"/>
      <c r="G66" s="346"/>
      <c r="H66" s="346"/>
      <c r="I66" s="346"/>
      <c r="J66" s="346"/>
      <c r="K66" s="346"/>
      <c r="L66" s="346"/>
      <c r="M66" s="346"/>
      <c r="N66" s="346"/>
      <c r="O66" s="346"/>
      <c r="P66" s="346"/>
      <c r="Q66" s="346"/>
    </row>
  </sheetData>
  <mergeCells count="1">
    <mergeCell ref="A11:C11"/>
  </mergeCells>
  <phoneticPr fontId="0" type="noConversion"/>
  <pageMargins left="0.5" right="0.31" top="0.5" bottom="0.75" header="0.5" footer="0.5"/>
  <pageSetup scale="87" orientation="portrait" r:id="rId1"/>
  <headerFooter alignWithMargins="0">
    <oddHeader>&amp;RJDM-4</oddHeader>
    <oddFooter>&amp;RPage 3 of 3</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48A4-FFDA-44E1-816C-7C1F5263E832}">
  <sheetPr>
    <pageSetUpPr fitToPage="1"/>
  </sheetPr>
  <dimension ref="B1:K83"/>
  <sheetViews>
    <sheetView topLeftCell="A4" workbookViewId="0">
      <selection activeCell="H66" sqref="H66"/>
    </sheetView>
  </sheetViews>
  <sheetFormatPr defaultColWidth="9.109375" defaultRowHeight="13.2"/>
  <cols>
    <col min="1" max="1" width="1.6640625" style="434" customWidth="1"/>
    <col min="2" max="2" width="41.33203125" style="434" customWidth="1"/>
    <col min="3" max="3" width="13.44140625" style="434" bestFit="1" customWidth="1"/>
    <col min="4" max="4" width="13.88671875" style="434" bestFit="1" customWidth="1"/>
    <col min="5" max="5" width="12.6640625" style="434" customWidth="1"/>
    <col min="6" max="6" width="13.88671875" style="434" bestFit="1" customWidth="1"/>
    <col min="7" max="9" width="12.6640625" style="434" customWidth="1"/>
    <col min="10" max="10" width="11" style="434" bestFit="1" customWidth="1"/>
    <col min="11" max="11" width="10.109375" style="434" bestFit="1" customWidth="1"/>
    <col min="12" max="16384" width="9.109375" style="434"/>
  </cols>
  <sheetData>
    <row r="1" spans="2:10">
      <c r="B1" s="138" t="s">
        <v>101</v>
      </c>
      <c r="C1" s="354"/>
      <c r="D1" s="354"/>
      <c r="E1" s="354"/>
      <c r="F1" s="354"/>
      <c r="G1" s="354"/>
      <c r="H1" s="354"/>
      <c r="I1" s="354"/>
    </row>
    <row r="2" spans="2:10">
      <c r="B2" s="138" t="s">
        <v>405</v>
      </c>
      <c r="C2" s="354"/>
      <c r="D2" s="354"/>
      <c r="E2" s="354"/>
      <c r="F2" s="354"/>
      <c r="G2" s="354"/>
      <c r="H2" s="354"/>
      <c r="I2" s="354"/>
    </row>
    <row r="3" spans="2:10">
      <c r="B3" s="138" t="s">
        <v>963</v>
      </c>
      <c r="C3" s="354"/>
      <c r="D3" s="354"/>
      <c r="E3" s="354"/>
      <c r="F3" s="354"/>
      <c r="G3" s="354"/>
      <c r="H3" s="354"/>
      <c r="I3" s="354"/>
    </row>
    <row r="4" spans="2:10">
      <c r="B4" s="138" t="s">
        <v>957</v>
      </c>
      <c r="C4" s="354"/>
      <c r="D4" s="354"/>
      <c r="E4" s="354"/>
      <c r="F4" s="354"/>
      <c r="G4" s="354"/>
      <c r="H4" s="354"/>
      <c r="I4" s="354"/>
    </row>
    <row r="5" spans="2:10">
      <c r="B5" s="138"/>
      <c r="C5" s="354"/>
      <c r="D5" s="354"/>
      <c r="E5" s="354"/>
      <c r="F5" s="354"/>
      <c r="G5" s="354"/>
      <c r="H5" s="354"/>
      <c r="I5" s="354"/>
    </row>
    <row r="7" spans="2:10">
      <c r="C7" s="597" t="s">
        <v>66</v>
      </c>
      <c r="D7" s="597" t="s">
        <v>964</v>
      </c>
      <c r="E7" s="597" t="s">
        <v>965</v>
      </c>
      <c r="F7" s="597" t="s">
        <v>966</v>
      </c>
      <c r="G7" s="597" t="s">
        <v>967</v>
      </c>
      <c r="H7" s="597" t="s">
        <v>968</v>
      </c>
      <c r="I7" s="597" t="s">
        <v>969</v>
      </c>
    </row>
    <row r="8" spans="2:10">
      <c r="B8" s="434" t="s">
        <v>970</v>
      </c>
      <c r="C8" s="179">
        <f>SUM(D8:I8)</f>
        <v>1877557000.0000005</v>
      </c>
      <c r="D8" s="769">
        <v>1000841965.7402405</v>
      </c>
      <c r="E8" s="769">
        <v>232908575.8238568</v>
      </c>
      <c r="F8" s="769">
        <v>385101730.77506745</v>
      </c>
      <c r="G8" s="769">
        <v>181619969.14785999</v>
      </c>
      <c r="H8" s="769">
        <v>43824830.075690314</v>
      </c>
      <c r="I8" s="769">
        <v>33259928.437285367</v>
      </c>
      <c r="J8" s="323" t="s">
        <v>971</v>
      </c>
    </row>
    <row r="10" spans="2:10">
      <c r="B10" s="434" t="s">
        <v>972</v>
      </c>
      <c r="C10" s="179">
        <f>SUM(D10:I10)</f>
        <v>531722000</v>
      </c>
      <c r="D10" s="769">
        <v>232554000</v>
      </c>
      <c r="E10" s="769">
        <v>77796000</v>
      </c>
      <c r="F10" s="769">
        <v>133266000</v>
      </c>
      <c r="G10" s="769">
        <v>69248000</v>
      </c>
      <c r="H10" s="769">
        <v>12229000</v>
      </c>
      <c r="I10" s="769">
        <v>6629000</v>
      </c>
      <c r="J10" s="323" t="s">
        <v>971</v>
      </c>
    </row>
    <row r="11" spans="2:10">
      <c r="B11" s="434" t="s">
        <v>973</v>
      </c>
      <c r="C11" s="179">
        <f>SUM(D11:I11)</f>
        <v>70349999.99999997</v>
      </c>
      <c r="D11" s="769">
        <v>30446191.120731533</v>
      </c>
      <c r="E11" s="769">
        <v>7874369.7128811479</v>
      </c>
      <c r="F11" s="769">
        <v>16999813.033097506</v>
      </c>
      <c r="G11" s="769">
        <v>12940211.042029172</v>
      </c>
      <c r="H11" s="769">
        <v>1760704.6168661844</v>
      </c>
      <c r="I11" s="769">
        <v>328710.4743944332</v>
      </c>
      <c r="J11" s="323" t="s">
        <v>971</v>
      </c>
    </row>
    <row r="12" spans="2:10">
      <c r="B12" s="323" t="s">
        <v>974</v>
      </c>
      <c r="C12" s="770">
        <f>IF(ROUND(C10+C11,0)&lt;&gt;ROUND(SUM(D12:I12),0),#VALUE!,SUM(D12:I12))</f>
        <v>602072000</v>
      </c>
      <c r="D12" s="770">
        <f t="shared" ref="D12:I12" si="0">D10+D11</f>
        <v>263000191.12073153</v>
      </c>
      <c r="E12" s="770">
        <f t="shared" si="0"/>
        <v>85670369.712881148</v>
      </c>
      <c r="F12" s="770">
        <f t="shared" si="0"/>
        <v>150265813.03309751</v>
      </c>
      <c r="G12" s="770">
        <f t="shared" si="0"/>
        <v>82188211.042029172</v>
      </c>
      <c r="H12" s="770">
        <f t="shared" si="0"/>
        <v>13989704.616866184</v>
      </c>
      <c r="I12" s="770">
        <f t="shared" si="0"/>
        <v>6957710.4743944332</v>
      </c>
    </row>
    <row r="13" spans="2:10">
      <c r="C13" s="179"/>
      <c r="D13" s="179"/>
      <c r="E13" s="179"/>
      <c r="F13" s="179"/>
      <c r="G13" s="179"/>
      <c r="H13" s="179"/>
      <c r="I13" s="179"/>
    </row>
    <row r="14" spans="2:10">
      <c r="B14" s="434" t="s">
        <v>975</v>
      </c>
      <c r="C14" s="179">
        <f>SUM(D14:I14)</f>
        <v>462774000</v>
      </c>
      <c r="D14" s="179">
        <f t="shared" ref="D14:I14" si="1">D17-D15-D16</f>
        <v>236371685.00183433</v>
      </c>
      <c r="E14" s="179">
        <f t="shared" si="1"/>
        <v>54433435.542895444</v>
      </c>
      <c r="F14" s="179">
        <f t="shared" si="1"/>
        <v>97132838.694560021</v>
      </c>
      <c r="G14" s="179">
        <f t="shared" si="1"/>
        <v>60656523.387731299</v>
      </c>
      <c r="H14" s="179">
        <f t="shared" si="1"/>
        <v>10412527.616662934</v>
      </c>
      <c r="I14" s="179">
        <f t="shared" si="1"/>
        <v>3766989.7563160127</v>
      </c>
      <c r="J14" s="179"/>
    </row>
    <row r="15" spans="2:10">
      <c r="B15" s="434" t="s">
        <v>976</v>
      </c>
      <c r="C15" s="179">
        <f>SUM(D15:I15)</f>
        <v>24369000</v>
      </c>
      <c r="D15" s="771">
        <v>10658028.868468862</v>
      </c>
      <c r="E15" s="771">
        <v>3565417.1239858423</v>
      </c>
      <c r="F15" s="771">
        <v>6107626.0790413031</v>
      </c>
      <c r="G15" s="771">
        <v>3173659.3783969819</v>
      </c>
      <c r="H15" s="771">
        <v>560459.22681401181</v>
      </c>
      <c r="I15" s="771">
        <v>303809.32329299895</v>
      </c>
      <c r="J15" s="323" t="s">
        <v>971</v>
      </c>
    </row>
    <row r="16" spans="2:10">
      <c r="B16" s="434" t="s">
        <v>977</v>
      </c>
      <c r="C16" s="179">
        <f>SUM(D16:I16)</f>
        <v>8798000.0000000075</v>
      </c>
      <c r="D16" s="769">
        <v>-1138927.3949348109</v>
      </c>
      <c r="E16" s="769">
        <v>2817717.0383431208</v>
      </c>
      <c r="F16" s="769">
        <v>4822634.9306075666</v>
      </c>
      <c r="G16" s="769">
        <v>1782853.3342417146</v>
      </c>
      <c r="H16" s="769">
        <v>248354.60173319053</v>
      </c>
      <c r="I16" s="769">
        <v>265367.49000922567</v>
      </c>
      <c r="J16" s="323" t="s">
        <v>971</v>
      </c>
    </row>
    <row r="17" spans="2:10">
      <c r="B17" s="323" t="s">
        <v>978</v>
      </c>
      <c r="C17" s="770">
        <f>IF(ROUND(SUM(C14:C16),0)&lt;&gt;ROUND(SUM(D17:I17),0),#VALUE!,SUM(D17:I17))</f>
        <v>495941000.00000006</v>
      </c>
      <c r="D17" s="772">
        <v>245890786.47536838</v>
      </c>
      <c r="E17" s="772">
        <v>60816569.70522441</v>
      </c>
      <c r="F17" s="772">
        <v>108063099.7042089</v>
      </c>
      <c r="G17" s="772">
        <v>65613036.100369997</v>
      </c>
      <c r="H17" s="772">
        <v>11221341.445210136</v>
      </c>
      <c r="I17" s="772">
        <v>4336166.5696182372</v>
      </c>
      <c r="J17" s="323" t="s">
        <v>971</v>
      </c>
    </row>
    <row r="18" spans="2:10">
      <c r="C18" s="179"/>
      <c r="D18" s="179" t="s">
        <v>979</v>
      </c>
      <c r="E18" s="179"/>
      <c r="F18" s="179"/>
      <c r="G18" s="179"/>
      <c r="H18" s="179"/>
      <c r="I18" s="179"/>
    </row>
    <row r="19" spans="2:10">
      <c r="B19" s="117" t="s">
        <v>980</v>
      </c>
      <c r="C19" s="773">
        <f>IF(ROUND(C12-C17,0)&lt;&gt;ROUND(SUM(D19:I19),0),#VALUE!,ROUND(SUM(D19:I19),-3))</f>
        <v>106131000</v>
      </c>
      <c r="D19" s="773">
        <f t="shared" ref="D19:I19" si="2">D12-D17</f>
        <v>17109404.645363152</v>
      </c>
      <c r="E19" s="773">
        <f t="shared" si="2"/>
        <v>24853800.007656738</v>
      </c>
      <c r="F19" s="773">
        <f t="shared" si="2"/>
        <v>42202713.32888861</v>
      </c>
      <c r="G19" s="773">
        <f t="shared" si="2"/>
        <v>16575174.941659175</v>
      </c>
      <c r="H19" s="773">
        <f t="shared" si="2"/>
        <v>2768363.1716560479</v>
      </c>
      <c r="I19" s="773">
        <f t="shared" si="2"/>
        <v>2621543.904776196</v>
      </c>
    </row>
    <row r="20" spans="2:10">
      <c r="B20" s="117" t="s">
        <v>981</v>
      </c>
      <c r="C20" s="205">
        <f t="shared" ref="C20:H20" si="3">C19/C8</f>
        <v>5.6526113454877784E-2</v>
      </c>
      <c r="D20" s="205">
        <f t="shared" si="3"/>
        <v>1.709501123157714E-2</v>
      </c>
      <c r="E20" s="205">
        <f t="shared" si="3"/>
        <v>0.10671054047598949</v>
      </c>
      <c r="F20" s="205">
        <f t="shared" si="3"/>
        <v>0.10958848002046147</v>
      </c>
      <c r="G20" s="205">
        <f t="shared" si="3"/>
        <v>9.1262954285412493E-2</v>
      </c>
      <c r="H20" s="205">
        <f t="shared" si="3"/>
        <v>6.3168828421576978E-2</v>
      </c>
      <c r="I20" s="205">
        <f>I19/I8</f>
        <v>7.8819890118505709E-2</v>
      </c>
    </row>
    <row r="21" spans="2:10">
      <c r="B21" s="117" t="s">
        <v>982</v>
      </c>
      <c r="C21" s="774">
        <f t="shared" ref="C21:I21" si="4">C20/$C20</f>
        <v>1</v>
      </c>
      <c r="D21" s="774">
        <f t="shared" si="4"/>
        <v>0.30242679333018901</v>
      </c>
      <c r="E21" s="774">
        <f t="shared" si="4"/>
        <v>1.8878096149520636</v>
      </c>
      <c r="F21" s="774">
        <f t="shared" si="4"/>
        <v>1.9387230666042687</v>
      </c>
      <c r="G21" s="774">
        <f t="shared" si="4"/>
        <v>1.6145273167995804</v>
      </c>
      <c r="H21" s="774">
        <f t="shared" si="4"/>
        <v>1.1175158623279799</v>
      </c>
      <c r="I21" s="774">
        <f t="shared" si="4"/>
        <v>1.3943978331611995</v>
      </c>
    </row>
    <row r="23" spans="2:10">
      <c r="B23" s="434" t="s">
        <v>983</v>
      </c>
      <c r="C23" s="179">
        <f>SUM(D23:I23)</f>
        <v>46563000</v>
      </c>
      <c r="D23" s="769">
        <v>24820660.278629515</v>
      </c>
      <c r="E23" s="769">
        <v>5776081.373873733</v>
      </c>
      <c r="F23" s="769">
        <v>9550438.0906036254</v>
      </c>
      <c r="G23" s="769">
        <v>4504135.2264840985</v>
      </c>
      <c r="H23" s="769">
        <v>1086846.1318694281</v>
      </c>
      <c r="I23" s="769">
        <v>824838.89853960124</v>
      </c>
      <c r="J23" s="323" t="s">
        <v>971</v>
      </c>
    </row>
    <row r="25" spans="2:10">
      <c r="B25" s="434" t="s">
        <v>984</v>
      </c>
      <c r="C25" s="773">
        <v>0</v>
      </c>
    </row>
    <row r="26" spans="2:10">
      <c r="B26" s="434" t="s">
        <v>985</v>
      </c>
      <c r="C26" s="775">
        <v>44185000</v>
      </c>
      <c r="D26" s="776">
        <f>C26/C10</f>
        <v>8.3097934635016038E-2</v>
      </c>
    </row>
    <row r="27" spans="2:10">
      <c r="B27" s="434" t="s">
        <v>986</v>
      </c>
      <c r="C27" s="777">
        <f>C25+C26</f>
        <v>44185000</v>
      </c>
    </row>
    <row r="28" spans="2:10">
      <c r="C28" s="773"/>
      <c r="D28" s="281" t="s">
        <v>379</v>
      </c>
    </row>
    <row r="29" spans="2:10">
      <c r="B29" s="434" t="s">
        <v>987</v>
      </c>
      <c r="C29" s="773">
        <f>C10+C26</f>
        <v>575907000</v>
      </c>
      <c r="D29" s="179">
        <f>C29-C10</f>
        <v>44185000</v>
      </c>
      <c r="F29" s="434" t="s">
        <v>988</v>
      </c>
      <c r="G29" s="778">
        <v>3.326E-3</v>
      </c>
    </row>
    <row r="30" spans="2:10">
      <c r="B30" s="434" t="s">
        <v>989</v>
      </c>
      <c r="C30" s="773">
        <f>ROUND(C27*G29,-3)+ROUND(C27*G30,-3)+ROUND(C27*G31,-3)</f>
        <v>1941000</v>
      </c>
      <c r="F30" s="434" t="s">
        <v>990</v>
      </c>
      <c r="G30" s="778">
        <v>2E-3</v>
      </c>
    </row>
    <row r="31" spans="2:10">
      <c r="B31" s="434" t="s">
        <v>991</v>
      </c>
      <c r="C31" s="773">
        <f>ROUND(C27*G32,-3)</f>
        <v>8871000</v>
      </c>
      <c r="D31" s="179"/>
      <c r="F31" s="434" t="s">
        <v>992</v>
      </c>
      <c r="G31" s="778">
        <v>3.8605E-2</v>
      </c>
    </row>
    <row r="32" spans="2:10">
      <c r="B32" s="434" t="s">
        <v>993</v>
      </c>
      <c r="C32" s="773">
        <f>C19+C27-C30-C31</f>
        <v>139504000</v>
      </c>
      <c r="D32" s="179">
        <f>C32-C19</f>
        <v>33373000</v>
      </c>
      <c r="F32" s="434" t="s">
        <v>994</v>
      </c>
      <c r="G32" s="778">
        <v>0.20077400000000001</v>
      </c>
    </row>
    <row r="33" spans="2:11">
      <c r="B33" s="434" t="s">
        <v>995</v>
      </c>
      <c r="C33" s="205">
        <f>C32/C8</f>
        <v>7.4300806846343395E-2</v>
      </c>
      <c r="G33" s="779"/>
    </row>
    <row r="34" spans="2:11">
      <c r="C34" s="205"/>
      <c r="G34" s="779"/>
    </row>
    <row r="35" spans="2:11">
      <c r="B35" s="434" t="s">
        <v>996</v>
      </c>
      <c r="C35" s="290">
        <f>SUM(D35:I35)</f>
        <v>0</v>
      </c>
      <c r="D35" s="290">
        <v>0</v>
      </c>
      <c r="E35" s="290">
        <v>0</v>
      </c>
      <c r="F35" s="290">
        <v>0</v>
      </c>
      <c r="G35" s="290">
        <v>0</v>
      </c>
      <c r="H35" s="290">
        <v>0</v>
      </c>
      <c r="I35" s="290">
        <v>0</v>
      </c>
      <c r="J35" s="323" t="s">
        <v>971</v>
      </c>
    </row>
    <row r="36" spans="2:11">
      <c r="C36" s="290"/>
      <c r="D36" s="49"/>
      <c r="E36" s="49"/>
      <c r="F36" s="49"/>
      <c r="G36" s="49"/>
      <c r="H36" s="49"/>
      <c r="I36" s="290"/>
    </row>
    <row r="37" spans="2:11">
      <c r="B37" s="117" t="s">
        <v>997</v>
      </c>
      <c r="C37" s="780">
        <f>C38/C33</f>
        <v>1</v>
      </c>
      <c r="D37" s="780">
        <f>D39/D8/C33</f>
        <v>0.44249865451173886</v>
      </c>
      <c r="E37" s="781">
        <v>1.6969339207790481</v>
      </c>
      <c r="F37" s="781">
        <v>1.7453144007435104</v>
      </c>
      <c r="G37" s="781">
        <v>1.5390145800858599</v>
      </c>
      <c r="H37" s="781">
        <v>1.0826785912649601</v>
      </c>
      <c r="I37" s="781">
        <v>1.213704707341295</v>
      </c>
      <c r="J37" s="323" t="s">
        <v>257</v>
      </c>
      <c r="K37" s="782">
        <f>D26</f>
        <v>8.3097934635016038E-2</v>
      </c>
    </row>
    <row r="38" spans="2:11">
      <c r="B38" s="434" t="s">
        <v>998</v>
      </c>
      <c r="C38" s="776">
        <f t="shared" ref="C38:I38" si="5">C39/C8</f>
        <v>7.4300806846343395E-2</v>
      </c>
      <c r="D38" s="776">
        <f>D39/D8</f>
        <v>3.2878007058643549E-2</v>
      </c>
      <c r="E38" s="776">
        <f t="shared" si="5"/>
        <v>0.12608355947881225</v>
      </c>
      <c r="F38" s="776">
        <f t="shared" si="5"/>
        <v>0.12967826817578512</v>
      </c>
      <c r="G38" s="776">
        <f t="shared" si="5"/>
        <v>0.11435002504866575</v>
      </c>
      <c r="H38" s="776">
        <f t="shared" si="5"/>
        <v>8.0443892886248966E-2</v>
      </c>
      <c r="I38" s="776">
        <f t="shared" si="5"/>
        <v>9.0179239028663288E-2</v>
      </c>
    </row>
    <row r="39" spans="2:11">
      <c r="B39" s="434" t="s">
        <v>999</v>
      </c>
      <c r="C39" s="179">
        <f>C32</f>
        <v>139504000</v>
      </c>
      <c r="D39" s="179">
        <f>$C$32-SUM(E39:I39)</f>
        <v>32905689.214194313</v>
      </c>
      <c r="E39" s="179">
        <f>E8*E37*$C$32/$C$8</f>
        <v>29365942.273012701</v>
      </c>
      <c r="F39" s="179">
        <f>F8*F37*$C$32/$C$8</f>
        <v>49939325.518408202</v>
      </c>
      <c r="G39" s="179">
        <f>G8*G37*$C$32/$C$8</f>
        <v>20768248.021395691</v>
      </c>
      <c r="H39" s="179">
        <f>H8*H37*$C$32/$C$8</f>
        <v>3525439.9363668938</v>
      </c>
      <c r="I39" s="179">
        <f>I8*I37*$C$32/$C$8</f>
        <v>2999355.0366221927</v>
      </c>
      <c r="J39" s="783">
        <f t="shared" ref="J39:J46" si="6">ROUND(C39-SUM(D39:I39),0)</f>
        <v>0</v>
      </c>
    </row>
    <row r="40" spans="2:11">
      <c r="B40" s="434" t="s">
        <v>1000</v>
      </c>
      <c r="C40" s="179">
        <f t="shared" ref="C40:I40" si="7">C39-C23</f>
        <v>92941000</v>
      </c>
      <c r="D40" s="179">
        <f>D39-D23</f>
        <v>8085028.9355647974</v>
      </c>
      <c r="E40" s="179">
        <f t="shared" si="7"/>
        <v>23589860.899138968</v>
      </c>
      <c r="F40" s="179">
        <f t="shared" si="7"/>
        <v>40388887.427804574</v>
      </c>
      <c r="G40" s="179">
        <f t="shared" si="7"/>
        <v>16264112.794911593</v>
      </c>
      <c r="H40" s="179">
        <f t="shared" si="7"/>
        <v>2438593.8044974655</v>
      </c>
      <c r="I40" s="179">
        <f t="shared" si="7"/>
        <v>2174516.1380825914</v>
      </c>
      <c r="J40" s="783">
        <f t="shared" si="6"/>
        <v>0</v>
      </c>
    </row>
    <row r="41" spans="2:11">
      <c r="B41" s="434" t="s">
        <v>1001</v>
      </c>
      <c r="C41" s="179">
        <f>C40+C16+C31+C23</f>
        <v>157173000</v>
      </c>
      <c r="D41" s="179">
        <f t="shared" ref="D41:I41" si="8">D40+D23+D40/$C40*SUM($C$16,$C$31)</f>
        <v>34442732.889886357</v>
      </c>
      <c r="E41" s="179">
        <f t="shared" si="8"/>
        <v>33850607.299501404</v>
      </c>
      <c r="F41" s="179">
        <f t="shared" si="8"/>
        <v>57617651.036337629</v>
      </c>
      <c r="G41" s="179">
        <f t="shared" si="8"/>
        <v>23860216.140668057</v>
      </c>
      <c r="H41" s="179">
        <f t="shared" si="8"/>
        <v>3989040.6500633862</v>
      </c>
      <c r="I41" s="179">
        <f t="shared" si="8"/>
        <v>3412751.9835431566</v>
      </c>
      <c r="J41" s="783">
        <f t="shared" si="6"/>
        <v>0</v>
      </c>
    </row>
    <row r="42" spans="2:11">
      <c r="B42" s="434" t="s">
        <v>1002</v>
      </c>
      <c r="C42" s="179">
        <f t="shared" ref="C42:I42" si="9">C41-C11-$C$25*C35</f>
        <v>86823000.00000003</v>
      </c>
      <c r="D42" s="179">
        <f>D41-D11-$C$25*D35</f>
        <v>3996541.7691548243</v>
      </c>
      <c r="E42" s="179">
        <f t="shared" si="9"/>
        <v>25976237.586620256</v>
      </c>
      <c r="F42" s="179">
        <f t="shared" si="9"/>
        <v>40617838.003240123</v>
      </c>
      <c r="G42" s="179">
        <f t="shared" si="9"/>
        <v>10920005.098638885</v>
      </c>
      <c r="H42" s="179">
        <f t="shared" si="9"/>
        <v>2228336.0331972018</v>
      </c>
      <c r="I42" s="179">
        <f t="shared" si="9"/>
        <v>3084041.5091487234</v>
      </c>
      <c r="J42" s="783">
        <f t="shared" si="6"/>
        <v>0</v>
      </c>
    </row>
    <row r="43" spans="2:11">
      <c r="B43" s="434" t="str">
        <f t="shared" ref="B43:H43" si="10">B14</f>
        <v>Total Operating Exp b4 conv items &amp; taxes</v>
      </c>
      <c r="C43" s="179">
        <f t="shared" si="10"/>
        <v>462774000</v>
      </c>
      <c r="D43" s="179">
        <f>D14</f>
        <v>236371685.00183433</v>
      </c>
      <c r="E43" s="179">
        <f t="shared" si="10"/>
        <v>54433435.542895444</v>
      </c>
      <c r="F43" s="179">
        <f t="shared" si="10"/>
        <v>97132838.694560021</v>
      </c>
      <c r="G43" s="179">
        <f t="shared" si="10"/>
        <v>60656523.387731299</v>
      </c>
      <c r="H43" s="179">
        <f t="shared" si="10"/>
        <v>10412527.616662934</v>
      </c>
      <c r="I43" s="179">
        <f>I14</f>
        <v>3766989.7563160127</v>
      </c>
      <c r="J43" s="783">
        <f t="shared" si="6"/>
        <v>0</v>
      </c>
    </row>
    <row r="44" spans="2:11">
      <c r="B44" s="434" t="s">
        <v>1003</v>
      </c>
      <c r="C44" s="179">
        <f>C15+C30</f>
        <v>26310000</v>
      </c>
      <c r="D44" s="179">
        <f t="shared" ref="D44:I44" si="11">$C44*D46/$C46</f>
        <v>11506773.229010938</v>
      </c>
      <c r="E44" s="179">
        <f t="shared" si="11"/>
        <v>3849326.8704842972</v>
      </c>
      <c r="F44" s="179">
        <f t="shared" si="11"/>
        <v>6594323.3021998322</v>
      </c>
      <c r="G44" s="179">
        <f t="shared" si="11"/>
        <v>3426471.5136298039</v>
      </c>
      <c r="H44" s="179">
        <f t="shared" si="11"/>
        <v>605136.35013986647</v>
      </c>
      <c r="I44" s="179">
        <f t="shared" si="11"/>
        <v>327968.7345352635</v>
      </c>
      <c r="J44" s="783">
        <f t="shared" si="6"/>
        <v>0</v>
      </c>
    </row>
    <row r="45" spans="2:11">
      <c r="B45" s="117" t="s">
        <v>1004</v>
      </c>
      <c r="C45" s="773">
        <f>C26</f>
        <v>44185000</v>
      </c>
      <c r="D45" s="773">
        <f t="shared" ref="D45:I45" si="12">(D42-D10+D14+($C$44*D10)/$C$29)/(1-$C$44/$C$29)</f>
        <v>19321000.000000089</v>
      </c>
      <c r="E45" s="773">
        <f t="shared" si="12"/>
        <v>6462999.9999999972</v>
      </c>
      <c r="F45" s="773">
        <f t="shared" si="12"/>
        <v>11078999.99999998</v>
      </c>
      <c r="G45" s="773">
        <f t="shared" si="12"/>
        <v>5754999.9999999888</v>
      </c>
      <c r="H45" s="773">
        <f t="shared" si="12"/>
        <v>1017000.0000000027</v>
      </c>
      <c r="I45" s="773">
        <f t="shared" si="12"/>
        <v>549999.99999999965</v>
      </c>
      <c r="J45" s="783">
        <f t="shared" si="6"/>
        <v>0</v>
      </c>
    </row>
    <row r="46" spans="2:11">
      <c r="B46" s="117" t="s">
        <v>1005</v>
      </c>
      <c r="C46" s="773">
        <f>C42+C43+C44</f>
        <v>575907000</v>
      </c>
      <c r="D46" s="773">
        <f t="shared" ref="D46:I46" si="13">D10+D45</f>
        <v>251875000.00000009</v>
      </c>
      <c r="E46" s="773">
        <f t="shared" si="13"/>
        <v>84259000</v>
      </c>
      <c r="F46" s="773">
        <f t="shared" si="13"/>
        <v>144344999.99999997</v>
      </c>
      <c r="G46" s="773">
        <f t="shared" si="13"/>
        <v>75002999.999999985</v>
      </c>
      <c r="H46" s="773">
        <f t="shared" si="13"/>
        <v>13246000.000000002</v>
      </c>
      <c r="I46" s="773">
        <f t="shared" si="13"/>
        <v>7179000</v>
      </c>
      <c r="J46" s="783">
        <f t="shared" si="6"/>
        <v>0</v>
      </c>
    </row>
    <row r="47" spans="2:11">
      <c r="B47" s="117" t="s">
        <v>1006</v>
      </c>
      <c r="C47" s="205">
        <f t="shared" ref="C47:I47" si="14">C46/C10-1</f>
        <v>8.3097934635016024E-2</v>
      </c>
      <c r="D47" s="205">
        <f t="shared" si="14"/>
        <v>8.3081778855663924E-2</v>
      </c>
      <c r="E47" s="205">
        <f t="shared" si="14"/>
        <v>8.3076250706977328E-2</v>
      </c>
      <c r="F47" s="205">
        <f t="shared" si="14"/>
        <v>8.3134482913871377E-2</v>
      </c>
      <c r="G47" s="205">
        <f t="shared" si="14"/>
        <v>8.3107093345655914E-2</v>
      </c>
      <c r="H47" s="205">
        <f t="shared" si="14"/>
        <v>8.3162973260282991E-2</v>
      </c>
      <c r="I47" s="205">
        <f t="shared" si="14"/>
        <v>8.2968773570674337E-2</v>
      </c>
      <c r="J47" s="783"/>
    </row>
    <row r="48" spans="2:11">
      <c r="D48" s="179"/>
    </row>
    <row r="49" spans="2:9">
      <c r="B49" s="434" t="s">
        <v>1007</v>
      </c>
      <c r="C49" s="179">
        <f>SUM(D49:I49)</f>
        <v>44186000</v>
      </c>
      <c r="D49" s="179">
        <f>ROUND(D45,-3)+1000</f>
        <v>19322000</v>
      </c>
      <c r="E49" s="179">
        <f t="shared" ref="E49:I50" si="15">ROUND(E45,-3)</f>
        <v>6463000</v>
      </c>
      <c r="F49" s="179">
        <f t="shared" si="15"/>
        <v>11079000</v>
      </c>
      <c r="G49" s="179">
        <f t="shared" si="15"/>
        <v>5755000</v>
      </c>
      <c r="H49" s="179">
        <f t="shared" si="15"/>
        <v>1017000</v>
      </c>
      <c r="I49" s="179">
        <f t="shared" si="15"/>
        <v>550000</v>
      </c>
    </row>
    <row r="50" spans="2:9">
      <c r="B50" s="434" t="s">
        <v>1008</v>
      </c>
      <c r="C50" s="179">
        <f>SUM(D50:I50)</f>
        <v>575907000</v>
      </c>
      <c r="D50" s="179">
        <f>ROUND(D46,-3)</f>
        <v>251875000</v>
      </c>
      <c r="E50" s="179">
        <f t="shared" si="15"/>
        <v>84259000</v>
      </c>
      <c r="F50" s="179">
        <f t="shared" si="15"/>
        <v>144345000</v>
      </c>
      <c r="G50" s="179">
        <f t="shared" si="15"/>
        <v>75003000</v>
      </c>
      <c r="H50" s="179">
        <f t="shared" si="15"/>
        <v>13246000</v>
      </c>
      <c r="I50" s="179">
        <f t="shared" si="15"/>
        <v>7179000</v>
      </c>
    </row>
    <row r="51" spans="2:9">
      <c r="C51" s="179"/>
      <c r="D51" s="179"/>
      <c r="E51" s="179"/>
      <c r="F51" s="179"/>
      <c r="G51" s="179"/>
      <c r="H51" s="179"/>
      <c r="I51" s="179"/>
    </row>
    <row r="52" spans="2:9" hidden="1">
      <c r="B52" s="434" t="s">
        <v>1009</v>
      </c>
      <c r="C52" s="179">
        <f>SUM(D52:I52)</f>
        <v>0</v>
      </c>
      <c r="D52" s="771">
        <v>0</v>
      </c>
      <c r="E52" s="771">
        <v>0</v>
      </c>
      <c r="F52" s="771">
        <v>0</v>
      </c>
      <c r="G52" s="771">
        <v>0</v>
      </c>
      <c r="H52" s="771">
        <v>0</v>
      </c>
      <c r="I52" s="771">
        <v>0</v>
      </c>
    </row>
    <row r="53" spans="2:9" hidden="1">
      <c r="B53" s="434" t="s">
        <v>1010</v>
      </c>
      <c r="C53" s="179">
        <f>SUM(D53:I53)</f>
        <v>44185000.00000006</v>
      </c>
      <c r="D53" s="179">
        <f t="shared" ref="D53:I53" si="16">D45+D52</f>
        <v>19321000.000000089</v>
      </c>
      <c r="E53" s="179">
        <f t="shared" si="16"/>
        <v>6462999.9999999972</v>
      </c>
      <c r="F53" s="179">
        <f t="shared" si="16"/>
        <v>11078999.99999998</v>
      </c>
      <c r="G53" s="179">
        <f t="shared" si="16"/>
        <v>5754999.9999999888</v>
      </c>
      <c r="H53" s="179">
        <f t="shared" si="16"/>
        <v>1017000.0000000027</v>
      </c>
      <c r="I53" s="179">
        <f t="shared" si="16"/>
        <v>549999.99999999965</v>
      </c>
    </row>
    <row r="54" spans="2:9" hidden="1">
      <c r="B54" s="434" t="s">
        <v>1011</v>
      </c>
      <c r="C54" s="179">
        <f>SUM(D54:I54)</f>
        <v>481541000</v>
      </c>
      <c r="D54" s="771">
        <v>204738000</v>
      </c>
      <c r="E54" s="771">
        <v>66923000</v>
      </c>
      <c r="F54" s="771">
        <v>129127000</v>
      </c>
      <c r="G54" s="771">
        <v>62716000</v>
      </c>
      <c r="H54" s="771">
        <v>10909000</v>
      </c>
      <c r="I54" s="771">
        <v>7128000</v>
      </c>
    </row>
    <row r="55" spans="2:9" hidden="1">
      <c r="B55" s="434" t="s">
        <v>1012</v>
      </c>
      <c r="C55" s="776">
        <f t="shared" ref="C55:I55" si="17">C53/C54</f>
        <v>9.1757503514757949E-2</v>
      </c>
      <c r="D55" s="776">
        <f t="shared" si="17"/>
        <v>9.4369389170550114E-2</v>
      </c>
      <c r="E55" s="776">
        <f t="shared" si="17"/>
        <v>9.6573674222614009E-2</v>
      </c>
      <c r="F55" s="776">
        <f t="shared" si="17"/>
        <v>8.5799251899292786E-2</v>
      </c>
      <c r="G55" s="776">
        <f t="shared" si="17"/>
        <v>9.1762867529816772E-2</v>
      </c>
      <c r="H55" s="776">
        <f t="shared" si="17"/>
        <v>9.3225776881474251E-2</v>
      </c>
      <c r="I55" s="776">
        <f t="shared" si="17"/>
        <v>7.7160493827160448E-2</v>
      </c>
    </row>
    <row r="56" spans="2:9">
      <c r="B56" s="434" t="s">
        <v>1013</v>
      </c>
      <c r="C56" s="49">
        <f>SUM(D56:I56)</f>
        <v>519237979.82982826</v>
      </c>
      <c r="D56" s="49">
        <f>'[1]Exh 1'!H16*1000</f>
        <v>220074328.91999999</v>
      </c>
      <c r="E56" s="49">
        <f>'[1]Exh 1'!H18*1000</f>
        <v>78691630.798333392</v>
      </c>
      <c r="F56" s="49">
        <f>'[1]Exh 1'!H20*1000</f>
        <v>131866134.11166699</v>
      </c>
      <c r="G56" s="49">
        <f>'[1]Exh 1'!H22*1000</f>
        <v>69157140.566132009</v>
      </c>
      <c r="H56" s="49">
        <f>'[1]Exh 1'!H24*1000</f>
        <v>12658500.82</v>
      </c>
      <c r="I56" s="49">
        <f>'[1]Exh 1'!H26*1000</f>
        <v>6790244.6136959195</v>
      </c>
    </row>
    <row r="57" spans="2:9">
      <c r="B57" s="434" t="s">
        <v>1014</v>
      </c>
      <c r="C57" s="356">
        <f>C45/C56</f>
        <v>8.5095855304114912E-2</v>
      </c>
      <c r="D57" s="356">
        <f t="shared" ref="D57:I57" si="18">D45/D56</f>
        <v>8.7793065619314173E-2</v>
      </c>
      <c r="E57" s="356">
        <f t="shared" si="18"/>
        <v>8.21307162455817E-2</v>
      </c>
      <c r="F57" s="356">
        <f t="shared" si="18"/>
        <v>8.401702282875792E-2</v>
      </c>
      <c r="G57" s="356">
        <f>G45/G56</f>
        <v>8.321628038534544E-2</v>
      </c>
      <c r="H57" s="356">
        <f t="shared" si="18"/>
        <v>8.0341267458242549E-2</v>
      </c>
      <c r="I57" s="356">
        <f t="shared" si="18"/>
        <v>8.0998554734044478E-2</v>
      </c>
    </row>
    <row r="58" spans="2:9">
      <c r="C58" s="776"/>
      <c r="D58" s="776"/>
      <c r="E58" s="776"/>
      <c r="F58" s="776"/>
      <c r="G58" s="776"/>
      <c r="H58" s="776"/>
      <c r="I58" s="776"/>
    </row>
    <row r="59" spans="2:9">
      <c r="B59" s="434" t="s">
        <v>1015</v>
      </c>
      <c r="C59" s="776"/>
      <c r="D59" s="776">
        <f t="shared" ref="D59:I59" si="19">(D37-D21)/(1-D21)</f>
        <v>0.20079879766347075</v>
      </c>
      <c r="E59" s="776">
        <f t="shared" si="19"/>
        <v>0.21499620071508413</v>
      </c>
      <c r="F59" s="776">
        <f t="shared" si="19"/>
        <v>0.20603378434109826</v>
      </c>
      <c r="G59" s="776">
        <f t="shared" si="19"/>
        <v>0.12287938167986751</v>
      </c>
      <c r="H59" s="776">
        <f t="shared" si="19"/>
        <v>0.29644739333819475</v>
      </c>
      <c r="I59" s="776">
        <f t="shared" si="19"/>
        <v>0.45814938781890074</v>
      </c>
    </row>
    <row r="60" spans="2:9">
      <c r="G60" s="356"/>
    </row>
    <row r="61" spans="2:9" hidden="1">
      <c r="B61" s="434" t="s">
        <v>1016</v>
      </c>
      <c r="D61" s="784">
        <f t="shared" ref="D61:I61" si="20">(D37-D21)/(1-D21)</f>
        <v>0.20079879766347075</v>
      </c>
      <c r="E61" s="784">
        <f t="shared" si="20"/>
        <v>0.21499620071508413</v>
      </c>
      <c r="F61" s="784">
        <f t="shared" si="20"/>
        <v>0.20603378434109826</v>
      </c>
      <c r="G61" s="784">
        <f t="shared" si="20"/>
        <v>0.12287938167986751</v>
      </c>
      <c r="H61" s="784">
        <f t="shared" si="20"/>
        <v>0.29644739333819475</v>
      </c>
      <c r="I61" s="784">
        <f t="shared" si="20"/>
        <v>0.45814938781890074</v>
      </c>
    </row>
    <row r="62" spans="2:9" hidden="1">
      <c r="D62" s="785"/>
      <c r="E62" s="785"/>
      <c r="F62" s="785"/>
      <c r="G62" s="785"/>
      <c r="H62" s="785"/>
      <c r="I62" s="785"/>
    </row>
    <row r="63" spans="2:9">
      <c r="C63" s="776"/>
      <c r="D63" s="786"/>
      <c r="E63" s="786"/>
      <c r="F63" s="786"/>
      <c r="G63" s="786"/>
      <c r="H63" s="786"/>
      <c r="I63" s="786"/>
    </row>
    <row r="64" spans="2:9">
      <c r="B64" s="434" t="s">
        <v>1017</v>
      </c>
      <c r="C64" s="179">
        <f>C19</f>
        <v>106131000</v>
      </c>
      <c r="D64" s="787">
        <f>$C64*D$8/$C$8</f>
        <v>56573706.505835734</v>
      </c>
      <c r="E64" s="787">
        <f t="shared" ref="D64:I65" si="21">$C64*E$8/$C$8</f>
        <v>13165416.581633337</v>
      </c>
      <c r="F64" s="787">
        <f t="shared" si="21"/>
        <v>21768304.125461262</v>
      </c>
      <c r="G64" s="787">
        <f t="shared" si="21"/>
        <v>10266270.981723337</v>
      </c>
      <c r="H64" s="787">
        <f t="shared" si="21"/>
        <v>2477247.316999211</v>
      </c>
      <c r="I64" s="787">
        <f t="shared" si="21"/>
        <v>1880054.4883471087</v>
      </c>
    </row>
    <row r="65" spans="2:9">
      <c r="B65" s="434" t="s">
        <v>1018</v>
      </c>
      <c r="C65" s="179">
        <f>C16</f>
        <v>8798000.0000000075</v>
      </c>
      <c r="D65" s="787">
        <f t="shared" si="21"/>
        <v>4689821.7282259027</v>
      </c>
      <c r="E65" s="787">
        <f t="shared" si="21"/>
        <v>1091380.7943504741</v>
      </c>
      <c r="F65" s="787">
        <f t="shared" si="21"/>
        <v>1804539.1044634308</v>
      </c>
      <c r="G65" s="787">
        <f t="shared" si="21"/>
        <v>851048.72372070362</v>
      </c>
      <c r="H65" s="787">
        <f t="shared" si="21"/>
        <v>205357.73614645179</v>
      </c>
      <c r="I65" s="787">
        <f t="shared" si="21"/>
        <v>155851.91309304425</v>
      </c>
    </row>
    <row r="66" spans="2:9">
      <c r="B66" s="434" t="s">
        <v>1019</v>
      </c>
      <c r="C66" s="179">
        <f>SUM(D66:I66)</f>
        <v>462774000</v>
      </c>
      <c r="D66" s="787">
        <f t="shared" ref="D66:I66" si="22">D14</f>
        <v>236371685.00183433</v>
      </c>
      <c r="E66" s="787">
        <f t="shared" si="22"/>
        <v>54433435.542895444</v>
      </c>
      <c r="F66" s="787">
        <f t="shared" si="22"/>
        <v>97132838.694560021</v>
      </c>
      <c r="G66" s="787">
        <f t="shared" si="22"/>
        <v>60656523.387731299</v>
      </c>
      <c r="H66" s="787">
        <f t="shared" si="22"/>
        <v>10412527.616662934</v>
      </c>
      <c r="I66" s="787">
        <f t="shared" si="22"/>
        <v>3766989.7563160127</v>
      </c>
    </row>
    <row r="67" spans="2:9">
      <c r="B67" s="434" t="s">
        <v>1020</v>
      </c>
      <c r="C67" s="179">
        <f>SUM(D67:I67)</f>
        <v>-70349999.99999997</v>
      </c>
      <c r="D67" s="787">
        <f t="shared" ref="D67:I67" si="23">-D11</f>
        <v>-30446191.120731533</v>
      </c>
      <c r="E67" s="787">
        <f t="shared" si="23"/>
        <v>-7874369.7128811479</v>
      </c>
      <c r="F67" s="787">
        <f t="shared" si="23"/>
        <v>-16999813.033097506</v>
      </c>
      <c r="G67" s="787">
        <f t="shared" si="23"/>
        <v>-12940211.042029172</v>
      </c>
      <c r="H67" s="787">
        <f t="shared" si="23"/>
        <v>-1760704.6168661844</v>
      </c>
      <c r="I67" s="787">
        <f t="shared" si="23"/>
        <v>-328710.4743944332</v>
      </c>
    </row>
    <row r="68" spans="2:9">
      <c r="B68" s="434" t="s">
        <v>1021</v>
      </c>
      <c r="C68" s="179">
        <f>C15</f>
        <v>24369000</v>
      </c>
      <c r="D68" s="787">
        <f t="shared" ref="D68:I68" si="24">$C68*SUM(D64:D67)/SUM($C$64:$C$67)</f>
        <v>12833528.686978186</v>
      </c>
      <c r="E68" s="787">
        <f t="shared" si="24"/>
        <v>2921086.0494901342</v>
      </c>
      <c r="F68" s="787">
        <f t="shared" si="24"/>
        <v>4981163.6454583202</v>
      </c>
      <c r="G68" s="787">
        <f t="shared" si="24"/>
        <v>2825876.2231708122</v>
      </c>
      <c r="H68" s="787">
        <f t="shared" si="24"/>
        <v>544411.2427090283</v>
      </c>
      <c r="I68" s="787">
        <f t="shared" si="24"/>
        <v>262934.15219352616</v>
      </c>
    </row>
    <row r="69" spans="2:9">
      <c r="B69" s="434" t="s">
        <v>1022</v>
      </c>
      <c r="C69" s="770">
        <f>SUM(C64:C68)</f>
        <v>531722000</v>
      </c>
      <c r="D69" s="770">
        <f t="shared" ref="D69:I69" si="25">SUM(D64:D68)</f>
        <v>280022550.80214262</v>
      </c>
      <c r="E69" s="770">
        <f t="shared" si="25"/>
        <v>63736949.255488239</v>
      </c>
      <c r="F69" s="770">
        <f t="shared" si="25"/>
        <v>108687032.53684554</v>
      </c>
      <c r="G69" s="770">
        <f t="shared" si="25"/>
        <v>61659508.274316974</v>
      </c>
      <c r="H69" s="770">
        <f t="shared" si="25"/>
        <v>11878839.29565144</v>
      </c>
      <c r="I69" s="770">
        <f t="shared" si="25"/>
        <v>5737119.8355552582</v>
      </c>
    </row>
    <row r="70" spans="2:9">
      <c r="C70" s="784"/>
      <c r="D70" s="784"/>
      <c r="E70" s="784"/>
      <c r="F70" s="784"/>
      <c r="G70" s="784"/>
      <c r="H70" s="784"/>
      <c r="I70" s="784"/>
    </row>
    <row r="71" spans="2:9">
      <c r="B71" s="434" t="s">
        <v>1023</v>
      </c>
      <c r="C71" s="179">
        <f>C32</f>
        <v>139504000</v>
      </c>
      <c r="D71" s="787">
        <f>$C71*D$8/$C$8</f>
        <v>74363365.580180243</v>
      </c>
      <c r="E71" s="787">
        <f>$C71*E$8/$C$8</f>
        <v>17305295.105145309</v>
      </c>
      <c r="F71" s="787">
        <f t="shared" ref="D71:I72" si="26">$C71*F$8/$C$8</f>
        <v>28613369.314510822</v>
      </c>
      <c r="G71" s="787">
        <f t="shared" si="26"/>
        <v>13494510.247093992</v>
      </c>
      <c r="H71" s="787">
        <f t="shared" si="26"/>
        <v>3256220.2345276871</v>
      </c>
      <c r="I71" s="787">
        <f t="shared" si="26"/>
        <v>2471239.5185419442</v>
      </c>
    </row>
    <row r="72" spans="2:9">
      <c r="B72" s="434" t="s">
        <v>1024</v>
      </c>
      <c r="C72" s="179">
        <f>C16+C31</f>
        <v>17669000.000000007</v>
      </c>
      <c r="D72" s="787">
        <f t="shared" si="26"/>
        <v>9418556.5032988675</v>
      </c>
      <c r="E72" s="787">
        <f t="shared" si="26"/>
        <v>2191817.1465535942</v>
      </c>
      <c r="F72" s="787">
        <f t="shared" si="26"/>
        <v>3624051.0839695777</v>
      </c>
      <c r="G72" s="787">
        <f t="shared" si="26"/>
        <v>1709158.8883179252</v>
      </c>
      <c r="H72" s="787">
        <f t="shared" si="26"/>
        <v>412419.39531389583</v>
      </c>
      <c r="I72" s="787">
        <f t="shared" si="26"/>
        <v>312996.98254614649</v>
      </c>
    </row>
    <row r="73" spans="2:9">
      <c r="B73" s="434" t="s">
        <v>1019</v>
      </c>
      <c r="C73" s="179">
        <f>SUM(D73:I73)</f>
        <v>462774000</v>
      </c>
      <c r="D73" s="787">
        <f t="shared" ref="D73:I73" si="27">D14</f>
        <v>236371685.00183433</v>
      </c>
      <c r="E73" s="787">
        <f t="shared" si="27"/>
        <v>54433435.542895444</v>
      </c>
      <c r="F73" s="787">
        <f t="shared" si="27"/>
        <v>97132838.694560021</v>
      </c>
      <c r="G73" s="787">
        <f t="shared" si="27"/>
        <v>60656523.387731299</v>
      </c>
      <c r="H73" s="787">
        <f t="shared" si="27"/>
        <v>10412527.616662934</v>
      </c>
      <c r="I73" s="787">
        <f t="shared" si="27"/>
        <v>3766989.7563160127</v>
      </c>
    </row>
    <row r="74" spans="2:9">
      <c r="B74" s="434" t="s">
        <v>1020</v>
      </c>
      <c r="C74" s="179">
        <f>SUM(D74:I74)</f>
        <v>-70349999.99999997</v>
      </c>
      <c r="D74" s="787">
        <f t="shared" ref="D74:I74" si="28">-D11-$C$25*D35</f>
        <v>-30446191.120731533</v>
      </c>
      <c r="E74" s="787">
        <f t="shared" si="28"/>
        <v>-7874369.7128811479</v>
      </c>
      <c r="F74" s="787">
        <f t="shared" si="28"/>
        <v>-16999813.033097506</v>
      </c>
      <c r="G74" s="787">
        <f t="shared" si="28"/>
        <v>-12940211.042029172</v>
      </c>
      <c r="H74" s="787">
        <f t="shared" si="28"/>
        <v>-1760704.6168661844</v>
      </c>
      <c r="I74" s="787">
        <f t="shared" si="28"/>
        <v>-328710.4743944332</v>
      </c>
    </row>
    <row r="75" spans="2:9">
      <c r="B75" s="434" t="s">
        <v>1025</v>
      </c>
      <c r="C75" s="179">
        <f>C15+C30</f>
        <v>26310000</v>
      </c>
      <c r="D75" s="787">
        <f t="shared" ref="D75:I75" si="29">$C75*SUM(D71:D74)/SUM($C$71:$C$74)</f>
        <v>13868711.281226335</v>
      </c>
      <c r="E75" s="787">
        <f t="shared" si="29"/>
        <v>3162204.3885426489</v>
      </c>
      <c r="F75" s="787">
        <f t="shared" si="29"/>
        <v>5379335.1052445667</v>
      </c>
      <c r="G75" s="787">
        <f t="shared" si="29"/>
        <v>3012070.1400628285</v>
      </c>
      <c r="H75" s="787">
        <f t="shared" si="29"/>
        <v>589798.29181342793</v>
      </c>
      <c r="I75" s="787">
        <f t="shared" si="29"/>
        <v>297880.79311019607</v>
      </c>
    </row>
    <row r="76" spans="2:9">
      <c r="B76" s="434" t="s">
        <v>1026</v>
      </c>
      <c r="C76" s="770">
        <f>SUM(C71:C75)</f>
        <v>575907000</v>
      </c>
      <c r="D76" s="770">
        <f t="shared" ref="D76:I76" si="30">SUM(D71:D75)</f>
        <v>303576127.24580824</v>
      </c>
      <c r="E76" s="770">
        <f t="shared" si="30"/>
        <v>69218382.470255852</v>
      </c>
      <c r="F76" s="770">
        <f t="shared" si="30"/>
        <v>117749781.16518748</v>
      </c>
      <c r="G76" s="770">
        <f t="shared" si="30"/>
        <v>65932051.621176876</v>
      </c>
      <c r="H76" s="770">
        <f t="shared" si="30"/>
        <v>12910260.92145176</v>
      </c>
      <c r="I76" s="770">
        <f t="shared" si="30"/>
        <v>6520396.5761198672</v>
      </c>
    </row>
    <row r="77" spans="2:9">
      <c r="C77" s="784"/>
      <c r="D77" s="784"/>
      <c r="E77" s="784"/>
      <c r="F77" s="784"/>
      <c r="G77" s="784"/>
      <c r="H77" s="784"/>
      <c r="I77" s="784"/>
    </row>
    <row r="78" spans="2:9">
      <c r="B78" s="434" t="s">
        <v>1027</v>
      </c>
      <c r="C78" s="179">
        <f>SUM(D78:I78)</f>
        <v>44182000</v>
      </c>
      <c r="D78" s="389">
        <f>ROUND(D76-D10,-3)-2000</f>
        <v>71020000</v>
      </c>
      <c r="E78" s="389">
        <f>ROUND(E76-E10,-3)</f>
        <v>-8578000</v>
      </c>
      <c r="F78" s="389">
        <f>ROUND(F76-F10,-3)</f>
        <v>-15516000</v>
      </c>
      <c r="G78" s="389">
        <f>ROUND(G76-G10,-3)</f>
        <v>-3316000</v>
      </c>
      <c r="H78" s="389">
        <f>ROUND(H76-H10,-3)</f>
        <v>681000</v>
      </c>
      <c r="I78" s="389">
        <f>ROUND(I76-I10,-3)</f>
        <v>-109000</v>
      </c>
    </row>
    <row r="79" spans="2:9">
      <c r="C79" s="784"/>
      <c r="D79" s="784"/>
      <c r="E79" s="784"/>
      <c r="F79" s="784"/>
      <c r="G79" s="784"/>
      <c r="H79" s="784"/>
      <c r="I79" s="784"/>
    </row>
    <row r="80" spans="2:9">
      <c r="B80" s="117" t="s">
        <v>1028</v>
      </c>
      <c r="C80" s="788">
        <f t="shared" ref="C80:I80" si="31">C10/C69</f>
        <v>1</v>
      </c>
      <c r="D80" s="788">
        <f t="shared" si="31"/>
        <v>0.83048311407004216</v>
      </c>
      <c r="E80" s="788">
        <f t="shared" si="31"/>
        <v>1.2205792857790596</v>
      </c>
      <c r="F80" s="788">
        <f t="shared" si="31"/>
        <v>1.2261444340641285</v>
      </c>
      <c r="G80" s="788">
        <f t="shared" si="31"/>
        <v>1.1230709089005801</v>
      </c>
      <c r="H80" s="788">
        <f t="shared" si="31"/>
        <v>1.0294776868036886</v>
      </c>
      <c r="I80" s="788">
        <f t="shared" si="31"/>
        <v>1.1554578237877129</v>
      </c>
    </row>
    <row r="81" spans="2:9">
      <c r="B81" s="117" t="s">
        <v>1029</v>
      </c>
      <c r="C81" s="788">
        <f t="shared" ref="C81:I81" si="32">C46/C76</f>
        <v>1</v>
      </c>
      <c r="D81" s="788">
        <f t="shared" si="32"/>
        <v>0.82969304037551905</v>
      </c>
      <c r="E81" s="788">
        <f t="shared" si="32"/>
        <v>1.2172922422191434</v>
      </c>
      <c r="F81" s="788">
        <f t="shared" si="32"/>
        <v>1.225862150839184</v>
      </c>
      <c r="G81" s="788">
        <f t="shared" si="32"/>
        <v>1.1375802535456001</v>
      </c>
      <c r="H81" s="788">
        <f t="shared" si="32"/>
        <v>1.0260055997776447</v>
      </c>
      <c r="I81" s="788">
        <f t="shared" si="32"/>
        <v>1.1010066513886878</v>
      </c>
    </row>
    <row r="82" spans="2:9">
      <c r="B82" s="434" t="s">
        <v>1030</v>
      </c>
      <c r="C82" s="789">
        <f t="shared" ref="C82:I82" si="33">C81-C80</f>
        <v>0</v>
      </c>
      <c r="D82" s="789">
        <f t="shared" si="33"/>
        <v>-7.9007369452310794E-4</v>
      </c>
      <c r="E82" s="789">
        <f t="shared" si="33"/>
        <v>-3.2870435599161585E-3</v>
      </c>
      <c r="F82" s="789">
        <f t="shared" si="33"/>
        <v>-2.8228322494450175E-4</v>
      </c>
      <c r="G82" s="789">
        <f t="shared" si="33"/>
        <v>1.4509344645019961E-2</v>
      </c>
      <c r="H82" s="789">
        <f t="shared" si="33"/>
        <v>-3.4720870260438463E-3</v>
      </c>
      <c r="I82" s="789">
        <f t="shared" si="33"/>
        <v>-5.4451172399025083E-2</v>
      </c>
    </row>
    <row r="83" spans="2:9">
      <c r="C83" s="784" t="e">
        <f t="shared" ref="C83:I83" si="34">C82/(1-C80)</f>
        <v>#DIV/0!</v>
      </c>
      <c r="D83" s="784">
        <f t="shared" si="34"/>
        <v>-4.6607374255893067E-3</v>
      </c>
      <c r="E83" s="784">
        <f t="shared" si="34"/>
        <v>1.4901868724013292E-2</v>
      </c>
      <c r="F83" s="784">
        <f t="shared" si="34"/>
        <v>1.2482430801920765E-3</v>
      </c>
      <c r="G83" s="784">
        <f t="shared" si="34"/>
        <v>-0.11789418616174342</v>
      </c>
      <c r="H83" s="784">
        <f t="shared" si="34"/>
        <v>0.11778695693345184</v>
      </c>
      <c r="I83" s="784">
        <f t="shared" si="34"/>
        <v>0.35026331304741193</v>
      </c>
    </row>
  </sheetData>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R31"/>
  <sheetViews>
    <sheetView zoomScale="90" zoomScaleNormal="90" workbookViewId="0">
      <selection activeCell="H66" sqref="H66"/>
    </sheetView>
  </sheetViews>
  <sheetFormatPr defaultRowHeight="13.2"/>
  <cols>
    <col min="1" max="1" width="3.6640625" bestFit="1" customWidth="1"/>
    <col min="2" max="2" width="24.5546875" bestFit="1" customWidth="1"/>
    <col min="3" max="3" width="8.6640625" bestFit="1" customWidth="1"/>
    <col min="4" max="4" width="15" bestFit="1" customWidth="1"/>
    <col min="5" max="6" width="12.6640625" style="667" customWidth="1"/>
    <col min="7" max="7" width="10.6640625" bestFit="1" customWidth="1"/>
    <col min="8" max="8" width="13.44140625" bestFit="1" customWidth="1"/>
    <col min="9" max="9" width="4.5546875" customWidth="1"/>
    <col min="10" max="10" width="13.5546875" bestFit="1" customWidth="1"/>
    <col min="11" max="11" width="15" style="669" bestFit="1" customWidth="1"/>
    <col min="14" max="15" width="9.33203125" style="720"/>
  </cols>
  <sheetData>
    <row r="3" spans="1:18">
      <c r="A3" s="117" t="s">
        <v>524</v>
      </c>
    </row>
    <row r="4" spans="1:18">
      <c r="A4" s="117" t="s">
        <v>762</v>
      </c>
    </row>
    <row r="5" spans="1:18">
      <c r="A5" s="117" t="s">
        <v>763</v>
      </c>
    </row>
    <row r="6" spans="1:18" ht="15.6">
      <c r="A6" s="610"/>
      <c r="B6" s="584"/>
      <c r="C6" s="434"/>
      <c r="D6" s="362"/>
      <c r="E6" s="362"/>
      <c r="F6" s="362"/>
      <c r="G6" s="668"/>
    </row>
    <row r="7" spans="1:18" ht="15.6">
      <c r="A7" s="610"/>
      <c r="B7" s="584"/>
      <c r="C7" s="434"/>
      <c r="D7" s="362"/>
      <c r="E7" s="362"/>
      <c r="F7" s="362"/>
      <c r="G7" s="668"/>
    </row>
    <row r="8" spans="1:18" ht="15.6">
      <c r="A8" s="610"/>
      <c r="B8" s="584"/>
      <c r="C8" s="434"/>
      <c r="D8" s="362"/>
      <c r="E8" s="362"/>
      <c r="F8" s="362"/>
      <c r="G8" s="668"/>
      <c r="R8" s="597" t="s">
        <v>877</v>
      </c>
    </row>
    <row r="9" spans="1:18">
      <c r="A9" s="584"/>
      <c r="B9" s="584"/>
      <c r="C9" s="363"/>
      <c r="D9" s="362" t="s">
        <v>229</v>
      </c>
      <c r="E9" s="362"/>
      <c r="F9" s="202" t="s">
        <v>283</v>
      </c>
      <c r="G9" s="364"/>
      <c r="J9" s="584" t="s">
        <v>759</v>
      </c>
      <c r="K9" s="584"/>
      <c r="L9" s="597" t="s">
        <v>315</v>
      </c>
      <c r="R9" s="597" t="s">
        <v>315</v>
      </c>
    </row>
    <row r="10" spans="1:18">
      <c r="A10" s="584"/>
      <c r="B10" s="584"/>
      <c r="C10" s="363"/>
      <c r="D10" s="584" t="s">
        <v>106</v>
      </c>
      <c r="E10" s="584" t="s">
        <v>761</v>
      </c>
      <c r="F10" s="200" t="s">
        <v>285</v>
      </c>
      <c r="G10" s="362" t="s">
        <v>286</v>
      </c>
      <c r="H10" s="584" t="s">
        <v>286</v>
      </c>
      <c r="J10" s="584" t="s">
        <v>106</v>
      </c>
      <c r="K10" s="362" t="s">
        <v>1031</v>
      </c>
      <c r="L10" s="597" t="s">
        <v>292</v>
      </c>
      <c r="R10" s="597" t="s">
        <v>292</v>
      </c>
    </row>
    <row r="11" spans="1:18">
      <c r="A11" s="584"/>
      <c r="B11" s="584" t="s">
        <v>287</v>
      </c>
      <c r="C11" s="584" t="s">
        <v>311</v>
      </c>
      <c r="D11" s="362" t="s">
        <v>312</v>
      </c>
      <c r="E11" s="362" t="s">
        <v>764</v>
      </c>
      <c r="F11" s="201" t="s">
        <v>315</v>
      </c>
      <c r="G11" s="362" t="s">
        <v>313</v>
      </c>
      <c r="H11" s="362" t="s">
        <v>229</v>
      </c>
      <c r="J11" s="584" t="s">
        <v>316</v>
      </c>
      <c r="K11" s="362" t="s">
        <v>1056</v>
      </c>
      <c r="L11" s="597" t="s">
        <v>317</v>
      </c>
      <c r="R11" s="597" t="s">
        <v>317</v>
      </c>
    </row>
    <row r="12" spans="1:18">
      <c r="A12" s="349" t="s">
        <v>289</v>
      </c>
      <c r="B12" s="349" t="s">
        <v>290</v>
      </c>
      <c r="C12" s="349" t="s">
        <v>291</v>
      </c>
      <c r="D12" s="365" t="s">
        <v>318</v>
      </c>
      <c r="E12" s="365" t="s">
        <v>292</v>
      </c>
      <c r="F12" s="203" t="s">
        <v>292</v>
      </c>
      <c r="G12" s="365" t="s">
        <v>292</v>
      </c>
      <c r="H12" s="672" t="s">
        <v>106</v>
      </c>
      <c r="J12" s="349" t="s">
        <v>441</v>
      </c>
      <c r="K12" s="365" t="s">
        <v>1055</v>
      </c>
      <c r="L12" s="204" t="s">
        <v>106</v>
      </c>
      <c r="O12" s="117" t="s">
        <v>767</v>
      </c>
      <c r="P12" s="117" t="s">
        <v>577</v>
      </c>
      <c r="R12" s="204" t="s">
        <v>106</v>
      </c>
    </row>
    <row r="13" spans="1:18">
      <c r="A13" s="584"/>
      <c r="B13" s="584" t="s">
        <v>293</v>
      </c>
      <c r="C13" s="584" t="s">
        <v>294</v>
      </c>
      <c r="D13" s="362" t="s">
        <v>295</v>
      </c>
      <c r="E13" s="362" t="s">
        <v>296</v>
      </c>
      <c r="F13" s="362" t="s">
        <v>297</v>
      </c>
      <c r="G13" s="584" t="s">
        <v>298</v>
      </c>
      <c r="H13" s="362" t="s">
        <v>299</v>
      </c>
      <c r="J13" s="584" t="s">
        <v>319</v>
      </c>
      <c r="K13" s="584" t="s">
        <v>320</v>
      </c>
      <c r="L13" s="597" t="s">
        <v>380</v>
      </c>
      <c r="O13" s="117"/>
      <c r="P13" s="117"/>
      <c r="R13" s="597" t="s">
        <v>380</v>
      </c>
    </row>
    <row r="14" spans="1:18">
      <c r="A14" s="584"/>
      <c r="B14" s="434"/>
      <c r="C14" s="584"/>
      <c r="D14" s="366" t="str">
        <f>IF(Base1_Billing2&lt;&gt;1,"ERROR","")</f>
        <v/>
      </c>
      <c r="E14" s="366"/>
      <c r="F14" s="366"/>
      <c r="G14" s="367"/>
      <c r="J14" s="434"/>
      <c r="K14" s="434"/>
      <c r="L14" s="434"/>
      <c r="O14" s="117"/>
      <c r="P14" s="117"/>
      <c r="R14" s="434"/>
    </row>
    <row r="15" spans="1:18">
      <c r="A15" s="584">
        <v>1</v>
      </c>
      <c r="B15" s="434" t="s">
        <v>300</v>
      </c>
      <c r="C15" s="401" t="s">
        <v>700</v>
      </c>
      <c r="D15" s="362">
        <f ca="1">'Pres &amp; Prop Rev'!$D$152/1000</f>
        <v>232554.03877000001</v>
      </c>
      <c r="E15" s="671">
        <v>1</v>
      </c>
      <c r="F15" s="670">
        <f ca="1">E15*$E$30</f>
        <v>8.3094136695362891E-2</v>
      </c>
      <c r="G15" s="362">
        <f ca="1">F15*D15</f>
        <v>19323.877086613102</v>
      </c>
      <c r="H15" s="230">
        <f ca="1">D15+G15+0.3</f>
        <v>251878.2158566131</v>
      </c>
      <c r="J15" s="656">
        <f>'Exh 1'!H16+'Exh 1'!I16</f>
        <v>226547.09922999999</v>
      </c>
      <c r="K15" s="350">
        <f ca="1">'Exh 1'!M16</f>
        <v>-19320.788459999978</v>
      </c>
      <c r="L15" s="344">
        <f ca="1">(G15+K15)/J15</f>
        <v>1.3633485591391649E-5</v>
      </c>
      <c r="O15" s="519">
        <f ca="1">G15/J15</f>
        <v>8.5297393576400204E-2</v>
      </c>
      <c r="P15" s="519">
        <f ca="1">K15/J15</f>
        <v>-8.5283760090808819E-2</v>
      </c>
      <c r="R15" s="344">
        <v>9.8404886883521475E-2</v>
      </c>
    </row>
    <row r="16" spans="1:18">
      <c r="A16" s="584"/>
      <c r="B16" s="434"/>
      <c r="C16" s="584"/>
      <c r="D16" s="362"/>
      <c r="E16" s="671"/>
      <c r="F16" s="670"/>
      <c r="G16" s="362"/>
      <c r="H16" s="230"/>
      <c r="J16" s="656"/>
      <c r="K16" s="350"/>
      <c r="L16" s="344"/>
      <c r="O16" s="519"/>
      <c r="P16" s="519"/>
      <c r="R16" s="344"/>
    </row>
    <row r="17" spans="1:18">
      <c r="A17" s="584">
        <v>2</v>
      </c>
      <c r="B17" s="434" t="s">
        <v>301</v>
      </c>
      <c r="C17" s="401" t="s">
        <v>466</v>
      </c>
      <c r="D17" s="362">
        <f ca="1">'Pres &amp; Prop Rev'!$E$152/1000</f>
        <v>77795.989848461526</v>
      </c>
      <c r="E17" s="671">
        <v>1</v>
      </c>
      <c r="F17" s="670">
        <f ca="1">E17*$E$30</f>
        <v>8.3094136695362891E-2</v>
      </c>
      <c r="G17" s="362">
        <f ca="1">F17*D17</f>
        <v>6464.3906148191263</v>
      </c>
      <c r="H17" s="230">
        <f t="shared" ref="H17:H25" ca="1" si="0">D17+G17</f>
        <v>84260.380463280657</v>
      </c>
      <c r="J17" s="656">
        <f>'Exh 1'!H18+'Exh 1'!I18</f>
        <v>80210.932918461505</v>
      </c>
      <c r="K17" s="350">
        <f ca="1">'Exh 1'!M18</f>
        <v>-6463.0706715384722</v>
      </c>
      <c r="L17" s="344">
        <f t="shared" ref="L17:L27" ca="1" si="1">(G17+K17)/J17</f>
        <v>1.6455902364281249E-5</v>
      </c>
      <c r="O17" s="519">
        <f t="shared" ref="O17:O27" ca="1" si="2">G17/J17</f>
        <v>8.0592387840576651E-2</v>
      </c>
      <c r="P17" s="519">
        <f t="shared" ref="P17:P27" ca="1" si="3">K17/J17</f>
        <v>-8.0575931938212372E-2</v>
      </c>
      <c r="R17" s="344">
        <v>6.957981716792333E-2</v>
      </c>
    </row>
    <row r="18" spans="1:18">
      <c r="A18" s="584"/>
      <c r="B18" s="434"/>
      <c r="C18" s="584"/>
      <c r="D18" s="362"/>
      <c r="E18" s="671"/>
      <c r="F18" s="670"/>
      <c r="G18" s="362"/>
      <c r="H18" s="230"/>
      <c r="J18" s="656"/>
      <c r="K18" s="350"/>
      <c r="L18" s="344"/>
      <c r="O18" s="519"/>
      <c r="P18" s="519"/>
      <c r="R18" s="344"/>
    </row>
    <row r="19" spans="1:18">
      <c r="A19" s="584">
        <v>3</v>
      </c>
      <c r="B19" s="434" t="s">
        <v>302</v>
      </c>
      <c r="C19" s="402" t="s">
        <v>467</v>
      </c>
      <c r="D19" s="362">
        <f ca="1">'Pres &amp; Prop Rev'!$F$152/1000</f>
        <v>133265.83332076925</v>
      </c>
      <c r="E19" s="671">
        <v>1</v>
      </c>
      <c r="F19" s="670">
        <f t="shared" ref="F19:F25" ca="1" si="4">E19*$E$30</f>
        <v>8.3094136695362891E-2</v>
      </c>
      <c r="G19" s="362">
        <f ca="1">F19*D19+0.1</f>
        <v>11073.709370777447</v>
      </c>
      <c r="H19" s="230">
        <f ca="1">D19+G19-0.2</f>
        <v>144339.34269154668</v>
      </c>
      <c r="J19" s="656">
        <f>'Exh 1'!H20+'Exh 1'!I20</f>
        <v>137183.07969076899</v>
      </c>
      <c r="K19" s="350">
        <f ca="1">'Exh 1'!M20</f>
        <v>-11078.780579230755</v>
      </c>
      <c r="L19" s="344">
        <f t="shared" ca="1" si="1"/>
        <v>-3.6966719691227035E-5</v>
      </c>
      <c r="O19" s="519">
        <f t="shared" ca="1" si="2"/>
        <v>8.0722122551405248E-2</v>
      </c>
      <c r="P19" s="519">
        <f t="shared" ca="1" si="3"/>
        <v>-8.0759089271096471E-2</v>
      </c>
      <c r="R19" s="344">
        <v>8.6903048712787437E-2</v>
      </c>
    </row>
    <row r="20" spans="1:18">
      <c r="A20" s="584"/>
      <c r="B20" s="434"/>
      <c r="C20" s="584"/>
      <c r="D20" s="362"/>
      <c r="E20" s="671"/>
      <c r="F20" s="670"/>
      <c r="G20" s="362"/>
      <c r="H20" s="230"/>
      <c r="J20" s="656"/>
      <c r="K20" s="350"/>
      <c r="L20" s="344"/>
      <c r="O20" s="519"/>
      <c r="P20" s="519"/>
      <c r="R20" s="344"/>
    </row>
    <row r="21" spans="1:18">
      <c r="A21" s="584">
        <v>4</v>
      </c>
      <c r="B21" s="434" t="s">
        <v>321</v>
      </c>
      <c r="C21" s="584">
        <v>25</v>
      </c>
      <c r="D21" s="362">
        <f ca="1">'Pres &amp; Prop Rev'!$G$152/1000</f>
        <v>69248.167057399987</v>
      </c>
      <c r="E21" s="671">
        <v>1</v>
      </c>
      <c r="F21" s="670">
        <f t="shared" ca="1" si="4"/>
        <v>8.3094136695362891E-2</v>
      </c>
      <c r="G21" s="362">
        <f t="shared" ref="G21:G25" ca="1" si="5">F21*D21</f>
        <v>5754.1166593709204</v>
      </c>
      <c r="H21" s="230">
        <f ca="1">D21+G21+0.2</f>
        <v>75002.483716770905</v>
      </c>
      <c r="J21" s="656">
        <f>'Exh 1'!H22+'Exh 1'!I22</f>
        <v>66850.242767399992</v>
      </c>
      <c r="K21" s="350">
        <f ca="1">'Exh 1'!M22</f>
        <v>-5755.2454135000107</v>
      </c>
      <c r="L21" s="344">
        <f t="shared" ca="1" si="1"/>
        <v>-1.6884817202799811E-5</v>
      </c>
      <c r="O21" s="519">
        <f t="shared" ca="1" si="2"/>
        <v>8.6074730938403676E-2</v>
      </c>
      <c r="P21" s="519">
        <f t="shared" ca="1" si="3"/>
        <v>-8.6091615755606477E-2</v>
      </c>
      <c r="R21" s="344">
        <v>8.7999674312818896E-2</v>
      </c>
    </row>
    <row r="22" spans="1:18">
      <c r="A22" s="584"/>
      <c r="B22" s="434"/>
      <c r="C22" s="584"/>
      <c r="D22" s="362"/>
      <c r="E22" s="671"/>
      <c r="F22" s="670"/>
      <c r="G22" s="362"/>
      <c r="H22" s="230"/>
      <c r="J22" s="656"/>
      <c r="K22" s="350"/>
      <c r="L22" s="344"/>
      <c r="O22" s="519"/>
      <c r="P22" s="519"/>
      <c r="R22" s="344"/>
    </row>
    <row r="23" spans="1:18">
      <c r="A23" s="584">
        <v>5</v>
      </c>
      <c r="B23" s="434" t="s">
        <v>303</v>
      </c>
      <c r="C23" s="402" t="s">
        <v>468</v>
      </c>
      <c r="D23" s="362">
        <f ca="1">'Pres &amp; Prop Rev'!$H$152/1000</f>
        <v>12229.340050000001</v>
      </c>
      <c r="E23" s="671">
        <v>1</v>
      </c>
      <c r="F23" s="670">
        <f t="shared" ca="1" si="4"/>
        <v>8.3094136695362891E-2</v>
      </c>
      <c r="G23" s="362">
        <f ca="1">F23*D23+0.1</f>
        <v>1016.2864538087762</v>
      </c>
      <c r="H23" s="230">
        <f t="shared" ca="1" si="0"/>
        <v>13245.626503808777</v>
      </c>
      <c r="J23" s="656">
        <f>'Exh 1'!H24+'Exh 1'!I24</f>
        <v>12561.94491</v>
      </c>
      <c r="K23" s="350">
        <f ca="1">'Exh 1'!M24</f>
        <v>-1016.6865499999989</v>
      </c>
      <c r="L23" s="344">
        <f t="shared" ca="1" si="1"/>
        <v>-3.1849860359139339E-5</v>
      </c>
      <c r="O23" s="519">
        <f t="shared" ca="1" si="2"/>
        <v>8.0901998941243267E-2</v>
      </c>
      <c r="P23" s="519">
        <f t="shared" ca="1" si="3"/>
        <v>-8.0933848801602398E-2</v>
      </c>
      <c r="R23" s="344">
        <v>8.671756438856501E-2</v>
      </c>
    </row>
    <row r="24" spans="1:18">
      <c r="A24" s="584"/>
      <c r="B24" s="434"/>
      <c r="C24" s="584"/>
      <c r="D24" s="362"/>
      <c r="E24" s="671"/>
      <c r="F24" s="670"/>
      <c r="G24" s="362"/>
      <c r="H24" s="230"/>
      <c r="J24" s="656"/>
      <c r="K24" s="350"/>
      <c r="L24" s="344"/>
      <c r="O24" s="519"/>
      <c r="P24" s="519"/>
      <c r="R24" s="344"/>
    </row>
    <row r="25" spans="1:18">
      <c r="A25" s="584">
        <v>6</v>
      </c>
      <c r="B25" s="434" t="s">
        <v>304</v>
      </c>
      <c r="C25" s="584" t="s">
        <v>352</v>
      </c>
      <c r="D25" s="368">
        <f>'Pres &amp; Prop Rev'!$I$152/1000</f>
        <v>6628.6650019919989</v>
      </c>
      <c r="E25" s="671">
        <v>1</v>
      </c>
      <c r="F25" s="670">
        <f t="shared" ca="1" si="4"/>
        <v>8.3094136695362891E-2</v>
      </c>
      <c r="G25" s="369">
        <f t="shared" ca="1" si="5"/>
        <v>550.80319578329113</v>
      </c>
      <c r="H25" s="370">
        <f t="shared" ca="1" si="0"/>
        <v>7179.4681977752898</v>
      </c>
      <c r="J25" s="656">
        <f>'Exh 1'!H26+'Exh 1'!I26</f>
        <v>6769.562281992</v>
      </c>
      <c r="K25" s="665">
        <f>'Exh 1'!M26</f>
        <v>-550.16112000000101</v>
      </c>
      <c r="L25" s="344">
        <f t="shared" ca="1" si="1"/>
        <v>9.4847459339895217E-5</v>
      </c>
      <c r="O25" s="519">
        <f t="shared" ca="1" si="2"/>
        <v>8.1364669211849358E-2</v>
      </c>
      <c r="P25" s="519">
        <f t="shared" si="3"/>
        <v>-8.1269821752509463E-2</v>
      </c>
      <c r="R25" s="344">
        <v>0</v>
      </c>
    </row>
    <row r="26" spans="1:18">
      <c r="A26" s="584"/>
      <c r="B26" s="434"/>
      <c r="C26" s="584"/>
      <c r="D26" s="362"/>
      <c r="E26" s="362"/>
      <c r="F26" s="670"/>
      <c r="G26" s="362"/>
      <c r="H26" s="230"/>
      <c r="J26" s="656"/>
      <c r="K26" s="350"/>
      <c r="L26" s="344"/>
      <c r="O26" s="519"/>
      <c r="P26" s="519"/>
      <c r="R26" s="344"/>
    </row>
    <row r="27" spans="1:18">
      <c r="A27" s="584">
        <v>7</v>
      </c>
      <c r="B27" s="373" t="s">
        <v>66</v>
      </c>
      <c r="C27" s="584"/>
      <c r="D27" s="362">
        <f ca="1">SUM(D15:D25)+0.2</f>
        <v>531722.23404862278</v>
      </c>
      <c r="E27" s="362"/>
      <c r="F27" s="670">
        <f ca="1">D30/$D$27</f>
        <v>8.3094136695362891E-2</v>
      </c>
      <c r="G27" s="362">
        <f ca="1">SUM(G15:G25)</f>
        <v>44183.183381172661</v>
      </c>
      <c r="H27" s="230">
        <f ca="1">D27+G27+0.3</f>
        <v>575905.71742979554</v>
      </c>
      <c r="J27" s="656">
        <f>'Exh 1'!H28+'Exh 1'!I28</f>
        <v>530122.86179862253</v>
      </c>
      <c r="K27" s="350">
        <f ca="1">SUM(K15:K25)</f>
        <v>-44184.732794269214</v>
      </c>
      <c r="L27" s="344">
        <f t="shared" ca="1" si="1"/>
        <v>-2.9227434019647563E-6</v>
      </c>
      <c r="O27" s="519">
        <f t="shared" ca="1" si="2"/>
        <v>8.3345176307367971E-2</v>
      </c>
      <c r="P27" s="519">
        <f t="shared" ca="1" si="3"/>
        <v>-8.3348099050769939E-2</v>
      </c>
      <c r="R27" s="344">
        <v>8.8157703764957393E-2</v>
      </c>
    </row>
    <row r="28" spans="1:18">
      <c r="A28" s="584"/>
      <c r="B28" s="584"/>
      <c r="C28" s="584"/>
      <c r="D28" s="374">
        <f ca="1">ROUND(D27-'Pres &amp; Prop Rev'!C205/1000,0)</f>
        <v>0</v>
      </c>
      <c r="E28" s="374"/>
      <c r="F28" s="374"/>
      <c r="G28" s="374">
        <f ca="1">ROUND(G27-D30,0)</f>
        <v>0</v>
      </c>
      <c r="H28" s="374"/>
    </row>
    <row r="30" spans="1:18">
      <c r="B30" t="s">
        <v>760</v>
      </c>
      <c r="D30" s="397">
        <v>44183</v>
      </c>
      <c r="E30" s="456">
        <f ca="1">D30/D27</f>
        <v>8.3094136695362891E-2</v>
      </c>
      <c r="F30" s="456"/>
    </row>
    <row r="31" spans="1:18">
      <c r="H31" s="456"/>
    </row>
  </sheetData>
  <conditionalFormatting sqref="D28:G28">
    <cfRule type="cellIs" dxfId="25" priority="2" stopIfTrue="1" operator="notEqual">
      <formula>0</formula>
    </cfRule>
  </conditionalFormatting>
  <conditionalFormatting sqref="H28">
    <cfRule type="cellIs" dxfId="24" priority="1" stopIfTrue="1" operator="notEqual">
      <formula>0</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88"/>
  <sheetViews>
    <sheetView showGridLines="0" zoomScaleNormal="100" zoomScaleSheetLayoutView="100" workbookViewId="0">
      <selection activeCell="H66" sqref="H66"/>
    </sheetView>
  </sheetViews>
  <sheetFormatPr defaultColWidth="10.6640625" defaultRowHeight="11.4"/>
  <cols>
    <col min="1" max="1" width="29.5546875" style="20" customWidth="1"/>
    <col min="2" max="5" width="14.6640625" style="20" customWidth="1"/>
    <col min="6" max="7" width="12.6640625" style="20" customWidth="1"/>
    <col min="8" max="16384" width="10.6640625" style="20"/>
  </cols>
  <sheetData>
    <row r="1" spans="1:9" ht="12">
      <c r="A1" s="24" t="s">
        <v>101</v>
      </c>
      <c r="B1" s="232"/>
      <c r="C1" s="24"/>
      <c r="D1" s="232"/>
      <c r="E1" s="232"/>
      <c r="F1" s="232"/>
      <c r="G1" s="232"/>
    </row>
    <row r="2" spans="1:9" ht="12">
      <c r="A2" s="24" t="s">
        <v>405</v>
      </c>
      <c r="B2" s="24"/>
      <c r="C2" s="24"/>
      <c r="D2" s="232"/>
      <c r="E2" s="24"/>
      <c r="F2" s="24"/>
      <c r="G2" s="24"/>
    </row>
    <row r="3" spans="1:9" ht="12">
      <c r="A3" s="24" t="s">
        <v>362</v>
      </c>
      <c r="B3" s="232"/>
      <c r="C3" s="24"/>
      <c r="D3" s="232"/>
      <c r="E3" s="232"/>
      <c r="F3" s="232"/>
      <c r="G3" s="232"/>
    </row>
    <row r="4" spans="1:9" ht="12">
      <c r="A4" s="24" t="s">
        <v>943</v>
      </c>
      <c r="B4" s="24"/>
      <c r="C4" s="24"/>
      <c r="D4" s="232"/>
      <c r="E4" s="24"/>
      <c r="F4" s="24"/>
      <c r="G4" s="24"/>
    </row>
    <row r="5" spans="1:9" ht="12">
      <c r="A5" s="23"/>
      <c r="B5" s="24"/>
      <c r="C5" s="24"/>
      <c r="D5" s="24"/>
      <c r="E5" s="24"/>
      <c r="F5" s="24"/>
      <c r="G5" s="24"/>
    </row>
    <row r="6" spans="1:9" ht="12">
      <c r="A6" s="23"/>
      <c r="B6" s="24"/>
      <c r="C6" s="24"/>
      <c r="D6" s="24"/>
      <c r="E6" s="24"/>
      <c r="F6" s="24"/>
      <c r="G6" s="24"/>
    </row>
    <row r="7" spans="1:9">
      <c r="A7" s="22"/>
      <c r="B7" s="25"/>
      <c r="C7" s="22"/>
      <c r="D7" s="22"/>
      <c r="E7" s="22"/>
      <c r="F7" s="22"/>
      <c r="G7" s="22"/>
    </row>
    <row r="8" spans="1:9">
      <c r="A8" s="26" t="s">
        <v>698</v>
      </c>
      <c r="B8" s="27" t="s">
        <v>733</v>
      </c>
      <c r="C8" s="26" t="s">
        <v>734</v>
      </c>
      <c r="D8" s="27" t="s">
        <v>735</v>
      </c>
      <c r="E8" s="27" t="s">
        <v>736</v>
      </c>
      <c r="F8" s="27" t="s">
        <v>381</v>
      </c>
      <c r="G8" s="22"/>
    </row>
    <row r="9" spans="1:9">
      <c r="A9" s="22" t="s">
        <v>1057</v>
      </c>
      <c r="B9" s="21">
        <f>'Block Data'!O21</f>
        <v>1632639774.4875689</v>
      </c>
      <c r="C9" s="21">
        <f>'Block Data'!O22</f>
        <v>504552667.9882521</v>
      </c>
      <c r="D9" s="21">
        <f>'Block Data'!O23</f>
        <v>299072582.35517937</v>
      </c>
      <c r="E9" s="21">
        <f>B9+C9+D9</f>
        <v>2436265024.8310003</v>
      </c>
      <c r="F9" s="21">
        <f>'REVRUNS 12ME1219'!P36</f>
        <v>2619517</v>
      </c>
      <c r="G9" s="22"/>
      <c r="H9" s="22"/>
      <c r="I9" s="22"/>
    </row>
    <row r="10" spans="1:9" ht="15.6">
      <c r="A10" s="33" t="s">
        <v>1058</v>
      </c>
      <c r="B10" s="21"/>
      <c r="C10" s="22"/>
      <c r="D10" s="21"/>
      <c r="E10" s="28">
        <f>'Block Data'!O13</f>
        <v>2436265024.8310003</v>
      </c>
      <c r="F10" s="21"/>
      <c r="G10" s="22"/>
      <c r="H10" s="22"/>
      <c r="I10" s="22"/>
    </row>
    <row r="11" spans="1:9">
      <c r="A11" s="33" t="s">
        <v>732</v>
      </c>
      <c r="B11" s="21"/>
      <c r="C11" s="22"/>
      <c r="D11" s="21"/>
      <c r="E11" s="29">
        <f>E10-E9</f>
        <v>0</v>
      </c>
      <c r="F11" s="21"/>
      <c r="G11" s="22"/>
      <c r="H11" s="22"/>
      <c r="I11" s="22"/>
    </row>
    <row r="12" spans="1:9">
      <c r="A12" s="33"/>
      <c r="B12" s="21"/>
      <c r="C12" s="22"/>
      <c r="D12" s="21"/>
      <c r="E12" s="101"/>
      <c r="F12" s="21"/>
      <c r="G12" s="22"/>
      <c r="H12" s="22"/>
      <c r="I12" s="22"/>
    </row>
    <row r="13" spans="1:9">
      <c r="A13" s="22"/>
      <c r="B13" s="22"/>
      <c r="C13" s="22"/>
      <c r="D13" s="22"/>
      <c r="E13" s="30"/>
      <c r="F13" s="22"/>
      <c r="G13" s="22"/>
      <c r="H13" s="22"/>
      <c r="I13" s="22"/>
    </row>
    <row r="14" spans="1:9">
      <c r="A14" s="26" t="s">
        <v>63</v>
      </c>
      <c r="B14" s="27" t="s">
        <v>737</v>
      </c>
      <c r="C14" s="26" t="s">
        <v>738</v>
      </c>
      <c r="D14" s="27" t="s">
        <v>736</v>
      </c>
      <c r="E14" s="27" t="s">
        <v>471</v>
      </c>
      <c r="F14" s="27" t="s">
        <v>381</v>
      </c>
      <c r="G14" s="27" t="s">
        <v>472</v>
      </c>
      <c r="H14" s="22"/>
      <c r="I14" s="22"/>
    </row>
    <row r="15" spans="1:9">
      <c r="A15" s="22" t="s">
        <v>1059</v>
      </c>
      <c r="B15" s="21">
        <f>'Block Data'!O38</f>
        <v>435979118.38983351</v>
      </c>
      <c r="C15" s="21">
        <f>'Block Data'!O39</f>
        <v>191116384.14616641</v>
      </c>
      <c r="D15" s="21">
        <f>B15+C15</f>
        <v>627095502.53599989</v>
      </c>
      <c r="E15" s="21">
        <f>'Block Data'!O45</f>
        <v>438307.97692307696</v>
      </c>
      <c r="F15" s="436">
        <f>'REVRUNS 12ME1219'!P37</f>
        <v>391801</v>
      </c>
      <c r="G15" s="21">
        <f>'Block Data'!O49</f>
        <v>0</v>
      </c>
      <c r="H15" s="22"/>
      <c r="I15" s="22"/>
    </row>
    <row r="16" spans="1:9" ht="13.2">
      <c r="A16" s="22" t="s">
        <v>621</v>
      </c>
      <c r="B16" s="439">
        <v>0</v>
      </c>
      <c r="C16" s="439">
        <v>0</v>
      </c>
      <c r="D16" s="31">
        <f>SUM(B16:C16)</f>
        <v>0</v>
      </c>
      <c r="E16" s="439">
        <v>0</v>
      </c>
      <c r="F16" s="442">
        <v>0</v>
      </c>
      <c r="G16" s="393">
        <v>0</v>
      </c>
      <c r="H16" s="22"/>
      <c r="I16" s="22"/>
    </row>
    <row r="17" spans="1:9">
      <c r="A17" s="22" t="s">
        <v>455</v>
      </c>
      <c r="B17" s="390">
        <f t="shared" ref="B17:G17" si="0">SUM(B15:B16)</f>
        <v>435979118.38983351</v>
      </c>
      <c r="C17" s="390">
        <f t="shared" si="0"/>
        <v>191116384.14616641</v>
      </c>
      <c r="D17" s="390">
        <f t="shared" si="0"/>
        <v>627095502.53599989</v>
      </c>
      <c r="E17" s="390">
        <f t="shared" si="0"/>
        <v>438307.97692307696</v>
      </c>
      <c r="F17" s="390">
        <f t="shared" si="0"/>
        <v>391801</v>
      </c>
      <c r="G17" s="390">
        <f t="shared" si="0"/>
        <v>0</v>
      </c>
      <c r="H17" s="22"/>
      <c r="I17" s="22"/>
    </row>
    <row r="18" spans="1:9" ht="15.6">
      <c r="A18" s="33" t="s">
        <v>1058</v>
      </c>
      <c r="B18" s="101"/>
      <c r="C18" s="102"/>
      <c r="D18" s="28">
        <f>'Block Data'!O31</f>
        <v>627095502.53599989</v>
      </c>
      <c r="E18" s="22"/>
      <c r="F18" s="21"/>
      <c r="G18" s="22"/>
      <c r="H18" s="22"/>
      <c r="I18" s="22"/>
    </row>
    <row r="19" spans="1:9">
      <c r="A19" s="33" t="s">
        <v>456</v>
      </c>
      <c r="B19" s="101"/>
      <c r="C19" s="102"/>
      <c r="D19" s="390">
        <f>D16</f>
        <v>0</v>
      </c>
      <c r="E19" s="22"/>
      <c r="F19" s="21"/>
      <c r="G19" s="22"/>
      <c r="H19" s="22"/>
      <c r="I19" s="22"/>
    </row>
    <row r="20" spans="1:9" ht="15.6">
      <c r="A20" s="33" t="s">
        <v>739</v>
      </c>
      <c r="B20" s="101"/>
      <c r="C20" s="102"/>
      <c r="D20" s="28">
        <f>D18+D19</f>
        <v>627095502.53599989</v>
      </c>
      <c r="E20" s="22"/>
      <c r="F20" s="21"/>
      <c r="G20" s="22"/>
      <c r="H20" s="22"/>
      <c r="I20" s="22"/>
    </row>
    <row r="21" spans="1:9">
      <c r="A21" s="33" t="s">
        <v>732</v>
      </c>
      <c r="B21" s="21"/>
      <c r="C21" s="22"/>
      <c r="D21" s="29">
        <f>D20-D17</f>
        <v>0</v>
      </c>
      <c r="E21" s="22"/>
      <c r="F21" s="21"/>
      <c r="G21" s="22"/>
      <c r="H21" s="22"/>
      <c r="I21" s="22"/>
    </row>
    <row r="22" spans="1:9">
      <c r="A22" s="33"/>
      <c r="B22" s="21"/>
      <c r="C22" s="22"/>
      <c r="D22" s="101"/>
      <c r="E22" s="101"/>
      <c r="F22" s="21"/>
      <c r="G22" s="22"/>
      <c r="H22" s="22"/>
      <c r="I22" s="22"/>
    </row>
    <row r="23" spans="1:9">
      <c r="A23" s="22"/>
      <c r="B23" s="22"/>
      <c r="C23" s="22"/>
      <c r="D23" s="30"/>
      <c r="E23" s="22"/>
      <c r="F23" s="22"/>
      <c r="G23" s="22"/>
      <c r="H23" s="22"/>
      <c r="I23" s="22"/>
    </row>
    <row r="24" spans="1:9">
      <c r="A24" s="26" t="s">
        <v>64</v>
      </c>
      <c r="B24" s="27" t="s">
        <v>740</v>
      </c>
      <c r="C24" s="26" t="s">
        <v>741</v>
      </c>
      <c r="D24" s="27" t="s">
        <v>736</v>
      </c>
      <c r="E24" s="27" t="s">
        <v>473</v>
      </c>
      <c r="F24" s="27" t="s">
        <v>381</v>
      </c>
      <c r="G24" s="27" t="s">
        <v>472</v>
      </c>
      <c r="H24" s="22"/>
      <c r="I24" s="22"/>
    </row>
    <row r="25" spans="1:9">
      <c r="A25" s="22" t="s">
        <v>1059</v>
      </c>
      <c r="B25" s="21">
        <f>'Block Data'!O64</f>
        <v>1229791151.8036699</v>
      </c>
      <c r="C25" s="21">
        <f>'Block Data'!O65</f>
        <v>146237824.45333001</v>
      </c>
      <c r="D25" s="21">
        <f>B25+C25</f>
        <v>1376028976.257</v>
      </c>
      <c r="E25" s="21">
        <f>'Block Data'!O71</f>
        <v>2648035.6015384616</v>
      </c>
      <c r="F25" s="436">
        <f>'REVRUNS 12ME1219'!P38</f>
        <v>22941</v>
      </c>
      <c r="G25" s="21">
        <f>'Block Data'!O75</f>
        <v>252584.88</v>
      </c>
      <c r="H25" s="22"/>
      <c r="I25" s="22"/>
    </row>
    <row r="26" spans="1:9">
      <c r="A26" s="22" t="s">
        <v>451</v>
      </c>
      <c r="B26" s="437">
        <v>0</v>
      </c>
      <c r="C26" s="437">
        <v>0</v>
      </c>
      <c r="D26" s="436">
        <f>SUM(B26:C26)</f>
        <v>0</v>
      </c>
      <c r="E26" s="433">
        <v>0</v>
      </c>
      <c r="F26" s="438">
        <v>0</v>
      </c>
      <c r="G26" s="433">
        <v>0</v>
      </c>
      <c r="H26" s="22"/>
      <c r="I26" s="22"/>
    </row>
    <row r="27" spans="1:9" ht="13.2">
      <c r="A27" s="22" t="s">
        <v>1060</v>
      </c>
      <c r="B27" s="31">
        <f>-D16</f>
        <v>0</v>
      </c>
      <c r="C27" s="441">
        <v>0</v>
      </c>
      <c r="D27" s="31">
        <f>SUM(B27:C27)</f>
        <v>0</v>
      </c>
      <c r="E27" s="440">
        <v>0</v>
      </c>
      <c r="F27" s="441">
        <f>-F16</f>
        <v>0</v>
      </c>
      <c r="G27" s="441">
        <f>-G16</f>
        <v>0</v>
      </c>
      <c r="H27" s="22"/>
      <c r="I27" s="22"/>
    </row>
    <row r="28" spans="1:9" ht="13.2">
      <c r="A28" s="22" t="s">
        <v>66</v>
      </c>
      <c r="B28" s="21">
        <f>SUM(B25:B27)</f>
        <v>1229791151.8036699</v>
      </c>
      <c r="C28" s="21">
        <f>SUM(C25:C27)</f>
        <v>146237824.45333001</v>
      </c>
      <c r="D28" s="31">
        <f>SUM(B28:C28)</f>
        <v>1376028976.257</v>
      </c>
      <c r="E28" s="394">
        <f>SUM(E25:E27)</f>
        <v>2648035.6015384616</v>
      </c>
      <c r="F28" s="394">
        <f>SUM(F25:F27)</f>
        <v>22941</v>
      </c>
      <c r="G28" s="394">
        <f>SUM(G25:G27)</f>
        <v>252584.88</v>
      </c>
      <c r="H28" s="22"/>
      <c r="I28" s="22"/>
    </row>
    <row r="29" spans="1:9" ht="15.6">
      <c r="A29" s="33" t="s">
        <v>1058</v>
      </c>
      <c r="B29" s="21"/>
      <c r="C29" s="22"/>
      <c r="D29" s="28">
        <f>'Block Data'!O57</f>
        <v>1376028976.257</v>
      </c>
      <c r="E29" s="29"/>
      <c r="F29" s="29"/>
      <c r="G29" s="29"/>
      <c r="H29" s="22"/>
      <c r="I29" s="22"/>
    </row>
    <row r="30" spans="1:9">
      <c r="A30" s="33" t="s">
        <v>452</v>
      </c>
      <c r="B30" s="21"/>
      <c r="C30" s="22"/>
      <c r="D30" s="390">
        <f>D26</f>
        <v>0</v>
      </c>
      <c r="E30" s="22"/>
      <c r="F30" s="21"/>
      <c r="G30" s="22"/>
      <c r="H30" s="22"/>
      <c r="I30" s="22"/>
    </row>
    <row r="31" spans="1:9">
      <c r="A31" s="33" t="s">
        <v>457</v>
      </c>
      <c r="B31" s="21"/>
      <c r="C31" s="22"/>
      <c r="D31" s="390">
        <f>D27</f>
        <v>0</v>
      </c>
      <c r="E31" s="22"/>
      <c r="F31" s="21"/>
      <c r="G31" s="22"/>
      <c r="H31" s="22"/>
      <c r="I31" s="22"/>
    </row>
    <row r="32" spans="1:9" ht="15.6">
      <c r="A32" s="33" t="s">
        <v>742</v>
      </c>
      <c r="B32" s="21"/>
      <c r="C32" s="22"/>
      <c r="D32" s="28">
        <f>D29+D30+D31</f>
        <v>1376028976.257</v>
      </c>
      <c r="E32" s="22"/>
      <c r="F32" s="21"/>
      <c r="G32" s="22"/>
      <c r="H32" s="22"/>
      <c r="I32" s="22"/>
    </row>
    <row r="33" spans="1:9">
      <c r="A33" s="33" t="s">
        <v>732</v>
      </c>
      <c r="B33" s="21"/>
      <c r="C33" s="22"/>
      <c r="D33" s="29">
        <f>D32-D28</f>
        <v>0</v>
      </c>
      <c r="E33" s="22"/>
      <c r="F33" s="21"/>
      <c r="G33" s="22"/>
      <c r="H33" s="22"/>
      <c r="I33" s="22"/>
    </row>
    <row r="34" spans="1:9">
      <c r="A34" s="33"/>
      <c r="B34" s="21"/>
      <c r="C34" s="22"/>
      <c r="D34" s="101"/>
      <c r="E34" s="101"/>
      <c r="F34" s="21"/>
      <c r="G34" s="22"/>
      <c r="H34" s="22"/>
      <c r="I34" s="22"/>
    </row>
    <row r="35" spans="1:9">
      <c r="A35" s="22"/>
      <c r="B35" s="21"/>
      <c r="C35" s="21"/>
      <c r="D35" s="21"/>
      <c r="E35" s="22"/>
      <c r="F35" s="22"/>
      <c r="G35" s="22"/>
      <c r="H35" s="22"/>
      <c r="I35" s="22"/>
    </row>
    <row r="36" spans="1:9">
      <c r="A36" s="26" t="s">
        <v>470</v>
      </c>
      <c r="B36" s="27" t="s">
        <v>743</v>
      </c>
      <c r="C36" s="26" t="s">
        <v>744</v>
      </c>
      <c r="D36" s="229" t="s">
        <v>745</v>
      </c>
      <c r="E36" s="27" t="s">
        <v>736</v>
      </c>
      <c r="F36" s="27" t="s">
        <v>65</v>
      </c>
      <c r="G36" s="27" t="s">
        <v>381</v>
      </c>
      <c r="H36" s="22"/>
      <c r="I36" s="22"/>
    </row>
    <row r="37" spans="1:9">
      <c r="A37" s="22" t="s">
        <v>66</v>
      </c>
      <c r="B37" s="21">
        <f>'WA Sch 25'!Q27</f>
        <v>138000000</v>
      </c>
      <c r="C37" s="21">
        <f>'WA Sch 25'!R27</f>
        <v>564644246.71499991</v>
      </c>
      <c r="D37" s="21">
        <f>'WA Sch 25'!S27</f>
        <v>383257334.60000014</v>
      </c>
      <c r="E37" s="21">
        <f>SUM(B37:D37)</f>
        <v>1085901581.3150001</v>
      </c>
      <c r="F37" s="21">
        <f>'WA Sch 25'!P91</f>
        <v>1278599.155</v>
      </c>
      <c r="G37" s="437">
        <f>23*12</f>
        <v>276</v>
      </c>
      <c r="H37" s="22"/>
      <c r="I37" s="22"/>
    </row>
    <row r="38" spans="1:9">
      <c r="A38" s="33"/>
      <c r="B38" s="21"/>
      <c r="C38" s="22"/>
      <c r="D38" s="101"/>
      <c r="E38" s="101"/>
      <c r="F38" s="101"/>
      <c r="G38" s="22"/>
      <c r="H38" s="22"/>
      <c r="I38" s="22"/>
    </row>
    <row r="39" spans="1:9">
      <c r="A39" s="22"/>
      <c r="B39" s="22"/>
      <c r="C39" s="22"/>
      <c r="D39" s="22"/>
      <c r="E39" s="22"/>
      <c r="F39" s="25"/>
      <c r="G39" s="22"/>
      <c r="H39" s="22"/>
      <c r="I39" s="22"/>
    </row>
    <row r="40" spans="1:9">
      <c r="A40" s="26" t="s">
        <v>67</v>
      </c>
      <c r="B40" s="27" t="s">
        <v>746</v>
      </c>
      <c r="C40" s="27" t="s">
        <v>747</v>
      </c>
      <c r="D40" s="27" t="s">
        <v>748</v>
      </c>
      <c r="E40" s="27" t="s">
        <v>736</v>
      </c>
      <c r="F40" s="27" t="s">
        <v>381</v>
      </c>
      <c r="G40" s="27" t="s">
        <v>472</v>
      </c>
      <c r="H40" s="22"/>
      <c r="I40" s="22"/>
    </row>
    <row r="41" spans="1:9">
      <c r="A41" s="22" t="s">
        <v>1061</v>
      </c>
      <c r="B41" s="436">
        <f>'Block Data'!O92</f>
        <v>35517018.182510003</v>
      </c>
      <c r="C41" s="436">
        <f>'Block Data'!O93</f>
        <v>11273719.527659997</v>
      </c>
      <c r="D41" s="657">
        <f>'Block Data'!O94</f>
        <v>92769241.331829995</v>
      </c>
      <c r="E41" s="658">
        <f>B41+C41+D41</f>
        <v>139559979.042</v>
      </c>
      <c r="F41" s="436">
        <f>'REVRUNS 12ME1219'!P40</f>
        <v>29492</v>
      </c>
      <c r="G41" s="21">
        <f>'Block Data'!O99</f>
        <v>0</v>
      </c>
      <c r="H41" s="22"/>
      <c r="I41" s="22"/>
    </row>
    <row r="42" spans="1:9" ht="13.2">
      <c r="A42" s="22" t="s">
        <v>751</v>
      </c>
      <c r="B42" s="31">
        <v>0</v>
      </c>
      <c r="C42" s="31">
        <v>0</v>
      </c>
      <c r="D42" s="657">
        <f>-B42-C42</f>
        <v>0</v>
      </c>
      <c r="E42" s="658">
        <f>SUM(B42:D42)</f>
        <v>0</v>
      </c>
      <c r="F42" s="436"/>
      <c r="G42" s="436"/>
      <c r="H42" s="22"/>
      <c r="I42" s="22"/>
    </row>
    <row r="43" spans="1:9">
      <c r="A43" s="33" t="s">
        <v>222</v>
      </c>
      <c r="B43" s="659">
        <f>B41+B42</f>
        <v>35517018.182510003</v>
      </c>
      <c r="C43" s="659">
        <f>C41+C42</f>
        <v>11273719.527659997</v>
      </c>
      <c r="D43" s="659">
        <f>D41+D42</f>
        <v>92769241.331829995</v>
      </c>
      <c r="E43" s="436">
        <f>E41+E42</f>
        <v>139559979.042</v>
      </c>
      <c r="F43" s="21"/>
      <c r="G43" s="21"/>
      <c r="H43" s="22"/>
      <c r="I43" s="22"/>
    </row>
    <row r="44" spans="1:9" ht="12">
      <c r="A44" s="33" t="s">
        <v>1058</v>
      </c>
      <c r="B44" s="436"/>
      <c r="C44" s="436"/>
      <c r="D44" s="22"/>
      <c r="E44" s="660">
        <f>'Block Data'!O84</f>
        <v>139559979.042</v>
      </c>
      <c r="F44" s="22"/>
      <c r="G44" s="32"/>
      <c r="H44" s="22"/>
      <c r="I44" s="22"/>
    </row>
    <row r="45" spans="1:9">
      <c r="A45" s="33" t="s">
        <v>749</v>
      </c>
      <c r="B45" s="436"/>
      <c r="C45" s="436"/>
      <c r="D45" s="22"/>
      <c r="E45" s="436">
        <f>E44-E43</f>
        <v>0</v>
      </c>
      <c r="F45" s="22"/>
      <c r="G45" s="22"/>
    </row>
    <row r="46" spans="1:9">
      <c r="A46" s="33"/>
      <c r="B46" s="21"/>
      <c r="C46" s="22"/>
      <c r="D46" s="101"/>
      <c r="E46" s="101"/>
      <c r="F46" s="22"/>
      <c r="G46" s="22"/>
    </row>
    <row r="47" spans="1:9" ht="13.2">
      <c r="A47" s="22"/>
      <c r="B47" s="22"/>
      <c r="C47" s="22"/>
      <c r="D47" s="22"/>
      <c r="E47"/>
      <c r="F47" s="22"/>
      <c r="G47" s="22"/>
    </row>
    <row r="48" spans="1:9">
      <c r="A48" s="22"/>
      <c r="B48" s="22"/>
      <c r="C48" s="22"/>
      <c r="D48" s="22"/>
      <c r="E48" s="22"/>
      <c r="F48" s="22"/>
      <c r="G48" s="22"/>
    </row>
    <row r="49" spans="1:7">
      <c r="A49" s="22"/>
      <c r="B49" s="22"/>
      <c r="C49" s="22"/>
      <c r="D49" s="22"/>
      <c r="E49" s="22"/>
      <c r="F49" s="22"/>
      <c r="G49" s="22"/>
    </row>
    <row r="50" spans="1:7">
      <c r="A50" s="22"/>
      <c r="B50" s="22"/>
      <c r="C50" s="22"/>
      <c r="D50" s="22"/>
      <c r="E50" s="22"/>
      <c r="F50" s="22"/>
      <c r="G50" s="22"/>
    </row>
    <row r="51" spans="1:7">
      <c r="A51" s="22"/>
      <c r="B51" s="22"/>
      <c r="C51" s="22"/>
      <c r="D51" s="22"/>
      <c r="E51" s="22"/>
      <c r="F51" s="22"/>
      <c r="G51" s="22"/>
    </row>
    <row r="52" spans="1:7">
      <c r="A52" s="22"/>
      <c r="B52" s="22"/>
      <c r="C52" s="22"/>
      <c r="D52" s="22"/>
      <c r="E52" s="22"/>
      <c r="F52" s="22"/>
      <c r="G52" s="22"/>
    </row>
    <row r="53" spans="1:7">
      <c r="A53" s="22"/>
      <c r="B53" s="22"/>
      <c r="C53" s="22"/>
      <c r="D53" s="22"/>
      <c r="E53" s="22"/>
      <c r="F53" s="22"/>
      <c r="G53" s="22"/>
    </row>
    <row r="54" spans="1:7">
      <c r="A54" s="22"/>
      <c r="B54" s="22"/>
      <c r="C54" s="22"/>
      <c r="D54" s="22"/>
      <c r="E54" s="22"/>
      <c r="F54" s="22"/>
      <c r="G54" s="22"/>
    </row>
    <row r="55" spans="1:7">
      <c r="A55" s="22"/>
      <c r="B55" s="22"/>
      <c r="C55" s="22"/>
      <c r="D55" s="22"/>
      <c r="E55" s="22"/>
      <c r="F55" s="22"/>
      <c r="G55" s="22"/>
    </row>
    <row r="56" spans="1:7">
      <c r="A56" s="22"/>
      <c r="B56" s="22"/>
      <c r="C56" s="22"/>
      <c r="D56" s="22"/>
      <c r="E56" s="22"/>
      <c r="F56" s="22"/>
      <c r="G56" s="22"/>
    </row>
    <row r="57" spans="1:7">
      <c r="A57" s="22"/>
      <c r="B57" s="22"/>
      <c r="C57" s="22"/>
      <c r="D57" s="22"/>
      <c r="E57" s="22"/>
      <c r="F57" s="22"/>
      <c r="G57" s="22"/>
    </row>
    <row r="58" spans="1:7">
      <c r="A58" s="22"/>
      <c r="B58" s="22"/>
      <c r="C58" s="22"/>
      <c r="D58" s="22"/>
      <c r="E58" s="22"/>
      <c r="F58" s="22"/>
      <c r="G58" s="22"/>
    </row>
    <row r="59" spans="1:7">
      <c r="A59" s="22"/>
      <c r="B59" s="22"/>
      <c r="C59" s="22"/>
      <c r="D59" s="22"/>
      <c r="E59" s="22"/>
      <c r="F59" s="22"/>
      <c r="G59" s="22"/>
    </row>
    <row r="60" spans="1:7">
      <c r="A60" s="22"/>
      <c r="B60" s="22"/>
      <c r="C60" s="22"/>
      <c r="D60" s="22"/>
      <c r="E60" s="22"/>
      <c r="F60" s="22"/>
      <c r="G60" s="22"/>
    </row>
    <row r="61" spans="1:7">
      <c r="A61" s="22"/>
      <c r="B61" s="22"/>
      <c r="C61" s="22"/>
      <c r="D61" s="22"/>
      <c r="E61" s="22"/>
      <c r="F61" s="22"/>
      <c r="G61" s="22"/>
    </row>
    <row r="62" spans="1:7" ht="12" thickBot="1">
      <c r="A62" s="22" t="s">
        <v>68</v>
      </c>
      <c r="B62" s="240">
        <f>E10+D18+D29+E44+E37</f>
        <v>5664851063.9810009</v>
      </c>
      <c r="C62" s="22"/>
      <c r="D62" s="22"/>
      <c r="E62" s="22"/>
      <c r="F62" s="22"/>
      <c r="G62" s="22"/>
    </row>
    <row r="63" spans="1:7" ht="12" thickTop="1">
      <c r="A63" s="22"/>
      <c r="B63" s="29"/>
      <c r="C63" s="22"/>
      <c r="D63" s="22"/>
      <c r="E63" s="22"/>
      <c r="F63" s="22"/>
      <c r="G63" s="22"/>
    </row>
    <row r="64" spans="1:7">
      <c r="A64" s="22" t="s">
        <v>69</v>
      </c>
      <c r="B64" s="29">
        <f>'REVRUNS 12ME1219'!P288</f>
        <v>5684114360.3279696</v>
      </c>
      <c r="C64" s="22"/>
      <c r="D64" s="22"/>
      <c r="E64" s="22"/>
      <c r="F64" s="22"/>
      <c r="G64" s="22"/>
    </row>
    <row r="65" spans="1:7">
      <c r="A65" s="33" t="s">
        <v>70</v>
      </c>
      <c r="B65" s="22"/>
      <c r="C65" s="22"/>
      <c r="D65" s="22"/>
      <c r="E65" s="22"/>
      <c r="F65" s="22"/>
      <c r="G65" s="22"/>
    </row>
    <row r="66" spans="1:7">
      <c r="A66" s="33" t="s">
        <v>487</v>
      </c>
      <c r="B66" s="29">
        <f>'REVRUNS 12ME1219'!P285-'Bill Determ'!E37</f>
        <v>1301372.6869997978</v>
      </c>
      <c r="C66" s="245" t="s">
        <v>374</v>
      </c>
      <c r="D66" s="22"/>
      <c r="E66" s="22"/>
      <c r="F66" s="22"/>
      <c r="G66" s="22"/>
    </row>
    <row r="67" spans="1:7">
      <c r="A67" s="33"/>
      <c r="B67" s="29"/>
      <c r="C67" s="245"/>
      <c r="D67" s="22"/>
      <c r="E67" s="22"/>
      <c r="F67" s="22"/>
      <c r="G67" s="22"/>
    </row>
    <row r="68" spans="1:7">
      <c r="A68" s="33" t="s">
        <v>488</v>
      </c>
      <c r="B68" s="29">
        <f>D26</f>
        <v>0</v>
      </c>
      <c r="C68" s="245" t="s">
        <v>373</v>
      </c>
      <c r="D68" s="22"/>
      <c r="E68" s="22"/>
      <c r="F68" s="22"/>
      <c r="G68" s="22"/>
    </row>
    <row r="69" spans="1:7">
      <c r="A69" s="33" t="s">
        <v>369</v>
      </c>
      <c r="B69" s="29">
        <f>'REVRUNS 12ME1219'!P287</f>
        <v>17961923.65997</v>
      </c>
      <c r="C69" s="245" t="s">
        <v>373</v>
      </c>
      <c r="D69" s="22"/>
      <c r="E69" s="22"/>
      <c r="F69" s="22"/>
      <c r="G69" s="22"/>
    </row>
    <row r="70" spans="1:7" ht="12" thickBot="1">
      <c r="A70" s="22"/>
      <c r="B70" s="241">
        <f>B64-SUM(B66:B69)</f>
        <v>5664851063.9809999</v>
      </c>
      <c r="C70" s="22"/>
      <c r="D70" s="22"/>
      <c r="E70" s="22"/>
      <c r="F70" s="22"/>
      <c r="G70" s="22"/>
    </row>
    <row r="71" spans="1:7" ht="12" thickTop="1">
      <c r="A71" s="22" t="s">
        <v>71</v>
      </c>
      <c r="B71" s="29">
        <f>B62-B70</f>
        <v>0</v>
      </c>
      <c r="C71" s="22"/>
      <c r="D71" s="22"/>
      <c r="E71" s="22"/>
      <c r="F71" s="22"/>
      <c r="G71" s="22"/>
    </row>
    <row r="73" spans="1:7">
      <c r="A73" s="20" t="s">
        <v>442</v>
      </c>
      <c r="B73" s="242">
        <f>'Pres &amp; Prop Rev'!C20-'Pres &amp; Prop Rev'!C15</f>
        <v>5682812987.6409712</v>
      </c>
    </row>
    <row r="74" spans="1:7">
      <c r="A74" s="20" t="s">
        <v>371</v>
      </c>
      <c r="B74" s="243">
        <f>B62+B69+B68</f>
        <v>5682812987.6409712</v>
      </c>
    </row>
    <row r="75" spans="1:7">
      <c r="A75" s="22" t="s">
        <v>71</v>
      </c>
      <c r="B75" s="244">
        <f>B73-B74</f>
        <v>0</v>
      </c>
    </row>
    <row r="78" spans="1:7">
      <c r="A78" s="20" t="s">
        <v>372</v>
      </c>
      <c r="B78" s="242">
        <f>'REVRUNS 12ME1219'!P42</f>
        <v>3069310</v>
      </c>
    </row>
    <row r="79" spans="1:7">
      <c r="A79" s="33" t="s">
        <v>70</v>
      </c>
      <c r="B79" s="242"/>
    </row>
    <row r="80" spans="1:7">
      <c r="A80" s="33" t="s">
        <v>409</v>
      </c>
      <c r="B80" s="242">
        <f>'REVRUNS 12ME1219'!P39-G37</f>
        <v>0</v>
      </c>
      <c r="C80" s="245" t="s">
        <v>731</v>
      </c>
    </row>
    <row r="81" spans="1:3">
      <c r="A81" s="33" t="s">
        <v>489</v>
      </c>
      <c r="B81" s="242">
        <f>-F26</f>
        <v>0</v>
      </c>
      <c r="C81" s="245" t="s">
        <v>373</v>
      </c>
    </row>
    <row r="82" spans="1:3">
      <c r="A82" s="33" t="s">
        <v>369</v>
      </c>
      <c r="B82" s="242">
        <f>'REVRUNS 12ME1219'!P41</f>
        <v>5283</v>
      </c>
      <c r="C82" s="245" t="s">
        <v>373</v>
      </c>
    </row>
    <row r="83" spans="1:3" ht="12" thickBot="1">
      <c r="B83" s="241">
        <f>B78-SUM(B79:B82)</f>
        <v>3064027</v>
      </c>
    </row>
    <row r="84" spans="1:3" ht="12" thickTop="1">
      <c r="B84" s="246"/>
    </row>
    <row r="85" spans="1:3" ht="12" thickBot="1">
      <c r="A85" s="20" t="s">
        <v>370</v>
      </c>
      <c r="B85" s="247">
        <f>SUM('Pres &amp; Prop Rev'!D25:I25)</f>
        <v>3064027</v>
      </c>
    </row>
    <row r="86" spans="1:3" ht="12" thickTop="1">
      <c r="A86" s="22" t="s">
        <v>71</v>
      </c>
      <c r="B86" s="29">
        <f>B83-B85</f>
        <v>0</v>
      </c>
    </row>
    <row r="87" spans="1:3">
      <c r="B87" s="242"/>
    </row>
    <row r="88" spans="1:3">
      <c r="B88" s="242"/>
    </row>
  </sheetData>
  <phoneticPr fontId="0" type="noConversion"/>
  <conditionalFormatting sqref="B75 B71 B86">
    <cfRule type="expression" dxfId="23" priority="1" stopIfTrue="1">
      <formula>ABS(B71)&gt;0.5</formula>
    </cfRule>
  </conditionalFormatting>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X36"/>
  <sheetViews>
    <sheetView showGridLines="0" topLeftCell="O1" workbookViewId="0">
      <selection activeCell="Q11" sqref="Q11"/>
    </sheetView>
  </sheetViews>
  <sheetFormatPr defaultRowHeight="13.2"/>
  <cols>
    <col min="1" max="1" width="0" hidden="1" customWidth="1"/>
    <col min="2" max="2" width="24.5546875" hidden="1" customWidth="1"/>
    <col min="3" max="3" width="0" hidden="1" customWidth="1"/>
    <col min="4" max="4" width="15.44140625" hidden="1" customWidth="1"/>
    <col min="5" max="5" width="12.44140625" hidden="1" customWidth="1"/>
    <col min="6" max="6" width="13.44140625" hidden="1" customWidth="1"/>
    <col min="7" max="7" width="9.6640625" hidden="1" customWidth="1"/>
    <col min="8" max="8" width="0" hidden="1" customWidth="1"/>
    <col min="9" max="9" width="6.6640625" hidden="1" customWidth="1"/>
    <col min="10" max="11" width="0" hidden="1" customWidth="1"/>
    <col min="12" max="12" width="12.6640625" hidden="1" customWidth="1"/>
    <col min="13" max="14" width="0" hidden="1" customWidth="1"/>
    <col min="17" max="17" width="17" customWidth="1"/>
    <col min="19" max="19" width="10.88671875" bestFit="1" customWidth="1"/>
    <col min="20" max="20" width="4.6640625" customWidth="1"/>
    <col min="21" max="21" width="10.5546875" customWidth="1"/>
    <col min="24" max="24" width="10.109375" bestFit="1" customWidth="1"/>
  </cols>
  <sheetData>
    <row r="4" spans="1:24">
      <c r="A4" s="434" t="s">
        <v>954</v>
      </c>
    </row>
    <row r="7" spans="1:24">
      <c r="E7" s="540"/>
      <c r="L7" s="434"/>
    </row>
    <row r="8" spans="1:24">
      <c r="A8" s="584"/>
      <c r="B8" s="584"/>
      <c r="C8" s="363"/>
      <c r="D8" s="540" t="s">
        <v>324</v>
      </c>
      <c r="E8" s="584" t="s">
        <v>1031</v>
      </c>
      <c r="F8" s="540" t="s">
        <v>753</v>
      </c>
      <c r="G8" s="597" t="s">
        <v>754</v>
      </c>
      <c r="L8" s="584"/>
    </row>
    <row r="9" spans="1:24">
      <c r="A9" s="584"/>
      <c r="B9" s="584" t="s">
        <v>287</v>
      </c>
      <c r="C9" s="584" t="s">
        <v>311</v>
      </c>
      <c r="D9" s="540" t="s">
        <v>355</v>
      </c>
      <c r="E9" s="584" t="s">
        <v>325</v>
      </c>
      <c r="F9" s="584" t="s">
        <v>426</v>
      </c>
      <c r="G9" s="597" t="s">
        <v>755</v>
      </c>
      <c r="L9" s="584"/>
    </row>
    <row r="10" spans="1:24">
      <c r="A10" s="349" t="s">
        <v>289</v>
      </c>
      <c r="B10" s="349" t="s">
        <v>290</v>
      </c>
      <c r="C10" s="349" t="s">
        <v>291</v>
      </c>
      <c r="D10" s="662" t="s">
        <v>106</v>
      </c>
      <c r="E10" s="662" t="s">
        <v>765</v>
      </c>
      <c r="F10" s="662" t="s">
        <v>458</v>
      </c>
      <c r="G10" s="663" t="s">
        <v>753</v>
      </c>
      <c r="L10" s="662"/>
      <c r="Q10" s="434" t="s">
        <v>1062</v>
      </c>
    </row>
    <row r="11" spans="1:24">
      <c r="A11" s="584"/>
      <c r="B11" s="584" t="s">
        <v>293</v>
      </c>
      <c r="C11" s="584" t="s">
        <v>294</v>
      </c>
      <c r="D11" s="584" t="s">
        <v>295</v>
      </c>
      <c r="E11" s="584" t="s">
        <v>296</v>
      </c>
      <c r="F11" s="584" t="s">
        <v>297</v>
      </c>
      <c r="G11" s="584" t="s">
        <v>298</v>
      </c>
      <c r="L11" s="584"/>
    </row>
    <row r="12" spans="1:24">
      <c r="A12" s="584"/>
      <c r="B12" s="434"/>
      <c r="C12" s="584"/>
      <c r="G12" s="117"/>
      <c r="L12" s="720"/>
    </row>
    <row r="13" spans="1:24">
      <c r="A13" s="584">
        <v>1</v>
      </c>
      <c r="B13" s="434" t="s">
        <v>300</v>
      </c>
      <c r="C13" s="401" t="s">
        <v>700</v>
      </c>
      <c r="D13" s="230">
        <f>'Exh 1'!H16*1000</f>
        <v>226547099.22999999</v>
      </c>
      <c r="E13" s="230">
        <f>F13*G13</f>
        <v>0</v>
      </c>
      <c r="F13" s="661">
        <f>'Pres &amp; Prop Rev'!D23</f>
        <v>2395485524.8310003</v>
      </c>
      <c r="G13" s="208">
        <v>0</v>
      </c>
      <c r="I13" s="317">
        <f>G13*'Bill Impact'!A18</f>
        <v>0</v>
      </c>
      <c r="J13" s="456">
        <f>I13/'Bill Impact'!E18</f>
        <v>0</v>
      </c>
      <c r="L13" s="230"/>
      <c r="N13" s="456">
        <f>E13/D13</f>
        <v>0</v>
      </c>
      <c r="Q13" s="796" t="s">
        <v>1050</v>
      </c>
      <c r="R13" s="797"/>
      <c r="S13" s="797"/>
      <c r="T13" s="797"/>
      <c r="U13" s="796" t="s">
        <v>336</v>
      </c>
      <c r="V13" s="797"/>
      <c r="W13" s="797"/>
      <c r="X13" s="797"/>
    </row>
    <row r="14" spans="1:24">
      <c r="A14" s="584"/>
      <c r="B14" s="434"/>
      <c r="C14" s="584"/>
      <c r="D14" s="230"/>
      <c r="E14" s="230"/>
      <c r="G14" s="208"/>
      <c r="L14" s="230"/>
      <c r="N14" s="456"/>
      <c r="Q14" s="797" t="s">
        <v>331</v>
      </c>
      <c r="R14" s="797"/>
      <c r="S14" s="797"/>
      <c r="T14" s="797"/>
      <c r="U14" s="797" t="s">
        <v>331</v>
      </c>
      <c r="V14" s="797"/>
      <c r="W14" s="797"/>
      <c r="X14" s="797"/>
    </row>
    <row r="15" spans="1:24">
      <c r="A15" s="584">
        <v>2</v>
      </c>
      <c r="B15" s="434" t="s">
        <v>301</v>
      </c>
      <c r="C15" s="401" t="s">
        <v>466</v>
      </c>
      <c r="D15" s="230">
        <f>'Exh 1'!H18*1000</f>
        <v>80210932.918461502</v>
      </c>
      <c r="E15" s="230">
        <f t="shared" ref="E15:E21" si="0">F15*G15</f>
        <v>0</v>
      </c>
      <c r="F15" s="661">
        <f>'Pres &amp; Prop Rev'!E23</f>
        <v>621898153.53599989</v>
      </c>
      <c r="G15" s="208">
        <v>0</v>
      </c>
      <c r="L15" s="230"/>
      <c r="N15" s="456">
        <f t="shared" ref="N15:N25" si="1">E15/D15</f>
        <v>0</v>
      </c>
      <c r="Q15" s="798" t="s">
        <v>1035</v>
      </c>
      <c r="R15" s="797"/>
      <c r="S15" s="799">
        <f>-'Exh 3'!L16</f>
        <v>7.4900000000000105E-3</v>
      </c>
      <c r="T15" s="797"/>
      <c r="U15" s="798" t="s">
        <v>1042</v>
      </c>
      <c r="V15" s="797"/>
      <c r="W15" s="797"/>
      <c r="X15" s="799">
        <f>-'Exh 3'!L42</f>
        <v>6.1200000000000004E-3</v>
      </c>
    </row>
    <row r="16" spans="1:24">
      <c r="A16" s="584"/>
      <c r="B16" s="434"/>
      <c r="C16" s="584"/>
      <c r="D16" s="230"/>
      <c r="E16" s="230"/>
      <c r="G16" s="208"/>
      <c r="L16" s="230"/>
      <c r="N16" s="456"/>
      <c r="Q16" s="798" t="s">
        <v>1036</v>
      </c>
      <c r="R16" s="797"/>
      <c r="S16" s="799">
        <f>-'Exh 3'!L17</f>
        <v>8.7200000000000055E-3</v>
      </c>
      <c r="T16" s="797"/>
      <c r="U16" s="798" t="s">
        <v>1043</v>
      </c>
      <c r="V16" s="797"/>
      <c r="W16" s="797"/>
      <c r="X16" s="799">
        <f>-'Exh 3'!L43</f>
        <v>5.4999999999999979E-3</v>
      </c>
    </row>
    <row r="17" spans="1:24">
      <c r="A17" s="584">
        <v>3</v>
      </c>
      <c r="B17" s="434" t="s">
        <v>302</v>
      </c>
      <c r="C17" s="402" t="s">
        <v>467</v>
      </c>
      <c r="D17" s="230">
        <f>'Exh 1'!H20*1000</f>
        <v>137183079.69076899</v>
      </c>
      <c r="E17" s="230">
        <f t="shared" si="0"/>
        <v>0</v>
      </c>
      <c r="F17" s="661">
        <f>'Pres &amp; Prop Rev'!F23</f>
        <v>1369570126.257</v>
      </c>
      <c r="G17" s="208">
        <v>0</v>
      </c>
      <c r="L17" s="230"/>
      <c r="N17" s="456">
        <f t="shared" si="1"/>
        <v>0</v>
      </c>
      <c r="Q17" s="798" t="s">
        <v>1037</v>
      </c>
      <c r="R17" s="797"/>
      <c r="S17" s="799">
        <f>-'Exh 3'!L18</f>
        <v>1.0219999999999993E-2</v>
      </c>
      <c r="T17" s="797"/>
      <c r="U17" s="798" t="s">
        <v>1044</v>
      </c>
      <c r="V17" s="797"/>
      <c r="W17" s="797"/>
      <c r="X17" s="799">
        <f>-'Exh 3'!L44</f>
        <v>4.7099999999999989E-3</v>
      </c>
    </row>
    <row r="18" spans="1:24">
      <c r="A18" s="584"/>
      <c r="B18" s="434"/>
      <c r="C18" s="584"/>
      <c r="D18" s="230"/>
      <c r="E18" s="230"/>
      <c r="G18" s="208"/>
      <c r="L18" s="230"/>
      <c r="N18" s="456"/>
      <c r="Q18" s="797"/>
      <c r="R18" s="797"/>
      <c r="S18" s="797"/>
      <c r="T18" s="797"/>
      <c r="U18" s="797"/>
      <c r="V18" s="797"/>
      <c r="W18" s="797"/>
      <c r="X18" s="797"/>
    </row>
    <row r="19" spans="1:24">
      <c r="A19" s="584">
        <v>4</v>
      </c>
      <c r="B19" s="434" t="s">
        <v>321</v>
      </c>
      <c r="C19" s="584">
        <v>25</v>
      </c>
      <c r="D19" s="230">
        <f>'Exh 1'!H22*1000</f>
        <v>66850242.767399989</v>
      </c>
      <c r="E19" s="230">
        <f t="shared" si="0"/>
        <v>0</v>
      </c>
      <c r="F19" s="661">
        <f>'Pres &amp; Prop Rev'!G23</f>
        <v>1085901581.3150001</v>
      </c>
      <c r="G19" s="208">
        <v>0</v>
      </c>
      <c r="L19" s="230"/>
      <c r="N19" s="456">
        <f t="shared" si="1"/>
        <v>0</v>
      </c>
      <c r="Q19" s="796" t="s">
        <v>1047</v>
      </c>
      <c r="R19" s="797"/>
      <c r="S19" s="797"/>
      <c r="T19" s="797"/>
      <c r="U19" s="796" t="s">
        <v>1049</v>
      </c>
      <c r="V19" s="797"/>
      <c r="W19" s="797"/>
      <c r="X19" s="797"/>
    </row>
    <row r="20" spans="1:24">
      <c r="A20" s="584"/>
      <c r="B20" s="434"/>
      <c r="C20" s="584"/>
      <c r="D20" s="230"/>
      <c r="E20" s="230"/>
      <c r="G20" s="208"/>
      <c r="L20" s="230"/>
      <c r="N20" s="456"/>
      <c r="Q20" s="797" t="s">
        <v>331</v>
      </c>
      <c r="R20" s="797"/>
      <c r="S20" s="797"/>
      <c r="T20" s="797"/>
      <c r="U20" s="797" t="s">
        <v>331</v>
      </c>
      <c r="V20" s="797"/>
      <c r="W20" s="797"/>
      <c r="X20" s="797"/>
    </row>
    <row r="21" spans="1:24">
      <c r="A21" s="584">
        <v>5</v>
      </c>
      <c r="B21" s="434" t="s">
        <v>303</v>
      </c>
      <c r="C21" s="402" t="s">
        <v>468</v>
      </c>
      <c r="D21" s="230">
        <f>'Exh 1'!H24*1000</f>
        <v>12561944.91</v>
      </c>
      <c r="E21" s="230">
        <f t="shared" si="0"/>
        <v>0</v>
      </c>
      <c r="F21" s="661">
        <f>'Pres &amp; Prop Rev'!H23</f>
        <v>139623053.042</v>
      </c>
      <c r="G21" s="208">
        <v>0</v>
      </c>
      <c r="L21" s="230"/>
      <c r="N21" s="456">
        <f t="shared" si="1"/>
        <v>0</v>
      </c>
      <c r="Q21" s="798" t="s">
        <v>1038</v>
      </c>
      <c r="R21" s="797"/>
      <c r="S21" s="799">
        <f>-'Exh 3'!L23</f>
        <v>1.1289999999999981E-2</v>
      </c>
      <c r="T21" s="797"/>
      <c r="U21" s="800" t="s">
        <v>756</v>
      </c>
      <c r="V21" s="797"/>
      <c r="W21" s="797"/>
      <c r="X21" s="799">
        <f>-'Exh 3'!L57</f>
        <v>8.9900000000000119E-3</v>
      </c>
    </row>
    <row r="22" spans="1:24">
      <c r="A22" s="584"/>
      <c r="B22" s="434"/>
      <c r="C22" s="584"/>
      <c r="D22" s="230"/>
      <c r="E22" s="230"/>
      <c r="G22" s="208"/>
      <c r="L22" s="230"/>
      <c r="N22" s="456"/>
      <c r="Q22" s="798" t="s">
        <v>1039</v>
      </c>
      <c r="R22" s="797"/>
      <c r="S22" s="799">
        <f>-'Exh 3'!L24</f>
        <v>8.2999999999999879E-3</v>
      </c>
      <c r="T22" s="797"/>
      <c r="U22" s="800" t="s">
        <v>757</v>
      </c>
      <c r="V22" s="797"/>
      <c r="W22" s="797"/>
      <c r="X22" s="799">
        <f>-'Exh 3'!L58</f>
        <v>8.9900000000000119E-3</v>
      </c>
    </row>
    <row r="23" spans="1:24">
      <c r="A23" s="584">
        <v>6</v>
      </c>
      <c r="B23" s="434" t="s">
        <v>304</v>
      </c>
      <c r="C23" s="584" t="s">
        <v>352</v>
      </c>
      <c r="D23" s="230">
        <f>'Exh 1'!H26*1000</f>
        <v>6769562.2819919996</v>
      </c>
      <c r="E23" s="230">
        <f>F23*G23</f>
        <v>0</v>
      </c>
      <c r="F23" s="661">
        <f>'Pres &amp; Prop Rev'!I23</f>
        <v>17961923.65997</v>
      </c>
      <c r="G23" s="208">
        <v>0</v>
      </c>
      <c r="L23" s="230"/>
      <c r="N23" s="456">
        <f t="shared" si="1"/>
        <v>0</v>
      </c>
      <c r="Q23" s="797"/>
      <c r="R23" s="797"/>
      <c r="S23" s="797"/>
      <c r="T23" s="797"/>
      <c r="U23" s="798" t="s">
        <v>341</v>
      </c>
      <c r="V23" s="797"/>
      <c r="W23" s="797"/>
      <c r="X23" s="799">
        <f>-'Exh 3'!L59</f>
        <v>6.420000000000009E-3</v>
      </c>
    </row>
    <row r="24" spans="1:24">
      <c r="A24" s="584"/>
      <c r="B24" s="434"/>
      <c r="C24" s="584"/>
      <c r="D24" s="230"/>
      <c r="E24" s="230"/>
      <c r="L24" s="230"/>
      <c r="N24" s="456"/>
      <c r="Q24" s="797"/>
      <c r="R24" s="797"/>
      <c r="S24" s="797"/>
      <c r="T24" s="797"/>
      <c r="U24" s="798"/>
      <c r="V24" s="797"/>
      <c r="W24" s="797"/>
      <c r="X24" s="799"/>
    </row>
    <row r="25" spans="1:24">
      <c r="A25" s="584">
        <v>7</v>
      </c>
      <c r="B25" s="373" t="s">
        <v>66</v>
      </c>
      <c r="C25" s="584"/>
      <c r="D25" s="230">
        <f>'Exh 1'!H28*1000</f>
        <v>530122861.79862255</v>
      </c>
      <c r="E25" s="230">
        <f>SUM(E13:E23)</f>
        <v>0</v>
      </c>
      <c r="F25" s="661">
        <f>SUM(F13:F23)</f>
        <v>5630440362.6409712</v>
      </c>
      <c r="L25" s="230"/>
      <c r="N25" s="456">
        <f t="shared" si="1"/>
        <v>0</v>
      </c>
      <c r="Q25" s="796" t="s">
        <v>1048</v>
      </c>
      <c r="R25" s="797"/>
      <c r="S25" s="797"/>
      <c r="T25" s="797"/>
      <c r="U25" s="796" t="s">
        <v>1045</v>
      </c>
      <c r="V25" s="797"/>
      <c r="W25" s="797"/>
      <c r="X25" s="797"/>
    </row>
    <row r="26" spans="1:24" s="793" customFormat="1">
      <c r="A26" s="584"/>
      <c r="B26" s="373"/>
      <c r="C26" s="584"/>
      <c r="D26" s="230"/>
      <c r="E26" s="230"/>
      <c r="F26" s="661"/>
      <c r="L26" s="230"/>
      <c r="N26" s="456"/>
      <c r="Q26" s="797" t="s">
        <v>331</v>
      </c>
      <c r="R26" s="797"/>
      <c r="S26" s="797"/>
      <c r="T26" s="797"/>
      <c r="U26" s="797"/>
      <c r="V26" s="797"/>
      <c r="W26" s="797"/>
      <c r="X26" s="797"/>
    </row>
    <row r="27" spans="1:24">
      <c r="Q27" s="798" t="s">
        <v>1040</v>
      </c>
      <c r="R27" s="797"/>
      <c r="S27" s="799">
        <f>-'Exh 3'!L33</f>
        <v>8.1799999999999928E-3</v>
      </c>
      <c r="T27" s="797"/>
      <c r="U27" s="798" t="s">
        <v>1046</v>
      </c>
      <c r="V27" s="797"/>
      <c r="W27" s="797"/>
      <c r="X27" s="797"/>
    </row>
    <row r="28" spans="1:24">
      <c r="Q28" s="798" t="s">
        <v>1041</v>
      </c>
      <c r="R28" s="797"/>
      <c r="S28" s="799">
        <f>-'Exh 3'!L34</f>
        <v>7.3200000000000071E-3</v>
      </c>
      <c r="T28" s="797"/>
      <c r="U28" s="797"/>
      <c r="V28" s="797"/>
      <c r="W28" s="797"/>
      <c r="X28" s="797"/>
    </row>
    <row r="29" spans="1:24">
      <c r="A29" s="19"/>
    </row>
    <row r="33" spans="2:4">
      <c r="B33" t="s">
        <v>752</v>
      </c>
      <c r="C33" s="456">
        <f>E25/D25</f>
        <v>0</v>
      </c>
      <c r="D33" s="230">
        <v>0</v>
      </c>
    </row>
    <row r="36" spans="2:4">
      <c r="B36" s="434"/>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R29"/>
  <sheetViews>
    <sheetView workbookViewId="0">
      <selection activeCell="H66" sqref="H66"/>
    </sheetView>
  </sheetViews>
  <sheetFormatPr defaultRowHeight="13.2"/>
  <cols>
    <col min="1" max="1" width="5.88671875" customWidth="1"/>
    <col min="2" max="2" width="11.6640625" customWidth="1"/>
    <col min="3" max="4" width="9.6640625" bestFit="1" customWidth="1"/>
    <col min="5" max="5" width="9.33203125" bestFit="1" customWidth="1"/>
    <col min="7" max="7" width="11.6640625" customWidth="1"/>
    <col min="8" max="9" width="10.109375" bestFit="1" customWidth="1"/>
    <col min="10" max="10" width="9.33203125" bestFit="1" customWidth="1"/>
    <col min="12" max="13" width="9.33203125" bestFit="1" customWidth="1"/>
    <col min="17" max="17" width="9.33203125" style="692"/>
  </cols>
  <sheetData>
    <row r="3" spans="1:17" ht="15.6">
      <c r="A3" s="521" t="s">
        <v>552</v>
      </c>
      <c r="B3" s="511"/>
      <c r="C3" s="511"/>
      <c r="D3" s="511"/>
      <c r="E3" s="511"/>
      <c r="F3" s="511"/>
      <c r="G3" s="511"/>
      <c r="H3" s="511"/>
      <c r="I3" s="511"/>
      <c r="J3" s="511"/>
      <c r="K3" s="511"/>
      <c r="L3" s="511"/>
      <c r="M3" s="511"/>
    </row>
    <row r="7" spans="1:17">
      <c r="A7" s="512" t="s">
        <v>555</v>
      </c>
      <c r="B7" s="512"/>
      <c r="C7" s="511"/>
      <c r="D7" s="511"/>
      <c r="E7" s="511"/>
      <c r="F7" s="511"/>
      <c r="G7" s="512" t="s">
        <v>556</v>
      </c>
      <c r="H7" s="512"/>
      <c r="I7" s="511"/>
      <c r="J7" s="511"/>
      <c r="K7" s="511"/>
      <c r="L7" s="511"/>
      <c r="M7" s="511"/>
    </row>
    <row r="8" spans="1:17">
      <c r="A8" s="511"/>
      <c r="B8" s="511" t="s">
        <v>266</v>
      </c>
      <c r="C8" s="511" t="s">
        <v>504</v>
      </c>
      <c r="D8" s="511" t="s">
        <v>505</v>
      </c>
      <c r="E8" s="511" t="s">
        <v>550</v>
      </c>
      <c r="F8" s="511"/>
      <c r="G8" s="511" t="s">
        <v>266</v>
      </c>
      <c r="H8" s="511" t="s">
        <v>504</v>
      </c>
      <c r="I8" s="511" t="s">
        <v>505</v>
      </c>
      <c r="J8" s="511" t="s">
        <v>550</v>
      </c>
      <c r="K8" s="511"/>
      <c r="L8" s="511" t="s">
        <v>551</v>
      </c>
      <c r="M8" s="511" t="s">
        <v>422</v>
      </c>
    </row>
    <row r="9" spans="1:17">
      <c r="A9" s="511"/>
      <c r="B9" s="508">
        <f>'Exh 3'!D14</f>
        <v>9</v>
      </c>
      <c r="C9" s="518">
        <f>'Exh 3'!H16</f>
        <v>7.8579999999999997E-2</v>
      </c>
      <c r="D9" s="518">
        <f>'Exh 3'!H17</f>
        <v>9.1819999999999999E-2</v>
      </c>
      <c r="E9" s="516"/>
      <c r="F9" s="515"/>
      <c r="G9" s="508">
        <f>'Exh 3'!M14</f>
        <v>9</v>
      </c>
      <c r="H9" s="518">
        <f>'Exh 3'!M16</f>
        <v>7.8579999999999997E-2</v>
      </c>
      <c r="I9" s="518">
        <f>'Exh 3'!M17</f>
        <v>9.1819999999999999E-2</v>
      </c>
      <c r="J9" s="511"/>
      <c r="K9" s="511"/>
      <c r="L9" s="511"/>
      <c r="M9" s="511"/>
    </row>
    <row r="10" spans="1:17">
      <c r="A10" s="511">
        <v>100</v>
      </c>
      <c r="B10" s="507">
        <f>$B$9</f>
        <v>9</v>
      </c>
      <c r="C10" s="515">
        <f t="shared" ref="C10:C17" si="0">A10*$C$9</f>
        <v>7.8579999999999997</v>
      </c>
      <c r="D10" s="515"/>
      <c r="E10" s="507">
        <f>SUM(B10:D10)</f>
        <v>16.858000000000001</v>
      </c>
      <c r="F10" s="515"/>
      <c r="G10" s="507">
        <f>$G$9</f>
        <v>9</v>
      </c>
      <c r="H10" s="515">
        <f t="shared" ref="H10:H17" si="1">A10*$H$9</f>
        <v>7.8579999999999997</v>
      </c>
      <c r="I10" s="515"/>
      <c r="J10" s="514">
        <f>SUM(G10:I10)</f>
        <v>16.858000000000001</v>
      </c>
      <c r="K10" s="511"/>
      <c r="L10" s="513">
        <f>J10-E10</f>
        <v>0</v>
      </c>
      <c r="M10" s="519">
        <f>L10/E10</f>
        <v>0</v>
      </c>
    </row>
    <row r="11" spans="1:17" s="504" customFormat="1">
      <c r="A11" s="511">
        <v>200</v>
      </c>
      <c r="B11" s="507">
        <f>$B$9</f>
        <v>9</v>
      </c>
      <c r="C11" s="515">
        <f t="shared" si="0"/>
        <v>15.715999999999999</v>
      </c>
      <c r="D11" s="515"/>
      <c r="E11" s="507">
        <f>SUM(B11:D11)</f>
        <v>24.716000000000001</v>
      </c>
      <c r="F11" s="515"/>
      <c r="G11" s="507">
        <f>$G$9</f>
        <v>9</v>
      </c>
      <c r="H11" s="515">
        <f t="shared" si="1"/>
        <v>15.715999999999999</v>
      </c>
      <c r="I11" s="515"/>
      <c r="J11" s="514">
        <f>SUM(G11:I11)</f>
        <v>24.716000000000001</v>
      </c>
      <c r="K11" s="511"/>
      <c r="L11" s="513">
        <f t="shared" ref="L11:L24" si="2">J11-E11</f>
        <v>0</v>
      </c>
      <c r="M11" s="519">
        <f>L11/E11</f>
        <v>0</v>
      </c>
      <c r="Q11" s="692"/>
    </row>
    <row r="12" spans="1:17" s="504" customFormat="1">
      <c r="A12" s="511">
        <v>300</v>
      </c>
      <c r="B12" s="507">
        <f>$B$9</f>
        <v>9</v>
      </c>
      <c r="C12" s="515">
        <f t="shared" si="0"/>
        <v>23.573999999999998</v>
      </c>
      <c r="D12" s="515"/>
      <c r="E12" s="507">
        <f>SUM(B12:D12)</f>
        <v>32.573999999999998</v>
      </c>
      <c r="F12" s="515"/>
      <c r="G12" s="507">
        <f>$G$9</f>
        <v>9</v>
      </c>
      <c r="H12" s="515">
        <f t="shared" si="1"/>
        <v>23.573999999999998</v>
      </c>
      <c r="I12" s="515"/>
      <c r="J12" s="514">
        <f>SUM(G12:I12)</f>
        <v>32.573999999999998</v>
      </c>
      <c r="K12" s="511"/>
      <c r="L12" s="513">
        <f t="shared" si="2"/>
        <v>0</v>
      </c>
      <c r="M12" s="519">
        <f>L12/E12</f>
        <v>0</v>
      </c>
      <c r="Q12" s="692"/>
    </row>
    <row r="13" spans="1:17" s="504" customFormat="1">
      <c r="A13" s="511">
        <v>400</v>
      </c>
      <c r="B13" s="507">
        <f>$B$9</f>
        <v>9</v>
      </c>
      <c r="C13" s="515">
        <f t="shared" si="0"/>
        <v>31.431999999999999</v>
      </c>
      <c r="D13" s="515"/>
      <c r="E13" s="507">
        <f>SUM(B13:D13)</f>
        <v>40.432000000000002</v>
      </c>
      <c r="F13" s="515"/>
      <c r="G13" s="507">
        <f>$G$9</f>
        <v>9</v>
      </c>
      <c r="H13" s="515">
        <f t="shared" si="1"/>
        <v>31.431999999999999</v>
      </c>
      <c r="I13" s="515"/>
      <c r="J13" s="514">
        <f>SUM(G13:I13)</f>
        <v>40.432000000000002</v>
      </c>
      <c r="K13" s="511"/>
      <c r="L13" s="513">
        <f t="shared" si="2"/>
        <v>0</v>
      </c>
      <c r="M13" s="519">
        <f>L13/E13</f>
        <v>0</v>
      </c>
      <c r="Q13" s="692"/>
    </row>
    <row r="14" spans="1:17" s="504" customFormat="1">
      <c r="A14" s="511">
        <v>500</v>
      </c>
      <c r="B14" s="507">
        <f>$B$9</f>
        <v>9</v>
      </c>
      <c r="C14" s="515">
        <f t="shared" si="0"/>
        <v>39.29</v>
      </c>
      <c r="D14" s="515"/>
      <c r="E14" s="507">
        <f>SUM(B14:D14)</f>
        <v>48.29</v>
      </c>
      <c r="F14" s="515"/>
      <c r="G14" s="507">
        <f>$G$9</f>
        <v>9</v>
      </c>
      <c r="H14" s="515">
        <f t="shared" si="1"/>
        <v>39.29</v>
      </c>
      <c r="I14" s="515"/>
      <c r="J14" s="514">
        <f>SUM(G14:I14)</f>
        <v>48.29</v>
      </c>
      <c r="K14" s="511"/>
      <c r="L14" s="513">
        <f t="shared" si="2"/>
        <v>0</v>
      </c>
      <c r="M14" s="519">
        <f>L14/E14</f>
        <v>0</v>
      </c>
      <c r="Q14" s="692"/>
    </row>
    <row r="15" spans="1:17">
      <c r="A15" s="511">
        <v>600</v>
      </c>
      <c r="B15" s="507">
        <f t="shared" ref="B15:B24" si="3">$B$9</f>
        <v>9</v>
      </c>
      <c r="C15" s="515">
        <f t="shared" si="0"/>
        <v>47.147999999999996</v>
      </c>
      <c r="D15" s="515"/>
      <c r="E15" s="507">
        <f t="shared" ref="E15:E24" si="4">SUM(B15:D15)</f>
        <v>56.147999999999996</v>
      </c>
      <c r="F15" s="515"/>
      <c r="G15" s="507">
        <f t="shared" ref="G15:G24" si="5">$G$9</f>
        <v>9</v>
      </c>
      <c r="H15" s="515">
        <f t="shared" si="1"/>
        <v>47.147999999999996</v>
      </c>
      <c r="I15" s="515"/>
      <c r="J15" s="514">
        <f t="shared" ref="J15:J24" si="6">SUM(G15:I15)</f>
        <v>56.147999999999996</v>
      </c>
      <c r="K15" s="511"/>
      <c r="L15" s="513">
        <f t="shared" si="2"/>
        <v>0</v>
      </c>
      <c r="M15" s="519">
        <f t="shared" ref="M15:M24" si="7">L15/E15</f>
        <v>0</v>
      </c>
    </row>
    <row r="16" spans="1:17" s="504" customFormat="1">
      <c r="A16" s="511">
        <v>700</v>
      </c>
      <c r="B16" s="507">
        <f t="shared" si="3"/>
        <v>9</v>
      </c>
      <c r="C16" s="515">
        <f t="shared" si="0"/>
        <v>55.006</v>
      </c>
      <c r="D16" s="515"/>
      <c r="E16" s="507">
        <f>SUM(B16:D16)</f>
        <v>64.006</v>
      </c>
      <c r="F16" s="515"/>
      <c r="G16" s="507">
        <f t="shared" si="5"/>
        <v>9</v>
      </c>
      <c r="H16" s="515">
        <f t="shared" si="1"/>
        <v>55.006</v>
      </c>
      <c r="I16" s="515"/>
      <c r="J16" s="514">
        <f>SUM(G16:I16)</f>
        <v>64.006</v>
      </c>
      <c r="K16" s="511"/>
      <c r="L16" s="513">
        <f t="shared" si="2"/>
        <v>0</v>
      </c>
      <c r="M16" s="519">
        <f>L16/E16</f>
        <v>0</v>
      </c>
      <c r="Q16" s="692"/>
    </row>
    <row r="17" spans="1:18" ht="13.8" thickBot="1">
      <c r="A17" s="511">
        <v>800</v>
      </c>
      <c r="B17" s="507">
        <f t="shared" si="3"/>
        <v>9</v>
      </c>
      <c r="C17" s="515">
        <f t="shared" si="0"/>
        <v>62.863999999999997</v>
      </c>
      <c r="D17" s="515"/>
      <c r="E17" s="507">
        <f t="shared" si="4"/>
        <v>71.864000000000004</v>
      </c>
      <c r="F17" s="515"/>
      <c r="G17" s="507">
        <f t="shared" si="5"/>
        <v>9</v>
      </c>
      <c r="H17" s="515">
        <f t="shared" si="1"/>
        <v>62.863999999999997</v>
      </c>
      <c r="I17" s="515"/>
      <c r="J17" s="514">
        <f t="shared" si="6"/>
        <v>71.864000000000004</v>
      </c>
      <c r="K17" s="511"/>
      <c r="L17" s="513">
        <f t="shared" si="2"/>
        <v>0</v>
      </c>
      <c r="M17" s="519">
        <f t="shared" si="7"/>
        <v>0</v>
      </c>
    </row>
    <row r="18" spans="1:18" ht="13.8" thickBot="1">
      <c r="A18" s="634">
        <f>ROUND('Pres &amp; Prop Rev'!D46/'Pres &amp; Prop Rev'!D48,0)</f>
        <v>914</v>
      </c>
      <c r="B18" s="509">
        <f t="shared" si="3"/>
        <v>9</v>
      </c>
      <c r="C18" s="517">
        <f>ROUND($C$17,2)</f>
        <v>62.86</v>
      </c>
      <c r="D18" s="517">
        <f>ROUND((A18-$A$17)*$D$9,2)</f>
        <v>10.47</v>
      </c>
      <c r="E18" s="509">
        <f t="shared" si="4"/>
        <v>82.33</v>
      </c>
      <c r="F18" s="517"/>
      <c r="G18" s="509">
        <f t="shared" si="5"/>
        <v>9</v>
      </c>
      <c r="H18" s="517">
        <f>ROUND($H$17,2)</f>
        <v>62.86</v>
      </c>
      <c r="I18" s="517">
        <f>ROUND((A18-$A$17)*$I$9,2)</f>
        <v>10.47</v>
      </c>
      <c r="J18" s="510">
        <f>SUM(G18:I18)</f>
        <v>82.33</v>
      </c>
      <c r="K18" s="520"/>
      <c r="L18" s="506">
        <f t="shared" si="2"/>
        <v>0</v>
      </c>
      <c r="M18" s="505">
        <f>L18/E18</f>
        <v>0</v>
      </c>
      <c r="N18" s="159"/>
      <c r="P18" s="588"/>
      <c r="Q18" s="698"/>
      <c r="R18" s="456"/>
    </row>
    <row r="19" spans="1:18">
      <c r="A19" s="511">
        <v>1000</v>
      </c>
      <c r="B19" s="507">
        <f t="shared" si="3"/>
        <v>9</v>
      </c>
      <c r="C19" s="515">
        <f>ROUND($C$17,2)</f>
        <v>62.86</v>
      </c>
      <c r="D19" s="515">
        <f>ROUND((A19-$A$17)*$D$9,2)</f>
        <v>18.36</v>
      </c>
      <c r="E19" s="507">
        <f t="shared" si="4"/>
        <v>90.22</v>
      </c>
      <c r="F19" s="515"/>
      <c r="G19" s="507">
        <f t="shared" si="5"/>
        <v>9</v>
      </c>
      <c r="H19" s="515">
        <f>ROUND($H$17,2)</f>
        <v>62.86</v>
      </c>
      <c r="I19" s="515">
        <f>ROUND((A19-$A$17)*$I$9,2)</f>
        <v>18.36</v>
      </c>
      <c r="J19" s="514">
        <f t="shared" si="6"/>
        <v>90.22</v>
      </c>
      <c r="K19" s="511"/>
      <c r="L19" s="513">
        <f t="shared" si="2"/>
        <v>0</v>
      </c>
      <c r="M19" s="519">
        <f t="shared" si="7"/>
        <v>0</v>
      </c>
    </row>
    <row r="20" spans="1:18" s="504" customFormat="1">
      <c r="A20" s="511">
        <v>1100</v>
      </c>
      <c r="B20" s="507">
        <f t="shared" si="3"/>
        <v>9</v>
      </c>
      <c r="C20" s="515">
        <f>$C$17</f>
        <v>62.863999999999997</v>
      </c>
      <c r="D20" s="515">
        <f>(A20-$A$17)*$D$9</f>
        <v>27.545999999999999</v>
      </c>
      <c r="E20" s="507">
        <f>SUM(B20:D20)</f>
        <v>99.41</v>
      </c>
      <c r="F20" s="515"/>
      <c r="G20" s="507">
        <f t="shared" si="5"/>
        <v>9</v>
      </c>
      <c r="H20" s="515">
        <f>$H$17</f>
        <v>62.863999999999997</v>
      </c>
      <c r="I20" s="515">
        <f>(A20-$A$17)*$I$9</f>
        <v>27.545999999999999</v>
      </c>
      <c r="J20" s="514">
        <f>SUM(G20:I20)</f>
        <v>99.41</v>
      </c>
      <c r="K20" s="511"/>
      <c r="L20" s="513">
        <f t="shared" si="2"/>
        <v>0</v>
      </c>
      <c r="M20" s="519">
        <f>L20/E20</f>
        <v>0</v>
      </c>
      <c r="Q20" s="692"/>
    </row>
    <row r="21" spans="1:18">
      <c r="A21" s="511">
        <v>1200</v>
      </c>
      <c r="B21" s="507">
        <f t="shared" si="3"/>
        <v>9</v>
      </c>
      <c r="C21" s="515">
        <f>$C$17</f>
        <v>62.863999999999997</v>
      </c>
      <c r="D21" s="515">
        <f>(A21-$A$17)*$D$9</f>
        <v>36.728000000000002</v>
      </c>
      <c r="E21" s="507">
        <f t="shared" si="4"/>
        <v>108.59200000000001</v>
      </c>
      <c r="F21" s="515"/>
      <c r="G21" s="507">
        <f t="shared" si="5"/>
        <v>9</v>
      </c>
      <c r="H21" s="515">
        <f>$H$17</f>
        <v>62.863999999999997</v>
      </c>
      <c r="I21" s="515">
        <f>(A21-$A$17)*$I$9</f>
        <v>36.728000000000002</v>
      </c>
      <c r="J21" s="514">
        <f t="shared" si="6"/>
        <v>108.59200000000001</v>
      </c>
      <c r="K21" s="511"/>
      <c r="L21" s="513">
        <f t="shared" si="2"/>
        <v>0</v>
      </c>
      <c r="M21" s="519">
        <f t="shared" si="7"/>
        <v>0</v>
      </c>
    </row>
    <row r="22" spans="1:18" s="504" customFormat="1">
      <c r="A22" s="511">
        <v>1300</v>
      </c>
      <c r="B22" s="507">
        <f t="shared" si="3"/>
        <v>9</v>
      </c>
      <c r="C22" s="515">
        <f>$C$17</f>
        <v>62.863999999999997</v>
      </c>
      <c r="D22" s="515">
        <f>(A22-$A$17)*$D$9</f>
        <v>45.91</v>
      </c>
      <c r="E22" s="507">
        <f>SUM(B22:D22)</f>
        <v>117.774</v>
      </c>
      <c r="F22" s="515"/>
      <c r="G22" s="507">
        <f t="shared" si="5"/>
        <v>9</v>
      </c>
      <c r="H22" s="515">
        <f>$H$17</f>
        <v>62.863999999999997</v>
      </c>
      <c r="I22" s="515">
        <f>(A22-$A$17)*$I$9</f>
        <v>45.91</v>
      </c>
      <c r="J22" s="514">
        <f>SUM(G22:I22)</f>
        <v>117.774</v>
      </c>
      <c r="K22" s="511"/>
      <c r="L22" s="513">
        <f t="shared" si="2"/>
        <v>0</v>
      </c>
      <c r="M22" s="519">
        <f>L22/E22</f>
        <v>0</v>
      </c>
      <c r="Q22" s="692"/>
    </row>
    <row r="23" spans="1:18" s="504" customFormat="1">
      <c r="A23" s="511">
        <v>1400</v>
      </c>
      <c r="B23" s="507">
        <f t="shared" si="3"/>
        <v>9</v>
      </c>
      <c r="C23" s="515">
        <f>$C$17</f>
        <v>62.863999999999997</v>
      </c>
      <c r="D23" s="515">
        <f>(A23-$A$17)*$D$9</f>
        <v>55.091999999999999</v>
      </c>
      <c r="E23" s="507">
        <f>SUM(B23:D23)</f>
        <v>126.956</v>
      </c>
      <c r="F23" s="515"/>
      <c r="G23" s="507">
        <f t="shared" si="5"/>
        <v>9</v>
      </c>
      <c r="H23" s="515">
        <f>$H$17</f>
        <v>62.863999999999997</v>
      </c>
      <c r="I23" s="515">
        <f>(A23-$A$17)*$I$9</f>
        <v>55.091999999999999</v>
      </c>
      <c r="J23" s="514">
        <f>SUM(G23:I23)</f>
        <v>126.956</v>
      </c>
      <c r="K23" s="511"/>
      <c r="L23" s="513">
        <f t="shared" si="2"/>
        <v>0</v>
      </c>
      <c r="M23" s="519">
        <f>L23/E23</f>
        <v>0</v>
      </c>
      <c r="Q23" s="692"/>
    </row>
    <row r="24" spans="1:18">
      <c r="A24" s="511">
        <v>1500</v>
      </c>
      <c r="B24" s="507">
        <f t="shared" si="3"/>
        <v>9</v>
      </c>
      <c r="C24" s="515">
        <f>$C$17</f>
        <v>62.863999999999997</v>
      </c>
      <c r="D24" s="515">
        <f>(A24-$A$17)*$D$9</f>
        <v>64.274000000000001</v>
      </c>
      <c r="E24" s="507">
        <f t="shared" si="4"/>
        <v>136.13800000000001</v>
      </c>
      <c r="F24" s="515"/>
      <c r="G24" s="507">
        <f t="shared" si="5"/>
        <v>9</v>
      </c>
      <c r="H24" s="515">
        <f>$H$17</f>
        <v>62.863999999999997</v>
      </c>
      <c r="I24" s="515">
        <f>(A24-$A$17)*$I$9</f>
        <v>64.274000000000001</v>
      </c>
      <c r="J24" s="514">
        <f t="shared" si="6"/>
        <v>136.13800000000001</v>
      </c>
      <c r="K24" s="511"/>
      <c r="L24" s="513">
        <f t="shared" si="2"/>
        <v>0</v>
      </c>
      <c r="M24" s="519">
        <f t="shared" si="7"/>
        <v>0</v>
      </c>
    </row>
    <row r="25" spans="1:18">
      <c r="E25" s="507"/>
    </row>
    <row r="28" spans="1:18">
      <c r="G28" s="317"/>
      <c r="H28" s="645"/>
      <c r="I28" s="645"/>
      <c r="L28" s="317"/>
      <c r="M28" s="456"/>
    </row>
    <row r="29" spans="1:18">
      <c r="G29" s="317"/>
      <c r="H29" s="588"/>
      <c r="I29" s="588"/>
      <c r="L29" s="317"/>
      <c r="M29" s="456"/>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Y47"/>
  <sheetViews>
    <sheetView workbookViewId="0">
      <selection activeCell="AB39" sqref="AB39"/>
    </sheetView>
  </sheetViews>
  <sheetFormatPr defaultColWidth="9.33203125" defaultRowHeight="13.2"/>
  <cols>
    <col min="1" max="1" width="4.44140625" style="724" customWidth="1"/>
    <col min="2" max="2" width="24.5546875" style="724" bestFit="1" customWidth="1"/>
    <col min="3" max="3" width="8.6640625" style="724" bestFit="1" customWidth="1"/>
    <col min="4" max="4" width="13.44140625" style="724" bestFit="1" customWidth="1"/>
    <col min="5" max="6" width="13.5546875" style="724" bestFit="1" customWidth="1"/>
    <col min="7" max="7" width="13.33203125" style="724" hidden="1" customWidth="1"/>
    <col min="8" max="8" width="13.44140625" style="724" hidden="1" customWidth="1"/>
    <col min="9" max="9" width="13.5546875" style="724" hidden="1" customWidth="1"/>
    <col min="10" max="10" width="4.6640625" style="724" hidden="1" customWidth="1"/>
    <col min="11" max="11" width="14" style="724" hidden="1" customWidth="1"/>
    <col min="12" max="12" width="10.33203125" style="724" hidden="1" customWidth="1"/>
    <col min="13" max="13" width="4.5546875" style="724" hidden="1" customWidth="1"/>
    <col min="14" max="14" width="11.33203125" style="724" hidden="1" customWidth="1"/>
    <col min="15" max="15" width="9.6640625" style="724" hidden="1" customWidth="1"/>
    <col min="16" max="16" width="11.33203125" style="724" hidden="1" customWidth="1"/>
    <col min="17" max="17" width="9.33203125" style="724" hidden="1" customWidth="1"/>
    <col min="18" max="18" width="14" style="724" hidden="1" customWidth="1"/>
    <col min="19" max="24" width="0" style="724" hidden="1" customWidth="1"/>
    <col min="25" max="16384" width="9.33203125" style="724"/>
  </cols>
  <sheetData>
    <row r="3" spans="2:25">
      <c r="B3" s="434" t="s">
        <v>1063</v>
      </c>
    </row>
    <row r="6" spans="2:25">
      <c r="D6" s="540"/>
      <c r="K6" s="540" t="s">
        <v>66</v>
      </c>
      <c r="L6" s="737"/>
    </row>
    <row r="7" spans="2:25">
      <c r="D7" s="540" t="s">
        <v>881</v>
      </c>
      <c r="E7" s="540" t="s">
        <v>284</v>
      </c>
      <c r="F7" s="540" t="s">
        <v>324</v>
      </c>
      <c r="G7" s="741"/>
      <c r="H7" s="540" t="s">
        <v>286</v>
      </c>
      <c r="I7" s="540" t="s">
        <v>286</v>
      </c>
      <c r="J7" s="540"/>
      <c r="K7" s="540" t="s">
        <v>882</v>
      </c>
      <c r="L7" s="737"/>
      <c r="R7" s="540" t="s">
        <v>324</v>
      </c>
      <c r="S7" s="725"/>
      <c r="T7" s="725"/>
      <c r="U7" s="725"/>
      <c r="V7" s="725"/>
      <c r="W7" s="725"/>
      <c r="X7" s="725"/>
      <c r="Y7" s="19"/>
    </row>
    <row r="8" spans="2:25">
      <c r="B8" s="584" t="s">
        <v>287</v>
      </c>
      <c r="C8" s="584" t="s">
        <v>311</v>
      </c>
      <c r="D8" s="540" t="s">
        <v>426</v>
      </c>
      <c r="E8" s="540" t="s">
        <v>883</v>
      </c>
      <c r="F8" s="540" t="s">
        <v>883</v>
      </c>
      <c r="G8" s="540" t="s">
        <v>883</v>
      </c>
      <c r="H8" s="540" t="s">
        <v>883</v>
      </c>
      <c r="I8" s="540" t="s">
        <v>883</v>
      </c>
      <c r="J8" s="540"/>
      <c r="K8" s="540" t="s">
        <v>275</v>
      </c>
      <c r="L8" s="737"/>
      <c r="R8" s="540" t="s">
        <v>326</v>
      </c>
    </row>
    <row r="9" spans="2:25">
      <c r="B9" s="349" t="s">
        <v>290</v>
      </c>
      <c r="C9" s="349" t="s">
        <v>291</v>
      </c>
      <c r="D9" s="726" t="s">
        <v>458</v>
      </c>
      <c r="E9" s="726" t="s">
        <v>275</v>
      </c>
      <c r="F9" s="726" t="s">
        <v>106</v>
      </c>
      <c r="G9" s="726" t="s">
        <v>292</v>
      </c>
      <c r="H9" s="726" t="s">
        <v>106</v>
      </c>
      <c r="I9" s="726" t="s">
        <v>275</v>
      </c>
      <c r="J9" s="726"/>
      <c r="K9" s="727" t="s">
        <v>379</v>
      </c>
      <c r="L9" s="737"/>
      <c r="R9" s="728" t="s">
        <v>106</v>
      </c>
    </row>
    <row r="10" spans="2:25">
      <c r="B10" s="584" t="s">
        <v>293</v>
      </c>
      <c r="C10" s="584" t="s">
        <v>294</v>
      </c>
      <c r="D10" s="584" t="s">
        <v>295</v>
      </c>
      <c r="E10" s="584" t="s">
        <v>296</v>
      </c>
      <c r="F10" s="584" t="s">
        <v>297</v>
      </c>
      <c r="G10" s="584" t="s">
        <v>298</v>
      </c>
      <c r="H10" s="584" t="s">
        <v>299</v>
      </c>
      <c r="I10" s="584" t="s">
        <v>319</v>
      </c>
      <c r="J10" s="584"/>
      <c r="K10" s="728" t="s">
        <v>884</v>
      </c>
      <c r="L10" s="363"/>
    </row>
    <row r="11" spans="2:25">
      <c r="B11" s="434"/>
      <c r="C11" s="584"/>
      <c r="L11" s="583"/>
    </row>
    <row r="12" spans="2:25">
      <c r="B12" s="434" t="s">
        <v>300</v>
      </c>
      <c r="C12" s="401" t="s">
        <v>700</v>
      </c>
      <c r="D12" s="661">
        <f>'Pres &amp; Prop Rev'!D46</f>
        <v>2395485524.8310003</v>
      </c>
      <c r="E12" s="729">
        <v>1.41E-3</v>
      </c>
      <c r="F12" s="400">
        <f>D12*E12</f>
        <v>3377634.5900117103</v>
      </c>
      <c r="G12" s="400">
        <f>F12*$G$37</f>
        <v>0</v>
      </c>
      <c r="H12" s="58">
        <f>F12+G12</f>
        <v>3377634.5900117103</v>
      </c>
      <c r="I12" s="552">
        <f>ROUND(H12/D12,5)</f>
        <v>1.41E-3</v>
      </c>
      <c r="J12" s="552"/>
      <c r="K12" s="730">
        <f>ROUND(I12-E12,5)</f>
        <v>0</v>
      </c>
      <c r="L12" s="738"/>
      <c r="R12" s="731">
        <f>'Rate Spread GRC'!J15*1000</f>
        <v>226547099.22999999</v>
      </c>
      <c r="S12" s="423">
        <f>(G12)/R12</f>
        <v>0</v>
      </c>
      <c r="U12" s="53">
        <f>E12*(1+$G$37)</f>
        <v>1.41E-3</v>
      </c>
      <c r="V12" s="456" t="e">
        <f>#REF!/R12</f>
        <v>#REF!</v>
      </c>
    </row>
    <row r="13" spans="2:25">
      <c r="B13" s="434"/>
      <c r="C13" s="584"/>
      <c r="F13" s="400"/>
      <c r="G13" s="400"/>
      <c r="H13" s="58"/>
      <c r="I13" s="552"/>
      <c r="J13" s="552"/>
      <c r="K13" s="730"/>
      <c r="L13" s="738"/>
      <c r="R13" s="731"/>
      <c r="S13" s="423"/>
      <c r="U13" s="53"/>
      <c r="V13" s="456"/>
    </row>
    <row r="14" spans="2:25">
      <c r="B14" s="434" t="s">
        <v>301</v>
      </c>
      <c r="C14" s="401" t="s">
        <v>466</v>
      </c>
      <c r="D14" s="661">
        <f>'Pres &amp; Prop Rev'!E46</f>
        <v>621898153.53599989</v>
      </c>
      <c r="E14" s="729">
        <v>2.0500000000000002E-3</v>
      </c>
      <c r="F14" s="400">
        <f>D14*E14</f>
        <v>1274891.2147487998</v>
      </c>
      <c r="G14" s="400">
        <f>F14*$G$37</f>
        <v>0</v>
      </c>
      <c r="H14" s="58">
        <f t="shared" ref="H14:H20" si="0">F14+G14</f>
        <v>1274891.2147487998</v>
      </c>
      <c r="I14" s="552">
        <f t="shared" ref="I14:I20" si="1">ROUND(H14/D14,5)</f>
        <v>2.0500000000000002E-3</v>
      </c>
      <c r="J14" s="552"/>
      <c r="K14" s="730">
        <f t="shared" ref="K14:K20" si="2">ROUND(I14-E14,5)</f>
        <v>0</v>
      </c>
      <c r="L14" s="738"/>
      <c r="R14" s="731">
        <f>'Rate Spread GRC'!J17*1000</f>
        <v>80210932.918461502</v>
      </c>
      <c r="S14" s="423">
        <f t="shared" ref="S14:S24" si="3">(G14)/R14</f>
        <v>0</v>
      </c>
      <c r="U14" s="53">
        <f>E14*(1+$G$37)</f>
        <v>2.0500000000000002E-3</v>
      </c>
      <c r="V14" s="456" t="e">
        <f>#REF!/R14</f>
        <v>#REF!</v>
      </c>
    </row>
    <row r="15" spans="2:25">
      <c r="B15" s="434"/>
      <c r="C15" s="584"/>
      <c r="F15" s="400"/>
      <c r="G15" s="400">
        <f>F15*$G$37</f>
        <v>0</v>
      </c>
      <c r="H15" s="58"/>
      <c r="I15" s="552"/>
      <c r="J15" s="552"/>
      <c r="K15" s="730"/>
      <c r="L15" s="738"/>
      <c r="R15" s="731"/>
      <c r="S15" s="423"/>
      <c r="U15" s="53"/>
      <c r="V15" s="456"/>
    </row>
    <row r="16" spans="2:25">
      <c r="B16" s="434" t="s">
        <v>302</v>
      </c>
      <c r="C16" s="402" t="s">
        <v>467</v>
      </c>
      <c r="D16" s="661">
        <f>'Pres &amp; Prop Rev'!F46</f>
        <v>1369570126.257</v>
      </c>
      <c r="E16" s="729">
        <v>1.47E-3</v>
      </c>
      <c r="F16" s="400">
        <f t="shared" ref="F16:F20" si="4">D16*E16</f>
        <v>2013268.0855977898</v>
      </c>
      <c r="G16" s="400">
        <f>F16*$G$37</f>
        <v>0</v>
      </c>
      <c r="H16" s="58">
        <f t="shared" si="0"/>
        <v>2013268.0855977898</v>
      </c>
      <c r="I16" s="552">
        <f t="shared" si="1"/>
        <v>1.47E-3</v>
      </c>
      <c r="J16" s="552"/>
      <c r="K16" s="730">
        <f t="shared" si="2"/>
        <v>0</v>
      </c>
      <c r="L16" s="738"/>
      <c r="R16" s="731">
        <f>'Rate Spread GRC'!J19*1000</f>
        <v>137183079.69076899</v>
      </c>
      <c r="S16" s="423">
        <f t="shared" si="3"/>
        <v>0</v>
      </c>
      <c r="U16" s="53">
        <f>E16*(1+$G$37)</f>
        <v>1.47E-3</v>
      </c>
      <c r="V16" s="456" t="e">
        <f>#REF!/R16</f>
        <v>#REF!</v>
      </c>
    </row>
    <row r="17" spans="2:22">
      <c r="B17" s="434"/>
      <c r="C17" s="584"/>
      <c r="F17" s="400"/>
      <c r="G17" s="400"/>
      <c r="H17" s="58"/>
      <c r="I17" s="552"/>
      <c r="J17" s="552"/>
      <c r="K17" s="730"/>
      <c r="L17" s="738"/>
      <c r="R17" s="731"/>
      <c r="S17" s="423"/>
      <c r="U17" s="53"/>
      <c r="V17" s="456"/>
    </row>
    <row r="18" spans="2:22">
      <c r="B18" s="434" t="s">
        <v>321</v>
      </c>
      <c r="C18" s="584">
        <v>25</v>
      </c>
      <c r="D18" s="661">
        <f>'Pres &amp; Prop Rev'!G31+'Pres &amp; Prop Rev'!G32</f>
        <v>702644246.71499991</v>
      </c>
      <c r="E18" s="729">
        <v>9.3000000000000005E-4</v>
      </c>
      <c r="F18" s="400">
        <f t="shared" si="4"/>
        <v>653459.14944494993</v>
      </c>
      <c r="G18" s="400">
        <f>F18*$G$37</f>
        <v>0</v>
      </c>
      <c r="H18" s="58">
        <f t="shared" si="0"/>
        <v>653459.14944494993</v>
      </c>
      <c r="I18" s="552">
        <f t="shared" si="1"/>
        <v>9.3000000000000005E-4</v>
      </c>
      <c r="J18" s="552"/>
      <c r="K18" s="730">
        <f t="shared" si="2"/>
        <v>0</v>
      </c>
      <c r="L18" s="738"/>
      <c r="R18" s="731">
        <f>'Rate Spread GRC'!J21*1000</f>
        <v>66850242.767399989</v>
      </c>
      <c r="S18" s="423">
        <f t="shared" si="3"/>
        <v>0</v>
      </c>
      <c r="U18" s="53">
        <f>E18*(1+$G$37)</f>
        <v>9.3000000000000005E-4</v>
      </c>
      <c r="V18" s="456" t="e">
        <f>#REF!/R18</f>
        <v>#REF!</v>
      </c>
    </row>
    <row r="19" spans="2:22">
      <c r="B19" s="434"/>
      <c r="C19" s="584"/>
      <c r="F19" s="400"/>
      <c r="G19" s="400"/>
      <c r="H19" s="58"/>
      <c r="I19" s="552"/>
      <c r="J19" s="552"/>
      <c r="K19" s="730"/>
      <c r="L19" s="738"/>
      <c r="R19" s="731"/>
      <c r="S19" s="423"/>
      <c r="U19" s="53"/>
      <c r="V19" s="456"/>
    </row>
    <row r="20" spans="2:22">
      <c r="B20" s="434" t="s">
        <v>303</v>
      </c>
      <c r="C20" s="402" t="s">
        <v>468</v>
      </c>
      <c r="D20" s="661">
        <f>'Pres &amp; Prop Rev'!H46</f>
        <v>139623053.042</v>
      </c>
      <c r="E20" s="729">
        <v>1.2800000000000001E-3</v>
      </c>
      <c r="F20" s="400">
        <f t="shared" si="4"/>
        <v>178717.50789376002</v>
      </c>
      <c r="G20" s="400">
        <f>F20*$G$37</f>
        <v>0</v>
      </c>
      <c r="H20" s="58">
        <f t="shared" si="0"/>
        <v>178717.50789376002</v>
      </c>
      <c r="I20" s="552">
        <f t="shared" si="1"/>
        <v>1.2800000000000001E-3</v>
      </c>
      <c r="J20" s="552"/>
      <c r="K20" s="730">
        <f t="shared" si="2"/>
        <v>0</v>
      </c>
      <c r="L20" s="738"/>
      <c r="R20" s="731">
        <f>'Rate Spread GRC'!J23*1000</f>
        <v>12561944.91</v>
      </c>
      <c r="S20" s="423">
        <f t="shared" si="3"/>
        <v>0</v>
      </c>
      <c r="U20" s="53">
        <f>E20*(1+$G$37)</f>
        <v>1.2800000000000001E-3</v>
      </c>
      <c r="V20" s="456" t="e">
        <f>#REF!/R20</f>
        <v>#REF!</v>
      </c>
    </row>
    <row r="21" spans="2:22">
      <c r="B21" s="434"/>
      <c r="C21" s="584"/>
      <c r="G21" s="400"/>
      <c r="H21" s="58"/>
      <c r="I21" s="117"/>
      <c r="J21" s="117"/>
      <c r="K21" s="730"/>
      <c r="L21" s="738"/>
      <c r="R21" s="731"/>
      <c r="S21" s="423"/>
      <c r="U21" s="53"/>
      <c r="V21" s="456"/>
    </row>
    <row r="22" spans="2:22">
      <c r="B22" s="434" t="s">
        <v>304</v>
      </c>
      <c r="C22" s="584" t="s">
        <v>352</v>
      </c>
      <c r="D22" s="661">
        <f>'Pres &amp; Prop Rev'!I46</f>
        <v>17961923.65997</v>
      </c>
      <c r="E22" s="423">
        <v>1.66E-2</v>
      </c>
      <c r="F22" s="400">
        <f>K47*'[2] Elec'!E22</f>
        <v>101939.33093228639</v>
      </c>
      <c r="G22" s="400">
        <f>F22*$G$37</f>
        <v>0</v>
      </c>
      <c r="H22" s="58">
        <f>F22+G22</f>
        <v>101939.33093228639</v>
      </c>
      <c r="I22" s="642">
        <f>ROUND(H22/K47,4)</f>
        <v>1.4200000000000001E-2</v>
      </c>
      <c r="J22" s="642"/>
      <c r="K22" s="423">
        <f>ROUND(I22-E22,4)</f>
        <v>-2.3999999999999998E-3</v>
      </c>
      <c r="L22" s="739"/>
      <c r="R22" s="731">
        <f>'Rate Spread GRC'!J25*1000</f>
        <v>6769562.2819919996</v>
      </c>
      <c r="S22" s="423">
        <f t="shared" si="3"/>
        <v>0</v>
      </c>
      <c r="U22" s="423">
        <f>E22*(1+$G$37)</f>
        <v>1.66E-2</v>
      </c>
      <c r="V22" s="456" t="e">
        <f>#REF!/R22</f>
        <v>#REF!</v>
      </c>
    </row>
    <row r="23" spans="2:22">
      <c r="B23" s="434"/>
      <c r="C23" s="584"/>
      <c r="R23" s="400"/>
      <c r="S23" s="423"/>
      <c r="V23" s="456"/>
    </row>
    <row r="24" spans="2:22">
      <c r="B24" s="373" t="s">
        <v>66</v>
      </c>
      <c r="C24" s="584"/>
      <c r="D24" s="661">
        <f>SUM(D12:D22)</f>
        <v>5247183028.0409708</v>
      </c>
      <c r="F24" s="58">
        <f>SUM(F12:F22)</f>
        <v>7599909.8786292961</v>
      </c>
      <c r="G24" s="58">
        <f>SUM(G12:G22)</f>
        <v>0</v>
      </c>
      <c r="H24" s="58">
        <f>SUM(H12:H22)</f>
        <v>7599909.8786292961</v>
      </c>
      <c r="I24" s="58"/>
      <c r="J24" s="58"/>
      <c r="K24" s="58"/>
      <c r="R24" s="58">
        <f>SUM(R12:R22)</f>
        <v>530122861.79862243</v>
      </c>
      <c r="S24" s="423">
        <f t="shared" si="3"/>
        <v>0</v>
      </c>
      <c r="V24" s="456">
        <f>K24/R24</f>
        <v>0</v>
      </c>
    </row>
    <row r="25" spans="2:22">
      <c r="K25" s="58"/>
    </row>
    <row r="26" spans="2:22">
      <c r="E26" s="732" t="s">
        <v>885</v>
      </c>
      <c r="F26" s="400">
        <f>F24*G38</f>
        <v>7262709.4772243928</v>
      </c>
      <c r="G26" s="58">
        <f>F26*G37</f>
        <v>0</v>
      </c>
      <c r="H26" s="400">
        <f>H24*G38</f>
        <v>7262709.4772243928</v>
      </c>
      <c r="I26" s="400"/>
      <c r="J26" s="400"/>
      <c r="K26" s="400"/>
      <c r="L26" s="58"/>
      <c r="R26" s="645"/>
    </row>
    <row r="27" spans="2:22">
      <c r="G27" s="456">
        <f>G26/F26</f>
        <v>0</v>
      </c>
      <c r="R27" s="423"/>
    </row>
    <row r="29" spans="2:22" hidden="1">
      <c r="B29" s="542" t="s">
        <v>901</v>
      </c>
    </row>
    <row r="30" spans="2:22" hidden="1">
      <c r="B30" s="434" t="s">
        <v>896</v>
      </c>
      <c r="C30" s="423">
        <v>0</v>
      </c>
    </row>
    <row r="31" spans="2:22" hidden="1">
      <c r="B31" s="434" t="s">
        <v>893</v>
      </c>
      <c r="C31" s="423">
        <f>C30*2</f>
        <v>0</v>
      </c>
      <c r="O31" s="645"/>
    </row>
    <row r="32" spans="2:22" hidden="1">
      <c r="B32" s="434" t="s">
        <v>894</v>
      </c>
      <c r="C32" s="742">
        <v>0</v>
      </c>
    </row>
    <row r="33" spans="2:14" hidden="1">
      <c r="B33" s="434" t="s">
        <v>895</v>
      </c>
      <c r="C33" s="205">
        <f>SUM(C31:C32)</f>
        <v>0</v>
      </c>
    </row>
    <row r="34" spans="2:14" hidden="1"/>
    <row r="35" spans="2:14" hidden="1"/>
    <row r="37" spans="2:14">
      <c r="G37" s="456">
        <f>(C30*2)</f>
        <v>0</v>
      </c>
      <c r="H37" s="724" t="s">
        <v>886</v>
      </c>
      <c r="K37" s="58">
        <f>F26*G37</f>
        <v>0</v>
      </c>
      <c r="L37" s="456">
        <f>K37/F24</f>
        <v>0</v>
      </c>
      <c r="M37" s="456"/>
      <c r="N37" s="733"/>
    </row>
    <row r="38" spans="2:14">
      <c r="G38" s="740">
        <v>0.95563100000000001</v>
      </c>
      <c r="H38" s="724" t="s">
        <v>887</v>
      </c>
      <c r="K38" s="58"/>
      <c r="L38" s="456"/>
      <c r="M38" s="456"/>
      <c r="N38" s="456"/>
    </row>
    <row r="39" spans="2:14">
      <c r="G39" s="423"/>
      <c r="K39" s="400"/>
      <c r="L39" s="456"/>
      <c r="M39" s="456"/>
      <c r="N39" s="456"/>
    </row>
    <row r="41" spans="2:14">
      <c r="I41" s="19" t="s">
        <v>888</v>
      </c>
      <c r="J41" s="19"/>
      <c r="K41" s="734">
        <f>ROUND((800*'Bill Impact'!C9),2)+ROUND((118*'Bill Impact'!D9),2)+9</f>
        <v>82.69</v>
      </c>
      <c r="L41" s="19"/>
      <c r="M41" s="19"/>
      <c r="N41" s="19" t="s">
        <v>889</v>
      </c>
    </row>
    <row r="42" spans="2:14">
      <c r="I42" s="19" t="s">
        <v>890</v>
      </c>
      <c r="J42" s="19"/>
      <c r="K42" s="734">
        <f>ROUND((800*('Bill Impact'!C9+K12)),2)+ROUND((118*('Bill Impact'!D9+K12)),2)+9</f>
        <v>82.69</v>
      </c>
      <c r="L42" s="19"/>
      <c r="M42" s="19"/>
      <c r="N42" s="19"/>
    </row>
    <row r="43" spans="2:14">
      <c r="I43" s="19" t="s">
        <v>891</v>
      </c>
      <c r="J43" s="19"/>
      <c r="K43" s="735">
        <f>K42-K41</f>
        <v>0</v>
      </c>
      <c r="L43" s="736">
        <f>K43/K41</f>
        <v>0</v>
      </c>
      <c r="M43" s="736"/>
      <c r="N43" s="19"/>
    </row>
    <row r="47" spans="2:14">
      <c r="G47" s="434" t="s">
        <v>892</v>
      </c>
      <c r="K47" s="529">
        <f>'Exh 1'!F26*1000</f>
        <v>7178826.1219919994</v>
      </c>
    </row>
  </sheetData>
  <pageMargins left="0.7" right="0.7" top="0.75" bottom="0.75" header="0.3" footer="0.3"/>
  <pageSetup scale="94" orientation="landscape" r:id="rId1"/>
  <headerFooter>
    <oddHeader>&amp;LAvista Electric
LIRAP Rate Calculation
UE-190334</oddHeader>
    <oddFooter>&amp;LAttachment A&amp;RPage 3 of 6</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W175"/>
  <sheetViews>
    <sheetView showGridLines="0" zoomScale="115" zoomScaleNormal="115" workbookViewId="0">
      <pane xSplit="3" ySplit="3" topLeftCell="D4" activePane="bottomRight" state="frozenSplit"/>
      <selection activeCell="H66" sqref="H66"/>
      <selection pane="topRight" activeCell="H66" sqref="H66"/>
      <selection pane="bottomLeft" activeCell="H66" sqref="H66"/>
      <selection pane="bottomRight" activeCell="G11" sqref="G11"/>
    </sheetView>
  </sheetViews>
  <sheetFormatPr defaultRowHeight="13.2"/>
  <cols>
    <col min="1" max="1" width="4.33203125" customWidth="1"/>
    <col min="2" max="2" width="20.5546875" customWidth="1"/>
    <col min="3" max="3" width="10.33203125" customWidth="1"/>
    <col min="4" max="4" width="12.6640625" bestFit="1" customWidth="1"/>
    <col min="5" max="5" width="11.6640625" bestFit="1" customWidth="1"/>
    <col min="6" max="6" width="13.33203125" bestFit="1" customWidth="1"/>
    <col min="7" max="7" width="13.44140625" bestFit="1" customWidth="1"/>
    <col min="8" max="8" width="12.6640625" bestFit="1" customWidth="1"/>
    <col min="9" max="11" width="13.33203125" bestFit="1" customWidth="1"/>
    <col min="12" max="12" width="13" bestFit="1" customWidth="1"/>
    <col min="13" max="13" width="12.5546875" bestFit="1" customWidth="1"/>
    <col min="14" max="15" width="12.6640625" bestFit="1" customWidth="1"/>
    <col min="16" max="16" width="14.5546875" bestFit="1" customWidth="1"/>
    <col min="17" max="18" width="12.6640625" bestFit="1" customWidth="1"/>
    <col min="19" max="19" width="13.33203125" bestFit="1" customWidth="1"/>
    <col min="20" max="20" width="9.33203125" bestFit="1" customWidth="1"/>
    <col min="22" max="22" width="11.88671875" bestFit="1" customWidth="1"/>
  </cols>
  <sheetData>
    <row r="1" spans="1:23" ht="13.8">
      <c r="A1" s="62" t="s">
        <v>72</v>
      </c>
      <c r="Q1" s="45" t="s">
        <v>366</v>
      </c>
      <c r="R1" s="234">
        <f>Q2</f>
        <v>500000</v>
      </c>
      <c r="S1" s="234">
        <f>R2</f>
        <v>6000000</v>
      </c>
    </row>
    <row r="2" spans="1:23">
      <c r="E2" s="322"/>
      <c r="F2" s="322"/>
      <c r="G2" s="322"/>
      <c r="H2" s="322"/>
      <c r="I2" s="322"/>
      <c r="J2" s="322"/>
      <c r="K2" s="322"/>
      <c r="L2" s="322"/>
      <c r="M2" s="322"/>
      <c r="N2" s="322"/>
      <c r="O2" s="322"/>
      <c r="P2" s="35" t="s">
        <v>401</v>
      </c>
      <c r="Q2" s="155">
        <v>500000</v>
      </c>
      <c r="R2" s="155">
        <v>6000000</v>
      </c>
      <c r="S2" s="235">
        <v>99999999</v>
      </c>
    </row>
    <row r="3" spans="1:23">
      <c r="A3" s="117" t="s">
        <v>402</v>
      </c>
      <c r="B3" s="117"/>
      <c r="C3" s="434" t="s">
        <v>74</v>
      </c>
      <c r="D3" s="425">
        <v>43466</v>
      </c>
      <c r="E3" s="568">
        <v>43497</v>
      </c>
      <c r="F3" s="568">
        <v>43525</v>
      </c>
      <c r="G3" s="568">
        <v>43556</v>
      </c>
      <c r="H3" s="568">
        <v>43586</v>
      </c>
      <c r="I3" s="568">
        <v>43617</v>
      </c>
      <c r="J3" s="568">
        <v>43647</v>
      </c>
      <c r="K3" s="568">
        <v>43678</v>
      </c>
      <c r="L3" s="568">
        <v>43709</v>
      </c>
      <c r="M3" s="568">
        <v>43739</v>
      </c>
      <c r="N3" s="568">
        <v>43770</v>
      </c>
      <c r="O3" s="568">
        <v>43800</v>
      </c>
      <c r="P3" s="35" t="s">
        <v>66</v>
      </c>
      <c r="Q3" s="236" t="s">
        <v>367</v>
      </c>
      <c r="R3" s="236" t="s">
        <v>367</v>
      </c>
      <c r="S3" s="236" t="s">
        <v>367</v>
      </c>
    </row>
    <row r="4" spans="1:23">
      <c r="A4">
        <v>1</v>
      </c>
      <c r="B4" s="722"/>
      <c r="C4" s="678" t="s">
        <v>787</v>
      </c>
      <c r="D4" s="564">
        <v>6430355.4000000004</v>
      </c>
      <c r="E4" s="564">
        <v>5834220</v>
      </c>
      <c r="F4" s="564">
        <v>6772222.7999999998</v>
      </c>
      <c r="G4" s="564">
        <v>5461138.2000000002</v>
      </c>
      <c r="H4" s="564">
        <v>6566826</v>
      </c>
      <c r="I4" s="564">
        <v>6641355</v>
      </c>
      <c r="J4" s="565">
        <v>6479961.5999999996</v>
      </c>
      <c r="K4" s="565">
        <v>6676870.2000000002</v>
      </c>
      <c r="L4" s="565">
        <v>6590295.5999999996</v>
      </c>
      <c r="M4" s="556">
        <v>4241370</v>
      </c>
      <c r="N4" s="556">
        <v>3978168.6</v>
      </c>
      <c r="O4" s="556">
        <v>3647007</v>
      </c>
      <c r="P4" s="37">
        <f t="shared" ref="P4:P24" si="0">SUM(D4:O4)</f>
        <v>69319790.400000006</v>
      </c>
      <c r="Q4" s="173">
        <f>Q$2*12-SUMPRODUCT(--($D4:$O4&lt;=Q$2),Q$2-$D4:$O4)</f>
        <v>6000000</v>
      </c>
      <c r="R4" s="173">
        <f>R$2*12-SUM($Q4:Q4)-SUMPRODUCT(--($D4:$O4&lt;=R$2),R$2-$D4:$O4)</f>
        <v>59161903.799999997</v>
      </c>
      <c r="S4" s="173">
        <f>S$2*12-SUM($Q4:R4)-SUMPRODUCT(--($D4:$O4&lt;=S$2),S$2-$D4:$O4)</f>
        <v>4157886.6000001431</v>
      </c>
    </row>
    <row r="5" spans="1:23">
      <c r="A5">
        <v>2</v>
      </c>
      <c r="B5" s="722"/>
      <c r="C5" s="678" t="s">
        <v>788</v>
      </c>
      <c r="D5" s="564">
        <v>2489222.4</v>
      </c>
      <c r="E5" s="564">
        <v>2924871.6</v>
      </c>
      <c r="F5" s="564">
        <v>3069759</v>
      </c>
      <c r="G5" s="564">
        <v>2967686.4</v>
      </c>
      <c r="H5" s="564">
        <v>2938063.8</v>
      </c>
      <c r="I5" s="564">
        <v>2839666.2</v>
      </c>
      <c r="J5" s="565">
        <v>2858247</v>
      </c>
      <c r="K5" s="565">
        <v>2982000</v>
      </c>
      <c r="L5" s="565">
        <v>2826234.6</v>
      </c>
      <c r="M5" s="556">
        <v>2987325.6</v>
      </c>
      <c r="N5" s="556">
        <v>2858725.8</v>
      </c>
      <c r="O5" s="556">
        <v>2088534</v>
      </c>
      <c r="P5" s="37">
        <f t="shared" si="0"/>
        <v>33830336.400000006</v>
      </c>
      <c r="Q5" s="173">
        <f t="shared" ref="Q5:Q24" si="1">Q$2*12-SUMPRODUCT(--($D5:$O5&lt;=Q$2),Q$2-$D5:$O5)</f>
        <v>6000000</v>
      </c>
      <c r="R5" s="173">
        <f>R$2*12-SUM($Q5:Q5)-SUMPRODUCT(--($D5:$O5&lt;=R$2),R$2-$D5:$O5)</f>
        <v>27830336.399999999</v>
      </c>
      <c r="S5" s="173">
        <f>S$2*12-SUM($Q5:R5)-SUMPRODUCT(--($D5:$O5&lt;=S$2),S$2-$D5:$O5)</f>
        <v>0</v>
      </c>
    </row>
    <row r="6" spans="1:23">
      <c r="A6">
        <v>3</v>
      </c>
      <c r="B6" s="722"/>
      <c r="C6" s="678" t="s">
        <v>789</v>
      </c>
      <c r="D6" s="564">
        <v>1540777</v>
      </c>
      <c r="E6" s="564">
        <v>1346983.4</v>
      </c>
      <c r="F6" s="564">
        <v>1473201.8</v>
      </c>
      <c r="G6" s="564">
        <v>1247283.8</v>
      </c>
      <c r="H6" s="564">
        <v>1264634</v>
      </c>
      <c r="I6" s="564">
        <v>1231641.6000000001</v>
      </c>
      <c r="J6" s="565">
        <v>1276636.2</v>
      </c>
      <c r="K6" s="565">
        <v>1211726.6000000001</v>
      </c>
      <c r="L6" s="565">
        <v>1230002.2</v>
      </c>
      <c r="M6" s="556">
        <v>1437599.8</v>
      </c>
      <c r="N6" s="556">
        <v>1268366.3999999999</v>
      </c>
      <c r="O6" s="556">
        <v>1327428.2</v>
      </c>
      <c r="P6" s="37">
        <f t="shared" si="0"/>
        <v>15856280.999999998</v>
      </c>
      <c r="Q6" s="173">
        <f t="shared" si="1"/>
        <v>6000000</v>
      </c>
      <c r="R6" s="173">
        <f>R$2*12-SUM($Q6:Q6)-SUMPRODUCT(--($D6:$O6&lt;=R$2),R$2-$D6:$O6)</f>
        <v>9856281</v>
      </c>
      <c r="S6" s="173">
        <f>S$2*12-SUM($Q6:R6)-SUMPRODUCT(--($D6:$O6&lt;=S$2),S$2-$D6:$O6)</f>
        <v>0</v>
      </c>
    </row>
    <row r="7" spans="1:23">
      <c r="A7">
        <v>4</v>
      </c>
      <c r="B7" s="722"/>
      <c r="C7" s="678" t="s">
        <v>790</v>
      </c>
      <c r="D7" s="564">
        <v>1352948.1</v>
      </c>
      <c r="E7" s="564">
        <v>1264439.3999999999</v>
      </c>
      <c r="F7" s="564">
        <v>1402041.9</v>
      </c>
      <c r="G7" s="564">
        <v>1231146</v>
      </c>
      <c r="H7" s="564">
        <v>1287875.3999999999</v>
      </c>
      <c r="I7" s="564">
        <v>1221032.3999999999</v>
      </c>
      <c r="J7" s="565">
        <v>1295525.7</v>
      </c>
      <c r="K7" s="565">
        <v>1267560</v>
      </c>
      <c r="L7" s="564">
        <v>1223764.504</v>
      </c>
      <c r="M7" s="556">
        <v>1341954.6000000001</v>
      </c>
      <c r="N7" s="556">
        <v>1374168.6</v>
      </c>
      <c r="O7" s="555">
        <v>1435293.3</v>
      </c>
      <c r="P7" s="37">
        <f t="shared" si="0"/>
        <v>15697749.904000001</v>
      </c>
      <c r="Q7" s="173">
        <f t="shared" si="1"/>
        <v>6000000</v>
      </c>
      <c r="R7" s="173">
        <f>R$2*12-SUM($Q7:Q7)-SUMPRODUCT(--($D7:$O7&lt;=R$2),R$2-$D7:$O7)</f>
        <v>9697749.9039999917</v>
      </c>
      <c r="S7" s="173">
        <f>S$2*12-SUM($Q7:R7)-SUMPRODUCT(--($D7:$O7&lt;=S$2),S$2-$D7:$O7)</f>
        <v>0</v>
      </c>
    </row>
    <row r="8" spans="1:23">
      <c r="A8">
        <v>5</v>
      </c>
      <c r="B8" s="722"/>
      <c r="C8" s="678" t="s">
        <v>791</v>
      </c>
      <c r="D8" s="564">
        <v>1702092</v>
      </c>
      <c r="E8" s="564">
        <v>1591291.8</v>
      </c>
      <c r="F8" s="564">
        <v>1673399.7</v>
      </c>
      <c r="G8" s="564">
        <v>1630085.1</v>
      </c>
      <c r="H8" s="564">
        <v>1897795.2</v>
      </c>
      <c r="I8" s="564">
        <v>1883613.9</v>
      </c>
      <c r="J8" s="565">
        <v>2068525.2</v>
      </c>
      <c r="K8" s="565">
        <v>2152669.0499999998</v>
      </c>
      <c r="L8" s="565">
        <v>1809992.1</v>
      </c>
      <c r="M8" s="556">
        <v>1622814.9</v>
      </c>
      <c r="N8" s="556">
        <v>1526811.3</v>
      </c>
      <c r="O8" s="556">
        <v>1680707.7</v>
      </c>
      <c r="P8" s="37">
        <f t="shared" si="0"/>
        <v>21239797.949999999</v>
      </c>
      <c r="Q8" s="173">
        <f t="shared" si="1"/>
        <v>6000000</v>
      </c>
      <c r="R8" s="173">
        <f>R$2*12-SUM($Q8:Q8)-SUMPRODUCT(--($D8:$O8&lt;=R$2),R$2-$D8:$O8)</f>
        <v>15239797.949999996</v>
      </c>
      <c r="S8" s="173">
        <f>S$2*12-SUM($Q8:R8)-SUMPRODUCT(--($D8:$O8&lt;=S$2),S$2-$D8:$O8)</f>
        <v>0</v>
      </c>
    </row>
    <row r="9" spans="1:23">
      <c r="A9">
        <v>6</v>
      </c>
      <c r="B9" s="722"/>
      <c r="C9" s="678" t="s">
        <v>792</v>
      </c>
      <c r="D9" s="564">
        <v>2304565.2000000002</v>
      </c>
      <c r="E9" s="564">
        <v>2401187.6</v>
      </c>
      <c r="F9" s="564">
        <v>2216379.2000000002</v>
      </c>
      <c r="G9" s="564">
        <v>2001342</v>
      </c>
      <c r="H9" s="564">
        <v>1765531.6</v>
      </c>
      <c r="I9" s="564">
        <v>1635488.4</v>
      </c>
      <c r="J9" s="565">
        <v>1831124.4</v>
      </c>
      <c r="K9" s="565">
        <v>2051921.2</v>
      </c>
      <c r="L9" s="565">
        <v>2065095.2</v>
      </c>
      <c r="M9" s="556">
        <v>2194743.6</v>
      </c>
      <c r="N9" s="556">
        <v>2178733.2000000002</v>
      </c>
      <c r="O9" s="556">
        <v>2139620</v>
      </c>
      <c r="P9" s="37">
        <f t="shared" si="0"/>
        <v>24785731.600000001</v>
      </c>
      <c r="Q9" s="173">
        <f t="shared" si="1"/>
        <v>6000000</v>
      </c>
      <c r="R9" s="173">
        <f>R$2*12-SUM($Q9:Q9)-SUMPRODUCT(--($D9:$O9&lt;=R$2),R$2-$D9:$O9)</f>
        <v>18785731.600000001</v>
      </c>
      <c r="S9" s="173">
        <f>S$2*12-SUM($Q9:R9)-SUMPRODUCT(--($D9:$O9&lt;=S$2),S$2-$D9:$O9)</f>
        <v>0</v>
      </c>
    </row>
    <row r="10" spans="1:23">
      <c r="A10">
        <v>7</v>
      </c>
      <c r="B10" s="722"/>
      <c r="C10" s="678" t="s">
        <v>793</v>
      </c>
      <c r="D10" s="564">
        <v>1228851.3999999999</v>
      </c>
      <c r="E10" s="564">
        <v>1108142</v>
      </c>
      <c r="F10" s="564">
        <v>1209637.8</v>
      </c>
      <c r="G10" s="564">
        <v>1196998.6000000001</v>
      </c>
      <c r="H10" s="564">
        <v>1275577.8</v>
      </c>
      <c r="I10" s="564">
        <v>1274086.8</v>
      </c>
      <c r="J10" s="565">
        <v>1361623.2</v>
      </c>
      <c r="K10" s="564">
        <v>1441545</v>
      </c>
      <c r="L10" s="565">
        <v>1281733.6000000001</v>
      </c>
      <c r="M10" s="556">
        <v>1280935.6000000001</v>
      </c>
      <c r="N10" s="556">
        <v>1253442.3999999999</v>
      </c>
      <c r="O10" s="556">
        <v>1206101.3999999999</v>
      </c>
      <c r="P10" s="37">
        <f t="shared" si="0"/>
        <v>15118675.6</v>
      </c>
      <c r="Q10" s="173">
        <f t="shared" si="1"/>
        <v>6000000</v>
      </c>
      <c r="R10" s="173">
        <f>R$2*12-SUM($Q10:Q10)-SUMPRODUCT(--($D10:$O10&lt;=R$2),R$2-$D10:$O10)</f>
        <v>9118675.599999994</v>
      </c>
      <c r="S10" s="173">
        <f>S$2*12-SUM($Q10:R10)-SUMPRODUCT(--($D10:$O10&lt;=S$2),S$2-$D10:$O10)</f>
        <v>0</v>
      </c>
    </row>
    <row r="11" spans="1:23">
      <c r="A11">
        <v>8</v>
      </c>
      <c r="B11" s="722"/>
      <c r="C11" s="678" t="s">
        <v>794</v>
      </c>
      <c r="D11" s="564">
        <v>1014295.8</v>
      </c>
      <c r="E11" s="564">
        <v>920665.2</v>
      </c>
      <c r="F11" s="564">
        <v>1040461.8</v>
      </c>
      <c r="G11" s="564">
        <v>1028403.6</v>
      </c>
      <c r="H11" s="564">
        <v>1090068</v>
      </c>
      <c r="I11" s="564">
        <v>1089215.3999999999</v>
      </c>
      <c r="J11" s="564">
        <v>1102201.8</v>
      </c>
      <c r="K11" s="565">
        <v>1142723.3999999999</v>
      </c>
      <c r="L11" s="565">
        <v>1004530.8</v>
      </c>
      <c r="M11" s="555">
        <v>1109871</v>
      </c>
      <c r="N11" s="556">
        <v>957184.2</v>
      </c>
      <c r="O11" s="556">
        <v>1008655.2</v>
      </c>
      <c r="P11" s="37">
        <f t="shared" si="0"/>
        <v>12508276.199999999</v>
      </c>
      <c r="Q11" s="173">
        <f t="shared" si="1"/>
        <v>6000000</v>
      </c>
      <c r="R11" s="173">
        <f>R$2*12-SUM($Q11:Q11)-SUMPRODUCT(--($D11:$O11&lt;=R$2),R$2-$D11:$O11)</f>
        <v>6508276.1999999955</v>
      </c>
      <c r="S11" s="173">
        <f>S$2*12-SUM($Q11:R11)-SUMPRODUCT(--($D11:$O11&lt;=S$2),S$2-$D11:$O11)</f>
        <v>0</v>
      </c>
    </row>
    <row r="12" spans="1:23">
      <c r="A12">
        <v>9</v>
      </c>
      <c r="B12" s="722"/>
      <c r="C12" s="678" t="s">
        <v>795</v>
      </c>
      <c r="D12" s="564">
        <v>36161892</v>
      </c>
      <c r="E12" s="564">
        <v>35055804</v>
      </c>
      <c r="F12" s="564">
        <v>35276106</v>
      </c>
      <c r="G12" s="564">
        <v>34282368</v>
      </c>
      <c r="H12" s="564">
        <v>38684638</v>
      </c>
      <c r="I12" s="564">
        <v>37544592</v>
      </c>
      <c r="J12" s="565">
        <v>40314368</v>
      </c>
      <c r="K12" s="565">
        <v>40335278</v>
      </c>
      <c r="L12" s="565">
        <v>38614866</v>
      </c>
      <c r="M12" s="556">
        <v>40639056</v>
      </c>
      <c r="N12" s="556">
        <v>33404254</v>
      </c>
      <c r="O12" s="556">
        <v>40786226</v>
      </c>
      <c r="P12" s="37">
        <f t="shared" si="0"/>
        <v>451099448</v>
      </c>
      <c r="Q12" s="173">
        <f t="shared" si="1"/>
        <v>6000000</v>
      </c>
      <c r="R12" s="173">
        <f>R$2*12-SUM($Q12:Q12)-SUMPRODUCT(--($D12:$O12&lt;=R$2),R$2-$D12:$O12)</f>
        <v>66000000</v>
      </c>
      <c r="S12" s="173">
        <f>S$2*12-SUM($Q12:R12)-SUMPRODUCT(--($D12:$O12&lt;=S$2),S$2-$D12:$O12)</f>
        <v>379099448</v>
      </c>
      <c r="V12" s="221">
        <f>P12*0.00205</f>
        <v>924753.86840000004</v>
      </c>
      <c r="W12" s="434" t="s">
        <v>952</v>
      </c>
    </row>
    <row r="13" spans="1:23">
      <c r="A13">
        <v>10</v>
      </c>
      <c r="B13" s="722"/>
      <c r="C13" s="678" t="s">
        <v>796</v>
      </c>
      <c r="D13" s="564">
        <v>5425757.4000000004</v>
      </c>
      <c r="E13" s="564">
        <v>4067649.6</v>
      </c>
      <c r="F13" s="564">
        <v>5397126</v>
      </c>
      <c r="G13" s="564">
        <v>4048065</v>
      </c>
      <c r="H13" s="564">
        <v>5523718.2000000002</v>
      </c>
      <c r="I13" s="564">
        <v>5344491.5999999996</v>
      </c>
      <c r="J13" s="565">
        <v>5579019.5999999996</v>
      </c>
      <c r="K13" s="565">
        <v>5677425.5999999996</v>
      </c>
      <c r="L13" s="565">
        <v>5432989.7999999998</v>
      </c>
      <c r="M13" s="556">
        <v>5384127</v>
      </c>
      <c r="N13" s="556">
        <v>4750036.2</v>
      </c>
      <c r="O13" s="556">
        <v>4830865.2</v>
      </c>
      <c r="P13" s="37">
        <f t="shared" si="0"/>
        <v>61461271.200000003</v>
      </c>
      <c r="Q13" s="173">
        <f t="shared" si="1"/>
        <v>6000000</v>
      </c>
      <c r="R13" s="173">
        <f>R$2*12-SUM($Q13:Q13)-SUMPRODUCT(--($D13:$O13&lt;=R$2),R$2-$D13:$O13)</f>
        <v>55461271.200000003</v>
      </c>
      <c r="S13" s="173">
        <f>S$2*12-SUM($Q13:R13)-SUMPRODUCT(--($D13:$O13&lt;=S$2),S$2-$D13:$O13)</f>
        <v>0</v>
      </c>
    </row>
    <row r="14" spans="1:23">
      <c r="A14">
        <v>11</v>
      </c>
      <c r="B14" s="722"/>
      <c r="C14" s="678" t="s">
        <v>797</v>
      </c>
      <c r="D14" s="564">
        <v>5699153.5999999996</v>
      </c>
      <c r="E14" s="564">
        <v>4675479.2</v>
      </c>
      <c r="F14" s="564">
        <v>5387804.7999999998</v>
      </c>
      <c r="G14" s="564">
        <v>3086608</v>
      </c>
      <c r="H14" s="564">
        <v>5451588.7999999998</v>
      </c>
      <c r="I14" s="564">
        <v>5317446.4000000004</v>
      </c>
      <c r="J14" s="565">
        <v>5464401.5999999996</v>
      </c>
      <c r="K14" s="565">
        <v>5389888</v>
      </c>
      <c r="L14" s="565">
        <v>4830078.4000000004</v>
      </c>
      <c r="M14" s="556">
        <v>5042686.5999999996</v>
      </c>
      <c r="N14" s="556">
        <v>3148917.8</v>
      </c>
      <c r="O14" s="556">
        <v>4548415.2</v>
      </c>
      <c r="P14" s="37">
        <f t="shared" si="0"/>
        <v>58042468.400000006</v>
      </c>
      <c r="Q14" s="173">
        <f t="shared" si="1"/>
        <v>6000000</v>
      </c>
      <c r="R14" s="173">
        <f>R$2*12-SUM($Q14:Q14)-SUMPRODUCT(--($D14:$O14&lt;=R$2),R$2-$D14:$O14)</f>
        <v>52042468.399999999</v>
      </c>
      <c r="S14" s="173">
        <f>S$2*12-SUM($Q14:R14)-SUMPRODUCT(--($D14:$O14&lt;=S$2),S$2-$D14:$O14)</f>
        <v>0</v>
      </c>
    </row>
    <row r="15" spans="1:23">
      <c r="A15">
        <v>12</v>
      </c>
      <c r="B15" s="722"/>
      <c r="C15" s="678" t="s">
        <v>798</v>
      </c>
      <c r="D15" s="564">
        <v>3145375.8</v>
      </c>
      <c r="E15" s="564">
        <v>2906864.1</v>
      </c>
      <c r="F15" s="564">
        <v>3123668.1</v>
      </c>
      <c r="G15" s="564">
        <v>3080977.2</v>
      </c>
      <c r="H15" s="564">
        <v>3501913.8</v>
      </c>
      <c r="I15" s="564">
        <v>3576136.2</v>
      </c>
      <c r="J15" s="564">
        <v>3982116.6</v>
      </c>
      <c r="K15" s="564">
        <v>4114332.6</v>
      </c>
      <c r="L15" s="564">
        <v>3464176.8</v>
      </c>
      <c r="M15" s="555">
        <v>3097831.8</v>
      </c>
      <c r="N15" s="555">
        <v>2982909.3</v>
      </c>
      <c r="O15" s="555">
        <v>3113638.5</v>
      </c>
      <c r="P15" s="37">
        <f t="shared" si="0"/>
        <v>40089940.799999997</v>
      </c>
      <c r="Q15" s="173">
        <f t="shared" si="1"/>
        <v>6000000</v>
      </c>
      <c r="R15" s="173">
        <f>R$2*12-SUM($Q15:Q15)-SUMPRODUCT(--($D15:$O15&lt;=R$2),R$2-$D15:$O15)</f>
        <v>34089940.800000004</v>
      </c>
      <c r="S15" s="173">
        <f>S$2*12-SUM($Q15:R15)-SUMPRODUCT(--($D15:$O15&lt;=S$2),S$2-$D15:$O15)</f>
        <v>0</v>
      </c>
    </row>
    <row r="16" spans="1:23">
      <c r="A16">
        <v>13</v>
      </c>
      <c r="B16" s="722"/>
      <c r="C16" s="678" t="s">
        <v>799</v>
      </c>
      <c r="D16" s="564">
        <v>908495.7</v>
      </c>
      <c r="E16" s="564">
        <v>840762.3</v>
      </c>
      <c r="F16" s="564">
        <v>892970.4</v>
      </c>
      <c r="G16" s="564">
        <v>907827.9</v>
      </c>
      <c r="H16" s="564">
        <v>1046360.7</v>
      </c>
      <c r="I16" s="564">
        <v>1030852.2</v>
      </c>
      <c r="J16" s="565">
        <v>1122424.8</v>
      </c>
      <c r="K16" s="565">
        <v>1142553.3</v>
      </c>
      <c r="L16" s="565">
        <v>998959.5</v>
      </c>
      <c r="M16" s="556">
        <v>891912</v>
      </c>
      <c r="N16" s="556">
        <v>850724.7</v>
      </c>
      <c r="O16" s="556">
        <v>890435.7</v>
      </c>
      <c r="P16" s="37">
        <f t="shared" si="0"/>
        <v>11524279.199999999</v>
      </c>
      <c r="Q16" s="173">
        <f t="shared" si="1"/>
        <v>6000000</v>
      </c>
      <c r="R16" s="173">
        <f>R$2*12-SUM($Q16:Q16)-SUMPRODUCT(--($D16:$O16&lt;=R$2),R$2-$D16:$O16)</f>
        <v>5524279.200000003</v>
      </c>
      <c r="S16" s="173">
        <f>S$2*12-SUM($Q16:R16)-SUMPRODUCT(--($D16:$O16&lt;=S$2),S$2-$D16:$O16)</f>
        <v>0</v>
      </c>
    </row>
    <row r="17" spans="1:19">
      <c r="A17">
        <v>14</v>
      </c>
      <c r="B17" s="722"/>
      <c r="C17" s="679" t="s">
        <v>800</v>
      </c>
      <c r="D17" s="564">
        <v>1041768</v>
      </c>
      <c r="E17" s="564">
        <v>961987.2</v>
      </c>
      <c r="F17" s="564">
        <v>979598.4</v>
      </c>
      <c r="G17" s="564">
        <v>998028</v>
      </c>
      <c r="H17" s="564">
        <v>1073128.8</v>
      </c>
      <c r="I17" s="564">
        <v>963899.4</v>
      </c>
      <c r="J17" s="565">
        <v>1020265.2</v>
      </c>
      <c r="K17" s="565">
        <v>951238.2</v>
      </c>
      <c r="L17" s="565">
        <v>939187.19999999995</v>
      </c>
      <c r="M17" s="555">
        <v>1032136.8</v>
      </c>
      <c r="N17" s="555">
        <v>791913</v>
      </c>
      <c r="O17" s="555">
        <v>874927.2</v>
      </c>
      <c r="P17" s="37">
        <f t="shared" si="0"/>
        <v>11628077.4</v>
      </c>
      <c r="Q17" s="173">
        <f t="shared" si="1"/>
        <v>6000000</v>
      </c>
      <c r="R17" s="173">
        <f>R$2*12-SUM($Q17:Q17)-SUMPRODUCT(--($D17:$O17&lt;=R$2),R$2-$D17:$O17)</f>
        <v>5628077.4000000134</v>
      </c>
      <c r="S17" s="173">
        <f>S$2*12-SUM($Q17:R17)-SUMPRODUCT(--($D17:$O17&lt;=S$2),S$2-$D17:$O17)</f>
        <v>0</v>
      </c>
    </row>
    <row r="18" spans="1:19">
      <c r="A18">
        <v>15</v>
      </c>
      <c r="B18" s="722"/>
      <c r="C18" s="678" t="s">
        <v>801</v>
      </c>
      <c r="D18" s="564">
        <v>1277908.8</v>
      </c>
      <c r="E18" s="564">
        <v>1119014.3999999999</v>
      </c>
      <c r="F18" s="564">
        <v>1207836</v>
      </c>
      <c r="G18" s="564">
        <v>1144088.3999999999</v>
      </c>
      <c r="H18" s="564">
        <v>1235388</v>
      </c>
      <c r="I18" s="564">
        <v>1242376.8</v>
      </c>
      <c r="J18" s="565">
        <v>1362211.2</v>
      </c>
      <c r="K18" s="565">
        <v>1430923.2</v>
      </c>
      <c r="L18" s="565">
        <v>1217521.2</v>
      </c>
      <c r="M18" s="556">
        <v>1178335.2</v>
      </c>
      <c r="N18" s="555">
        <v>1179502.8</v>
      </c>
      <c r="O18" s="556">
        <v>1089341.3999999999</v>
      </c>
      <c r="P18" s="37">
        <f t="shared" si="0"/>
        <v>14684447.399999999</v>
      </c>
      <c r="Q18" s="173">
        <f t="shared" si="1"/>
        <v>6000000</v>
      </c>
      <c r="R18" s="173">
        <f>R$2*12-SUM($Q18:Q18)-SUMPRODUCT(--($D18:$O18&lt;=R$2),R$2-$D18:$O18)</f>
        <v>8684447.400000006</v>
      </c>
      <c r="S18" s="173">
        <f>S$2*12-SUM($Q18:R18)-SUMPRODUCT(--($D18:$O18&lt;=S$2),S$2-$D18:$O18)</f>
        <v>0</v>
      </c>
    </row>
    <row r="19" spans="1:19">
      <c r="A19">
        <v>16</v>
      </c>
      <c r="B19" s="722"/>
      <c r="C19" s="678" t="s">
        <v>802</v>
      </c>
      <c r="D19" s="564">
        <v>2443134.4</v>
      </c>
      <c r="E19" s="564">
        <v>2144335.2000000002</v>
      </c>
      <c r="F19" s="564">
        <v>2337361.6</v>
      </c>
      <c r="G19" s="564">
        <v>2038019.2</v>
      </c>
      <c r="H19" s="564">
        <v>1872600.8</v>
      </c>
      <c r="I19" s="564">
        <v>1966053.6</v>
      </c>
      <c r="J19" s="565">
        <v>2046626.4</v>
      </c>
      <c r="K19" s="565">
        <v>1872029.6</v>
      </c>
      <c r="L19" s="565">
        <v>1706678.4</v>
      </c>
      <c r="M19" s="556">
        <v>2161275.2000000002</v>
      </c>
      <c r="N19" s="556">
        <v>2097821.6</v>
      </c>
      <c r="O19" s="556">
        <v>2095228.8</v>
      </c>
      <c r="P19" s="37">
        <f t="shared" si="0"/>
        <v>24781164.800000001</v>
      </c>
      <c r="Q19" s="173">
        <f t="shared" si="1"/>
        <v>6000000</v>
      </c>
      <c r="R19" s="173">
        <f>R$2*12-SUM($Q19:Q19)-SUMPRODUCT(--($D19:$O19&lt;=R$2),R$2-$D19:$O19)</f>
        <v>18781164.800000004</v>
      </c>
      <c r="S19" s="173">
        <f>S$2*12-SUM($Q19:R19)-SUMPRODUCT(--($D19:$O19&lt;=S$2),S$2-$D19:$O19)</f>
        <v>0</v>
      </c>
    </row>
    <row r="20" spans="1:19">
      <c r="A20">
        <v>17</v>
      </c>
      <c r="B20" s="722"/>
      <c r="C20" s="678" t="s">
        <v>803</v>
      </c>
      <c r="D20" s="564">
        <v>2625235.2000000002</v>
      </c>
      <c r="E20" s="564">
        <v>2513677.6</v>
      </c>
      <c r="F20" s="564">
        <v>2712830.4</v>
      </c>
      <c r="G20" s="564">
        <v>2454127.2000000002</v>
      </c>
      <c r="H20" s="564">
        <v>2385269.6</v>
      </c>
      <c r="I20" s="564">
        <v>2260983.2000000002</v>
      </c>
      <c r="J20" s="565">
        <v>2338896</v>
      </c>
      <c r="K20" s="565">
        <v>2448112.7999999998</v>
      </c>
      <c r="L20" s="564">
        <v>2425589.6</v>
      </c>
      <c r="M20" s="556">
        <v>2592273.6</v>
      </c>
      <c r="N20" s="556">
        <v>2521019.2000000002</v>
      </c>
      <c r="O20" s="555">
        <v>2595868.7999999998</v>
      </c>
      <c r="P20" s="37">
        <f t="shared" si="0"/>
        <v>29873883.200000007</v>
      </c>
      <c r="Q20" s="173">
        <f t="shared" si="1"/>
        <v>6000000</v>
      </c>
      <c r="R20" s="173">
        <f>R$2*12-SUM($Q20:Q20)-SUMPRODUCT(--($D20:$O20&lt;=R$2),R$2-$D20:$O20)</f>
        <v>23873883.200000003</v>
      </c>
      <c r="S20" s="173">
        <f>S$2*12-SUM($Q20:R20)-SUMPRODUCT(--($D20:$O20&lt;=S$2),S$2-$D20:$O20)</f>
        <v>0</v>
      </c>
    </row>
    <row r="21" spans="1:19">
      <c r="A21">
        <v>18</v>
      </c>
      <c r="B21" s="722"/>
      <c r="C21" s="678" t="s">
        <v>804</v>
      </c>
      <c r="D21" s="564">
        <v>4074088.47</v>
      </c>
      <c r="E21" s="564">
        <v>3735432.08</v>
      </c>
      <c r="F21" s="564">
        <v>3894820</v>
      </c>
      <c r="G21" s="564">
        <v>3475766.9</v>
      </c>
      <c r="H21" s="564">
        <v>3975953.7</v>
      </c>
      <c r="I21" s="564">
        <v>4146438.3</v>
      </c>
      <c r="J21" s="565">
        <v>4743233.49</v>
      </c>
      <c r="K21" s="565">
        <v>5200295.8899999997</v>
      </c>
      <c r="L21" s="565">
        <v>4225127.6900000004</v>
      </c>
      <c r="M21" s="556">
        <v>3955310.27</v>
      </c>
      <c r="N21" s="556">
        <v>4073921.27</v>
      </c>
      <c r="O21" s="555">
        <v>4189061</v>
      </c>
      <c r="P21" s="37">
        <f t="shared" si="0"/>
        <v>49689449.06000001</v>
      </c>
      <c r="Q21" s="173">
        <f t="shared" si="1"/>
        <v>6000000</v>
      </c>
      <c r="R21" s="173">
        <f>R$2*12-SUM($Q21:Q21)-SUMPRODUCT(--($D21:$O21&lt;=R$2),R$2-$D21:$O21)</f>
        <v>43689449.060000002</v>
      </c>
      <c r="S21" s="173">
        <f>S$2*12-SUM($Q21:R21)-SUMPRODUCT(--($D21:$O21&lt;=S$2),S$2-$D21:$O21)</f>
        <v>0</v>
      </c>
    </row>
    <row r="22" spans="1:19">
      <c r="A22">
        <v>19</v>
      </c>
      <c r="B22" s="722"/>
      <c r="C22" s="678" t="s">
        <v>805</v>
      </c>
      <c r="D22" s="564">
        <v>3338542.2</v>
      </c>
      <c r="E22" s="564">
        <v>3082228.8</v>
      </c>
      <c r="F22" s="564">
        <v>3179446.2</v>
      </c>
      <c r="G22" s="564">
        <v>2963473.8</v>
      </c>
      <c r="H22" s="564">
        <v>2905484.4</v>
      </c>
      <c r="I22" s="564">
        <v>2736304.2</v>
      </c>
      <c r="J22" s="565">
        <v>2831325</v>
      </c>
      <c r="K22" s="565">
        <v>2882762.4010000001</v>
      </c>
      <c r="L22" s="565">
        <v>2935837.8</v>
      </c>
      <c r="M22" s="556">
        <v>3192197.4</v>
      </c>
      <c r="N22" s="556">
        <v>3254874</v>
      </c>
      <c r="O22" s="556">
        <v>3400227.6</v>
      </c>
      <c r="P22" s="37">
        <f t="shared" si="0"/>
        <v>36702703.800999999</v>
      </c>
      <c r="Q22" s="173">
        <f t="shared" si="1"/>
        <v>6000000</v>
      </c>
      <c r="R22" s="173">
        <f>R$2*12-SUM($Q22:Q22)-SUMPRODUCT(--($D22:$O22&lt;=R$2),R$2-$D22:$O22)</f>
        <v>30702703.800999999</v>
      </c>
      <c r="S22" s="173">
        <f>S$2*12-SUM($Q22:R22)-SUMPRODUCT(--($D22:$O22&lt;=S$2),S$2-$D22:$O22)</f>
        <v>0</v>
      </c>
    </row>
    <row r="23" spans="1:19">
      <c r="A23">
        <v>20</v>
      </c>
      <c r="B23" s="722"/>
      <c r="C23" s="678" t="s">
        <v>806</v>
      </c>
      <c r="D23" s="650">
        <v>3026576</v>
      </c>
      <c r="E23" s="650">
        <v>2990184</v>
      </c>
      <c r="F23" s="650">
        <v>3046976</v>
      </c>
      <c r="G23" s="650">
        <v>2713032</v>
      </c>
      <c r="H23" s="650">
        <v>2616832</v>
      </c>
      <c r="I23" s="650">
        <v>2535008</v>
      </c>
      <c r="J23" s="650">
        <v>2541848</v>
      </c>
      <c r="K23" s="650">
        <v>2592288</v>
      </c>
      <c r="L23" s="650">
        <v>2438608</v>
      </c>
      <c r="M23" s="649">
        <v>2575288</v>
      </c>
      <c r="N23" s="649">
        <v>2593312</v>
      </c>
      <c r="O23" s="649">
        <v>2605920</v>
      </c>
      <c r="P23" s="37">
        <f t="shared" si="0"/>
        <v>32275872</v>
      </c>
      <c r="Q23" s="173">
        <f t="shared" si="1"/>
        <v>6000000</v>
      </c>
      <c r="R23" s="173">
        <f>R$2*12-SUM($Q23:Q23)-SUMPRODUCT(--($D23:$O23&lt;=R$2),R$2-$D23:$O23)</f>
        <v>26275872</v>
      </c>
      <c r="S23" s="173">
        <f>S$2*12-SUM($Q23:R23)-SUMPRODUCT(--($D23:$O23&lt;=S$2),S$2-$D23:$O23)</f>
        <v>0</v>
      </c>
    </row>
    <row r="24" spans="1:19">
      <c r="A24">
        <v>21</v>
      </c>
      <c r="B24" s="722"/>
      <c r="C24" s="678" t="s">
        <v>807</v>
      </c>
      <c r="D24" s="650">
        <v>2366302.4</v>
      </c>
      <c r="E24" s="650">
        <v>2198089.6</v>
      </c>
      <c r="F24" s="650">
        <v>2276612.7999999998</v>
      </c>
      <c r="G24" s="650">
        <v>2306925.6</v>
      </c>
      <c r="H24" s="650">
        <v>2288518.4</v>
      </c>
      <c r="I24" s="650">
        <v>2609135.2000000002</v>
      </c>
      <c r="J24" s="650">
        <v>3090948</v>
      </c>
      <c r="K24" s="650">
        <v>3605996.8</v>
      </c>
      <c r="L24" s="650">
        <v>3042250.4</v>
      </c>
      <c r="M24" s="650">
        <v>2602236</v>
      </c>
      <c r="N24" s="650">
        <v>2213898.4</v>
      </c>
      <c r="O24" s="650">
        <v>2088850.4</v>
      </c>
      <c r="P24" s="37">
        <f t="shared" si="0"/>
        <v>30689763.999999996</v>
      </c>
      <c r="Q24" s="173">
        <f t="shared" si="1"/>
        <v>6000000</v>
      </c>
      <c r="R24" s="173">
        <f>R$2*12-SUM($Q24:Q24)-SUMPRODUCT(--($D24:$O24&lt;=R$2),R$2-$D24:$O24)</f>
        <v>24689764</v>
      </c>
      <c r="S24" s="173">
        <f>S$2*12-SUM($Q24:R24)-SUMPRODUCT(--($D24:$O24&lt;=S$2),S$2-$D24:$O24)</f>
        <v>0</v>
      </c>
    </row>
    <row r="25" spans="1:19" s="19" customFormat="1">
      <c r="A25" s="19">
        <v>22</v>
      </c>
      <c r="B25" s="722"/>
      <c r="C25" s="679">
        <v>2311155858</v>
      </c>
      <c r="D25" s="564">
        <v>756162.4</v>
      </c>
      <c r="E25" s="564">
        <v>715803.2</v>
      </c>
      <c r="F25" s="564">
        <v>698616.8</v>
      </c>
      <c r="G25" s="564">
        <v>760233.6</v>
      </c>
      <c r="H25" s="564">
        <v>810712</v>
      </c>
      <c r="I25" s="564">
        <v>771814.40000000002</v>
      </c>
      <c r="J25" s="564">
        <v>766337.6</v>
      </c>
      <c r="K25" s="564">
        <v>799288</v>
      </c>
      <c r="L25" s="564">
        <v>783356</v>
      </c>
      <c r="M25" s="555">
        <v>2483056.7999999998</v>
      </c>
      <c r="N25" s="555">
        <v>2890652.8</v>
      </c>
      <c r="O25" s="555">
        <v>2797082.4</v>
      </c>
      <c r="P25" s="304">
        <f>SUM(D25:O25)</f>
        <v>15033116.000000002</v>
      </c>
      <c r="Q25" s="699">
        <f>Q$2*12-SUMPRODUCT(--($D25:$O25&lt;=Q$2),Q$2-$D25:$O25)</f>
        <v>6000000</v>
      </c>
      <c r="R25" s="699">
        <f>R$2*12-SUM($Q25:Q25)-SUMPRODUCT(--($D25:$O25&lt;=R$2),R$2-$D25:$O25)</f>
        <v>9033115.9999999925</v>
      </c>
      <c r="S25" s="699">
        <f>S$2*12-SUM($Q25:R25)-SUMPRODUCT(--($D25:$O25&lt;=S$2),S$2-$D25:$O25)</f>
        <v>0</v>
      </c>
    </row>
    <row r="26" spans="1:19" s="748" customFormat="1">
      <c r="A26" s="748">
        <v>23</v>
      </c>
      <c r="B26" s="722"/>
      <c r="C26" s="678">
        <v>7600951015</v>
      </c>
      <c r="D26" s="564">
        <v>900862.2</v>
      </c>
      <c r="E26" s="564">
        <v>857476.2</v>
      </c>
      <c r="F26" s="564">
        <v>846148.8</v>
      </c>
      <c r="G26" s="564">
        <v>766487.4</v>
      </c>
      <c r="H26" s="564">
        <v>827744.4</v>
      </c>
      <c r="I26" s="564">
        <v>800738.4</v>
      </c>
      <c r="J26" s="565">
        <v>837921</v>
      </c>
      <c r="K26" s="565">
        <v>860076</v>
      </c>
      <c r="L26" s="565">
        <v>779373</v>
      </c>
      <c r="M26" s="556">
        <v>846573</v>
      </c>
      <c r="N26" s="556">
        <v>830373.6</v>
      </c>
      <c r="O26" s="556">
        <v>815283</v>
      </c>
      <c r="P26" s="389">
        <f>SUM(D26:O26)</f>
        <v>9969057</v>
      </c>
      <c r="Q26" s="173">
        <f>Q$2*12-SUMPRODUCT(--($D26:$O26&lt;=Q$2),Q$2-$D26:$O26)</f>
        <v>6000000</v>
      </c>
      <c r="R26" s="173">
        <f>R$2*12-SUM($Q26:Q26)-SUMPRODUCT(--($D26:$O26&lt;=R$2),R$2-$D26:$O26)</f>
        <v>3969057</v>
      </c>
      <c r="S26" s="173">
        <f>S$2*12-SUM($Q26:R26)-SUMPRODUCT(--($D26:$O26&lt;=S$2),S$2-$D26:$O26)</f>
        <v>0</v>
      </c>
    </row>
    <row r="27" spans="1:19" ht="13.8" thickBot="1">
      <c r="B27" t="s">
        <v>365</v>
      </c>
      <c r="D27" s="233">
        <f>SUM(D4:D26)</f>
        <v>91254361.87000002</v>
      </c>
      <c r="E27" s="426">
        <f t="shared" ref="E27:O27" si="2">SUM(E4:E26)</f>
        <v>85256588.479999989</v>
      </c>
      <c r="F27" s="426">
        <f t="shared" si="2"/>
        <v>90115026.299999997</v>
      </c>
      <c r="G27" s="426">
        <f t="shared" si="2"/>
        <v>81790111.900000006</v>
      </c>
      <c r="H27" s="426">
        <f t="shared" si="2"/>
        <v>92286223.400000006</v>
      </c>
      <c r="I27" s="426">
        <f t="shared" si="2"/>
        <v>90662369.600000024</v>
      </c>
      <c r="J27" s="426">
        <f t="shared" si="2"/>
        <v>96315787.589999989</v>
      </c>
      <c r="K27" s="426">
        <f t="shared" si="2"/>
        <v>98229503.840999976</v>
      </c>
      <c r="L27" s="426">
        <f t="shared" si="2"/>
        <v>91866248.394000009</v>
      </c>
      <c r="M27" s="426">
        <f t="shared" si="2"/>
        <v>93890910.769999996</v>
      </c>
      <c r="N27" s="426">
        <f t="shared" si="2"/>
        <v>82979731.169999987</v>
      </c>
      <c r="O27" s="426">
        <f t="shared" si="2"/>
        <v>91254718.000000015</v>
      </c>
      <c r="P27" s="238">
        <f>IF(ROUND(SUM(P4:P26),0)&lt;&gt;ROUND(SUM(D27:O27),0),#VALUE!,SUM(P4:P26))</f>
        <v>1085901581.3150001</v>
      </c>
      <c r="Q27" s="237">
        <f>SUM(Q4:Q26)</f>
        <v>138000000</v>
      </c>
      <c r="R27" s="237">
        <f>SUM(R4:R26)</f>
        <v>564644246.71499991</v>
      </c>
      <c r="S27" s="237">
        <f>SUM(S4:S26)</f>
        <v>383257334.60000014</v>
      </c>
    </row>
    <row r="28" spans="1:19" ht="13.8" thickTop="1">
      <c r="D28" s="19"/>
      <c r="E28" s="19"/>
      <c r="F28" s="19"/>
      <c r="G28" s="19"/>
      <c r="H28" s="19"/>
      <c r="I28" s="19"/>
      <c r="J28" s="19"/>
      <c r="K28" s="19"/>
      <c r="L28" s="19"/>
      <c r="Q28" s="221"/>
      <c r="R28" s="221"/>
      <c r="S28" s="73">
        <f>SUM(Q27:S27)</f>
        <v>1085901581.3150001</v>
      </c>
    </row>
    <row r="29" spans="1:19" ht="12.75" customHeight="1">
      <c r="B29" t="s">
        <v>95</v>
      </c>
      <c r="D29" s="564">
        <v>92475540.937000006</v>
      </c>
      <c r="E29" s="564">
        <v>91334911.620000005</v>
      </c>
      <c r="F29" s="564">
        <v>85256588.480000004</v>
      </c>
      <c r="G29" s="564">
        <v>90115026.299999997</v>
      </c>
      <c r="H29" s="564">
        <v>81790111.900000006</v>
      </c>
      <c r="I29" s="564">
        <v>92286223.400000006</v>
      </c>
      <c r="J29" s="564">
        <v>90638942</v>
      </c>
      <c r="K29" s="564">
        <v>96199701.689999998</v>
      </c>
      <c r="L29" s="564">
        <v>98369017.341000006</v>
      </c>
      <c r="M29" s="564">
        <v>91866248.393999994</v>
      </c>
      <c r="N29" s="564">
        <v>93890910.769999996</v>
      </c>
      <c r="O29" s="564">
        <v>82979731.170000002</v>
      </c>
      <c r="P29" s="37">
        <f>SUM(D29:O29)</f>
        <v>1087202954.0019999</v>
      </c>
    </row>
    <row r="30" spans="1:19" ht="12.75" customHeight="1">
      <c r="B30" s="388" t="s">
        <v>447</v>
      </c>
      <c r="D30" s="564">
        <v>-92515285</v>
      </c>
      <c r="E30" s="564">
        <v>-91484247</v>
      </c>
      <c r="F30" s="564">
        <v>-84934068</v>
      </c>
      <c r="G30" s="564">
        <v>-89487500</v>
      </c>
      <c r="H30" s="564">
        <v>-79454560</v>
      </c>
      <c r="I30" s="564">
        <v>-92015166</v>
      </c>
      <c r="J30" s="564">
        <v>-91195162</v>
      </c>
      <c r="K30" s="564">
        <v>-95775976</v>
      </c>
      <c r="L30" s="564">
        <v>-94768404</v>
      </c>
      <c r="M30" s="564">
        <v>-91927127</v>
      </c>
      <c r="N30" s="564">
        <v>-93727705</v>
      </c>
      <c r="O30" s="564">
        <v>-83601582</v>
      </c>
      <c r="P30" s="389">
        <f t="shared" ref="P30:P35" si="3">SUM(D30:O30)</f>
        <v>-1080886782</v>
      </c>
    </row>
    <row r="31" spans="1:19" ht="12.75" customHeight="1">
      <c r="B31" s="388" t="s">
        <v>448</v>
      </c>
      <c r="D31" s="564">
        <v>91484247</v>
      </c>
      <c r="E31" s="564">
        <v>84934068</v>
      </c>
      <c r="F31" s="564">
        <v>89487500</v>
      </c>
      <c r="G31" s="564">
        <v>79454560</v>
      </c>
      <c r="H31" s="564">
        <v>92015166</v>
      </c>
      <c r="I31" s="564">
        <v>91195162</v>
      </c>
      <c r="J31" s="564">
        <v>95775976</v>
      </c>
      <c r="K31" s="564">
        <v>94768404</v>
      </c>
      <c r="L31" s="564">
        <v>91927127</v>
      </c>
      <c r="M31" s="564">
        <v>93727705</v>
      </c>
      <c r="N31" s="564">
        <v>83601582</v>
      </c>
      <c r="O31" s="564">
        <v>90893021</v>
      </c>
      <c r="P31" s="389">
        <f t="shared" si="3"/>
        <v>1079264518</v>
      </c>
    </row>
    <row r="32" spans="1:19" s="385" customFormat="1" ht="12.75" customHeight="1">
      <c r="B32" s="387" t="s">
        <v>449</v>
      </c>
      <c r="D32" s="564">
        <v>-229885.12999998033</v>
      </c>
      <c r="E32" s="564">
        <v>241970.73000000417</v>
      </c>
      <c r="F32" s="564">
        <v>546976.54999998212</v>
      </c>
      <c r="G32" s="564">
        <v>2255002.1499999762</v>
      </c>
      <c r="H32" s="564">
        <v>190507.64999997616</v>
      </c>
      <c r="I32" s="564">
        <v>-613342.15000000596</v>
      </c>
      <c r="J32" s="564">
        <v>482689.43999998271</v>
      </c>
      <c r="K32" s="564">
        <v>3520063.5909999609</v>
      </c>
      <c r="L32" s="564">
        <v>-141428.3560000509</v>
      </c>
      <c r="M32" s="564">
        <v>82656.019999951124</v>
      </c>
      <c r="N32" s="564">
        <v>-702400.58000004292</v>
      </c>
      <c r="O32" s="564">
        <v>281147.2499999553</v>
      </c>
      <c r="P32" s="389">
        <f t="shared" si="3"/>
        <v>5913957.1649997085</v>
      </c>
    </row>
    <row r="33" spans="1:19" ht="12.75" customHeight="1">
      <c r="B33" s="387" t="s">
        <v>450</v>
      </c>
      <c r="D33" s="564">
        <v>39744.062999993563</v>
      </c>
      <c r="E33" s="564">
        <v>229885.12999998033</v>
      </c>
      <c r="F33" s="564">
        <v>-241970.73000000417</v>
      </c>
      <c r="G33" s="564">
        <v>-546976.54999998212</v>
      </c>
      <c r="H33" s="564">
        <v>-2255002.1499999762</v>
      </c>
      <c r="I33" s="564">
        <v>-190507.64999997616</v>
      </c>
      <c r="J33" s="564">
        <v>613342.15000000596</v>
      </c>
      <c r="K33" s="564">
        <v>-482689.43999998271</v>
      </c>
      <c r="L33" s="564">
        <v>-3520063.5909999609</v>
      </c>
      <c r="M33" s="564">
        <v>141428.3560000509</v>
      </c>
      <c r="N33" s="564">
        <v>-82656.019999951124</v>
      </c>
      <c r="O33" s="564">
        <v>702400.58000004292</v>
      </c>
      <c r="P33" s="389">
        <f t="shared" si="3"/>
        <v>-5593065.8519997597</v>
      </c>
    </row>
    <row r="34" spans="1:19" s="503" customFormat="1" ht="12.75" customHeight="1">
      <c r="B34" s="387"/>
      <c r="D34" s="564"/>
      <c r="E34" s="564"/>
      <c r="F34" s="564"/>
      <c r="G34" s="564"/>
      <c r="H34" s="564"/>
      <c r="I34" s="564"/>
      <c r="J34" s="564"/>
      <c r="K34" s="564"/>
      <c r="L34" s="564"/>
      <c r="M34" s="564"/>
      <c r="N34" s="564"/>
      <c r="O34" s="564"/>
      <c r="P34" s="389">
        <f t="shared" si="3"/>
        <v>0</v>
      </c>
    </row>
    <row r="35" spans="1:19" s="385" customFormat="1" ht="12.75" customHeight="1">
      <c r="B35" s="153"/>
      <c r="D35" s="427"/>
      <c r="E35" s="428"/>
      <c r="F35" s="428"/>
      <c r="G35" s="427"/>
      <c r="H35" s="427"/>
      <c r="I35" s="427"/>
      <c r="J35" s="427"/>
      <c r="K35" s="427"/>
      <c r="L35" s="427"/>
      <c r="M35" s="427"/>
      <c r="N35" s="427"/>
      <c r="O35" s="427"/>
      <c r="P35" s="389">
        <f t="shared" si="3"/>
        <v>0</v>
      </c>
    </row>
    <row r="36" spans="1:19" ht="12.75" customHeight="1" thickBot="1">
      <c r="B36" s="144" t="s">
        <v>368</v>
      </c>
      <c r="D36" s="426">
        <f t="shared" ref="D36:J36" si="4">SUM(D29:D35)</f>
        <v>91254361.87000002</v>
      </c>
      <c r="E36" s="426">
        <f t="shared" si="4"/>
        <v>85256588.479999989</v>
      </c>
      <c r="F36" s="426">
        <f t="shared" si="4"/>
        <v>90115026.299999982</v>
      </c>
      <c r="G36" s="426">
        <f t="shared" si="4"/>
        <v>81790111.899999991</v>
      </c>
      <c r="H36" s="426">
        <f t="shared" si="4"/>
        <v>92286223.400000006</v>
      </c>
      <c r="I36" s="426">
        <f t="shared" si="4"/>
        <v>90662369.600000024</v>
      </c>
      <c r="J36" s="426">
        <f t="shared" si="4"/>
        <v>96315787.589999989</v>
      </c>
      <c r="K36" s="233">
        <f>SUM(K29:K35)</f>
        <v>98229503.840999976</v>
      </c>
      <c r="L36" s="233">
        <f>SUM(L29:L35)</f>
        <v>91866248.393999994</v>
      </c>
      <c r="M36" s="426">
        <f>SUM(M29:M35)</f>
        <v>93890910.769999996</v>
      </c>
      <c r="N36" s="426">
        <f>SUM(N29:N35)</f>
        <v>82979731.170000002</v>
      </c>
      <c r="O36" s="426">
        <f>SUM(O29:O35)</f>
        <v>91254718</v>
      </c>
      <c r="P36" s="239">
        <f>IF(ROUND(SUM(P29:P35),0)&lt;&gt;ROUND(SUM(D36:O36),0),#VALUE!,SUM(P29:P35))</f>
        <v>1085901581.3149998</v>
      </c>
    </row>
    <row r="37" spans="1:19" ht="12.75" customHeight="1" thickTop="1">
      <c r="B37" s="144"/>
      <c r="D37" s="82">
        <f t="shared" ref="D37:P37" si="5">D36-D27</f>
        <v>0</v>
      </c>
      <c r="E37" s="82">
        <f t="shared" si="5"/>
        <v>0</v>
      </c>
      <c r="F37" s="82">
        <f t="shared" si="5"/>
        <v>0</v>
      </c>
      <c r="G37" s="82">
        <f t="shared" si="5"/>
        <v>0</v>
      </c>
      <c r="H37" s="82">
        <f t="shared" si="5"/>
        <v>0</v>
      </c>
      <c r="I37" s="82">
        <f t="shared" si="5"/>
        <v>0</v>
      </c>
      <c r="J37" s="82">
        <f t="shared" si="5"/>
        <v>0</v>
      </c>
      <c r="K37" s="82">
        <f t="shared" si="5"/>
        <v>0</v>
      </c>
      <c r="L37" s="82">
        <f t="shared" si="5"/>
        <v>0</v>
      </c>
      <c r="M37" s="69">
        <f t="shared" si="5"/>
        <v>0</v>
      </c>
      <c r="N37" s="69">
        <f t="shared" si="5"/>
        <v>0</v>
      </c>
      <c r="O37" s="69">
        <f t="shared" si="5"/>
        <v>0</v>
      </c>
      <c r="P37" s="69">
        <f t="shared" si="5"/>
        <v>0</v>
      </c>
    </row>
    <row r="38" spans="1:19">
      <c r="B38" s="41"/>
      <c r="C38" s="41"/>
      <c r="D38" s="719"/>
      <c r="E38" s="719"/>
      <c r="F38" s="719"/>
      <c r="G38" s="719"/>
      <c r="H38" s="719"/>
      <c r="I38" s="719"/>
      <c r="J38" s="719"/>
      <c r="K38" s="719"/>
      <c r="L38" s="719"/>
      <c r="M38" s="719"/>
      <c r="N38" s="719"/>
      <c r="O38" s="719"/>
      <c r="P38" s="230"/>
    </row>
    <row r="39" spans="1:19">
      <c r="B39" s="41"/>
      <c r="C39" s="41"/>
      <c r="D39" s="300"/>
      <c r="E39" s="300"/>
      <c r="F39" s="300"/>
      <c r="G39" s="300"/>
      <c r="H39" s="300"/>
      <c r="I39" s="300"/>
      <c r="J39" s="300"/>
      <c r="K39" s="300"/>
      <c r="L39" s="300"/>
      <c r="M39" s="41"/>
      <c r="N39" s="41"/>
      <c r="O39" s="42"/>
    </row>
    <row r="40" spans="1:19">
      <c r="B40" s="117" t="s">
        <v>403</v>
      </c>
      <c r="D40" s="301">
        <f>D$3</f>
        <v>43466</v>
      </c>
      <c r="E40" s="301">
        <f t="shared" ref="E40:O40" si="6">E$3</f>
        <v>43497</v>
      </c>
      <c r="F40" s="301">
        <f t="shared" si="6"/>
        <v>43525</v>
      </c>
      <c r="G40" s="301">
        <f t="shared" si="6"/>
        <v>43556</v>
      </c>
      <c r="H40" s="301">
        <f t="shared" si="6"/>
        <v>43586</v>
      </c>
      <c r="I40" s="301">
        <f t="shared" si="6"/>
        <v>43617</v>
      </c>
      <c r="J40" s="301">
        <f t="shared" si="6"/>
        <v>43647</v>
      </c>
      <c r="K40" s="301">
        <f t="shared" si="6"/>
        <v>43678</v>
      </c>
      <c r="L40" s="301">
        <f t="shared" si="6"/>
        <v>43709</v>
      </c>
      <c r="M40" s="299">
        <f t="shared" si="6"/>
        <v>43739</v>
      </c>
      <c r="N40" s="299">
        <f t="shared" si="6"/>
        <v>43770</v>
      </c>
      <c r="O40" s="299">
        <f t="shared" si="6"/>
        <v>43800</v>
      </c>
      <c r="P40" s="35" t="s">
        <v>66</v>
      </c>
      <c r="Q40" s="45" t="s">
        <v>435</v>
      </c>
      <c r="R40" s="45" t="s">
        <v>436</v>
      </c>
      <c r="S40" s="45"/>
    </row>
    <row r="41" spans="1:19">
      <c r="A41">
        <v>1</v>
      </c>
      <c r="B41" s="680">
        <f>B4</f>
        <v>0</v>
      </c>
      <c r="C41" s="681" t="str">
        <f>C4</f>
        <v>2311008572</v>
      </c>
      <c r="D41" s="556">
        <v>11235.119000000001</v>
      </c>
      <c r="E41" s="556">
        <v>13097.044</v>
      </c>
      <c r="F41" s="556">
        <v>12788.42</v>
      </c>
      <c r="G41" s="564">
        <v>11813.075999999999</v>
      </c>
      <c r="H41" s="564">
        <v>19727.5</v>
      </c>
      <c r="I41" s="564">
        <v>11694.565000000001</v>
      </c>
      <c r="J41" s="564">
        <v>10955.651</v>
      </c>
      <c r="K41" s="564">
        <v>11234.874</v>
      </c>
      <c r="L41" s="564">
        <v>11020.227000000001</v>
      </c>
      <c r="M41" s="564">
        <v>9747.6959999999999</v>
      </c>
      <c r="N41" s="564">
        <v>7452.8119999999999</v>
      </c>
      <c r="O41" s="564">
        <v>7325.1319999999996</v>
      </c>
      <c r="P41" s="37">
        <f t="shared" ref="P41:P63" si="7">SUM(D41:O41)</f>
        <v>138092.11600000001</v>
      </c>
      <c r="Q41" s="43">
        <f>MAX(D41:O41)</f>
        <v>19727.5</v>
      </c>
      <c r="R41" s="333">
        <f>INDEX($D$40:$O$40,MATCH(Q41,$D41:$O41,0))</f>
        <v>43586</v>
      </c>
      <c r="S41" s="35"/>
    </row>
    <row r="42" spans="1:19">
      <c r="A42">
        <v>2</v>
      </c>
      <c r="B42" s="680">
        <f t="shared" ref="B42:B63" si="8">B5</f>
        <v>0</v>
      </c>
      <c r="C42" s="682" t="str">
        <f t="shared" ref="C42:C61" si="9">C5</f>
        <v>8920023327</v>
      </c>
      <c r="D42" s="555">
        <v>5486.0749999999998</v>
      </c>
      <c r="E42" s="555">
        <v>5434.125</v>
      </c>
      <c r="F42" s="555">
        <v>5276.1229999999996</v>
      </c>
      <c r="G42" s="564">
        <v>5056.1369999999997</v>
      </c>
      <c r="H42" s="564">
        <v>4983.9690000000001</v>
      </c>
      <c r="I42" s="564">
        <v>5005.4129999999996</v>
      </c>
      <c r="J42" s="564">
        <v>5087.6890000000003</v>
      </c>
      <c r="K42" s="564">
        <v>5057.6229999999996</v>
      </c>
      <c r="L42" s="564">
        <v>5126.2299999999996</v>
      </c>
      <c r="M42" s="564">
        <v>5102.8950000000004</v>
      </c>
      <c r="N42" s="564">
        <v>5137.21</v>
      </c>
      <c r="O42" s="564">
        <v>5127.7849999999999</v>
      </c>
      <c r="P42" s="37">
        <f t="shared" si="7"/>
        <v>61881.274000000005</v>
      </c>
      <c r="Q42" s="43">
        <f>MAX(D42:O42)</f>
        <v>5486.0749999999998</v>
      </c>
      <c r="R42" s="333">
        <f t="shared" ref="R42:R61" si="10">INDEX($D$40:$O$40,MATCH(Q42,$D42:$O42,0))</f>
        <v>43466</v>
      </c>
      <c r="S42" s="35"/>
    </row>
    <row r="43" spans="1:19">
      <c r="A43">
        <v>3</v>
      </c>
      <c r="B43" s="680">
        <f t="shared" si="8"/>
        <v>0</v>
      </c>
      <c r="C43" s="682" t="str">
        <f t="shared" si="9"/>
        <v>9920023116</v>
      </c>
      <c r="D43" s="555">
        <v>3170.4920000000002</v>
      </c>
      <c r="E43" s="555">
        <v>2956.6480000000001</v>
      </c>
      <c r="F43" s="555">
        <v>3009.1469999999999</v>
      </c>
      <c r="G43" s="564">
        <v>2718.489</v>
      </c>
      <c r="H43" s="564">
        <v>2604.73</v>
      </c>
      <c r="I43" s="564">
        <v>2581.2370000000001</v>
      </c>
      <c r="J43" s="564">
        <v>2646.1439999999998</v>
      </c>
      <c r="K43" s="564">
        <v>2770.75</v>
      </c>
      <c r="L43" s="564">
        <v>2656.09</v>
      </c>
      <c r="M43" s="564">
        <v>2911.7049999999999</v>
      </c>
      <c r="N43" s="564">
        <v>2818.0540000000001</v>
      </c>
      <c r="O43" s="564">
        <v>2969.598</v>
      </c>
      <c r="P43" s="37">
        <f t="shared" si="7"/>
        <v>33813.084000000003</v>
      </c>
      <c r="Q43" s="43">
        <f t="shared" ref="Q43:Q61" si="11">MAX(D43:O43)</f>
        <v>3170.4920000000002</v>
      </c>
      <c r="R43" s="333">
        <f t="shared" si="10"/>
        <v>43466</v>
      </c>
      <c r="S43" s="35"/>
    </row>
    <row r="44" spans="1:19">
      <c r="A44">
        <v>4</v>
      </c>
      <c r="B44" s="680">
        <f t="shared" si="8"/>
        <v>0</v>
      </c>
      <c r="C44" s="682" t="str">
        <f t="shared" si="9"/>
        <v>8970099313</v>
      </c>
      <c r="D44" s="555">
        <v>2775.9839999999999</v>
      </c>
      <c r="E44" s="555">
        <v>2727.2489999999998</v>
      </c>
      <c r="F44" s="555">
        <v>2695.5529999999999</v>
      </c>
      <c r="G44" s="564">
        <v>2485.556</v>
      </c>
      <c r="H44" s="564">
        <v>2523.7530000000002</v>
      </c>
      <c r="I44" s="564">
        <v>2697.9369999999999</v>
      </c>
      <c r="J44" s="564">
        <v>2645.4070000000002</v>
      </c>
      <c r="K44" s="564">
        <v>2641.172</v>
      </c>
      <c r="L44" s="564">
        <v>2607.1990000000001</v>
      </c>
      <c r="M44" s="564">
        <v>2611.6439999999998</v>
      </c>
      <c r="N44" s="564">
        <v>2852.1060000000002</v>
      </c>
      <c r="O44" s="564">
        <v>2986.779</v>
      </c>
      <c r="P44" s="37">
        <f t="shared" si="7"/>
        <v>32250.339</v>
      </c>
      <c r="Q44" s="43">
        <f t="shared" si="11"/>
        <v>2986.779</v>
      </c>
      <c r="R44" s="333">
        <f t="shared" si="10"/>
        <v>43800</v>
      </c>
      <c r="S44" s="35"/>
    </row>
    <row r="45" spans="1:19">
      <c r="A45">
        <v>5</v>
      </c>
      <c r="B45" s="680">
        <f t="shared" si="8"/>
        <v>0</v>
      </c>
      <c r="C45" s="682" t="str">
        <f t="shared" si="9"/>
        <v>0080095044</v>
      </c>
      <c r="D45" s="555">
        <v>2798.1210000000001</v>
      </c>
      <c r="E45" s="555">
        <v>2925.64</v>
      </c>
      <c r="F45" s="555">
        <v>2824.83</v>
      </c>
      <c r="G45" s="564">
        <v>3132.223</v>
      </c>
      <c r="H45" s="564">
        <v>3477.3690000000001</v>
      </c>
      <c r="I45" s="564">
        <v>3747.4949999999999</v>
      </c>
      <c r="J45" s="564">
        <v>3914.42</v>
      </c>
      <c r="K45" s="564">
        <v>3810.7330000000002</v>
      </c>
      <c r="L45" s="564">
        <v>3653.3</v>
      </c>
      <c r="M45" s="564">
        <v>2698.2080000000001</v>
      </c>
      <c r="N45" s="564">
        <v>2697.904</v>
      </c>
      <c r="O45" s="564">
        <v>2856.3240000000001</v>
      </c>
      <c r="P45" s="37">
        <f t="shared" si="7"/>
        <v>38536.567000000003</v>
      </c>
      <c r="Q45" s="43">
        <f t="shared" si="11"/>
        <v>3914.42</v>
      </c>
      <c r="R45" s="333">
        <f t="shared" si="10"/>
        <v>43647</v>
      </c>
      <c r="S45" s="35"/>
    </row>
    <row r="46" spans="1:19">
      <c r="A46">
        <v>6</v>
      </c>
      <c r="B46" s="680">
        <f t="shared" si="8"/>
        <v>0</v>
      </c>
      <c r="C46" s="682" t="str">
        <f t="shared" si="9"/>
        <v>1420028876</v>
      </c>
      <c r="D46" s="555">
        <v>4693.9759999999997</v>
      </c>
      <c r="E46" s="555">
        <v>4607.82</v>
      </c>
      <c r="F46" s="555">
        <v>4350.3389999999999</v>
      </c>
      <c r="G46" s="564">
        <v>4168.8230000000003</v>
      </c>
      <c r="H46" s="564">
        <v>4653.5330000000004</v>
      </c>
      <c r="I46" s="564">
        <v>4532.701</v>
      </c>
      <c r="J46" s="564">
        <v>4783.741</v>
      </c>
      <c r="K46" s="564">
        <v>5478.8410000000003</v>
      </c>
      <c r="L46" s="564">
        <v>5486.0709999999999</v>
      </c>
      <c r="M46" s="564">
        <v>4220.9070000000002</v>
      </c>
      <c r="N46" s="564">
        <v>4550.799</v>
      </c>
      <c r="O46" s="564">
        <v>4495.9210000000003</v>
      </c>
      <c r="P46" s="37">
        <f t="shared" si="7"/>
        <v>56023.472000000002</v>
      </c>
      <c r="Q46" s="43">
        <f t="shared" si="11"/>
        <v>5486.0709999999999</v>
      </c>
      <c r="R46" s="333">
        <f t="shared" si="10"/>
        <v>43709</v>
      </c>
      <c r="S46" s="35"/>
    </row>
    <row r="47" spans="1:19">
      <c r="A47">
        <v>7</v>
      </c>
      <c r="B47" s="680">
        <f t="shared" si="8"/>
        <v>0</v>
      </c>
      <c r="C47" s="682" t="str">
        <f t="shared" si="9"/>
        <v>0170122152</v>
      </c>
      <c r="D47" s="555">
        <v>2837.009</v>
      </c>
      <c r="E47" s="555">
        <v>2880.2910000000002</v>
      </c>
      <c r="F47" s="555">
        <v>2821.7139999999999</v>
      </c>
      <c r="G47" s="564">
        <v>2974.2080000000001</v>
      </c>
      <c r="H47" s="564">
        <v>3029.1109999999999</v>
      </c>
      <c r="I47" s="564">
        <v>3196.0479999999998</v>
      </c>
      <c r="J47" s="564">
        <v>3339.1889999999999</v>
      </c>
      <c r="K47" s="564">
        <v>3522.6179999999999</v>
      </c>
      <c r="L47" s="564">
        <v>3280.2060000000001</v>
      </c>
      <c r="M47" s="564">
        <v>3114.7240000000002</v>
      </c>
      <c r="N47" s="564">
        <v>3080.4810000000002</v>
      </c>
      <c r="O47" s="564">
        <v>3007.6979999999999</v>
      </c>
      <c r="P47" s="37">
        <f t="shared" si="7"/>
        <v>37083.296999999991</v>
      </c>
      <c r="Q47" s="43">
        <f t="shared" si="11"/>
        <v>3522.6179999999999</v>
      </c>
      <c r="R47" s="333">
        <f t="shared" si="10"/>
        <v>43678</v>
      </c>
      <c r="S47" s="35"/>
    </row>
    <row r="48" spans="1:19">
      <c r="A48">
        <v>8</v>
      </c>
      <c r="B48" s="680">
        <f t="shared" si="8"/>
        <v>0</v>
      </c>
      <c r="C48" s="682" t="str">
        <f t="shared" si="9"/>
        <v>8640841982</v>
      </c>
      <c r="D48" s="555">
        <v>4138.03</v>
      </c>
      <c r="E48" s="555">
        <v>4134.473</v>
      </c>
      <c r="F48" s="555">
        <v>4111.0600000000004</v>
      </c>
      <c r="G48" s="564">
        <v>4134.7290000000003</v>
      </c>
      <c r="H48" s="564">
        <v>4168.1779999999999</v>
      </c>
      <c r="I48" s="564">
        <v>4212.5640000000003</v>
      </c>
      <c r="J48" s="564">
        <v>4223.6970000000001</v>
      </c>
      <c r="K48" s="564">
        <v>4273.0990000000002</v>
      </c>
      <c r="L48" s="564">
        <v>4214.49</v>
      </c>
      <c r="M48" s="564">
        <v>4157.8900000000003</v>
      </c>
      <c r="N48" s="564">
        <v>4170.9449999999997</v>
      </c>
      <c r="O48" s="564">
        <v>4257.5990000000002</v>
      </c>
      <c r="P48" s="37">
        <f t="shared" si="7"/>
        <v>50196.754000000001</v>
      </c>
      <c r="Q48" s="43">
        <f t="shared" si="11"/>
        <v>4273.0990000000002</v>
      </c>
      <c r="R48" s="333">
        <f t="shared" si="10"/>
        <v>43678</v>
      </c>
      <c r="S48" s="35"/>
    </row>
    <row r="49" spans="1:19">
      <c r="A49">
        <v>9</v>
      </c>
      <c r="B49" s="680">
        <f t="shared" si="8"/>
        <v>0</v>
      </c>
      <c r="C49" s="682" t="str">
        <f t="shared" si="9"/>
        <v>0160126924</v>
      </c>
      <c r="D49" s="555">
        <v>56979.76</v>
      </c>
      <c r="E49" s="555">
        <v>58491.21</v>
      </c>
      <c r="F49" s="555">
        <v>60723.97</v>
      </c>
      <c r="G49" s="564">
        <v>60695.18</v>
      </c>
      <c r="H49" s="564">
        <v>59633.5</v>
      </c>
      <c r="I49" s="564">
        <v>59915.37</v>
      </c>
      <c r="J49" s="564">
        <v>60954.8</v>
      </c>
      <c r="K49" s="564">
        <v>62499.94</v>
      </c>
      <c r="L49" s="564">
        <v>60332.9</v>
      </c>
      <c r="M49" s="564">
        <v>61348.84</v>
      </c>
      <c r="N49" s="564">
        <v>61453.18</v>
      </c>
      <c r="O49" s="564">
        <v>62886.96</v>
      </c>
      <c r="P49" s="37">
        <f t="shared" si="7"/>
        <v>725915.61</v>
      </c>
      <c r="Q49" s="43">
        <f t="shared" si="11"/>
        <v>62886.96</v>
      </c>
      <c r="R49" s="333">
        <f t="shared" si="10"/>
        <v>43800</v>
      </c>
      <c r="S49" s="35"/>
    </row>
    <row r="50" spans="1:19">
      <c r="A50">
        <v>10</v>
      </c>
      <c r="B50" s="680">
        <f t="shared" si="8"/>
        <v>0</v>
      </c>
      <c r="C50" s="682" t="str">
        <f t="shared" si="9"/>
        <v>4250473907</v>
      </c>
      <c r="D50" s="555">
        <v>9494.3670000000002</v>
      </c>
      <c r="E50" s="555">
        <v>8151.6930000000002</v>
      </c>
      <c r="F50" s="555">
        <v>8444.6409999999996</v>
      </c>
      <c r="G50" s="564">
        <v>8251.3700000000008</v>
      </c>
      <c r="H50" s="564">
        <v>8416.0830000000005</v>
      </c>
      <c r="I50" s="564">
        <v>8438.518</v>
      </c>
      <c r="J50" s="564">
        <v>8465.4709999999995</v>
      </c>
      <c r="K50" s="564">
        <v>8617.5730000000003</v>
      </c>
      <c r="L50" s="564">
        <v>8465.0079999999998</v>
      </c>
      <c r="M50" s="564">
        <v>8444.6409999999996</v>
      </c>
      <c r="N50" s="564">
        <v>8123.326</v>
      </c>
      <c r="O50" s="564">
        <v>8375.3729999999996</v>
      </c>
      <c r="P50" s="37">
        <f t="shared" si="7"/>
        <v>101688.06400000001</v>
      </c>
      <c r="Q50" s="43">
        <f t="shared" si="11"/>
        <v>9494.3670000000002</v>
      </c>
      <c r="R50" s="333">
        <f t="shared" si="10"/>
        <v>43466</v>
      </c>
      <c r="S50" s="35"/>
    </row>
    <row r="51" spans="1:19">
      <c r="A51">
        <v>11</v>
      </c>
      <c r="B51" s="680">
        <f t="shared" si="8"/>
        <v>0</v>
      </c>
      <c r="C51" s="682" t="str">
        <f t="shared" si="9"/>
        <v>9060132009</v>
      </c>
      <c r="D51" s="555">
        <v>8557.5769999999993</v>
      </c>
      <c r="E51" s="555">
        <v>8575.1489999999994</v>
      </c>
      <c r="F51" s="555">
        <v>8703.8919999999998</v>
      </c>
      <c r="G51" s="564">
        <v>8473.3389999999999</v>
      </c>
      <c r="H51" s="564">
        <v>8775.9770000000008</v>
      </c>
      <c r="I51" s="564">
        <v>9149.5429999999997</v>
      </c>
      <c r="J51" s="564">
        <v>8848.1560000000009</v>
      </c>
      <c r="K51" s="564">
        <v>8727.2649999999994</v>
      </c>
      <c r="L51" s="564">
        <v>8415.0239999999994</v>
      </c>
      <c r="M51" s="564">
        <v>8497.0220000000008</v>
      </c>
      <c r="N51" s="564">
        <v>8603.2479999999996</v>
      </c>
      <c r="O51" s="564">
        <v>8631.5079999999998</v>
      </c>
      <c r="P51" s="37">
        <f t="shared" si="7"/>
        <v>103957.69999999998</v>
      </c>
      <c r="Q51" s="43">
        <f t="shared" si="11"/>
        <v>9149.5429999999997</v>
      </c>
      <c r="R51" s="333">
        <f t="shared" si="10"/>
        <v>43617</v>
      </c>
      <c r="S51" s="35"/>
    </row>
    <row r="52" spans="1:19">
      <c r="A52">
        <v>12</v>
      </c>
      <c r="B52" s="680">
        <f t="shared" si="8"/>
        <v>0</v>
      </c>
      <c r="C52" s="682" t="str">
        <f t="shared" si="9"/>
        <v>0030019644</v>
      </c>
      <c r="D52" s="555">
        <v>4980.2330000000002</v>
      </c>
      <c r="E52" s="555">
        <v>4999.5879999999997</v>
      </c>
      <c r="F52" s="555">
        <v>5543.7340000000004</v>
      </c>
      <c r="G52" s="564">
        <v>5907.4949999999999</v>
      </c>
      <c r="H52" s="564">
        <v>6389.4269999999997</v>
      </c>
      <c r="I52" s="564">
        <v>6828.66</v>
      </c>
      <c r="J52" s="564">
        <v>7121.8649999999998</v>
      </c>
      <c r="K52" s="564">
        <v>7273.9849999999997</v>
      </c>
      <c r="L52" s="564">
        <v>6707.2110000000002</v>
      </c>
      <c r="M52" s="564">
        <v>5606.3140000000003</v>
      </c>
      <c r="N52" s="564">
        <v>4896.1009999999997</v>
      </c>
      <c r="O52" s="564">
        <v>4949.0129999999999</v>
      </c>
      <c r="P52" s="37">
        <f t="shared" si="7"/>
        <v>71203.626000000004</v>
      </c>
      <c r="Q52" s="43">
        <f t="shared" si="11"/>
        <v>7273.9849999999997</v>
      </c>
      <c r="R52" s="333">
        <f t="shared" si="10"/>
        <v>43678</v>
      </c>
      <c r="S52" s="35"/>
    </row>
    <row r="53" spans="1:19">
      <c r="A53">
        <v>13</v>
      </c>
      <c r="B53" s="680">
        <f t="shared" si="8"/>
        <v>0</v>
      </c>
      <c r="C53" s="682" t="str">
        <f t="shared" si="9"/>
        <v>1080099801</v>
      </c>
      <c r="D53" s="555">
        <v>1801.0119999999999</v>
      </c>
      <c r="E53" s="555">
        <v>1807.5129999999999</v>
      </c>
      <c r="F53" s="555">
        <v>1766.2239999999999</v>
      </c>
      <c r="G53" s="564">
        <v>2097.4659999999999</v>
      </c>
      <c r="H53" s="564">
        <v>2342.8510000000001</v>
      </c>
      <c r="I53" s="564">
        <v>2440.1709999999998</v>
      </c>
      <c r="J53" s="564">
        <v>2558.3000000000002</v>
      </c>
      <c r="K53" s="564">
        <v>2603.3220000000001</v>
      </c>
      <c r="L53" s="564">
        <v>2421.0439999999999</v>
      </c>
      <c r="M53" s="564">
        <v>1998.9749999999999</v>
      </c>
      <c r="N53" s="564">
        <v>1729.87</v>
      </c>
      <c r="O53" s="564">
        <v>1770.8520000000001</v>
      </c>
      <c r="P53" s="37">
        <f t="shared" si="7"/>
        <v>25337.599999999995</v>
      </c>
      <c r="Q53" s="43">
        <f t="shared" si="11"/>
        <v>2603.3220000000001</v>
      </c>
      <c r="R53" s="333">
        <f t="shared" si="10"/>
        <v>43678</v>
      </c>
      <c r="S53" s="35"/>
    </row>
    <row r="54" spans="1:19">
      <c r="A54">
        <v>14</v>
      </c>
      <c r="B54" s="680">
        <f t="shared" si="8"/>
        <v>0</v>
      </c>
      <c r="C54" s="682" t="str">
        <f t="shared" si="9"/>
        <v>0070121063</v>
      </c>
      <c r="D54" s="555">
        <v>5920.46</v>
      </c>
      <c r="E54" s="555">
        <v>5993.2539999999999</v>
      </c>
      <c r="F54" s="555">
        <v>5928.2049999999999</v>
      </c>
      <c r="G54" s="564">
        <v>5817.009</v>
      </c>
      <c r="H54" s="564">
        <v>6388.3950000000004</v>
      </c>
      <c r="I54" s="564">
        <v>6221.201</v>
      </c>
      <c r="J54" s="564">
        <v>6304.875</v>
      </c>
      <c r="K54" s="564">
        <v>6173.893</v>
      </c>
      <c r="L54" s="564">
        <v>6325.0529999999999</v>
      </c>
      <c r="M54" s="564">
        <v>6242.3940000000002</v>
      </c>
      <c r="N54" s="564">
        <v>6406.4470000000001</v>
      </c>
      <c r="O54" s="564">
        <v>6101.6930000000002</v>
      </c>
      <c r="P54" s="37">
        <f t="shared" si="7"/>
        <v>73822.879000000001</v>
      </c>
      <c r="Q54" s="43">
        <f t="shared" si="11"/>
        <v>6406.4470000000001</v>
      </c>
      <c r="R54" s="333">
        <f t="shared" si="10"/>
        <v>43770</v>
      </c>
      <c r="S54" s="35"/>
    </row>
    <row r="55" spans="1:19">
      <c r="A55">
        <v>15</v>
      </c>
      <c r="B55" s="680">
        <f t="shared" si="8"/>
        <v>0</v>
      </c>
      <c r="C55" s="682" t="str">
        <f t="shared" si="9"/>
        <v>2260946595</v>
      </c>
      <c r="D55" s="555">
        <v>2938.127</v>
      </c>
      <c r="E55" s="555">
        <v>2939.04</v>
      </c>
      <c r="F55" s="555">
        <v>2930.6849999999999</v>
      </c>
      <c r="G55" s="564">
        <v>2893.5529999999999</v>
      </c>
      <c r="H55" s="564">
        <v>3409.6239999999998</v>
      </c>
      <c r="I55" s="564">
        <v>3301.98</v>
      </c>
      <c r="J55" s="564">
        <v>3509.3910000000001</v>
      </c>
      <c r="K55" s="564">
        <v>3666.569</v>
      </c>
      <c r="L55" s="564">
        <v>3697.6990000000001</v>
      </c>
      <c r="M55" s="564">
        <v>3131.4090000000001</v>
      </c>
      <c r="N55" s="564">
        <v>2915.127</v>
      </c>
      <c r="O55" s="564">
        <v>2900.0929999999998</v>
      </c>
      <c r="P55" s="37">
        <f t="shared" si="7"/>
        <v>38233.296999999999</v>
      </c>
      <c r="Q55" s="43">
        <f t="shared" si="11"/>
        <v>3697.6990000000001</v>
      </c>
      <c r="R55" s="333">
        <f t="shared" si="10"/>
        <v>43709</v>
      </c>
      <c r="S55" s="35"/>
    </row>
    <row r="56" spans="1:19">
      <c r="A56">
        <v>16</v>
      </c>
      <c r="B56" s="680">
        <f t="shared" si="8"/>
        <v>0</v>
      </c>
      <c r="C56" s="682" t="str">
        <f t="shared" si="9"/>
        <v>2470070232</v>
      </c>
      <c r="D56" s="555">
        <v>5028.1019999999999</v>
      </c>
      <c r="E56" s="555">
        <v>4788.4679999999998</v>
      </c>
      <c r="F56" s="555">
        <v>4942.8050000000003</v>
      </c>
      <c r="G56" s="564">
        <v>4612.442</v>
      </c>
      <c r="H56" s="564">
        <v>4606.8090000000002</v>
      </c>
      <c r="I56" s="564">
        <v>4393.97</v>
      </c>
      <c r="J56" s="564">
        <v>4423.7870000000003</v>
      </c>
      <c r="K56" s="564">
        <v>4237.9390000000003</v>
      </c>
      <c r="L56" s="564">
        <v>4362.2529999999997</v>
      </c>
      <c r="M56" s="564">
        <v>4489.8590000000004</v>
      </c>
      <c r="N56" s="564">
        <v>4602.6000000000004</v>
      </c>
      <c r="O56" s="564">
        <v>4523.5379999999996</v>
      </c>
      <c r="P56" s="37">
        <f t="shared" si="7"/>
        <v>55012.571999999993</v>
      </c>
      <c r="Q56" s="43">
        <f t="shared" si="11"/>
        <v>5028.1019999999999</v>
      </c>
      <c r="R56" s="333">
        <f t="shared" si="10"/>
        <v>43466</v>
      </c>
      <c r="S56" s="35"/>
    </row>
    <row r="57" spans="1:19">
      <c r="A57">
        <v>17</v>
      </c>
      <c r="B57" s="680">
        <f t="shared" si="8"/>
        <v>0</v>
      </c>
      <c r="C57" s="682" t="str">
        <f t="shared" si="9"/>
        <v>3730460787</v>
      </c>
      <c r="D57" s="555">
        <v>4576.1419999999998</v>
      </c>
      <c r="E57" s="555">
        <v>4593.7479999999996</v>
      </c>
      <c r="F57" s="555">
        <v>4793.0240000000003</v>
      </c>
      <c r="G57" s="564">
        <v>4269.5659999999998</v>
      </c>
      <c r="H57" s="564">
        <v>4178.7259999999997</v>
      </c>
      <c r="I57" s="564">
        <v>4025.9749999999999</v>
      </c>
      <c r="J57" s="564">
        <v>4061.17</v>
      </c>
      <c r="K57" s="564">
        <v>4215.13</v>
      </c>
      <c r="L57" s="564">
        <v>4599.915</v>
      </c>
      <c r="M57" s="564">
        <v>4512.3909999999996</v>
      </c>
      <c r="N57" s="564">
        <v>4444.4250000000002</v>
      </c>
      <c r="O57" s="564">
        <v>4482.9390000000003</v>
      </c>
      <c r="P57" s="37">
        <f t="shared" si="7"/>
        <v>52753.150999999998</v>
      </c>
      <c r="Q57" s="43">
        <f t="shared" si="11"/>
        <v>4793.0240000000003</v>
      </c>
      <c r="R57" s="333">
        <f t="shared" si="10"/>
        <v>43525</v>
      </c>
      <c r="S57" s="35"/>
    </row>
    <row r="58" spans="1:19">
      <c r="A58">
        <v>18</v>
      </c>
      <c r="B58" s="680">
        <f t="shared" si="8"/>
        <v>0</v>
      </c>
      <c r="C58" s="682" t="str">
        <f t="shared" si="9"/>
        <v>6030021572</v>
      </c>
      <c r="D58" s="555">
        <v>7561.8</v>
      </c>
      <c r="E58" s="555">
        <v>7319.55</v>
      </c>
      <c r="F58" s="555">
        <v>6877.6</v>
      </c>
      <c r="G58" s="564">
        <v>7474.16</v>
      </c>
      <c r="H58" s="564">
        <v>8302.59</v>
      </c>
      <c r="I58" s="564">
        <v>9730.33</v>
      </c>
      <c r="J58" s="564">
        <v>10780.89</v>
      </c>
      <c r="K58" s="564">
        <v>11330.56</v>
      </c>
      <c r="L58" s="564">
        <v>10798.06</v>
      </c>
      <c r="M58" s="564">
        <v>7293.78</v>
      </c>
      <c r="N58" s="564">
        <v>7735.4</v>
      </c>
      <c r="O58" s="564">
        <v>7646.46</v>
      </c>
      <c r="P58" s="37">
        <f t="shared" si="7"/>
        <v>102851.18</v>
      </c>
      <c r="Q58" s="43">
        <f t="shared" si="11"/>
        <v>11330.56</v>
      </c>
      <c r="R58" s="333">
        <f t="shared" si="10"/>
        <v>43678</v>
      </c>
      <c r="S58" s="35"/>
    </row>
    <row r="59" spans="1:19">
      <c r="A59">
        <v>19</v>
      </c>
      <c r="B59" s="680">
        <f t="shared" si="8"/>
        <v>0</v>
      </c>
      <c r="C59" s="681" t="str">
        <f t="shared" si="9"/>
        <v>6100609210</v>
      </c>
      <c r="D59" s="556">
        <v>5925.4719999999998</v>
      </c>
      <c r="E59" s="556">
        <v>5829.2190000000001</v>
      </c>
      <c r="F59" s="556">
        <v>5446.55</v>
      </c>
      <c r="G59" s="564">
        <v>5450.83</v>
      </c>
      <c r="H59" s="564">
        <v>4763.3630000000003</v>
      </c>
      <c r="I59" s="564">
        <v>4751.4009999999998</v>
      </c>
      <c r="J59" s="564">
        <v>4657.95</v>
      </c>
      <c r="K59" s="564">
        <v>5287.0439999999999</v>
      </c>
      <c r="L59" s="564">
        <v>5266.2640000000001</v>
      </c>
      <c r="M59" s="565">
        <v>5678.3630000000003</v>
      </c>
      <c r="N59" s="565">
        <v>5797.1559999999999</v>
      </c>
      <c r="O59" s="565">
        <v>5921.9229999999998</v>
      </c>
      <c r="P59" s="37">
        <f t="shared" si="7"/>
        <v>64775.535000000003</v>
      </c>
      <c r="Q59" s="43">
        <f t="shared" si="11"/>
        <v>5925.4719999999998</v>
      </c>
      <c r="R59" s="333">
        <f t="shared" si="10"/>
        <v>43466</v>
      </c>
      <c r="S59" s="35"/>
    </row>
    <row r="60" spans="1:19">
      <c r="A60">
        <v>20</v>
      </c>
      <c r="B60" s="680">
        <f t="shared" si="8"/>
        <v>0</v>
      </c>
      <c r="C60" s="681" t="str">
        <f t="shared" si="9"/>
        <v>5030019646</v>
      </c>
      <c r="D60" s="649">
        <v>5543.0239999999994</v>
      </c>
      <c r="E60" s="649">
        <v>9427.7479999999996</v>
      </c>
      <c r="F60" s="649">
        <v>5699.7960000000003</v>
      </c>
      <c r="G60" s="650">
        <v>5095.9430000000002</v>
      </c>
      <c r="H60" s="650">
        <v>4944.7250000000004</v>
      </c>
      <c r="I60" s="650">
        <v>4815.7870000000003</v>
      </c>
      <c r="J60" s="650">
        <v>4644.2190000000001</v>
      </c>
      <c r="K60" s="650">
        <v>4858.576</v>
      </c>
      <c r="L60" s="650">
        <v>4945.268</v>
      </c>
      <c r="M60" s="650">
        <v>5057.24</v>
      </c>
      <c r="N60" s="650">
        <v>4988.9480000000003</v>
      </c>
      <c r="O60" s="650">
        <v>4920.2280000000001</v>
      </c>
      <c r="P60" s="37">
        <f t="shared" si="7"/>
        <v>64941.501999999993</v>
      </c>
      <c r="Q60" s="43">
        <f t="shared" si="11"/>
        <v>9427.7479999999996</v>
      </c>
      <c r="R60" s="333">
        <f t="shared" si="10"/>
        <v>43497</v>
      </c>
      <c r="S60" s="35"/>
    </row>
    <row r="61" spans="1:19">
      <c r="A61">
        <v>21</v>
      </c>
      <c r="B61" s="680">
        <f t="shared" si="8"/>
        <v>0</v>
      </c>
      <c r="C61" s="681" t="str">
        <f t="shared" si="9"/>
        <v>7030024549</v>
      </c>
      <c r="D61" s="649">
        <v>4283.5569999999998</v>
      </c>
      <c r="E61" s="649">
        <v>4289.8339999999998</v>
      </c>
      <c r="F61" s="649">
        <v>4226.067</v>
      </c>
      <c r="G61" s="650">
        <v>4553.32</v>
      </c>
      <c r="H61" s="650">
        <v>5085.1450000000004</v>
      </c>
      <c r="I61" s="650">
        <v>6309.3789999999999</v>
      </c>
      <c r="J61" s="650">
        <v>5919.558</v>
      </c>
      <c r="K61" s="650">
        <v>7191.9350000000004</v>
      </c>
      <c r="L61" s="650">
        <v>9554.7289999999994</v>
      </c>
      <c r="M61" s="650">
        <v>8275.527</v>
      </c>
      <c r="N61" s="650">
        <v>4245.8639999999996</v>
      </c>
      <c r="O61" s="650">
        <v>4204.433</v>
      </c>
      <c r="P61" s="37">
        <f t="shared" si="7"/>
        <v>68139.347999999998</v>
      </c>
      <c r="Q61" s="43">
        <f t="shared" si="11"/>
        <v>9554.7289999999994</v>
      </c>
      <c r="R61" s="333">
        <f t="shared" si="10"/>
        <v>43709</v>
      </c>
      <c r="S61" s="35"/>
    </row>
    <row r="62" spans="1:19" s="748" customFormat="1">
      <c r="A62" s="748">
        <v>22</v>
      </c>
      <c r="B62" s="680">
        <f t="shared" si="8"/>
        <v>0</v>
      </c>
      <c r="C62" s="681"/>
      <c r="D62" s="649">
        <v>2223.39</v>
      </c>
      <c r="E62" s="649">
        <v>2148.5909999999999</v>
      </c>
      <c r="F62" s="649">
        <v>1909.559</v>
      </c>
      <c r="G62" s="650">
        <v>2118.7249999999999</v>
      </c>
      <c r="H62" s="650">
        <v>2298.212</v>
      </c>
      <c r="I62" s="650">
        <v>2136.0309999999999</v>
      </c>
      <c r="J62" s="650">
        <v>2246.8220000000001</v>
      </c>
      <c r="K62" s="650">
        <v>2660.0880000000002</v>
      </c>
      <c r="L62" s="650">
        <v>2377.2779999999998</v>
      </c>
      <c r="M62" s="650">
        <v>6979.9009999999998</v>
      </c>
      <c r="N62" s="650">
        <v>6503.0730000000003</v>
      </c>
      <c r="O62" s="650">
        <v>6407.7510000000002</v>
      </c>
      <c r="P62" s="389">
        <f t="shared" si="7"/>
        <v>40009.421000000002</v>
      </c>
      <c r="Q62" s="541">
        <f t="shared" ref="Q62:Q63" si="12">MAX(D62:O62)</f>
        <v>6979.9009999999998</v>
      </c>
      <c r="R62" s="333">
        <f t="shared" ref="R62:R63" si="13">INDEX($D$40:$O$40,MATCH(Q62,$D62:$O62,0))</f>
        <v>43739</v>
      </c>
      <c r="S62" s="540"/>
    </row>
    <row r="63" spans="1:19" s="748" customFormat="1">
      <c r="A63" s="748">
        <v>23</v>
      </c>
      <c r="B63" s="680">
        <f t="shared" si="8"/>
        <v>0</v>
      </c>
      <c r="C63" s="681"/>
      <c r="D63" s="555">
        <v>3733.76</v>
      </c>
      <c r="E63" s="555">
        <v>3840.748</v>
      </c>
      <c r="F63" s="555">
        <v>3713.1419999999998</v>
      </c>
      <c r="G63" s="564">
        <v>3775.5549999999998</v>
      </c>
      <c r="H63" s="564">
        <v>3660.1640000000002</v>
      </c>
      <c r="I63" s="564">
        <v>3602.386</v>
      </c>
      <c r="J63" s="564">
        <v>3660.2130000000002</v>
      </c>
      <c r="K63" s="564">
        <v>3628.8780000000002</v>
      </c>
      <c r="L63" s="564">
        <v>3524.9789999999998</v>
      </c>
      <c r="M63" s="564">
        <v>3638.9459999999999</v>
      </c>
      <c r="N63" s="564">
        <v>3738.2359999999999</v>
      </c>
      <c r="O63" s="564">
        <v>3734.7139999999999</v>
      </c>
      <c r="P63" s="389">
        <f t="shared" si="7"/>
        <v>44251.72099999999</v>
      </c>
      <c r="Q63" s="541">
        <f t="shared" si="12"/>
        <v>3840.748</v>
      </c>
      <c r="R63" s="333">
        <f t="shared" si="13"/>
        <v>43497</v>
      </c>
      <c r="S63" s="540"/>
    </row>
    <row r="64" spans="1:19">
      <c r="B64" t="s">
        <v>365</v>
      </c>
      <c r="D64" s="302">
        <f>SUM(D41:D63)</f>
        <v>166681.58900000001</v>
      </c>
      <c r="E64" s="302">
        <f t="shared" ref="E64:O64" si="14">SUM(E41:E63)</f>
        <v>171958.64299999998</v>
      </c>
      <c r="F64" s="302">
        <f t="shared" si="14"/>
        <v>169527.08</v>
      </c>
      <c r="G64" s="302">
        <f t="shared" si="14"/>
        <v>167969.19399999999</v>
      </c>
      <c r="H64" s="302">
        <f t="shared" si="14"/>
        <v>178363.734</v>
      </c>
      <c r="I64" s="302">
        <f t="shared" si="14"/>
        <v>173728.66200000001</v>
      </c>
      <c r="J64" s="302">
        <f t="shared" si="14"/>
        <v>175753.40500000003</v>
      </c>
      <c r="K64" s="302">
        <f t="shared" si="14"/>
        <v>181762.40699999998</v>
      </c>
      <c r="L64" s="302">
        <f t="shared" si="14"/>
        <v>179836.49799999996</v>
      </c>
      <c r="M64" s="302">
        <f t="shared" si="14"/>
        <v>175761.27100000001</v>
      </c>
      <c r="N64" s="302">
        <f t="shared" si="14"/>
        <v>168943.31199999998</v>
      </c>
      <c r="O64" s="302">
        <f t="shared" si="14"/>
        <v>170484.31399999998</v>
      </c>
      <c r="P64" s="39">
        <f>IF(ROUND(SUM(P41:P63),0)&lt;&gt;ROUND(SUM(D64:O64),0),#VALUE!,SUM(P41:P63))</f>
        <v>2080770.1089999999</v>
      </c>
    </row>
    <row r="65" spans="1:16">
      <c r="D65" s="303"/>
      <c r="E65" s="303"/>
      <c r="F65" s="303"/>
      <c r="G65" s="303"/>
      <c r="H65" s="303"/>
      <c r="I65" s="303"/>
      <c r="J65" s="303"/>
      <c r="K65" s="303"/>
      <c r="L65" s="303"/>
      <c r="M65" s="46"/>
      <c r="N65" s="46"/>
      <c r="O65" s="46"/>
      <c r="P65" s="46"/>
    </row>
    <row r="66" spans="1:16">
      <c r="D66" s="19"/>
      <c r="E66" s="19"/>
      <c r="F66" s="19"/>
      <c r="G66" s="19"/>
      <c r="H66" s="19"/>
      <c r="I66" s="19"/>
      <c r="J66" s="19"/>
      <c r="K66" s="19"/>
      <c r="L66" s="19"/>
      <c r="P66" s="35" t="str">
        <f>P$2</f>
        <v>12-mo Ended</v>
      </c>
    </row>
    <row r="67" spans="1:16">
      <c r="B67" s="117" t="s">
        <v>404</v>
      </c>
      <c r="D67" s="301">
        <f>D$3</f>
        <v>43466</v>
      </c>
      <c r="E67" s="301">
        <f t="shared" ref="E67:O67" si="15">E$3</f>
        <v>43497</v>
      </c>
      <c r="F67" s="301">
        <f t="shared" si="15"/>
        <v>43525</v>
      </c>
      <c r="G67" s="301">
        <f t="shared" si="15"/>
        <v>43556</v>
      </c>
      <c r="H67" s="301">
        <f t="shared" si="15"/>
        <v>43586</v>
      </c>
      <c r="I67" s="301">
        <f t="shared" si="15"/>
        <v>43617</v>
      </c>
      <c r="J67" s="301">
        <f t="shared" si="15"/>
        <v>43647</v>
      </c>
      <c r="K67" s="301">
        <f t="shared" si="15"/>
        <v>43678</v>
      </c>
      <c r="L67" s="301">
        <f t="shared" si="15"/>
        <v>43709</v>
      </c>
      <c r="M67" s="299">
        <f t="shared" si="15"/>
        <v>43739</v>
      </c>
      <c r="N67" s="299">
        <f t="shared" si="15"/>
        <v>43770</v>
      </c>
      <c r="O67" s="299">
        <f t="shared" si="15"/>
        <v>43800</v>
      </c>
      <c r="P67" s="35" t="s">
        <v>66</v>
      </c>
    </row>
    <row r="68" spans="1:16">
      <c r="A68">
        <v>1</v>
      </c>
      <c r="B68" s="640">
        <f>B4</f>
        <v>0</v>
      </c>
      <c r="C68" s="327" t="str">
        <f>C4</f>
        <v>2311008572</v>
      </c>
      <c r="D68" s="304">
        <f t="shared" ref="D68:F75" si="16">IF(D41&gt;3000,D41-3000,0)</f>
        <v>8235.1190000000006</v>
      </c>
      <c r="E68" s="304">
        <f t="shared" si="16"/>
        <v>10097.044</v>
      </c>
      <c r="F68" s="304">
        <f t="shared" si="16"/>
        <v>9788.42</v>
      </c>
      <c r="G68" s="304">
        <f t="shared" ref="G68:O68" si="17">MAX(0,G41-3000)</f>
        <v>8813.0759999999991</v>
      </c>
      <c r="H68" s="304">
        <f t="shared" si="17"/>
        <v>16727.5</v>
      </c>
      <c r="I68" s="304">
        <f t="shared" si="17"/>
        <v>8694.5650000000005</v>
      </c>
      <c r="J68" s="304">
        <f t="shared" si="17"/>
        <v>7955.6509999999998</v>
      </c>
      <c r="K68" s="304">
        <f t="shared" si="17"/>
        <v>8234.8739999999998</v>
      </c>
      <c r="L68" s="304">
        <f t="shared" si="17"/>
        <v>8020.2270000000008</v>
      </c>
      <c r="M68" s="304">
        <f t="shared" si="17"/>
        <v>6747.6959999999999</v>
      </c>
      <c r="N68" s="304">
        <f t="shared" si="17"/>
        <v>4452.8119999999999</v>
      </c>
      <c r="O68" s="304">
        <f t="shared" si="17"/>
        <v>4325.1319999999996</v>
      </c>
      <c r="P68" s="37">
        <f t="shared" ref="P68:P88" si="18">SUM(D68:O68)</f>
        <v>102092.11599999999</v>
      </c>
    </row>
    <row r="69" spans="1:16">
      <c r="A69">
        <v>2</v>
      </c>
      <c r="B69" s="640">
        <f t="shared" ref="B69:B90" si="19">B5</f>
        <v>0</v>
      </c>
      <c r="C69" s="327" t="str">
        <f t="shared" ref="C69:C74" si="20">C5</f>
        <v>8920023327</v>
      </c>
      <c r="D69" s="304">
        <f t="shared" si="16"/>
        <v>2486.0749999999998</v>
      </c>
      <c r="E69" s="304">
        <f t="shared" si="16"/>
        <v>2434.125</v>
      </c>
      <c r="F69" s="304">
        <f t="shared" si="16"/>
        <v>2276.1229999999996</v>
      </c>
      <c r="G69" s="304">
        <f t="shared" ref="G69:O69" si="21">MAX(0,G42-3000)</f>
        <v>2056.1369999999997</v>
      </c>
      <c r="H69" s="304">
        <f t="shared" si="21"/>
        <v>1983.9690000000001</v>
      </c>
      <c r="I69" s="304">
        <f t="shared" si="21"/>
        <v>2005.4129999999996</v>
      </c>
      <c r="J69" s="304">
        <f t="shared" si="21"/>
        <v>2087.6890000000003</v>
      </c>
      <c r="K69" s="304">
        <f t="shared" si="21"/>
        <v>2057.6229999999996</v>
      </c>
      <c r="L69" s="304">
        <f t="shared" si="21"/>
        <v>2126.2299999999996</v>
      </c>
      <c r="M69" s="304">
        <f t="shared" si="21"/>
        <v>2102.8950000000004</v>
      </c>
      <c r="N69" s="304">
        <f t="shared" si="21"/>
        <v>2137.21</v>
      </c>
      <c r="O69" s="304">
        <f t="shared" si="21"/>
        <v>2127.7849999999999</v>
      </c>
      <c r="P69" s="37">
        <f t="shared" si="18"/>
        <v>25881.274000000001</v>
      </c>
    </row>
    <row r="70" spans="1:16">
      <c r="A70">
        <v>3</v>
      </c>
      <c r="B70" s="640">
        <f t="shared" si="19"/>
        <v>0</v>
      </c>
      <c r="C70" s="327" t="str">
        <f t="shared" si="20"/>
        <v>9920023116</v>
      </c>
      <c r="D70" s="304">
        <f t="shared" si="16"/>
        <v>170.49200000000019</v>
      </c>
      <c r="E70" s="304">
        <f t="shared" si="16"/>
        <v>0</v>
      </c>
      <c r="F70" s="304">
        <f t="shared" si="16"/>
        <v>9.1469999999999345</v>
      </c>
      <c r="G70" s="304">
        <f t="shared" ref="G70:O70" si="22">MAX(0,G43-3000)</f>
        <v>0</v>
      </c>
      <c r="H70" s="304">
        <f t="shared" si="22"/>
        <v>0</v>
      </c>
      <c r="I70" s="304">
        <f t="shared" si="22"/>
        <v>0</v>
      </c>
      <c r="J70" s="304">
        <f t="shared" si="22"/>
        <v>0</v>
      </c>
      <c r="K70" s="304">
        <f t="shared" si="22"/>
        <v>0</v>
      </c>
      <c r="L70" s="304">
        <f t="shared" si="22"/>
        <v>0</v>
      </c>
      <c r="M70" s="304">
        <f t="shared" si="22"/>
        <v>0</v>
      </c>
      <c r="N70" s="304">
        <f t="shared" si="22"/>
        <v>0</v>
      </c>
      <c r="O70" s="304">
        <f t="shared" si="22"/>
        <v>0</v>
      </c>
      <c r="P70" s="37">
        <f t="shared" si="18"/>
        <v>179.63900000000012</v>
      </c>
    </row>
    <row r="71" spans="1:16">
      <c r="A71">
        <v>4</v>
      </c>
      <c r="B71" s="640">
        <f t="shared" si="19"/>
        <v>0</v>
      </c>
      <c r="C71" s="327" t="str">
        <f t="shared" si="20"/>
        <v>8970099313</v>
      </c>
      <c r="D71" s="304">
        <f t="shared" si="16"/>
        <v>0</v>
      </c>
      <c r="E71" s="304">
        <f t="shared" si="16"/>
        <v>0</v>
      </c>
      <c r="F71" s="304">
        <f t="shared" si="16"/>
        <v>0</v>
      </c>
      <c r="G71" s="304">
        <f t="shared" ref="G71:O71" si="23">MAX(0,G44-3000)</f>
        <v>0</v>
      </c>
      <c r="H71" s="304">
        <f t="shared" si="23"/>
        <v>0</v>
      </c>
      <c r="I71" s="304">
        <f t="shared" si="23"/>
        <v>0</v>
      </c>
      <c r="J71" s="304">
        <f t="shared" si="23"/>
        <v>0</v>
      </c>
      <c r="K71" s="304">
        <f t="shared" si="23"/>
        <v>0</v>
      </c>
      <c r="L71" s="304">
        <f t="shared" si="23"/>
        <v>0</v>
      </c>
      <c r="M71" s="304">
        <f t="shared" si="23"/>
        <v>0</v>
      </c>
      <c r="N71" s="304">
        <f t="shared" si="23"/>
        <v>0</v>
      </c>
      <c r="O71" s="304">
        <f t="shared" si="23"/>
        <v>0</v>
      </c>
      <c r="P71" s="37">
        <f t="shared" si="18"/>
        <v>0</v>
      </c>
    </row>
    <row r="72" spans="1:16">
      <c r="A72">
        <v>5</v>
      </c>
      <c r="B72" s="640">
        <f t="shared" si="19"/>
        <v>0</v>
      </c>
      <c r="C72" s="327" t="str">
        <f t="shared" si="20"/>
        <v>0080095044</v>
      </c>
      <c r="D72" s="304">
        <f t="shared" si="16"/>
        <v>0</v>
      </c>
      <c r="E72" s="304">
        <f t="shared" si="16"/>
        <v>0</v>
      </c>
      <c r="F72" s="304">
        <f t="shared" si="16"/>
        <v>0</v>
      </c>
      <c r="G72" s="304">
        <f t="shared" ref="G72:O72" si="24">MAX(0,G45-3000)</f>
        <v>132.22299999999996</v>
      </c>
      <c r="H72" s="304">
        <f t="shared" si="24"/>
        <v>477.36900000000014</v>
      </c>
      <c r="I72" s="304">
        <f t="shared" si="24"/>
        <v>747.49499999999989</v>
      </c>
      <c r="J72" s="304">
        <f t="shared" si="24"/>
        <v>914.42000000000007</v>
      </c>
      <c r="K72" s="304">
        <f t="shared" si="24"/>
        <v>810.73300000000017</v>
      </c>
      <c r="L72" s="304">
        <f t="shared" si="24"/>
        <v>653.30000000000018</v>
      </c>
      <c r="M72" s="304">
        <f t="shared" si="24"/>
        <v>0</v>
      </c>
      <c r="N72" s="304">
        <f t="shared" si="24"/>
        <v>0</v>
      </c>
      <c r="O72" s="304">
        <f t="shared" si="24"/>
        <v>0</v>
      </c>
      <c r="P72" s="37">
        <f t="shared" si="18"/>
        <v>3735.5400000000004</v>
      </c>
    </row>
    <row r="73" spans="1:16">
      <c r="A73">
        <v>6</v>
      </c>
      <c r="B73" s="640">
        <f t="shared" si="19"/>
        <v>0</v>
      </c>
      <c r="C73" s="327" t="str">
        <f t="shared" si="20"/>
        <v>1420028876</v>
      </c>
      <c r="D73" s="304">
        <f t="shared" si="16"/>
        <v>1693.9759999999997</v>
      </c>
      <c r="E73" s="304">
        <f t="shared" si="16"/>
        <v>1607.8199999999997</v>
      </c>
      <c r="F73" s="304">
        <f t="shared" si="16"/>
        <v>1350.3389999999999</v>
      </c>
      <c r="G73" s="304">
        <f t="shared" ref="G73:O73" si="25">MAX(0,G46-3000)</f>
        <v>1168.8230000000003</v>
      </c>
      <c r="H73" s="304">
        <f t="shared" si="25"/>
        <v>1653.5330000000004</v>
      </c>
      <c r="I73" s="304">
        <f t="shared" si="25"/>
        <v>1532.701</v>
      </c>
      <c r="J73" s="304">
        <f t="shared" si="25"/>
        <v>1783.741</v>
      </c>
      <c r="K73" s="304">
        <f t="shared" si="25"/>
        <v>2478.8410000000003</v>
      </c>
      <c r="L73" s="304">
        <f t="shared" si="25"/>
        <v>2486.0709999999999</v>
      </c>
      <c r="M73" s="304">
        <f t="shared" si="25"/>
        <v>1220.9070000000002</v>
      </c>
      <c r="N73" s="304">
        <f t="shared" si="25"/>
        <v>1550.799</v>
      </c>
      <c r="O73" s="304">
        <f t="shared" si="25"/>
        <v>1495.9210000000003</v>
      </c>
      <c r="P73" s="37">
        <f t="shared" si="18"/>
        <v>20023.472000000002</v>
      </c>
    </row>
    <row r="74" spans="1:16">
      <c r="A74">
        <v>7</v>
      </c>
      <c r="B74" s="640">
        <f t="shared" si="19"/>
        <v>0</v>
      </c>
      <c r="C74" s="327" t="str">
        <f t="shared" si="20"/>
        <v>0170122152</v>
      </c>
      <c r="D74" s="304">
        <f t="shared" si="16"/>
        <v>0</v>
      </c>
      <c r="E74" s="304">
        <f t="shared" si="16"/>
        <v>0</v>
      </c>
      <c r="F74" s="304">
        <f t="shared" si="16"/>
        <v>0</v>
      </c>
      <c r="G74" s="304">
        <f t="shared" ref="G74:O74" si="26">MAX(0,G47-3000)</f>
        <v>0</v>
      </c>
      <c r="H74" s="304">
        <f t="shared" si="26"/>
        <v>29.110999999999876</v>
      </c>
      <c r="I74" s="304">
        <f t="shared" si="26"/>
        <v>196.04799999999977</v>
      </c>
      <c r="J74" s="304">
        <f t="shared" si="26"/>
        <v>339.18899999999985</v>
      </c>
      <c r="K74" s="304">
        <f t="shared" si="26"/>
        <v>522.61799999999994</v>
      </c>
      <c r="L74" s="304">
        <f t="shared" si="26"/>
        <v>280.20600000000013</v>
      </c>
      <c r="M74" s="304">
        <f t="shared" si="26"/>
        <v>114.72400000000016</v>
      </c>
      <c r="N74" s="304">
        <f t="shared" si="26"/>
        <v>80.481000000000222</v>
      </c>
      <c r="O74" s="304">
        <f t="shared" si="26"/>
        <v>7.6979999999998654</v>
      </c>
      <c r="P74" s="37">
        <f t="shared" si="18"/>
        <v>1570.0749999999998</v>
      </c>
    </row>
    <row r="75" spans="1:16">
      <c r="A75">
        <v>8</v>
      </c>
      <c r="B75" s="640">
        <f t="shared" si="19"/>
        <v>0</v>
      </c>
      <c r="C75" s="327">
        <v>610074869</v>
      </c>
      <c r="D75" s="304">
        <f t="shared" si="16"/>
        <v>1138.0299999999997</v>
      </c>
      <c r="E75" s="304">
        <f t="shared" si="16"/>
        <v>1134.473</v>
      </c>
      <c r="F75" s="304">
        <f t="shared" si="16"/>
        <v>1111.0600000000004</v>
      </c>
      <c r="G75" s="304">
        <f t="shared" ref="G75:O75" si="27">MAX(0,G48-3000)</f>
        <v>1134.7290000000003</v>
      </c>
      <c r="H75" s="304">
        <f t="shared" si="27"/>
        <v>1168.1779999999999</v>
      </c>
      <c r="I75" s="304">
        <f t="shared" si="27"/>
        <v>1212.5640000000003</v>
      </c>
      <c r="J75" s="304">
        <f t="shared" si="27"/>
        <v>1223.6970000000001</v>
      </c>
      <c r="K75" s="304">
        <f t="shared" si="27"/>
        <v>1273.0990000000002</v>
      </c>
      <c r="L75" s="304">
        <f t="shared" si="27"/>
        <v>1214.4899999999998</v>
      </c>
      <c r="M75" s="304">
        <f t="shared" si="27"/>
        <v>1157.8900000000003</v>
      </c>
      <c r="N75" s="304">
        <f t="shared" si="27"/>
        <v>1170.9449999999997</v>
      </c>
      <c r="O75" s="304">
        <f t="shared" si="27"/>
        <v>1257.5990000000002</v>
      </c>
      <c r="P75" s="37">
        <f t="shared" si="18"/>
        <v>14196.754000000003</v>
      </c>
    </row>
    <row r="76" spans="1:16">
      <c r="A76">
        <v>9</v>
      </c>
      <c r="B76" s="640">
        <f t="shared" si="19"/>
        <v>0</v>
      </c>
      <c r="C76" s="327" t="str">
        <f t="shared" ref="C76:C88" si="28">C12</f>
        <v>0160126924</v>
      </c>
      <c r="D76" s="304">
        <f>MAX(0,D49-3000)</f>
        <v>53979.76</v>
      </c>
      <c r="E76" s="304">
        <f>MAX(0,E49-3000)</f>
        <v>55491.21</v>
      </c>
      <c r="F76" s="304">
        <f>MAX(0,F49-3000)</f>
        <v>57723.97</v>
      </c>
      <c r="G76" s="304">
        <f t="shared" ref="G76:O76" si="29">MAX(0,G49-3000)</f>
        <v>57695.18</v>
      </c>
      <c r="H76" s="304">
        <f t="shared" si="29"/>
        <v>56633.5</v>
      </c>
      <c r="I76" s="304">
        <f t="shared" si="29"/>
        <v>56915.37</v>
      </c>
      <c r="J76" s="304">
        <f t="shared" si="29"/>
        <v>57954.8</v>
      </c>
      <c r="K76" s="304">
        <f t="shared" si="29"/>
        <v>59499.94</v>
      </c>
      <c r="L76" s="304">
        <f t="shared" si="29"/>
        <v>57332.9</v>
      </c>
      <c r="M76" s="304">
        <f t="shared" si="29"/>
        <v>58348.84</v>
      </c>
      <c r="N76" s="304">
        <f t="shared" si="29"/>
        <v>58453.18</v>
      </c>
      <c r="O76" s="304">
        <f t="shared" si="29"/>
        <v>59886.96</v>
      </c>
      <c r="P76" s="37">
        <f t="shared" si="18"/>
        <v>689915.61</v>
      </c>
    </row>
    <row r="77" spans="1:16">
      <c r="A77">
        <v>10</v>
      </c>
      <c r="B77" s="640">
        <f t="shared" si="19"/>
        <v>0</v>
      </c>
      <c r="C77" s="327" t="str">
        <f t="shared" si="28"/>
        <v>4250473907</v>
      </c>
      <c r="D77" s="304">
        <f t="shared" ref="D77:F88" si="30">IF(D50&gt;3000,D50-3000,0)</f>
        <v>6494.3670000000002</v>
      </c>
      <c r="E77" s="304">
        <f t="shared" si="30"/>
        <v>5151.6930000000002</v>
      </c>
      <c r="F77" s="304">
        <f t="shared" si="30"/>
        <v>5444.6409999999996</v>
      </c>
      <c r="G77" s="304">
        <f t="shared" ref="G77:O77" si="31">MAX(0,G50-3000)</f>
        <v>5251.3700000000008</v>
      </c>
      <c r="H77" s="304">
        <f t="shared" si="31"/>
        <v>5416.0830000000005</v>
      </c>
      <c r="I77" s="304">
        <f t="shared" si="31"/>
        <v>5438.518</v>
      </c>
      <c r="J77" s="304">
        <f t="shared" si="31"/>
        <v>5465.4709999999995</v>
      </c>
      <c r="K77" s="304">
        <f t="shared" si="31"/>
        <v>5617.5730000000003</v>
      </c>
      <c r="L77" s="304">
        <f t="shared" si="31"/>
        <v>5465.0079999999998</v>
      </c>
      <c r="M77" s="304">
        <f t="shared" si="31"/>
        <v>5444.6409999999996</v>
      </c>
      <c r="N77" s="304">
        <f t="shared" si="31"/>
        <v>5123.326</v>
      </c>
      <c r="O77" s="304">
        <f t="shared" si="31"/>
        <v>5375.3729999999996</v>
      </c>
      <c r="P77" s="37">
        <f t="shared" si="18"/>
        <v>65688.064000000013</v>
      </c>
    </row>
    <row r="78" spans="1:16">
      <c r="A78">
        <v>11</v>
      </c>
      <c r="B78" s="640">
        <f t="shared" si="19"/>
        <v>0</v>
      </c>
      <c r="C78" s="327" t="str">
        <f t="shared" si="28"/>
        <v>9060132009</v>
      </c>
      <c r="D78" s="304">
        <f t="shared" si="30"/>
        <v>5557.5769999999993</v>
      </c>
      <c r="E78" s="304">
        <f t="shared" si="30"/>
        <v>5575.1489999999994</v>
      </c>
      <c r="F78" s="304">
        <f t="shared" si="30"/>
        <v>5703.8919999999998</v>
      </c>
      <c r="G78" s="304">
        <f t="shared" ref="G78:O78" si="32">MAX(0,G51-3000)</f>
        <v>5473.3389999999999</v>
      </c>
      <c r="H78" s="304">
        <f t="shared" si="32"/>
        <v>5775.9770000000008</v>
      </c>
      <c r="I78" s="304">
        <f t="shared" si="32"/>
        <v>6149.5429999999997</v>
      </c>
      <c r="J78" s="304">
        <f t="shared" si="32"/>
        <v>5848.1560000000009</v>
      </c>
      <c r="K78" s="304">
        <f t="shared" si="32"/>
        <v>5727.2649999999994</v>
      </c>
      <c r="L78" s="304">
        <f t="shared" si="32"/>
        <v>5415.0239999999994</v>
      </c>
      <c r="M78" s="304">
        <f t="shared" si="32"/>
        <v>5497.0220000000008</v>
      </c>
      <c r="N78" s="304">
        <f t="shared" si="32"/>
        <v>5603.2479999999996</v>
      </c>
      <c r="O78" s="304">
        <f t="shared" si="32"/>
        <v>5631.5079999999998</v>
      </c>
      <c r="P78" s="37">
        <f t="shared" si="18"/>
        <v>67957.7</v>
      </c>
    </row>
    <row r="79" spans="1:16">
      <c r="A79">
        <v>12</v>
      </c>
      <c r="B79" s="640">
        <f t="shared" si="19"/>
        <v>0</v>
      </c>
      <c r="C79" s="327" t="str">
        <f t="shared" si="28"/>
        <v>0030019644</v>
      </c>
      <c r="D79" s="304">
        <f t="shared" si="30"/>
        <v>1980.2330000000002</v>
      </c>
      <c r="E79" s="304">
        <f t="shared" si="30"/>
        <v>1999.5879999999997</v>
      </c>
      <c r="F79" s="304">
        <f t="shared" si="30"/>
        <v>2543.7340000000004</v>
      </c>
      <c r="G79" s="304">
        <f t="shared" ref="G79:O79" si="33">MAX(0,G52-3000)</f>
        <v>2907.4949999999999</v>
      </c>
      <c r="H79" s="304">
        <f t="shared" si="33"/>
        <v>3389.4269999999997</v>
      </c>
      <c r="I79" s="304">
        <f t="shared" si="33"/>
        <v>3828.66</v>
      </c>
      <c r="J79" s="304">
        <f t="shared" si="33"/>
        <v>4121.8649999999998</v>
      </c>
      <c r="K79" s="304">
        <f t="shared" si="33"/>
        <v>4273.9849999999997</v>
      </c>
      <c r="L79" s="304">
        <f t="shared" si="33"/>
        <v>3707.2110000000002</v>
      </c>
      <c r="M79" s="304">
        <f t="shared" si="33"/>
        <v>2606.3140000000003</v>
      </c>
      <c r="N79" s="304">
        <f t="shared" si="33"/>
        <v>1896.1009999999997</v>
      </c>
      <c r="O79" s="304">
        <f t="shared" si="33"/>
        <v>1949.0129999999999</v>
      </c>
      <c r="P79" s="37">
        <f t="shared" si="18"/>
        <v>35203.626000000004</v>
      </c>
    </row>
    <row r="80" spans="1:16">
      <c r="A80">
        <v>13</v>
      </c>
      <c r="B80" s="640">
        <f t="shared" si="19"/>
        <v>0</v>
      </c>
      <c r="C80" s="327" t="str">
        <f t="shared" si="28"/>
        <v>1080099801</v>
      </c>
      <c r="D80" s="304">
        <f t="shared" si="30"/>
        <v>0</v>
      </c>
      <c r="E80" s="304">
        <f t="shared" si="30"/>
        <v>0</v>
      </c>
      <c r="F80" s="304">
        <f t="shared" si="30"/>
        <v>0</v>
      </c>
      <c r="G80" s="304">
        <f t="shared" ref="G80:O80" si="34">MAX(0,G53-3000)</f>
        <v>0</v>
      </c>
      <c r="H80" s="304">
        <f t="shared" si="34"/>
        <v>0</v>
      </c>
      <c r="I80" s="304">
        <f t="shared" si="34"/>
        <v>0</v>
      </c>
      <c r="J80" s="304">
        <f t="shared" si="34"/>
        <v>0</v>
      </c>
      <c r="K80" s="304">
        <f t="shared" si="34"/>
        <v>0</v>
      </c>
      <c r="L80" s="304">
        <f t="shared" si="34"/>
        <v>0</v>
      </c>
      <c r="M80" s="304">
        <f t="shared" si="34"/>
        <v>0</v>
      </c>
      <c r="N80" s="304">
        <f t="shared" si="34"/>
        <v>0</v>
      </c>
      <c r="O80" s="304">
        <f t="shared" si="34"/>
        <v>0</v>
      </c>
      <c r="P80" s="37">
        <f t="shared" si="18"/>
        <v>0</v>
      </c>
    </row>
    <row r="81" spans="1:16">
      <c r="A81">
        <v>14</v>
      </c>
      <c r="B81" s="640">
        <f t="shared" si="19"/>
        <v>0</v>
      </c>
      <c r="C81" s="327" t="str">
        <f t="shared" si="28"/>
        <v>0070121063</v>
      </c>
      <c r="D81" s="304">
        <f t="shared" si="30"/>
        <v>2920.46</v>
      </c>
      <c r="E81" s="304">
        <f t="shared" si="30"/>
        <v>2993.2539999999999</v>
      </c>
      <c r="F81" s="304">
        <f t="shared" si="30"/>
        <v>2928.2049999999999</v>
      </c>
      <c r="G81" s="304">
        <f t="shared" ref="G81:O81" si="35">MAX(0,G54-3000)</f>
        <v>2817.009</v>
      </c>
      <c r="H81" s="304">
        <f t="shared" si="35"/>
        <v>3388.3950000000004</v>
      </c>
      <c r="I81" s="304">
        <f t="shared" si="35"/>
        <v>3221.201</v>
      </c>
      <c r="J81" s="304">
        <f t="shared" si="35"/>
        <v>3304.875</v>
      </c>
      <c r="K81" s="304">
        <f t="shared" si="35"/>
        <v>3173.893</v>
      </c>
      <c r="L81" s="304">
        <f t="shared" si="35"/>
        <v>3325.0529999999999</v>
      </c>
      <c r="M81" s="304">
        <f t="shared" si="35"/>
        <v>3242.3940000000002</v>
      </c>
      <c r="N81" s="304">
        <f t="shared" si="35"/>
        <v>3406.4470000000001</v>
      </c>
      <c r="O81" s="304">
        <f t="shared" si="35"/>
        <v>3101.6930000000002</v>
      </c>
      <c r="P81" s="37">
        <f t="shared" si="18"/>
        <v>37822.879000000001</v>
      </c>
    </row>
    <row r="82" spans="1:16">
      <c r="A82">
        <v>15</v>
      </c>
      <c r="B82" s="640">
        <f t="shared" si="19"/>
        <v>0</v>
      </c>
      <c r="C82" s="327" t="str">
        <f t="shared" si="28"/>
        <v>2260946595</v>
      </c>
      <c r="D82" s="304">
        <f t="shared" si="30"/>
        <v>0</v>
      </c>
      <c r="E82" s="304">
        <f t="shared" si="30"/>
        <v>0</v>
      </c>
      <c r="F82" s="304">
        <f t="shared" si="30"/>
        <v>0</v>
      </c>
      <c r="G82" s="304">
        <f t="shared" ref="G82:O82" si="36">MAX(0,G55-3000)</f>
        <v>0</v>
      </c>
      <c r="H82" s="304">
        <f t="shared" si="36"/>
        <v>409.6239999999998</v>
      </c>
      <c r="I82" s="304">
        <f t="shared" si="36"/>
        <v>301.98</v>
      </c>
      <c r="J82" s="304">
        <f t="shared" si="36"/>
        <v>509.39100000000008</v>
      </c>
      <c r="K82" s="304">
        <f t="shared" si="36"/>
        <v>666.56899999999996</v>
      </c>
      <c r="L82" s="304">
        <f t="shared" si="36"/>
        <v>697.69900000000007</v>
      </c>
      <c r="M82" s="304">
        <f t="shared" si="36"/>
        <v>131.40900000000011</v>
      </c>
      <c r="N82" s="304">
        <f t="shared" si="36"/>
        <v>0</v>
      </c>
      <c r="O82" s="304">
        <f t="shared" si="36"/>
        <v>0</v>
      </c>
      <c r="P82" s="37">
        <f t="shared" si="18"/>
        <v>2716.672</v>
      </c>
    </row>
    <row r="83" spans="1:16">
      <c r="A83">
        <v>16</v>
      </c>
      <c r="B83" s="640">
        <f t="shared" si="19"/>
        <v>0</v>
      </c>
      <c r="C83" s="327" t="str">
        <f t="shared" si="28"/>
        <v>2470070232</v>
      </c>
      <c r="D83" s="304">
        <f t="shared" si="30"/>
        <v>2028.1019999999999</v>
      </c>
      <c r="E83" s="304">
        <f t="shared" si="30"/>
        <v>1788.4679999999998</v>
      </c>
      <c r="F83" s="304">
        <f t="shared" si="30"/>
        <v>1942.8050000000003</v>
      </c>
      <c r="G83" s="304">
        <f t="shared" ref="G83:O83" si="37">MAX(0,G56-3000)</f>
        <v>1612.442</v>
      </c>
      <c r="H83" s="304">
        <f t="shared" si="37"/>
        <v>1606.8090000000002</v>
      </c>
      <c r="I83" s="304">
        <f t="shared" si="37"/>
        <v>1393.9700000000003</v>
      </c>
      <c r="J83" s="304">
        <f t="shared" si="37"/>
        <v>1423.7870000000003</v>
      </c>
      <c r="K83" s="304">
        <f t="shared" si="37"/>
        <v>1237.9390000000003</v>
      </c>
      <c r="L83" s="304">
        <f t="shared" si="37"/>
        <v>1362.2529999999997</v>
      </c>
      <c r="M83" s="304">
        <f t="shared" si="37"/>
        <v>1489.8590000000004</v>
      </c>
      <c r="N83" s="304">
        <f t="shared" si="37"/>
        <v>1602.6000000000004</v>
      </c>
      <c r="O83" s="304">
        <f t="shared" si="37"/>
        <v>1523.5379999999996</v>
      </c>
      <c r="P83" s="37">
        <f t="shared" si="18"/>
        <v>19012.572</v>
      </c>
    </row>
    <row r="84" spans="1:16">
      <c r="A84">
        <v>17</v>
      </c>
      <c r="B84" s="640">
        <f t="shared" si="19"/>
        <v>0</v>
      </c>
      <c r="C84" s="327" t="str">
        <f t="shared" si="28"/>
        <v>3730460787</v>
      </c>
      <c r="D84" s="304">
        <f t="shared" si="30"/>
        <v>1576.1419999999998</v>
      </c>
      <c r="E84" s="304">
        <f t="shared" si="30"/>
        <v>1593.7479999999996</v>
      </c>
      <c r="F84" s="304">
        <f t="shared" si="30"/>
        <v>1793.0240000000003</v>
      </c>
      <c r="G84" s="304">
        <f t="shared" ref="G84:O84" si="38">MAX(0,G57-3000)</f>
        <v>1269.5659999999998</v>
      </c>
      <c r="H84" s="304">
        <f t="shared" si="38"/>
        <v>1178.7259999999997</v>
      </c>
      <c r="I84" s="304">
        <f t="shared" si="38"/>
        <v>1025.9749999999999</v>
      </c>
      <c r="J84" s="304">
        <f t="shared" si="38"/>
        <v>1061.17</v>
      </c>
      <c r="K84" s="304">
        <f t="shared" si="38"/>
        <v>1215.1300000000001</v>
      </c>
      <c r="L84" s="304">
        <f t="shared" si="38"/>
        <v>1599.915</v>
      </c>
      <c r="M84" s="304">
        <f t="shared" si="38"/>
        <v>1512.3909999999996</v>
      </c>
      <c r="N84" s="304">
        <f t="shared" si="38"/>
        <v>1444.4250000000002</v>
      </c>
      <c r="O84" s="304">
        <f t="shared" si="38"/>
        <v>1482.9390000000003</v>
      </c>
      <c r="P84" s="37">
        <f t="shared" si="18"/>
        <v>16753.150999999998</v>
      </c>
    </row>
    <row r="85" spans="1:16">
      <c r="A85">
        <v>18</v>
      </c>
      <c r="B85" s="640">
        <f t="shared" si="19"/>
        <v>0</v>
      </c>
      <c r="C85" s="327" t="str">
        <f t="shared" si="28"/>
        <v>6030021572</v>
      </c>
      <c r="D85" s="304">
        <f t="shared" si="30"/>
        <v>4561.8</v>
      </c>
      <c r="E85" s="304">
        <f t="shared" si="30"/>
        <v>4319.55</v>
      </c>
      <c r="F85" s="304">
        <f t="shared" si="30"/>
        <v>3877.6000000000004</v>
      </c>
      <c r="G85" s="304">
        <f t="shared" ref="G85:O85" si="39">MAX(0,G58-3000)</f>
        <v>4474.16</v>
      </c>
      <c r="H85" s="304">
        <f t="shared" si="39"/>
        <v>5302.59</v>
      </c>
      <c r="I85" s="304">
        <f t="shared" si="39"/>
        <v>6730.33</v>
      </c>
      <c r="J85" s="304">
        <f t="shared" si="39"/>
        <v>7780.8899999999994</v>
      </c>
      <c r="K85" s="304">
        <f t="shared" si="39"/>
        <v>8330.56</v>
      </c>
      <c r="L85" s="304">
        <f t="shared" si="39"/>
        <v>7798.0599999999995</v>
      </c>
      <c r="M85" s="304">
        <f t="shared" si="39"/>
        <v>4293.78</v>
      </c>
      <c r="N85" s="304">
        <f t="shared" si="39"/>
        <v>4735.3999999999996</v>
      </c>
      <c r="O85" s="304">
        <f t="shared" si="39"/>
        <v>4646.46</v>
      </c>
      <c r="P85" s="37">
        <f t="shared" si="18"/>
        <v>66851.179999999993</v>
      </c>
    </row>
    <row r="86" spans="1:16">
      <c r="A86">
        <v>19</v>
      </c>
      <c r="B86" s="640">
        <f t="shared" si="19"/>
        <v>0</v>
      </c>
      <c r="C86" s="327" t="str">
        <f t="shared" si="28"/>
        <v>6100609210</v>
      </c>
      <c r="D86" s="304">
        <f t="shared" si="30"/>
        <v>2925.4719999999998</v>
      </c>
      <c r="E86" s="304">
        <f t="shared" si="30"/>
        <v>2829.2190000000001</v>
      </c>
      <c r="F86" s="304">
        <f t="shared" si="30"/>
        <v>2446.5500000000002</v>
      </c>
      <c r="G86" s="304">
        <f t="shared" ref="G86:O86" si="40">MAX(0,G59-3000)</f>
        <v>2450.83</v>
      </c>
      <c r="H86" s="304">
        <f t="shared" si="40"/>
        <v>1763.3630000000003</v>
      </c>
      <c r="I86" s="304">
        <f t="shared" si="40"/>
        <v>1751.4009999999998</v>
      </c>
      <c r="J86" s="304">
        <f t="shared" si="40"/>
        <v>1657.9499999999998</v>
      </c>
      <c r="K86" s="304">
        <f t="shared" si="40"/>
        <v>2287.0439999999999</v>
      </c>
      <c r="L86" s="304">
        <f t="shared" si="40"/>
        <v>2266.2640000000001</v>
      </c>
      <c r="M86" s="304">
        <f t="shared" si="40"/>
        <v>2678.3630000000003</v>
      </c>
      <c r="N86" s="304">
        <f t="shared" si="40"/>
        <v>2797.1559999999999</v>
      </c>
      <c r="O86" s="304">
        <f t="shared" si="40"/>
        <v>2921.9229999999998</v>
      </c>
      <c r="P86" s="37">
        <f t="shared" si="18"/>
        <v>28775.534999999996</v>
      </c>
    </row>
    <row r="87" spans="1:16">
      <c r="A87">
        <v>20</v>
      </c>
      <c r="B87" s="640">
        <f t="shared" si="19"/>
        <v>0</v>
      </c>
      <c r="C87" s="327" t="str">
        <f t="shared" si="28"/>
        <v>5030019646</v>
      </c>
      <c r="D87" s="304">
        <f t="shared" si="30"/>
        <v>2543.0239999999994</v>
      </c>
      <c r="E87" s="304">
        <f t="shared" si="30"/>
        <v>6427.7479999999996</v>
      </c>
      <c r="F87" s="304">
        <f t="shared" si="30"/>
        <v>2699.7960000000003</v>
      </c>
      <c r="G87" s="304">
        <f t="shared" ref="G87:O87" si="41">MAX(0,G60-3000)</f>
        <v>2095.9430000000002</v>
      </c>
      <c r="H87" s="304">
        <f t="shared" si="41"/>
        <v>1944.7250000000004</v>
      </c>
      <c r="I87" s="304">
        <f t="shared" si="41"/>
        <v>1815.7870000000003</v>
      </c>
      <c r="J87" s="304">
        <f t="shared" si="41"/>
        <v>1644.2190000000001</v>
      </c>
      <c r="K87" s="304">
        <f t="shared" si="41"/>
        <v>1858.576</v>
      </c>
      <c r="L87" s="304">
        <f t="shared" si="41"/>
        <v>1945.268</v>
      </c>
      <c r="M87" s="304">
        <f t="shared" si="41"/>
        <v>2057.2399999999998</v>
      </c>
      <c r="N87" s="304">
        <f t="shared" si="41"/>
        <v>1988.9480000000003</v>
      </c>
      <c r="O87" s="304">
        <f t="shared" si="41"/>
        <v>1920.2280000000001</v>
      </c>
      <c r="P87" s="37">
        <f t="shared" si="18"/>
        <v>28941.502</v>
      </c>
    </row>
    <row r="88" spans="1:16">
      <c r="A88">
        <v>21</v>
      </c>
      <c r="B88" s="640">
        <f t="shared" si="19"/>
        <v>0</v>
      </c>
      <c r="C88" s="327" t="str">
        <f t="shared" si="28"/>
        <v>7030024549</v>
      </c>
      <c r="D88" s="304">
        <f t="shared" si="30"/>
        <v>1283.5569999999998</v>
      </c>
      <c r="E88" s="304">
        <f t="shared" si="30"/>
        <v>1289.8339999999998</v>
      </c>
      <c r="F88" s="304">
        <f t="shared" si="30"/>
        <v>1226.067</v>
      </c>
      <c r="G88" s="304">
        <f t="shared" ref="G88:O88" si="42">MAX(0,G61-3000)</f>
        <v>1553.3199999999997</v>
      </c>
      <c r="H88" s="304">
        <f t="shared" si="42"/>
        <v>2085.1450000000004</v>
      </c>
      <c r="I88" s="304">
        <f t="shared" si="42"/>
        <v>3309.3789999999999</v>
      </c>
      <c r="J88" s="304">
        <f t="shared" si="42"/>
        <v>2919.558</v>
      </c>
      <c r="K88" s="304">
        <f t="shared" si="42"/>
        <v>4191.9350000000004</v>
      </c>
      <c r="L88" s="304">
        <f t="shared" si="42"/>
        <v>6554.7289999999994</v>
      </c>
      <c r="M88" s="304">
        <f t="shared" si="42"/>
        <v>5275.527</v>
      </c>
      <c r="N88" s="304">
        <f t="shared" si="42"/>
        <v>1245.8639999999996</v>
      </c>
      <c r="O88" s="304">
        <f t="shared" si="42"/>
        <v>1204.433</v>
      </c>
      <c r="P88" s="37">
        <f t="shared" si="18"/>
        <v>32139.348000000002</v>
      </c>
    </row>
    <row r="89" spans="1:16" s="748" customFormat="1">
      <c r="A89" s="748">
        <v>22</v>
      </c>
      <c r="B89" s="640">
        <f t="shared" si="19"/>
        <v>0</v>
      </c>
      <c r="C89" s="327"/>
      <c r="D89" s="304">
        <f t="shared" ref="D89:F89" si="43">IF(D62&gt;3000,D62-3000,0)</f>
        <v>0</v>
      </c>
      <c r="E89" s="304">
        <f t="shared" si="43"/>
        <v>0</v>
      </c>
      <c r="F89" s="304">
        <f t="shared" si="43"/>
        <v>0</v>
      </c>
      <c r="G89" s="304">
        <f t="shared" ref="G89:O89" si="44">MAX(0,G62-3000)</f>
        <v>0</v>
      </c>
      <c r="H89" s="304">
        <f t="shared" si="44"/>
        <v>0</v>
      </c>
      <c r="I89" s="304">
        <f t="shared" si="44"/>
        <v>0</v>
      </c>
      <c r="J89" s="304">
        <f t="shared" si="44"/>
        <v>0</v>
      </c>
      <c r="K89" s="304">
        <f t="shared" si="44"/>
        <v>0</v>
      </c>
      <c r="L89" s="304">
        <f t="shared" si="44"/>
        <v>0</v>
      </c>
      <c r="M89" s="304">
        <f t="shared" si="44"/>
        <v>3979.9009999999998</v>
      </c>
      <c r="N89" s="304">
        <f t="shared" si="44"/>
        <v>3503.0730000000003</v>
      </c>
      <c r="O89" s="304">
        <f t="shared" si="44"/>
        <v>3407.7510000000002</v>
      </c>
      <c r="P89" s="389">
        <f t="shared" ref="P89:P90" si="45">SUM(D89:O89)</f>
        <v>10890.725</v>
      </c>
    </row>
    <row r="90" spans="1:16" s="748" customFormat="1">
      <c r="A90" s="748">
        <v>23</v>
      </c>
      <c r="B90" s="640">
        <f t="shared" si="19"/>
        <v>0</v>
      </c>
      <c r="C90" s="327"/>
      <c r="D90" s="304">
        <f t="shared" ref="D90:F90" si="46">IF(D63&gt;3000,D63-3000,0)</f>
        <v>733.76000000000022</v>
      </c>
      <c r="E90" s="304">
        <f t="shared" si="46"/>
        <v>840.74800000000005</v>
      </c>
      <c r="F90" s="304">
        <f t="shared" si="46"/>
        <v>713.14199999999983</v>
      </c>
      <c r="G90" s="304">
        <f t="shared" ref="G90:O90" si="47">MAX(0,G63-3000)</f>
        <v>775.55499999999984</v>
      </c>
      <c r="H90" s="304">
        <f t="shared" si="47"/>
        <v>660.16400000000021</v>
      </c>
      <c r="I90" s="304">
        <f t="shared" si="47"/>
        <v>602.38599999999997</v>
      </c>
      <c r="J90" s="304">
        <f t="shared" si="47"/>
        <v>660.21300000000019</v>
      </c>
      <c r="K90" s="304">
        <f t="shared" si="47"/>
        <v>628.87800000000016</v>
      </c>
      <c r="L90" s="304">
        <f t="shared" si="47"/>
        <v>524.97899999999981</v>
      </c>
      <c r="M90" s="304">
        <f t="shared" si="47"/>
        <v>638.94599999999991</v>
      </c>
      <c r="N90" s="304">
        <f t="shared" si="47"/>
        <v>738.23599999999988</v>
      </c>
      <c r="O90" s="304">
        <f t="shared" si="47"/>
        <v>734.71399999999994</v>
      </c>
      <c r="P90" s="389">
        <f t="shared" si="45"/>
        <v>8251.7210000000014</v>
      </c>
    </row>
    <row r="91" spans="1:16">
      <c r="B91" t="s">
        <v>365</v>
      </c>
      <c r="C91" s="36"/>
      <c r="D91" s="305">
        <f>SUM(D68:D90)</f>
        <v>100307.94600000001</v>
      </c>
      <c r="E91" s="305">
        <f t="shared" ref="E91:O91" si="48">SUM(E68:E90)</f>
        <v>105573.67099999999</v>
      </c>
      <c r="F91" s="305">
        <f t="shared" si="48"/>
        <v>103578.51500000001</v>
      </c>
      <c r="G91" s="305">
        <f t="shared" si="48"/>
        <v>101681.19700000001</v>
      </c>
      <c r="H91" s="305">
        <f t="shared" si="48"/>
        <v>111594.18799999999</v>
      </c>
      <c r="I91" s="305">
        <f t="shared" si="48"/>
        <v>106873.28600000001</v>
      </c>
      <c r="J91" s="305">
        <f t="shared" si="48"/>
        <v>108656.73200000002</v>
      </c>
      <c r="K91" s="305">
        <f t="shared" si="48"/>
        <v>114087.075</v>
      </c>
      <c r="L91" s="305">
        <f t="shared" si="48"/>
        <v>112774.88699999997</v>
      </c>
      <c r="M91" s="305">
        <f t="shared" si="48"/>
        <v>108540.73899999999</v>
      </c>
      <c r="N91" s="305">
        <f t="shared" si="48"/>
        <v>101930.251</v>
      </c>
      <c r="O91" s="305">
        <f t="shared" si="48"/>
        <v>103000.66800000001</v>
      </c>
      <c r="P91" s="38">
        <f>IF(ROUND(SUM(P68:P90),0)&lt;&gt;ROUND(SUM(D91:O91),0),#VALUE!,SUM(P68:P90))</f>
        <v>1278599.155</v>
      </c>
    </row>
    <row r="92" spans="1:16">
      <c r="C92" s="36"/>
      <c r="D92" s="304"/>
      <c r="E92" s="304"/>
      <c r="F92" s="304"/>
      <c r="G92" s="304"/>
      <c r="H92" s="304"/>
      <c r="I92" s="304"/>
      <c r="J92" s="304"/>
      <c r="K92" s="304"/>
      <c r="L92" s="304"/>
      <c r="M92" s="37"/>
      <c r="N92" s="37"/>
      <c r="O92" s="37"/>
      <c r="P92" s="37"/>
    </row>
    <row r="93" spans="1:16">
      <c r="D93" s="306"/>
      <c r="E93" s="306"/>
      <c r="F93" s="306"/>
      <c r="G93" s="306"/>
      <c r="H93" s="306"/>
      <c r="I93" s="306"/>
      <c r="J93" s="306"/>
      <c r="K93" s="306"/>
      <c r="L93" s="306"/>
      <c r="M93" s="47"/>
      <c r="N93" s="47"/>
      <c r="O93" s="47"/>
      <c r="P93" s="47"/>
    </row>
    <row r="94" spans="1:16">
      <c r="D94" s="306"/>
      <c r="E94" s="306"/>
      <c r="F94" s="306"/>
      <c r="G94" s="306"/>
      <c r="H94" s="306"/>
      <c r="I94" s="306"/>
      <c r="J94" s="306"/>
      <c r="K94" s="306"/>
      <c r="L94" s="306"/>
      <c r="M94" s="47"/>
      <c r="N94" s="47"/>
      <c r="O94" s="47"/>
      <c r="P94" s="47"/>
    </row>
    <row r="95" spans="1:16">
      <c r="D95" s="306"/>
      <c r="E95" s="306"/>
      <c r="F95" s="306"/>
      <c r="G95" s="306"/>
      <c r="H95" s="306"/>
      <c r="I95" s="306"/>
      <c r="J95" s="306"/>
      <c r="K95" s="306"/>
      <c r="L95" s="306"/>
      <c r="M95" s="47"/>
      <c r="N95" s="47"/>
      <c r="O95" s="47"/>
      <c r="P95" s="46"/>
    </row>
    <row r="96" spans="1:16">
      <c r="B96" s="117" t="s">
        <v>579</v>
      </c>
      <c r="D96" s="301">
        <f>D$3</f>
        <v>43466</v>
      </c>
      <c r="E96" s="301">
        <f t="shared" ref="E96:O96" si="49">E$3</f>
        <v>43497</v>
      </c>
      <c r="F96" s="301">
        <f t="shared" si="49"/>
        <v>43525</v>
      </c>
      <c r="G96" s="301">
        <f t="shared" si="49"/>
        <v>43556</v>
      </c>
      <c r="H96" s="301">
        <f t="shared" si="49"/>
        <v>43586</v>
      </c>
      <c r="I96" s="301">
        <f t="shared" si="49"/>
        <v>43617</v>
      </c>
      <c r="J96" s="301">
        <f t="shared" si="49"/>
        <v>43647</v>
      </c>
      <c r="K96" s="301">
        <f t="shared" si="49"/>
        <v>43678</v>
      </c>
      <c r="L96" s="301">
        <f t="shared" si="49"/>
        <v>43709</v>
      </c>
      <c r="M96" s="299">
        <f t="shared" si="49"/>
        <v>43739</v>
      </c>
      <c r="N96" s="299">
        <f t="shared" si="49"/>
        <v>43770</v>
      </c>
      <c r="O96" s="299">
        <f t="shared" si="49"/>
        <v>43800</v>
      </c>
      <c r="P96" s="35" t="s">
        <v>66</v>
      </c>
    </row>
    <row r="97" spans="1:16">
      <c r="B97" s="554" t="s">
        <v>581</v>
      </c>
      <c r="D97" s="566"/>
      <c r="E97" s="566"/>
      <c r="F97" s="566"/>
      <c r="G97" s="566"/>
      <c r="H97" s="566"/>
      <c r="I97" s="566"/>
      <c r="J97" s="566"/>
      <c r="K97" s="566"/>
      <c r="L97" s="566"/>
      <c r="M97" s="651"/>
      <c r="N97" s="651"/>
      <c r="O97" s="651"/>
      <c r="P97" s="430">
        <f>SUM(D97:O97)</f>
        <v>0</v>
      </c>
    </row>
    <row r="98" spans="1:16">
      <c r="B98" s="554" t="s">
        <v>582</v>
      </c>
      <c r="D98" s="653"/>
      <c r="E98" s="567"/>
      <c r="F98" s="567"/>
      <c r="G98" s="567"/>
      <c r="H98" s="567"/>
      <c r="I98" s="567"/>
      <c r="J98" s="567"/>
      <c r="K98" s="567"/>
      <c r="L98" s="567"/>
      <c r="M98" s="652"/>
      <c r="N98" s="652"/>
      <c r="O98" s="652"/>
      <c r="P98" s="429">
        <f>SUM(D98:O98)</f>
        <v>0</v>
      </c>
    </row>
    <row r="99" spans="1:16">
      <c r="B99" s="554" t="s">
        <v>583</v>
      </c>
      <c r="D99" s="566"/>
      <c r="E99" s="566"/>
      <c r="F99" s="566"/>
      <c r="G99" s="566"/>
      <c r="H99" s="566"/>
      <c r="I99" s="566"/>
      <c r="J99" s="566"/>
      <c r="K99" s="566"/>
      <c r="L99" s="566"/>
      <c r="M99" s="651"/>
      <c r="N99" s="651"/>
      <c r="O99" s="651"/>
      <c r="P99" s="430">
        <f>SUM(D99:O99)</f>
        <v>0</v>
      </c>
    </row>
    <row r="100" spans="1:16">
      <c r="A100" t="s">
        <v>96</v>
      </c>
      <c r="B100" s="554" t="s">
        <v>462</v>
      </c>
      <c r="D100" s="302">
        <f t="shared" ref="D100:P100" si="50">SUM(D97:D99)</f>
        <v>0</v>
      </c>
      <c r="E100" s="302">
        <f t="shared" si="50"/>
        <v>0</v>
      </c>
      <c r="F100" s="302">
        <f t="shared" si="50"/>
        <v>0</v>
      </c>
      <c r="G100" s="302">
        <f t="shared" si="50"/>
        <v>0</v>
      </c>
      <c r="H100" s="302">
        <f t="shared" si="50"/>
        <v>0</v>
      </c>
      <c r="I100" s="302">
        <f t="shared" si="50"/>
        <v>0</v>
      </c>
      <c r="J100" s="302">
        <f t="shared" si="50"/>
        <v>0</v>
      </c>
      <c r="K100" s="302">
        <f t="shared" si="50"/>
        <v>0</v>
      </c>
      <c r="L100" s="302">
        <f t="shared" si="50"/>
        <v>0</v>
      </c>
      <c r="M100" s="39">
        <f t="shared" si="50"/>
        <v>0</v>
      </c>
      <c r="N100" s="39">
        <f t="shared" si="50"/>
        <v>0</v>
      </c>
      <c r="O100" s="39">
        <f t="shared" si="50"/>
        <v>0</v>
      </c>
      <c r="P100" s="39">
        <f t="shared" si="50"/>
        <v>0</v>
      </c>
    </row>
    <row r="101" spans="1:16">
      <c r="D101" s="307">
        <f t="shared" ref="D101:O101" si="51">D12</f>
        <v>36161892</v>
      </c>
      <c r="E101" s="307">
        <f t="shared" si="51"/>
        <v>35055804</v>
      </c>
      <c r="F101" s="307">
        <f t="shared" si="51"/>
        <v>35276106</v>
      </c>
      <c r="G101" s="307">
        <f t="shared" si="51"/>
        <v>34282368</v>
      </c>
      <c r="H101" s="307">
        <f t="shared" si="51"/>
        <v>38684638</v>
      </c>
      <c r="I101" s="307">
        <f t="shared" si="51"/>
        <v>37544592</v>
      </c>
      <c r="J101" s="307">
        <f t="shared" si="51"/>
        <v>40314368</v>
      </c>
      <c r="K101" s="307">
        <f t="shared" si="51"/>
        <v>40335278</v>
      </c>
      <c r="L101" s="307">
        <f t="shared" si="51"/>
        <v>38614866</v>
      </c>
      <c r="M101" s="43">
        <f t="shared" si="51"/>
        <v>40639056</v>
      </c>
      <c r="N101" s="43">
        <f t="shared" si="51"/>
        <v>33404254</v>
      </c>
      <c r="O101" s="43">
        <f t="shared" si="51"/>
        <v>40786226</v>
      </c>
      <c r="P101" s="37">
        <f>SUM(D101:O101)</f>
        <v>451099448</v>
      </c>
    </row>
    <row r="102" spans="1:16">
      <c r="B102" s="117" t="s">
        <v>580</v>
      </c>
      <c r="D102" s="19"/>
      <c r="E102" s="19"/>
      <c r="F102" s="19"/>
      <c r="G102" s="19"/>
      <c r="H102" s="19"/>
      <c r="I102" s="19"/>
      <c r="J102" s="19"/>
      <c r="K102" s="19"/>
      <c r="L102" s="19"/>
    </row>
    <row r="103" spans="1:16">
      <c r="B103" s="554" t="s">
        <v>584</v>
      </c>
      <c r="D103" s="566">
        <v>12147.53</v>
      </c>
      <c r="E103" s="566">
        <v>10722.44</v>
      </c>
      <c r="F103" s="566">
        <v>10827.09</v>
      </c>
      <c r="G103" s="566">
        <v>8690.5499999999993</v>
      </c>
      <c r="H103" s="566">
        <v>8811.69</v>
      </c>
      <c r="I103" s="566">
        <v>9212.06</v>
      </c>
      <c r="J103" s="566">
        <v>8570.7199999999993</v>
      </c>
      <c r="K103" s="566">
        <v>8267.4699999999993</v>
      </c>
      <c r="L103" s="566">
        <v>9002.2999999999993</v>
      </c>
      <c r="M103" s="686">
        <v>9878.44</v>
      </c>
      <c r="N103" s="686">
        <v>13562.4</v>
      </c>
      <c r="O103" s="687">
        <v>10503.37</v>
      </c>
      <c r="P103" s="430">
        <f>SUM(D103:O103)</f>
        <v>120196.06</v>
      </c>
    </row>
    <row r="104" spans="1:16">
      <c r="B104" s="554" t="s">
        <v>582</v>
      </c>
      <c r="D104" s="567"/>
      <c r="E104" s="567"/>
      <c r="F104" s="567"/>
      <c r="G104" s="567"/>
      <c r="H104" s="567"/>
      <c r="I104" s="567"/>
      <c r="J104" s="567"/>
      <c r="K104" s="567"/>
      <c r="L104" s="567"/>
      <c r="M104" s="652"/>
      <c r="N104" s="652"/>
      <c r="O104" s="652"/>
      <c r="P104" s="429">
        <f>SUM(D104:O104)</f>
        <v>0</v>
      </c>
    </row>
    <row r="105" spans="1:16">
      <c r="B105" s="554" t="s">
        <v>583</v>
      </c>
      <c r="D105" s="566">
        <v>48672</v>
      </c>
      <c r="E105" s="566">
        <v>48816</v>
      </c>
      <c r="F105" s="566">
        <v>52128.800000000003</v>
      </c>
      <c r="G105" s="566">
        <v>51408.2</v>
      </c>
      <c r="H105" s="566">
        <v>50688.2</v>
      </c>
      <c r="I105" s="566">
        <v>51552.2</v>
      </c>
      <c r="J105" s="566">
        <v>52272.2</v>
      </c>
      <c r="K105" s="566">
        <v>54001.73</v>
      </c>
      <c r="L105" s="566">
        <v>52128.2</v>
      </c>
      <c r="M105" s="686">
        <v>54144.19</v>
      </c>
      <c r="N105" s="686">
        <v>51264.2</v>
      </c>
      <c r="O105" s="687">
        <v>54288.19</v>
      </c>
      <c r="P105" s="430">
        <f>SUM(D105:O105)</f>
        <v>621364.1100000001</v>
      </c>
    </row>
    <row r="106" spans="1:16">
      <c r="A106" t="s">
        <v>96</v>
      </c>
      <c r="B106" s="554" t="s">
        <v>66</v>
      </c>
      <c r="D106" s="305">
        <f t="shared" ref="D106:P106" si="52">SUM(D103:D105)</f>
        <v>60819.53</v>
      </c>
      <c r="E106" s="305">
        <f t="shared" si="52"/>
        <v>59538.44</v>
      </c>
      <c r="F106" s="305">
        <f t="shared" si="52"/>
        <v>62955.89</v>
      </c>
      <c r="G106" s="305">
        <f t="shared" si="52"/>
        <v>60098.75</v>
      </c>
      <c r="H106" s="305">
        <f t="shared" si="52"/>
        <v>59499.89</v>
      </c>
      <c r="I106" s="305">
        <f t="shared" si="52"/>
        <v>60764.259999999995</v>
      </c>
      <c r="J106" s="305">
        <f t="shared" si="52"/>
        <v>60842.92</v>
      </c>
      <c r="K106" s="305">
        <f t="shared" si="52"/>
        <v>62269.200000000004</v>
      </c>
      <c r="L106" s="305">
        <f t="shared" si="52"/>
        <v>61130.5</v>
      </c>
      <c r="M106" s="38">
        <f t="shared" si="52"/>
        <v>64022.630000000005</v>
      </c>
      <c r="N106" s="38">
        <f t="shared" si="52"/>
        <v>64826.6</v>
      </c>
      <c r="O106" s="38">
        <f t="shared" si="52"/>
        <v>64791.560000000005</v>
      </c>
      <c r="P106" s="39">
        <f t="shared" si="52"/>
        <v>741560.17000000016</v>
      </c>
    </row>
    <row r="107" spans="1:16">
      <c r="D107" s="40">
        <f t="shared" ref="D107:O107" si="53">D49</f>
        <v>56979.76</v>
      </c>
      <c r="E107" s="40">
        <f t="shared" si="53"/>
        <v>58491.21</v>
      </c>
      <c r="F107" s="40">
        <f t="shared" si="53"/>
        <v>60723.97</v>
      </c>
      <c r="G107" s="40">
        <f t="shared" si="53"/>
        <v>60695.18</v>
      </c>
      <c r="H107" s="40">
        <f t="shared" si="53"/>
        <v>59633.5</v>
      </c>
      <c r="I107" s="40">
        <f t="shared" si="53"/>
        <v>59915.37</v>
      </c>
      <c r="J107" s="40">
        <f t="shared" si="53"/>
        <v>60954.8</v>
      </c>
      <c r="K107" s="40">
        <f t="shared" si="53"/>
        <v>62499.94</v>
      </c>
      <c r="L107" s="40">
        <f t="shared" si="53"/>
        <v>60332.9</v>
      </c>
      <c r="M107" s="40">
        <f t="shared" si="53"/>
        <v>61348.84</v>
      </c>
      <c r="N107" s="40">
        <f t="shared" si="53"/>
        <v>61453.18</v>
      </c>
      <c r="O107" s="40">
        <f t="shared" si="53"/>
        <v>62886.96</v>
      </c>
      <c r="P107" s="43">
        <f>SUM(D107:O107)</f>
        <v>725915.61</v>
      </c>
    </row>
    <row r="108" spans="1:16">
      <c r="D108" s="19"/>
      <c r="E108" s="19"/>
      <c r="F108" s="19"/>
      <c r="G108" s="19"/>
      <c r="H108" s="19"/>
      <c r="I108" s="19"/>
      <c r="J108" s="19"/>
      <c r="K108" s="19"/>
      <c r="L108" s="19"/>
    </row>
    <row r="109" spans="1:16">
      <c r="B109" s="554" t="s">
        <v>585</v>
      </c>
      <c r="D109" s="376">
        <f>500000*0.0575+MIN(5500000,D12-500000)*0.05177+MAX(0,D12-6000000)*0.04433+15000+D76*5.25-D103*1.1-D105*1.4</f>
        <v>1867452.3293599999</v>
      </c>
      <c r="E109" s="529">
        <f>500000*0.0575+MIN(5500000,E12-500000)*0.05177+MAX(0,E12-6000000)*0.04433+15000+E76*5.25-E103*1.1-E105*1.4</f>
        <v>1827720.5598200003</v>
      </c>
      <c r="F109" s="529">
        <f>500000*0.0575+MIN(5500000,F12-500000)*0.05177+MAX(0,F12-6000000)*0.04433+15000+F76*5.25-F103*1.1-F105*1.4</f>
        <v>1844455.5024799998</v>
      </c>
      <c r="G109" s="529">
        <f t="shared" ref="G109:O109" si="54">500000*0.05616+MIN(5500000,G12-500000)*0.05053+MAX(0,G12-6000000)*0.0432+21000+G76*6-G103*1.1-G105*1.4</f>
        <v>1813433.2926000003</v>
      </c>
      <c r="H109" s="529">
        <f t="shared" si="54"/>
        <v>1998116.0226000003</v>
      </c>
      <c r="I109" s="529">
        <f t="shared" si="54"/>
        <v>1948907.2483999999</v>
      </c>
      <c r="J109" s="529">
        <f t="shared" si="54"/>
        <v>2074495.6256000004</v>
      </c>
      <c r="K109" s="529">
        <f t="shared" si="54"/>
        <v>2082582.0105999999</v>
      </c>
      <c r="L109" s="529">
        <f t="shared" si="54"/>
        <v>1997072.6012000002</v>
      </c>
      <c r="M109" s="529">
        <f t="shared" si="54"/>
        <v>2086827.1092000003</v>
      </c>
      <c r="N109" s="529">
        <f t="shared" si="54"/>
        <v>1774889.3328000004</v>
      </c>
      <c r="O109" s="529">
        <f t="shared" si="54"/>
        <v>2101524.5501999999</v>
      </c>
      <c r="P109" s="49">
        <f>SUM(D109:O109)</f>
        <v>23417476.184860006</v>
      </c>
    </row>
    <row r="110" spans="1:16">
      <c r="B110" s="554" t="s">
        <v>586</v>
      </c>
      <c r="D110" s="569"/>
      <c r="E110" s="569"/>
      <c r="F110" s="569"/>
      <c r="G110" s="569"/>
      <c r="H110" s="569"/>
      <c r="I110" s="569"/>
      <c r="J110" s="569"/>
      <c r="K110" s="569"/>
      <c r="L110" s="569"/>
      <c r="M110" s="570"/>
      <c r="N110" s="570"/>
      <c r="O110" s="570"/>
      <c r="P110" s="49">
        <f>SUM(D110:O110)</f>
        <v>0</v>
      </c>
    </row>
    <row r="111" spans="1:16">
      <c r="D111" s="304">
        <f>D109-D110</f>
        <v>1867452.3293599999</v>
      </c>
      <c r="E111" s="304">
        <f t="shared" ref="E111:O111" si="55">E109-E110</f>
        <v>1827720.5598200003</v>
      </c>
      <c r="F111" s="304">
        <f t="shared" si="55"/>
        <v>1844455.5024799998</v>
      </c>
      <c r="G111" s="304">
        <f t="shared" si="55"/>
        <v>1813433.2926000003</v>
      </c>
      <c r="H111" s="304">
        <f t="shared" si="55"/>
        <v>1998116.0226000003</v>
      </c>
      <c r="I111" s="304">
        <f t="shared" si="55"/>
        <v>1948907.2483999999</v>
      </c>
      <c r="J111" s="304">
        <f t="shared" si="55"/>
        <v>2074495.6256000004</v>
      </c>
      <c r="K111" s="304">
        <f t="shared" si="55"/>
        <v>2082582.0105999999</v>
      </c>
      <c r="L111" s="304">
        <f t="shared" si="55"/>
        <v>1997072.6012000002</v>
      </c>
      <c r="M111" s="304">
        <f t="shared" si="55"/>
        <v>2086827.1092000003</v>
      </c>
      <c r="N111" s="304">
        <f t="shared" si="55"/>
        <v>1774889.3328000004</v>
      </c>
      <c r="O111" s="304">
        <f t="shared" si="55"/>
        <v>2101524.5501999999</v>
      </c>
      <c r="P111" s="49"/>
    </row>
    <row r="112" spans="1:16">
      <c r="B112" s="117" t="s">
        <v>97</v>
      </c>
      <c r="D112" s="19"/>
      <c r="E112" s="19"/>
      <c r="F112" s="19"/>
      <c r="G112" s="19"/>
      <c r="H112" s="19"/>
      <c r="I112" s="19"/>
      <c r="J112" s="19"/>
      <c r="K112" s="19"/>
      <c r="L112" s="19"/>
    </row>
    <row r="113" spans="2:21">
      <c r="B113" t="s">
        <v>98</v>
      </c>
      <c r="C113" s="256">
        <v>-0.2</v>
      </c>
      <c r="D113" s="308">
        <f>(D64-D60-D61-D49-D62)*$C113</f>
        <v>-19530.371599999999</v>
      </c>
      <c r="E113" s="432">
        <f t="shared" ref="E113:O113" si="56">(E64-E60-E61-E49-E62)*$C113</f>
        <v>-19520.252</v>
      </c>
      <c r="F113" s="432">
        <f t="shared" si="56"/>
        <v>-19393.537599999996</v>
      </c>
      <c r="G113" s="432">
        <f t="shared" si="56"/>
        <v>-19101.205199999997</v>
      </c>
      <c r="H113" s="432">
        <f t="shared" si="56"/>
        <v>-21280.430400000001</v>
      </c>
      <c r="I113" s="432">
        <f t="shared" si="56"/>
        <v>-20110.419000000005</v>
      </c>
      <c r="J113" s="432">
        <f t="shared" si="56"/>
        <v>-20397.601200000005</v>
      </c>
      <c r="K113" s="432">
        <f t="shared" si="56"/>
        <v>-20910.373599999995</v>
      </c>
      <c r="L113" s="432">
        <f t="shared" si="56"/>
        <v>-20525.264599999995</v>
      </c>
      <c r="M113" s="432">
        <f t="shared" si="56"/>
        <v>-18819.952600000004</v>
      </c>
      <c r="N113" s="432">
        <f t="shared" si="56"/>
        <v>-18350.449399999994</v>
      </c>
      <c r="O113" s="432">
        <f t="shared" si="56"/>
        <v>-18412.988399999998</v>
      </c>
      <c r="P113" s="51">
        <f>SUM(D113:O113)</f>
        <v>-236352.84559999997</v>
      </c>
    </row>
    <row r="114" spans="2:21">
      <c r="B114" t="s">
        <v>99</v>
      </c>
      <c r="C114" s="257">
        <f>-1.52</f>
        <v>-1.52</v>
      </c>
      <c r="D114" s="308">
        <f>D103*$C114</f>
        <v>-18464.245600000002</v>
      </c>
      <c r="E114" s="308">
        <f t="shared" ref="E114:O114" si="57">E103*$C114</f>
        <v>-16298.108800000002</v>
      </c>
      <c r="F114" s="308">
        <f>F103*$C114</f>
        <v>-16457.176800000001</v>
      </c>
      <c r="G114" s="308">
        <f t="shared" si="57"/>
        <v>-13209.635999999999</v>
      </c>
      <c r="H114" s="308">
        <f t="shared" si="57"/>
        <v>-13393.768800000002</v>
      </c>
      <c r="I114" s="308">
        <f t="shared" si="57"/>
        <v>-14002.331199999999</v>
      </c>
      <c r="J114" s="308">
        <f t="shared" si="57"/>
        <v>-13027.4944</v>
      </c>
      <c r="K114" s="308">
        <f t="shared" si="57"/>
        <v>-12566.554399999999</v>
      </c>
      <c r="L114" s="308">
        <f t="shared" si="57"/>
        <v>-13683.495999999999</v>
      </c>
      <c r="M114" s="50">
        <f t="shared" si="57"/>
        <v>-15015.228800000001</v>
      </c>
      <c r="N114" s="50">
        <f t="shared" si="57"/>
        <v>-20614.847999999998</v>
      </c>
      <c r="O114" s="50">
        <f t="shared" si="57"/>
        <v>-15965.122400000002</v>
      </c>
      <c r="P114" s="51">
        <f>SUM(D114:O114)</f>
        <v>-182698.01119999998</v>
      </c>
    </row>
    <row r="115" spans="2:21">
      <c r="B115" t="s">
        <v>100</v>
      </c>
      <c r="C115" s="257">
        <v>-1.93</v>
      </c>
      <c r="D115" s="308">
        <f>D105*$C115</f>
        <v>-93936.959999999992</v>
      </c>
      <c r="E115" s="308">
        <f t="shared" ref="E115:O115" si="58">E105*$C115</f>
        <v>-94214.87999999999</v>
      </c>
      <c r="F115" s="308">
        <f>F105*$C115</f>
        <v>-100608.584</v>
      </c>
      <c r="G115" s="308">
        <f t="shared" si="58"/>
        <v>-99217.825999999986</v>
      </c>
      <c r="H115" s="308">
        <f t="shared" si="58"/>
        <v>-97828.225999999995</v>
      </c>
      <c r="I115" s="308">
        <f t="shared" si="58"/>
        <v>-99495.745999999985</v>
      </c>
      <c r="J115" s="308">
        <f t="shared" si="58"/>
        <v>-100885.34599999999</v>
      </c>
      <c r="K115" s="308">
        <f t="shared" si="58"/>
        <v>-104223.3389</v>
      </c>
      <c r="L115" s="308">
        <f t="shared" si="58"/>
        <v>-100607.42599999999</v>
      </c>
      <c r="M115" s="50">
        <f t="shared" si="58"/>
        <v>-104498.2867</v>
      </c>
      <c r="N115" s="50">
        <f t="shared" si="58"/>
        <v>-98939.905999999988</v>
      </c>
      <c r="O115" s="50">
        <f t="shared" si="58"/>
        <v>-104776.2067</v>
      </c>
      <c r="P115" s="51">
        <f>SUM(D115:O115)</f>
        <v>-1199232.7323</v>
      </c>
    </row>
    <row r="116" spans="2:21">
      <c r="D116" s="309">
        <f t="shared" ref="D116:P116" si="59">SUM(D113:D115)</f>
        <v>-131931.5772</v>
      </c>
      <c r="E116" s="309">
        <f t="shared" si="59"/>
        <v>-130033.2408</v>
      </c>
      <c r="F116" s="309">
        <f t="shared" si="59"/>
        <v>-136459.2984</v>
      </c>
      <c r="G116" s="309">
        <f t="shared" si="59"/>
        <v>-131528.66719999997</v>
      </c>
      <c r="H116" s="309">
        <f t="shared" si="59"/>
        <v>-132502.4252</v>
      </c>
      <c r="I116" s="309">
        <f t="shared" si="59"/>
        <v>-133608.49619999999</v>
      </c>
      <c r="J116" s="309">
        <f t="shared" si="59"/>
        <v>-134310.44159999999</v>
      </c>
      <c r="K116" s="309">
        <f t="shared" si="59"/>
        <v>-137700.26689999999</v>
      </c>
      <c r="L116" s="309">
        <f t="shared" si="59"/>
        <v>-134816.18659999999</v>
      </c>
      <c r="M116" s="52">
        <f t="shared" si="59"/>
        <v>-138333.4681</v>
      </c>
      <c r="N116" s="52">
        <f t="shared" si="59"/>
        <v>-137905.2034</v>
      </c>
      <c r="O116" s="52">
        <f t="shared" si="59"/>
        <v>-139154.3175</v>
      </c>
      <c r="P116" s="52">
        <f t="shared" si="59"/>
        <v>-1618283.5891</v>
      </c>
    </row>
    <row r="117" spans="2:21" s="724" customFormat="1">
      <c r="B117" s="117" t="s">
        <v>97</v>
      </c>
      <c r="D117" s="19"/>
      <c r="E117" s="19"/>
      <c r="F117" s="19"/>
      <c r="G117" s="19"/>
      <c r="H117" s="19"/>
      <c r="I117" s="19"/>
      <c r="J117" s="19"/>
      <c r="K117" s="19"/>
      <c r="L117" s="19"/>
    </row>
    <row r="118" spans="2:21" s="724" customFormat="1">
      <c r="B118" s="724" t="s">
        <v>98</v>
      </c>
      <c r="C118" s="256">
        <v>-0.2</v>
      </c>
      <c r="D118" s="432">
        <f>(D64-D60-D61-D49-D62)*$C118</f>
        <v>-19530.371599999999</v>
      </c>
      <c r="E118" s="432">
        <f t="shared" ref="E118:O118" si="60">(E64-E60-E61-E49-E62)*$C118</f>
        <v>-19520.252</v>
      </c>
      <c r="F118" s="432">
        <f t="shared" si="60"/>
        <v>-19393.537599999996</v>
      </c>
      <c r="G118" s="432">
        <f t="shared" si="60"/>
        <v>-19101.205199999997</v>
      </c>
      <c r="H118" s="432">
        <f t="shared" si="60"/>
        <v>-21280.430400000001</v>
      </c>
      <c r="I118" s="432">
        <f t="shared" si="60"/>
        <v>-20110.419000000005</v>
      </c>
      <c r="J118" s="432">
        <f t="shared" si="60"/>
        <v>-20397.601200000005</v>
      </c>
      <c r="K118" s="432">
        <f t="shared" si="60"/>
        <v>-20910.373599999995</v>
      </c>
      <c r="L118" s="432">
        <f t="shared" si="60"/>
        <v>-20525.264599999995</v>
      </c>
      <c r="M118" s="432">
        <f t="shared" si="60"/>
        <v>-18819.952600000004</v>
      </c>
      <c r="N118" s="432">
        <f t="shared" si="60"/>
        <v>-18350.449399999994</v>
      </c>
      <c r="O118" s="432">
        <f t="shared" si="60"/>
        <v>-18412.988399999998</v>
      </c>
      <c r="P118" s="51">
        <f>SUM(D118:O118)</f>
        <v>-236352.84559999997</v>
      </c>
    </row>
    <row r="119" spans="2:21" s="724" customFormat="1">
      <c r="B119" s="724" t="s">
        <v>99</v>
      </c>
      <c r="C119" s="257">
        <v>-1.52</v>
      </c>
      <c r="D119" s="432">
        <f>D103*$C119</f>
        <v>-18464.245600000002</v>
      </c>
      <c r="E119" s="432">
        <f t="shared" ref="E119:O119" si="61">E103*$C119</f>
        <v>-16298.108800000002</v>
      </c>
      <c r="F119" s="432">
        <f t="shared" si="61"/>
        <v>-16457.176800000001</v>
      </c>
      <c r="G119" s="432">
        <f t="shared" si="61"/>
        <v>-13209.635999999999</v>
      </c>
      <c r="H119" s="432">
        <f t="shared" si="61"/>
        <v>-13393.768800000002</v>
      </c>
      <c r="I119" s="432">
        <f t="shared" si="61"/>
        <v>-14002.331199999999</v>
      </c>
      <c r="J119" s="432">
        <f t="shared" si="61"/>
        <v>-13027.4944</v>
      </c>
      <c r="K119" s="432">
        <f t="shared" si="61"/>
        <v>-12566.554399999999</v>
      </c>
      <c r="L119" s="432">
        <f t="shared" si="61"/>
        <v>-13683.495999999999</v>
      </c>
      <c r="M119" s="432">
        <f t="shared" si="61"/>
        <v>-15015.228800000001</v>
      </c>
      <c r="N119" s="432">
        <f t="shared" si="61"/>
        <v>-20614.847999999998</v>
      </c>
      <c r="O119" s="432">
        <f t="shared" si="61"/>
        <v>-15965.122400000002</v>
      </c>
      <c r="P119" s="51">
        <f>SUM(D119:O119)</f>
        <v>-182698.01119999998</v>
      </c>
    </row>
    <row r="120" spans="2:21" s="724" customFormat="1">
      <c r="B120" s="724" t="s">
        <v>100</v>
      </c>
      <c r="C120" s="257">
        <v>-1.93</v>
      </c>
      <c r="D120" s="432">
        <f>D105*$C120</f>
        <v>-93936.959999999992</v>
      </c>
      <c r="E120" s="432">
        <f t="shared" ref="E120:O120" si="62">E105*$C120</f>
        <v>-94214.87999999999</v>
      </c>
      <c r="F120" s="432">
        <f t="shared" si="62"/>
        <v>-100608.584</v>
      </c>
      <c r="G120" s="432">
        <f t="shared" si="62"/>
        <v>-99217.825999999986</v>
      </c>
      <c r="H120" s="432">
        <f t="shared" si="62"/>
        <v>-97828.225999999995</v>
      </c>
      <c r="I120" s="432">
        <f t="shared" si="62"/>
        <v>-99495.745999999985</v>
      </c>
      <c r="J120" s="432">
        <f t="shared" si="62"/>
        <v>-100885.34599999999</v>
      </c>
      <c r="K120" s="432">
        <f t="shared" si="62"/>
        <v>-104223.3389</v>
      </c>
      <c r="L120" s="432">
        <f t="shared" si="62"/>
        <v>-100607.42599999999</v>
      </c>
      <c r="M120" s="432">
        <f t="shared" si="62"/>
        <v>-104498.2867</v>
      </c>
      <c r="N120" s="432">
        <f t="shared" si="62"/>
        <v>-98939.905999999988</v>
      </c>
      <c r="O120" s="432">
        <f t="shared" si="62"/>
        <v>-104776.2067</v>
      </c>
      <c r="P120" s="51">
        <f>SUM(D120:O120)</f>
        <v>-1199232.7323</v>
      </c>
    </row>
    <row r="121" spans="2:21" s="724" customFormat="1">
      <c r="D121" s="309">
        <f t="shared" ref="D121:P121" si="63">SUM(D118:D120)</f>
        <v>-131931.5772</v>
      </c>
      <c r="E121" s="309">
        <f t="shared" si="63"/>
        <v>-130033.2408</v>
      </c>
      <c r="F121" s="309">
        <f t="shared" si="63"/>
        <v>-136459.2984</v>
      </c>
      <c r="G121" s="309">
        <f t="shared" si="63"/>
        <v>-131528.66719999997</v>
      </c>
      <c r="H121" s="309">
        <f t="shared" si="63"/>
        <v>-132502.4252</v>
      </c>
      <c r="I121" s="309">
        <f t="shared" si="63"/>
        <v>-133608.49619999999</v>
      </c>
      <c r="J121" s="309">
        <f t="shared" si="63"/>
        <v>-134310.44159999999</v>
      </c>
      <c r="K121" s="309">
        <f t="shared" si="63"/>
        <v>-137700.26689999999</v>
      </c>
      <c r="L121" s="309">
        <f t="shared" si="63"/>
        <v>-134816.18659999999</v>
      </c>
      <c r="M121" s="52">
        <f t="shared" si="63"/>
        <v>-138333.4681</v>
      </c>
      <c r="N121" s="52">
        <f t="shared" si="63"/>
        <v>-137905.2034</v>
      </c>
      <c r="O121" s="52">
        <f t="shared" si="63"/>
        <v>-139154.3175</v>
      </c>
      <c r="P121" s="52">
        <f t="shared" si="63"/>
        <v>-1618283.5891</v>
      </c>
    </row>
    <row r="122" spans="2:21">
      <c r="D122" s="19"/>
      <c r="E122" s="19"/>
      <c r="F122" s="19"/>
      <c r="G122" s="19"/>
      <c r="H122" s="19"/>
      <c r="I122" s="19"/>
      <c r="J122" s="19"/>
      <c r="K122" s="19"/>
      <c r="L122" s="19"/>
      <c r="T122" t="s">
        <v>284</v>
      </c>
      <c r="U122" t="s">
        <v>286</v>
      </c>
    </row>
    <row r="123" spans="2:21">
      <c r="B123" s="117" t="s">
        <v>432</v>
      </c>
      <c r="D123" s="19"/>
      <c r="E123" s="19"/>
      <c r="F123" s="19"/>
      <c r="G123" s="19"/>
      <c r="H123" s="19"/>
      <c r="I123" s="19"/>
      <c r="J123" s="19"/>
      <c r="K123" s="19"/>
      <c r="L123" s="19"/>
      <c r="T123" t="s">
        <v>337</v>
      </c>
    </row>
    <row r="124" spans="2:21">
      <c r="B124" s="640">
        <f>B4</f>
        <v>0</v>
      </c>
      <c r="C124" s="327">
        <v>770037736</v>
      </c>
      <c r="D124" s="431">
        <f>500000*('Rate Design'!$G$5/100)+MIN(5500000,D4-500000)*('Rate Design'!$G$6/100)+MAX(0,D4-6000000)*('Rate Design'!$G$7/100)+'Rate Design'!$G$9+D68*'Rate Design'!$G$10-0.2*D41</f>
        <v>414920.01509</v>
      </c>
      <c r="E124" s="431">
        <f>500000*('Rate Design'!$G$5/100)+MIN(5500000,E4-500000)*('Rate Design'!$G$6/100)+MAX(0,E4-6000000)*('Rate Design'!$G$7/100)+'Rate Design'!$G$9+E68*'Rate Design'!$G$10-0.2*E41</f>
        <v>403564.973</v>
      </c>
      <c r="F124" s="431">
        <f>500000*('Rate Design'!$G$5/100)+MIN(5500000,F4-500000)*('Rate Design'!$G$6/100)+MAX(0,F4-6000000)*('Rate Design'!$G$7/100)+'Rate Design'!$G$9+F68*'Rate Design'!$G$10-0.2*F41</f>
        <v>441979.83757999999</v>
      </c>
      <c r="G124" s="431">
        <f>500000*('Rate Design'!$G$5/100)+MIN(5500000,G4-500000)*('Rate Design'!$G$6/100)+MAX(0,G4-6000000)*('Rate Design'!$G$7/100)+'Rate Design'!$G$9+G68*'Rate Design'!$G$10-0.2*G41</f>
        <v>374686.09064600006</v>
      </c>
      <c r="H124" s="431">
        <f>500000*('Rate Design'!$G$5/100)+MIN(5500000,H4-500000)*('Rate Design'!$G$6/100)+MAX(0,H4-6000000)*('Rate Design'!$G$7/100)+'Rate Design'!$G$9+H68*'Rate Design'!$G$10-0.2*H41</f>
        <v>489487.83110000001</v>
      </c>
      <c r="I124" s="431">
        <f>500000*('Rate Design'!$G$5/100)+MIN(5500000,I4-500000)*('Rate Design'!$G$6/100)+MAX(0,I4-6000000)*('Rate Design'!$G$7/100)+'Rate Design'!$G$9+I68*'Rate Design'!$G$10-0.2*I41</f>
        <v>427577.36074999999</v>
      </c>
      <c r="J124" s="431">
        <f>500000*('Rate Design'!$G$5/100)+MIN(5500000,J4-500000)*('Rate Design'!$G$6/100)+MAX(0,J4-6000000)*('Rate Design'!$G$7/100)+'Rate Design'!$G$9+J68*'Rate Design'!$G$10-0.2*J41</f>
        <v>414757.14685999998</v>
      </c>
      <c r="K124" s="431">
        <f>500000*('Rate Design'!$G$5/100)+MIN(5500000,K4-500000)*('Rate Design'!$G$6/100)+MAX(0,K4-6000000)*('Rate Design'!$G$7/100)+'Rate Design'!$G$9+K68*'Rate Design'!$G$10-0.2*K41</f>
        <v>425357.93236999999</v>
      </c>
      <c r="L124" s="431">
        <f>500000*('Rate Design'!$G$5/100)+MIN(5500000,L4-500000)*('Rate Design'!$G$6/100)+MAX(0,L4-6000000)*('Rate Design'!$G$7/100)+'Rate Design'!$G$9+L68*'Rate Design'!$G$10-0.2*L41</f>
        <v>419952.85736000002</v>
      </c>
      <c r="M124" s="431">
        <f>500000*('Rate Design'!$G$5/100)+MIN(5500000,M4-500000)*('Rate Design'!$G$6/100)+MAX(0,M4-6000000)*('Rate Design'!$G$7/100)+'Rate Design'!$G$9+M68*'Rate Design'!$G$10-0.2*M41</f>
        <v>297541.39370000002</v>
      </c>
      <c r="N124" s="431">
        <f>500000*('Rate Design'!$G$5/100)+MIN(5500000,N4-500000)*('Rate Design'!$G$6/100)+MAX(0,N4-6000000)*('Rate Design'!$G$7/100)+'Rate Design'!$G$9+N68*'Rate Design'!$G$10-0.2*N41</f>
        <v>265916.46795800002</v>
      </c>
      <c r="O124" s="431">
        <f>500000*('Rate Design'!$G$5/100)+MIN(5500000,O4-500000)*('Rate Design'!$G$6/100)+MAX(0,O4-6000000)*('Rate Design'!$G$7/100)+'Rate Design'!$G$9+O68*'Rate Design'!$G$10-0.2*O41</f>
        <v>248479.82591000001</v>
      </c>
      <c r="P124" s="43">
        <f>SUM(D124:O124)</f>
        <v>4624221.7323240004</v>
      </c>
      <c r="T124">
        <f>IF(P124&lt;945750,945750-P124,0)</f>
        <v>0</v>
      </c>
    </row>
    <row r="125" spans="2:21">
      <c r="B125" s="640">
        <f t="shared" ref="B125:B146" si="64">B5</f>
        <v>0</v>
      </c>
      <c r="C125" s="327">
        <v>500017</v>
      </c>
      <c r="D125" s="431">
        <f>500000*('Rate Design'!$G$5/100)+MIN(5500000,D5-500000)*('Rate Design'!$G$6/100)+MAX(0,D5-6000000)*('Rate Design'!$G$7/100)+'Rate Design'!$G$9+D69*'Rate Design'!$G$10-0.2*D42</f>
        <v>176238.39297199997</v>
      </c>
      <c r="E125" s="431">
        <f>500000*('Rate Design'!$G$5/100)+MIN(5500000,E5-500000)*('Rate Design'!$G$6/100)+MAX(0,E5-6000000)*('Rate Design'!$G$7/100)+'Rate Design'!$G$9+E69*'Rate Design'!$G$10-0.2*E42</f>
        <v>197395.30284800002</v>
      </c>
      <c r="F125" s="431">
        <f>500000*('Rate Design'!$G$5/100)+MIN(5500000,F5-500000)*('Rate Design'!$G$6/100)+MAX(0,F5-6000000)*('Rate Design'!$G$7/100)+'Rate Design'!$G$9+F69*'Rate Design'!$G$10-0.2*F42</f>
        <v>203291.75957000002</v>
      </c>
      <c r="G125" s="431">
        <f>500000*('Rate Design'!$G$5/100)+MIN(5500000,G5-500000)*('Rate Design'!$G$6/100)+MAX(0,G5-6000000)*('Rate Design'!$G$7/100)+'Rate Design'!$G$9+G69*'Rate Design'!$G$10-0.2*G42</f>
        <v>196454.21709200001</v>
      </c>
      <c r="H125" s="431">
        <f>500000*('Rate Design'!$G$5/100)+MIN(5500000,H5-500000)*('Rate Design'!$G$6/100)+MAX(0,H5-6000000)*('Rate Design'!$G$7/100)+'Rate Design'!$G$9+H69*'Rate Design'!$G$10-0.2*H42</f>
        <v>194402.44891400001</v>
      </c>
      <c r="I125" s="431">
        <f>500000*('Rate Design'!$G$5/100)+MIN(5500000,I5-500000)*('Rate Design'!$G$6/100)+MAX(0,I5-6000000)*('Rate Design'!$G$7/100)+'Rate Design'!$G$9+I69*'Rate Design'!$G$10-0.2*I42</f>
        <v>189702.51218600004</v>
      </c>
      <c r="J125" s="431">
        <f>500000*('Rate Design'!$G$5/100)+MIN(5500000,J5-500000)*('Rate Design'!$G$6/100)+MAX(0,J5-6000000)*('Rate Design'!$G$7/100)+'Rate Design'!$G$9+J69*'Rate Design'!$G$10-0.2*J42</f>
        <v>191289.25481000001</v>
      </c>
      <c r="K125" s="431">
        <f>500000*('Rate Design'!$G$5/100)+MIN(5500000,K5-500000)*('Rate Design'!$G$6/100)+MAX(0,K5-6000000)*('Rate Design'!$G$7/100)+'Rate Design'!$G$9+K69*'Rate Design'!$G$10-0.2*K42</f>
        <v>197175.20630000002</v>
      </c>
      <c r="L125" s="431">
        <f>500000*('Rate Design'!$G$5/100)+MIN(5500000,L5-500000)*('Rate Design'!$G$6/100)+MAX(0,L5-6000000)*('Rate Design'!$G$7/100)+'Rate Design'!$G$9+L69*'Rate Design'!$G$10-0.2*L42</f>
        <v>190015.862738</v>
      </c>
      <c r="M125" s="431">
        <f>500000*('Rate Design'!$G$5/100)+MIN(5500000,M5-500000)*('Rate Design'!$G$6/100)+MAX(0,M5-6000000)*('Rate Design'!$G$7/100)+'Rate Design'!$G$9+M69*'Rate Design'!$G$10-0.2*M42</f>
        <v>197805.68646800003</v>
      </c>
      <c r="N125" s="431">
        <f>500000*('Rate Design'!$G$5/100)+MIN(5500000,N5-500000)*('Rate Design'!$G$6/100)+MAX(0,N5-6000000)*('Rate Design'!$G$7/100)+'Rate Design'!$G$9+N69*'Rate Design'!$G$10-0.2*N42</f>
        <v>191714.08987399997</v>
      </c>
      <c r="O125" s="431">
        <f>500000*('Rate Design'!$G$5/100)+MIN(5500000,O5-500000)*('Rate Design'!$G$6/100)+MAX(0,O5-6000000)*('Rate Design'!$G$7/100)+'Rate Design'!$G$9+O69*'Rate Design'!$G$10-0.2*O42</f>
        <v>153490.14752000003</v>
      </c>
      <c r="P125" s="43">
        <f t="shared" ref="P125:P144" si="65">SUM(D125:O125)</f>
        <v>2278974.8812920004</v>
      </c>
      <c r="T125" s="758">
        <f t="shared" ref="T125:T146" si="66">IF(P125&lt;945750,945750-P125,0)</f>
        <v>0</v>
      </c>
    </row>
    <row r="126" spans="2:21">
      <c r="B126" s="640">
        <f t="shared" si="64"/>
        <v>0</v>
      </c>
      <c r="C126" s="327">
        <v>500018</v>
      </c>
      <c r="D126" s="431">
        <f>500000*('Rate Design'!$G$5/100)+MIN(5500000,D6-500000)*('Rate Design'!$G$6/100)+MAX(0,D6-6000000)*('Rate Design'!$G$7/100)+'Rate Design'!$G$9+D70*'Rate Design'!$G$10-0.2*D43</f>
        <v>110505.67001</v>
      </c>
      <c r="E126" s="431">
        <f>500000*('Rate Design'!$G$5/100)+MIN(5500000,E6-500000)*('Rate Design'!$G$6/100)+MAX(0,E6-6000000)*('Rate Design'!$G$7/100)+'Rate Design'!$G$9+E70*'Rate Design'!$G$10-0.2*E43</f>
        <v>99534.758201999997</v>
      </c>
      <c r="F126" s="431">
        <f>500000*('Rate Design'!$G$5/100)+MIN(5500000,F6-500000)*('Rate Design'!$G$6/100)+MAX(0,F6-6000000)*('Rate Design'!$G$7/100)+'Rate Design'!$G$9+F70*'Rate Design'!$G$10-0.2*F43</f>
        <v>105851.77585400001</v>
      </c>
      <c r="G126" s="431">
        <f>500000*('Rate Design'!$G$5/100)+MIN(5500000,G6-500000)*('Rate Design'!$G$6/100)+MAX(0,G6-6000000)*('Rate Design'!$G$7/100)+'Rate Design'!$G$9+G70*'Rate Design'!$G$10-0.2*G43</f>
        <v>94644.26881400001</v>
      </c>
      <c r="H126" s="431">
        <f>500000*('Rate Design'!$G$5/100)+MIN(5500000,H6-500000)*('Rate Design'!$G$6/100)+MAX(0,H6-6000000)*('Rate Design'!$G$7/100)+'Rate Design'!$G$9+H70*'Rate Design'!$G$10-0.2*H43</f>
        <v>95526.376020000011</v>
      </c>
      <c r="I126" s="431">
        <f>500000*('Rate Design'!$G$5/100)+MIN(5500000,I6-500000)*('Rate Design'!$G$6/100)+MAX(0,I6-6000000)*('Rate Design'!$G$7/100)+'Rate Design'!$G$9+I70*'Rate Design'!$G$10-0.2*I43</f>
        <v>93896.961048000012</v>
      </c>
      <c r="J126" s="431">
        <f>500000*('Rate Design'!$G$5/100)+MIN(5500000,J6-500000)*('Rate Design'!$G$6/100)+MAX(0,J6-6000000)*('Rate Design'!$G$7/100)+'Rate Design'!$G$9+J70*'Rate Design'!$G$10-0.2*J43</f>
        <v>96112.56218600001</v>
      </c>
      <c r="K126" s="431">
        <f>500000*('Rate Design'!$G$5/100)+MIN(5500000,K6-500000)*('Rate Design'!$G$6/100)+MAX(0,K6-6000000)*('Rate Design'!$G$7/100)+'Rate Design'!$G$9+K70*'Rate Design'!$G$10-0.2*K43</f>
        <v>92872.668498000014</v>
      </c>
      <c r="L126" s="431">
        <f>500000*('Rate Design'!$G$5/100)+MIN(5500000,L6-500000)*('Rate Design'!$G$6/100)+MAX(0,L6-6000000)*('Rate Design'!$G$7/100)+'Rate Design'!$G$9+L70*'Rate Design'!$G$10-0.2*L43</f>
        <v>93800.790966</v>
      </c>
      <c r="M126" s="431">
        <f>500000*('Rate Design'!$G$5/100)+MIN(5500000,M6-500000)*('Rate Design'!$G$6/100)+MAX(0,M6-6000000)*('Rate Design'!$G$7/100)+'Rate Design'!$G$9+M70*'Rate Design'!$G$10-0.2*M43</f>
        <v>104031.97709400002</v>
      </c>
      <c r="N126" s="431">
        <f>500000*('Rate Design'!$G$5/100)+MIN(5500000,N6-500000)*('Rate Design'!$G$6/100)+MAX(0,N6-6000000)*('Rate Design'!$G$7/100)+'Rate Design'!$G$9+N70*'Rate Design'!$G$10-0.2*N43</f>
        <v>95668.576992000002</v>
      </c>
      <c r="O126" s="431">
        <f>500000*('Rate Design'!$G$5/100)+MIN(5500000,O6-500000)*('Rate Design'!$G$6/100)+MAX(0,O6-6000000)*('Rate Design'!$G$7/100)+'Rate Design'!$G$9+O70*'Rate Design'!$G$10-0.2*O43</f>
        <v>98563.599146000008</v>
      </c>
      <c r="P126" s="43">
        <f t="shared" si="65"/>
        <v>1181009.9848300002</v>
      </c>
      <c r="T126" s="758">
        <f t="shared" si="66"/>
        <v>0</v>
      </c>
    </row>
    <row r="127" spans="2:21">
      <c r="B127" s="640">
        <f t="shared" si="64"/>
        <v>0</v>
      </c>
      <c r="C127" s="327">
        <v>1900002</v>
      </c>
      <c r="D127" s="431">
        <f>500000*('Rate Design'!$G$5/100)+MIN(5500000,D7-500000)*('Rate Design'!$G$6/100)+MAX(0,D7-6000000)*('Rate Design'!$G$7/100)+'Rate Design'!$G$9+D71*'Rate Design'!$G$10-0.2*D44</f>
        <v>99866.322593000004</v>
      </c>
      <c r="E127" s="431">
        <f>500000*('Rate Design'!$G$5/100)+MIN(5500000,E7-500000)*('Rate Design'!$G$6/100)+MAX(0,E7-6000000)*('Rate Design'!$G$7/100)+'Rate Design'!$G$9+E71*'Rate Design'!$G$10-0.2*E44</f>
        <v>95492.233681999991</v>
      </c>
      <c r="F127" s="431">
        <f>500000*('Rate Design'!$G$5/100)+MIN(5500000,F7-500000)*('Rate Design'!$G$6/100)+MAX(0,F7-6000000)*('Rate Design'!$G$7/100)+'Rate Design'!$G$9+F71*'Rate Design'!$G$10-0.2*F44</f>
        <v>102314.02470699999</v>
      </c>
      <c r="G127" s="431">
        <f>500000*('Rate Design'!$G$5/100)+MIN(5500000,G7-500000)*('Rate Design'!$G$6/100)+MAX(0,G7-6000000)*('Rate Design'!$G$7/100)+'Rate Design'!$G$9+G71*'Rate Design'!$G$10-0.2*G44</f>
        <v>93891.550180000006</v>
      </c>
      <c r="H127" s="431">
        <f>500000*('Rate Design'!$G$5/100)+MIN(5500000,H7-500000)*('Rate Design'!$G$6/100)+MAX(0,H7-6000000)*('Rate Design'!$G$7/100)+'Rate Design'!$G$9+H71*'Rate Design'!$G$10-0.2*H44</f>
        <v>96693.717961999995</v>
      </c>
      <c r="I127" s="431">
        <f>500000*('Rate Design'!$G$5/100)+MIN(5500000,I7-500000)*('Rate Design'!$G$6/100)+MAX(0,I7-6000000)*('Rate Design'!$G$7/100)+'Rate Design'!$G$9+I71*'Rate Design'!$G$10-0.2*I44</f>
        <v>93348.147371999992</v>
      </c>
      <c r="J127" s="431">
        <f>500000*('Rate Design'!$G$5/100)+MIN(5500000,J7-500000)*('Rate Design'!$G$6/100)+MAX(0,J7-6000000)*('Rate Design'!$G$7/100)+'Rate Design'!$G$9+J71*'Rate Design'!$G$10-0.2*J44</f>
        <v>97048.306521000006</v>
      </c>
      <c r="K127" s="431">
        <f>500000*('Rate Design'!$G$5/100)+MIN(5500000,K7-500000)*('Rate Design'!$G$6/100)+MAX(0,K7-6000000)*('Rate Design'!$G$7/100)+'Rate Design'!$G$9+K71*'Rate Design'!$G$10-0.2*K44</f>
        <v>95664.012399999992</v>
      </c>
      <c r="L127" s="431">
        <f>500000*('Rate Design'!$G$5/100)+MIN(5500000,L7-500000)*('Rate Design'!$G$6/100)+MAX(0,L7-6000000)*('Rate Design'!$G$7/100)+'Rate Design'!$G$9+L71*'Rate Design'!$G$10-0.2*L44</f>
        <v>93501.61608312001</v>
      </c>
      <c r="M127" s="431">
        <f>500000*('Rate Design'!$G$5/100)+MIN(5500000,M7-500000)*('Rate Design'!$G$6/100)+MAX(0,M7-6000000)*('Rate Design'!$G$7/100)+'Rate Design'!$G$9+M71*'Rate Design'!$G$10-0.2*M44</f>
        <v>99354.682538000008</v>
      </c>
      <c r="N127" s="431">
        <f>500000*('Rate Design'!$G$5/100)+MIN(5500000,N7-500000)*('Rate Design'!$G$6/100)+MAX(0,N7-6000000)*('Rate Design'!$G$7/100)+'Rate Design'!$G$9+N71*'Rate Design'!$G$10-0.2*N44</f>
        <v>100902.14955800002</v>
      </c>
      <c r="O127" s="431">
        <f>500000*('Rate Design'!$G$5/100)+MIN(5500000,O7-500000)*('Rate Design'!$G$6/100)+MAX(0,O7-6000000)*('Rate Design'!$G$7/100)+'Rate Design'!$G$9+O71*'Rate Design'!$G$10-0.2*O44</f>
        <v>103902.721349</v>
      </c>
      <c r="P127" s="43">
        <f t="shared" si="65"/>
        <v>1171979.4849451201</v>
      </c>
      <c r="T127" s="758">
        <f t="shared" si="66"/>
        <v>0</v>
      </c>
    </row>
    <row r="128" spans="2:21">
      <c r="B128" s="640">
        <f t="shared" si="64"/>
        <v>0</v>
      </c>
      <c r="C128" s="327">
        <v>1900011</v>
      </c>
      <c r="D128" s="431">
        <f>500000*('Rate Design'!$G$5/100)+MIN(5500000,D8-500000)*('Rate Design'!$G$6/100)+MAX(0,D8-6000000)*('Rate Design'!$G$7/100)+'Rate Design'!$G$9+D72*'Rate Design'!$G$10-0.2*D45</f>
        <v>117154.99256</v>
      </c>
      <c r="E128" s="431">
        <f>500000*('Rate Design'!$G$5/100)+MIN(5500000,E8-500000)*('Rate Design'!$G$6/100)+MAX(0,E8-6000000)*('Rate Design'!$G$7/100)+'Rate Design'!$G$9+E72*'Rate Design'!$G$10-0.2*E45</f>
        <v>111641.55485400002</v>
      </c>
      <c r="F128" s="431">
        <f>500000*('Rate Design'!$G$5/100)+MIN(5500000,F8-500000)*('Rate Design'!$G$6/100)+MAX(0,F8-6000000)*('Rate Design'!$G$7/100)+'Rate Design'!$G$9+F72*'Rate Design'!$G$10-0.2*F45</f>
        <v>115728.521141</v>
      </c>
      <c r="G128" s="431">
        <f>500000*('Rate Design'!$G$5/100)+MIN(5500000,G8-500000)*('Rate Design'!$G$6/100)+MAX(0,G8-6000000)*('Rate Design'!$G$7/100)+'Rate Design'!$G$9+G72*'Rate Design'!$G$10-0.2*G45</f>
        <v>114619.12130300001</v>
      </c>
      <c r="H128" s="431">
        <f>500000*('Rate Design'!$G$5/100)+MIN(5500000,H8-500000)*('Rate Design'!$G$6/100)+MAX(0,H8-6000000)*('Rate Design'!$G$7/100)+'Rate Design'!$G$9+H72*'Rate Design'!$G$10-0.2*H45</f>
        <v>130674.48515600001</v>
      </c>
      <c r="I128" s="431">
        <f>500000*('Rate Design'!$G$5/100)+MIN(5500000,I8-500000)*('Rate Design'!$G$6/100)+MAX(0,I8-6000000)*('Rate Design'!$G$7/100)+'Rate Design'!$G$9+I72*'Rate Design'!$G$10-0.2*I45</f>
        <v>132160.10596699998</v>
      </c>
      <c r="J128" s="431">
        <f>500000*('Rate Design'!$G$5/100)+MIN(5500000,J8-500000)*('Rate Design'!$G$6/100)+MAX(0,J8-6000000)*('Rate Design'!$G$7/100)+'Rate Design'!$G$9+J72*'Rate Design'!$G$10-0.2*J45</f>
        <v>142670.85515600003</v>
      </c>
      <c r="K128" s="431">
        <f>500000*('Rate Design'!$G$5/100)+MIN(5500000,K8-500000)*('Rate Design'!$G$6/100)+MAX(0,K8-6000000)*('Rate Design'!$G$7/100)+'Rate Design'!$G$9+K72*'Rate Design'!$G$10-0.2*K45</f>
        <v>145998.63534649997</v>
      </c>
      <c r="L128" s="431">
        <f>500000*('Rate Design'!$G$5/100)+MIN(5500000,L8-500000)*('Rate Design'!$G$6/100)+MAX(0,L8-6000000)*('Rate Design'!$G$7/100)+'Rate Design'!$G$9+L72*'Rate Design'!$G$10-0.2*L45</f>
        <v>127750.63871300001</v>
      </c>
      <c r="M128" s="431">
        <f>500000*('Rate Design'!$G$5/100)+MIN(5500000,M8-500000)*('Rate Design'!$G$6/100)+MAX(0,M8-6000000)*('Rate Design'!$G$7/100)+'Rate Design'!$G$9+M72*'Rate Design'!$G$10-0.2*M45</f>
        <v>113248.380397</v>
      </c>
      <c r="N128" s="431">
        <f>500000*('Rate Design'!$G$5/100)+MIN(5500000,N8-500000)*('Rate Design'!$G$6/100)+MAX(0,N8-6000000)*('Rate Design'!$G$7/100)+'Rate Design'!$G$9+N72*'Rate Design'!$G$10-0.2*N45</f>
        <v>108493.382889</v>
      </c>
      <c r="O128" s="431">
        <f>500000*('Rate Design'!$G$5/100)+MIN(5500000,O8-500000)*('Rate Design'!$G$6/100)+MAX(0,O8-6000000)*('Rate Design'!$G$7/100)+'Rate Design'!$G$9+O72*'Rate Design'!$G$10-0.2*O45</f>
        <v>116084.18758100001</v>
      </c>
      <c r="P128" s="43">
        <f t="shared" si="65"/>
        <v>1476224.8610635002</v>
      </c>
      <c r="T128" s="758">
        <f t="shared" si="66"/>
        <v>0</v>
      </c>
    </row>
    <row r="129" spans="2:20">
      <c r="B129" s="640">
        <f t="shared" si="64"/>
        <v>0</v>
      </c>
      <c r="C129" s="327">
        <v>622922</v>
      </c>
      <c r="D129" s="431">
        <f>500000*('Rate Design'!$G$5/100)+MIN(5500000,D9-500000)*('Rate Design'!$G$6/100)+MAX(0,D9-6000000)*('Rate Design'!$G$7/100)+'Rate Design'!$G$9+D73*'Rate Design'!$G$10-0.2*D46</f>
        <v>160676.31995600005</v>
      </c>
      <c r="E129" s="431">
        <f>500000*('Rate Design'!$G$5/100)+MIN(5500000,E9-500000)*('Rate Design'!$G$6/100)+MAX(0,E9-6000000)*('Rate Design'!$G$7/100)+'Rate Design'!$G$9+E73*'Rate Design'!$G$10-0.2*E46</f>
        <v>164764.16382799999</v>
      </c>
      <c r="F129" s="431">
        <f>500000*('Rate Design'!$G$5/100)+MIN(5500000,F9-500000)*('Rate Design'!$G$6/100)+MAX(0,F9-6000000)*('Rate Design'!$G$7/100)+'Rate Design'!$G$9+F73*'Rate Design'!$G$10-0.2*F46</f>
        <v>153525.00767600004</v>
      </c>
      <c r="G129" s="431">
        <f>500000*('Rate Design'!$G$5/100)+MIN(5500000,G9-500000)*('Rate Design'!$G$6/100)+MAX(0,G9-6000000)*('Rate Design'!$G$7/100)+'Rate Design'!$G$9+G73*'Rate Design'!$G$10-0.2*G46</f>
        <v>141403.93556000001</v>
      </c>
      <c r="H129" s="431">
        <f>500000*('Rate Design'!$G$5/100)+MIN(5500000,H9-500000)*('Rate Design'!$G$6/100)+MAX(0,H9-6000000)*('Rate Design'!$G$7/100)+'Rate Design'!$G$9+H73*'Rate Design'!$G$10-0.2*H46</f>
        <v>133650.39744800003</v>
      </c>
      <c r="I129" s="431">
        <f>500000*('Rate Design'!$G$5/100)+MIN(5500000,I9-500000)*('Rate Design'!$G$6/100)+MAX(0,I9-6000000)*('Rate Design'!$G$7/100)+'Rate Design'!$G$9+I73*'Rate Design'!$G$10-0.2*I46</f>
        <v>126230.618552</v>
      </c>
      <c r="J129" s="431">
        <f>500000*('Rate Design'!$G$5/100)+MIN(5500000,J9-500000)*('Rate Design'!$G$6/100)+MAX(0,J9-6000000)*('Rate Design'!$G$7/100)+'Rate Design'!$G$9+J73*'Rate Design'!$G$10-0.2*J46</f>
        <v>137953.89363199999</v>
      </c>
      <c r="K129" s="431">
        <f>500000*('Rate Design'!$G$5/100)+MIN(5500000,K9-500000)*('Rate Design'!$G$6/100)+MAX(0,K9-6000000)*('Rate Design'!$G$7/100)+'Rate Design'!$G$9+K73*'Rate Design'!$G$10-0.2*K46</f>
        <v>154520.26913600002</v>
      </c>
      <c r="L129" s="431">
        <f>500000*('Rate Design'!$G$5/100)+MIN(5500000,L9-500000)*('Rate Design'!$G$6/100)+MAX(0,L9-6000000)*('Rate Design'!$G$7/100)+'Rate Design'!$G$9+L73*'Rate Design'!$G$10-0.2*L46</f>
        <v>155231.34035600003</v>
      </c>
      <c r="M129" s="431">
        <f>500000*('Rate Design'!$G$5/100)+MIN(5500000,M9-500000)*('Rate Design'!$G$6/100)+MAX(0,M9-6000000)*('Rate Design'!$G$7/100)+'Rate Design'!$G$9+M73*'Rate Design'!$G$10-0.2*M46</f>
        <v>151404.99720799999</v>
      </c>
      <c r="N129" s="431">
        <f>500000*('Rate Design'!$G$5/100)+MIN(5500000,N9-500000)*('Rate Design'!$G$6/100)+MAX(0,N9-6000000)*('Rate Design'!$G$7/100)+'Rate Design'!$G$9+N73*'Rate Design'!$G$10-0.2*N46</f>
        <v>153284.12729600002</v>
      </c>
      <c r="O129" s="431">
        <f>500000*('Rate Design'!$G$5/100)+MIN(5500000,O9-500000)*('Rate Design'!$G$6/100)+MAX(0,O9-6000000)*('Rate Design'!$G$7/100)+'Rate Design'!$G$9+O73*'Rate Design'!$G$10-0.2*O46</f>
        <v>150902.33870000002</v>
      </c>
      <c r="P129" s="43">
        <f t="shared" si="65"/>
        <v>1783547.4093480001</v>
      </c>
      <c r="T129" s="758">
        <f t="shared" si="66"/>
        <v>0</v>
      </c>
    </row>
    <row r="130" spans="2:20">
      <c r="B130" s="640">
        <f t="shared" si="64"/>
        <v>0</v>
      </c>
      <c r="C130" s="327">
        <v>2304636</v>
      </c>
      <c r="D130" s="431">
        <f>500000*('Rate Design'!$G$5/100)+MIN(5500000,D10-500000)*('Rate Design'!$G$6/100)+MAX(0,D10-6000000)*('Rate Design'!$G$7/100)+'Rate Design'!$G$9+D74*'Rate Design'!$G$10-0.2*D47</f>
        <v>93707.608041999993</v>
      </c>
      <c r="E130" s="431">
        <f>500000*('Rate Design'!$G$5/100)+MIN(5500000,E10-500000)*('Rate Design'!$G$6/100)+MAX(0,E10-6000000)*('Rate Design'!$G$7/100)+'Rate Design'!$G$9+E74*'Rate Design'!$G$10-0.2*E47</f>
        <v>87720.215060000002</v>
      </c>
      <c r="F130" s="431">
        <f>500000*('Rate Design'!$G$5/100)+MIN(5500000,F10-500000)*('Rate Design'!$G$6/100)+MAX(0,F10-6000000)*('Rate Design'!$G$7/100)+'Rate Design'!$G$9+F74*'Rate Design'!$G$10-0.2*F47</f>
        <v>92759.017434000009</v>
      </c>
      <c r="G130" s="431">
        <f>500000*('Rate Design'!$G$5/100)+MIN(5500000,G10-500000)*('Rate Design'!$G$6/100)+MAX(0,G10-6000000)*('Rate Design'!$G$7/100)+'Rate Design'!$G$9+G74*'Rate Design'!$G$10-0.2*G47</f>
        <v>92102.499058000001</v>
      </c>
      <c r="H130" s="431">
        <f>500000*('Rate Design'!$G$5/100)+MIN(5500000,H10-500000)*('Rate Design'!$G$6/100)+MAX(0,H10-6000000)*('Rate Design'!$G$7/100)+'Rate Design'!$G$9+H74*'Rate Design'!$G$10-0.2*H47</f>
        <v>96225.167534000007</v>
      </c>
      <c r="I130" s="431">
        <f>500000*('Rate Design'!$G$5/100)+MIN(5500000,I10-500000)*('Rate Design'!$G$6/100)+MAX(0,I10-6000000)*('Rate Design'!$G$7/100)+'Rate Design'!$G$9+I74*'Rate Design'!$G$10-0.2*I47</f>
        <v>97503.508004000003</v>
      </c>
      <c r="J130" s="431">
        <f>500000*('Rate Design'!$G$5/100)+MIN(5500000,J10-500000)*('Rate Design'!$G$6/100)+MAX(0,J10-6000000)*('Rate Design'!$G$7/100)+'Rate Design'!$G$9+J74*'Rate Design'!$G$10-0.2*J47</f>
        <v>102998.62799600001</v>
      </c>
      <c r="K130" s="431">
        <f>500000*('Rate Design'!$G$5/100)+MIN(5500000,K10-500000)*('Rate Design'!$G$6/100)+MAX(0,K10-6000000)*('Rate Design'!$G$7/100)+'Rate Design'!$G$9+K74*'Rate Design'!$G$10-0.2*K47</f>
        <v>108442.92965000001</v>
      </c>
      <c r="L130" s="431">
        <f>500000*('Rate Design'!$G$5/100)+MIN(5500000,L10-500000)*('Rate Design'!$G$6/100)+MAX(0,L10-6000000)*('Rate Design'!$G$7/100)+'Rate Design'!$G$9+L74*'Rate Design'!$G$10-0.2*L47</f>
        <v>98563.933808000002</v>
      </c>
      <c r="M130" s="431">
        <f>500000*('Rate Design'!$G$5/100)+MIN(5500000,M10-500000)*('Rate Design'!$G$6/100)+MAX(0,M10-6000000)*('Rate Design'!$G$7/100)+'Rate Design'!$G$9+M74*'Rate Design'!$G$10-0.2*M47</f>
        <v>97184.004668000009</v>
      </c>
      <c r="N130" s="431">
        <f>500000*('Rate Design'!$G$5/100)+MIN(5500000,N10-500000)*('Rate Design'!$G$6/100)+MAX(0,N10-6000000)*('Rate Design'!$G$7/100)+'Rate Design'!$G$9+N74*'Rate Design'!$G$10-0.2*N47</f>
        <v>95544.898172000001</v>
      </c>
      <c r="O130" s="431">
        <f>500000*('Rate Design'!$G$5/100)+MIN(5500000,O10-500000)*('Rate Design'!$G$6/100)+MAX(0,O10-6000000)*('Rate Design'!$G$7/100)+'Rate Design'!$G$9+O74*'Rate Design'!$G$10-0.2*O47</f>
        <v>92610.556142000001</v>
      </c>
      <c r="P130" s="43">
        <f t="shared" si="65"/>
        <v>1155362.9655680002</v>
      </c>
      <c r="T130" s="758">
        <f t="shared" si="66"/>
        <v>0</v>
      </c>
    </row>
    <row r="131" spans="2:20">
      <c r="B131" s="640">
        <f t="shared" si="64"/>
        <v>0</v>
      </c>
      <c r="C131" s="327">
        <v>610074869</v>
      </c>
      <c r="D131" s="431">
        <f>500000*('Rate Design'!$G$5/100)+MIN(5500000,D11-500000)*('Rate Design'!$G$6/100)+MAX(0,D11-6000000)*('Rate Design'!$G$7/100)+'Rate Design'!$G$9+D75*'Rate Design'!$G$10-0.2*D48</f>
        <v>92266.113974000007</v>
      </c>
      <c r="E131" s="431">
        <f>500000*('Rate Design'!$G$5/100)+MIN(5500000,E11-500000)*('Rate Design'!$G$6/100)+MAX(0,E11-6000000)*('Rate Design'!$G$7/100)+'Rate Design'!$G$9+E75*'Rate Design'!$G$10-0.2*E48</f>
        <v>87599.778655999995</v>
      </c>
      <c r="F131" s="431">
        <f>500000*('Rate Design'!$G$5/100)+MIN(5500000,F11-500000)*('Rate Design'!$G$6/100)+MAX(0,F11-6000000)*('Rate Design'!$G$7/100)+'Rate Design'!$G$9+F75*'Rate Design'!$G$10-0.2*F48</f>
        <v>93343.658954000013</v>
      </c>
      <c r="G131" s="431">
        <f>500000*('Rate Design'!$G$5/100)+MIN(5500000,G11-500000)*('Rate Design'!$G$6/100)+MAX(0,G11-6000000)*('Rate Design'!$G$7/100)+'Rate Design'!$G$9+G75*'Rate Design'!$G$10-0.2*G48</f>
        <v>92938.135208000007</v>
      </c>
      <c r="H131" s="431">
        <f>500000*('Rate Design'!$G$5/100)+MIN(5500000,H11-500000)*('Rate Design'!$G$6/100)+MAX(0,H11-6000000)*('Rate Design'!$G$7/100)+'Rate Design'!$G$9+H75*'Rate Design'!$G$10-0.2*H48</f>
        <v>96263.309840000002</v>
      </c>
      <c r="I131" s="431">
        <f>500000*('Rate Design'!$G$5/100)+MIN(5500000,I11-500000)*('Rate Design'!$G$6/100)+MAX(0,I11-6000000)*('Rate Design'!$G$7/100)+'Rate Design'!$G$9+I75*'Rate Design'!$G$10-0.2*I48</f>
        <v>96580.607162</v>
      </c>
      <c r="J131" s="431">
        <f>500000*('Rate Design'!$G$5/100)+MIN(5500000,J11-500000)*('Rate Design'!$G$6/100)+MAX(0,J11-6000000)*('Rate Design'!$G$7/100)+'Rate Design'!$G$9+J75*'Rate Design'!$G$10-0.2*J48</f>
        <v>97314.000853999998</v>
      </c>
      <c r="K131" s="431">
        <f>500000*('Rate Design'!$G$5/100)+MIN(5500000,K11-500000)*('Rate Design'!$G$6/100)+MAX(0,K11-6000000)*('Rate Design'!$G$7/100)+'Rate Design'!$G$9+K75*'Rate Design'!$G$10-0.2*K48</f>
        <v>99721.191902000006</v>
      </c>
      <c r="L131" s="431">
        <f>500000*('Rate Design'!$G$5/100)+MIN(5500000,L11-500000)*('Rate Design'!$G$6/100)+MAX(0,L11-6000000)*('Rate Design'!$G$7/100)+'Rate Design'!$G$9+L75*'Rate Design'!$G$10-0.2*L48</f>
        <v>92401.779523999998</v>
      </c>
      <c r="M131" s="431">
        <f>500000*('Rate Design'!$G$5/100)+MIN(5500000,M11-500000)*('Rate Design'!$G$6/100)+MAX(0,M11-6000000)*('Rate Design'!$G$7/100)+'Rate Design'!$G$9+M75*'Rate Design'!$G$10-0.2*M48</f>
        <v>97160.819630000013</v>
      </c>
      <c r="N131" s="431">
        <f>500000*('Rate Design'!$G$5/100)+MIN(5500000,N11-500000)*('Rate Design'!$G$6/100)+MAX(0,N11-6000000)*('Rate Design'!$G$7/100)+'Rate Design'!$G$9+N75*'Rate Design'!$G$10-0.2*N48</f>
        <v>89703.987926000002</v>
      </c>
      <c r="O131" s="431">
        <f>500000*('Rate Design'!$G$5/100)+MIN(5500000,O11-500000)*('Rate Design'!$G$6/100)+MAX(0,O11-6000000)*('Rate Design'!$G$7/100)+'Rate Design'!$G$9+O75*'Rate Design'!$G$10-0.2*O48</f>
        <v>92955.243956000006</v>
      </c>
      <c r="P131" s="43">
        <f t="shared" si="65"/>
        <v>1128248.6275860001</v>
      </c>
      <c r="T131" s="758">
        <f t="shared" si="66"/>
        <v>0</v>
      </c>
    </row>
    <row r="132" spans="2:20">
      <c r="B132" s="640">
        <f t="shared" si="64"/>
        <v>0</v>
      </c>
      <c r="C132" s="327">
        <v>2500004</v>
      </c>
      <c r="D132" s="431">
        <f>500000*('Rate Design'!$G$5/100)+MIN(5500000,D12-500000)*('Rate Design'!$G$6/100)+MAX(0,D12-6000000)*('Rate Design'!$G$7/100)+'Rate Design'!$G$9+D76*'Rate Design'!$G$10-1.52*D103-1.93*D105</f>
        <v>1943576.9286000002</v>
      </c>
      <c r="E132" s="431">
        <f>500000*('Rate Design'!$G$5/100)+MIN(5500000,E12-500000)*('Rate Design'!$G$6/100)+MAX(0,E12-6000000)*('Rate Design'!$G$7/100)+'Rate Design'!$G$9+E76*'Rate Design'!$G$10-1.52*E103-1.93*E105</f>
        <v>1911167.3536000003</v>
      </c>
      <c r="F132" s="431">
        <f>500000*('Rate Design'!$G$5/100)+MIN(5500000,F12-500000)*('Rate Design'!$G$6/100)+MAX(0,F12-6000000)*('Rate Design'!$G$7/100)+'Rate Design'!$G$9+F76*'Rate Design'!$G$10-1.52*F103-1.93*F105</f>
        <v>1932476.2793000003</v>
      </c>
      <c r="G132" s="431">
        <f>500000*('Rate Design'!$G$5/100)+MIN(5500000,G12-500000)*('Rate Design'!$G$6/100)+MAX(0,G12-6000000)*('Rate Design'!$G$7/100)+'Rate Design'!$G$9+G76*'Rate Design'!$G$10-1.52*G103-1.93*G105</f>
        <v>1894790.8168000006</v>
      </c>
      <c r="H132" s="431">
        <f>500000*('Rate Design'!$G$5/100)+MIN(5500000,H12-500000)*('Rate Design'!$G$6/100)+MAX(0,H12-6000000)*('Rate Design'!$G$7/100)+'Rate Design'!$G$9+H76*'Rate Design'!$G$10-1.52*H103-1.93*H105</f>
        <v>2073620.4744999998</v>
      </c>
      <c r="I132" s="431">
        <f>500000*('Rate Design'!$G$5/100)+MIN(5500000,I12-500000)*('Rate Design'!$G$6/100)+MAX(0,I12-6000000)*('Rate Design'!$G$7/100)+'Rate Design'!$G$9+I76*'Rate Design'!$G$10-1.52*I103-1.93*I105</f>
        <v>2025402.9650000005</v>
      </c>
      <c r="J132" s="431">
        <f>500000*('Rate Design'!$G$5/100)+MIN(5500000,J12-500000)*('Rate Design'!$G$6/100)+MAX(0,J12-6000000)*('Rate Design'!$G$7/100)+'Rate Design'!$G$9+J76*'Rate Design'!$G$10-1.52*J103-1.93*J105</f>
        <v>2150915.4844000004</v>
      </c>
      <c r="K132" s="431">
        <f>500000*('Rate Design'!$G$5/100)+MIN(5500000,K12-500000)*('Rate Design'!$G$6/100)+MAX(0,K12-6000000)*('Rate Design'!$G$7/100)+'Rate Design'!$G$9+K76*'Rate Design'!$G$10-1.52*K103-1.93*K105</f>
        <v>2161748.6320000007</v>
      </c>
      <c r="L132" s="431">
        <f>500000*('Rate Design'!$G$5/100)+MIN(5500000,L12-500000)*('Rate Design'!$G$6/100)+MAX(0,L12-6000000)*('Rate Design'!$G$7/100)+'Rate Design'!$G$9+L76*'Rate Design'!$G$10-1.52*L103-1.93*L105</f>
        <v>2073401.7231000005</v>
      </c>
      <c r="M132" s="431">
        <f>500000*('Rate Design'!$G$5/100)+MIN(5500000,M12-500000)*('Rate Design'!$G$6/100)+MAX(0,M12-6000000)*('Rate Design'!$G$7/100)+'Rate Design'!$G$9+M76*'Rate Design'!$G$10-1.52*M103-1.93*M105</f>
        <v>2162335.8780999999</v>
      </c>
      <c r="N132" s="431">
        <f>500000*('Rate Design'!$G$5/100)+MIN(5500000,N12-500000)*('Rate Design'!$G$6/100)+MAX(0,N12-6000000)*('Rate Design'!$G$7/100)+'Rate Design'!$G$9+N76*'Rate Design'!$G$10-1.52*N103-1.93*N105</f>
        <v>1856766.7969000002</v>
      </c>
      <c r="O132" s="431">
        <f>500000*('Rate Design'!$G$5/100)+MIN(5500000,O12-500000)*('Rate Design'!$G$6/100)+MAX(0,O12-6000000)*('Rate Design'!$G$7/100)+'Rate Design'!$G$9+O76*'Rate Design'!$G$10-1.52*O103-1.93*O105</f>
        <v>2180107.11</v>
      </c>
      <c r="P132" s="43">
        <f t="shared" si="65"/>
        <v>24366310.442300003</v>
      </c>
      <c r="T132" s="758">
        <f t="shared" si="66"/>
        <v>0</v>
      </c>
    </row>
    <row r="133" spans="2:20">
      <c r="B133" s="640">
        <f t="shared" si="64"/>
        <v>0</v>
      </c>
      <c r="C133" s="327">
        <v>290048778</v>
      </c>
      <c r="D133" s="431">
        <f>500000*('Rate Design'!$G$5/100)+MIN(5500000,D13-500000)*('Rate Design'!$G$6/100)+MAX(0,D13-6000000)*('Rate Design'!$G$7/100)+'Rate Design'!$G$9+D77*'Rate Design'!$G$10-0.2*D50</f>
        <v>354152.13672200002</v>
      </c>
      <c r="E133" s="431">
        <f>500000*('Rate Design'!$G$5/100)+MIN(5500000,E13-500000)*('Rate Design'!$G$6/100)+MAX(0,E13-6000000)*('Rate Design'!$G$7/100)+'Rate Design'!$G$9+E77*'Rate Design'!$G$10-0.2*E50</f>
        <v>276009.39798800001</v>
      </c>
      <c r="F133" s="431">
        <f>500000*('Rate Design'!$G$5/100)+MIN(5500000,F13-500000)*('Rate Design'!$G$6/100)+MAX(0,F13-6000000)*('Rate Design'!$G$7/100)+'Rate Design'!$G$9+F77*'Rate Design'!$G$10-0.2*F50</f>
        <v>344231.24287999998</v>
      </c>
      <c r="G133" s="431">
        <f>500000*('Rate Design'!$G$5/100)+MIN(5500000,G13-500000)*('Rate Design'!$G$6/100)+MAX(0,G13-6000000)*('Rate Design'!$G$7/100)+'Rate Design'!$G$9+G77*'Rate Design'!$G$10-0.2*G50</f>
        <v>275846.75645000004</v>
      </c>
      <c r="H133" s="431">
        <f>500000*('Rate Design'!$G$5/100)+MIN(5500000,H13-500000)*('Rate Design'!$G$6/100)+MAX(0,H13-6000000)*('Rate Design'!$G$7/100)+'Rate Design'!$G$9+H77*'Rate Design'!$G$10-0.2*H50</f>
        <v>350270.03474600002</v>
      </c>
      <c r="I133" s="431">
        <f>500000*('Rate Design'!$G$5/100)+MIN(5500000,I13-500000)*('Rate Design'!$G$6/100)+MAX(0,I13-6000000)*('Rate Design'!$G$7/100)+'Rate Design'!$G$9+I77*'Rate Design'!$G$10-0.2*I50</f>
        <v>341574.66474799998</v>
      </c>
      <c r="J133" s="431">
        <f>500000*('Rate Design'!$G$5/100)+MIN(5500000,J13-500000)*('Rate Design'!$G$6/100)+MAX(0,J13-6000000)*('Rate Design'!$G$7/100)+'Rate Design'!$G$9+J77*'Rate Design'!$G$10-0.2*J50</f>
        <v>353409.15588800004</v>
      </c>
      <c r="K133" s="431">
        <f>500000*('Rate Design'!$G$5/100)+MIN(5500000,K13-500000)*('Rate Design'!$G$6/100)+MAX(0,K13-6000000)*('Rate Design'!$G$7/100)+'Rate Design'!$G$9+K77*'Rate Design'!$G$10-0.2*K50</f>
        <v>359515.23126800003</v>
      </c>
      <c r="L133" s="431">
        <f>500000*('Rate Design'!$G$5/100)+MIN(5500000,L13-500000)*('Rate Design'!$G$6/100)+MAX(0,L13-6000000)*('Rate Design'!$G$7/100)+'Rate Design'!$G$9+L77*'Rate Design'!$G$10-0.2*L50</f>
        <v>346172.54959400004</v>
      </c>
      <c r="M133" s="431">
        <f>500000*('Rate Design'!$G$5/100)+MIN(5500000,M13-500000)*('Rate Design'!$G$6/100)+MAX(0,M13-6000000)*('Rate Design'!$G$7/100)+'Rate Design'!$G$9+M77*'Rate Design'!$G$10-0.2*M50</f>
        <v>343587.40241000004</v>
      </c>
      <c r="N133" s="431">
        <f>500000*('Rate Design'!$G$5/100)+MIN(5500000,N13-500000)*('Rate Design'!$G$6/100)+MAX(0,N13-6000000)*('Rate Design'!$G$7/100)+'Rate Design'!$G$9+N77*'Rate Design'!$G$10-0.2*N50</f>
        <v>309578.23358600005</v>
      </c>
      <c r="O133" s="431">
        <f>500000*('Rate Design'!$G$5/100)+MIN(5500000,O13-500000)*('Rate Design'!$G$6/100)+MAX(0,O13-6000000)*('Rate Design'!$G$7/100)+'Rate Design'!$G$9+O77*'Rate Design'!$G$10-0.2*O50</f>
        <v>315623.27465600008</v>
      </c>
      <c r="P133" s="43">
        <f t="shared" si="65"/>
        <v>3969970.0809360002</v>
      </c>
      <c r="T133" s="758">
        <f t="shared" si="66"/>
        <v>0</v>
      </c>
    </row>
    <row r="134" spans="2:20">
      <c r="B134" s="640">
        <f t="shared" si="64"/>
        <v>0</v>
      </c>
      <c r="C134" s="327">
        <v>2500003</v>
      </c>
      <c r="D134" s="431">
        <f>500000*('Rate Design'!$G$5/100)+MIN(5500000,D14-500000)*('Rate Design'!$G$6/100)+MAX(0,D14-6000000)*('Rate Design'!$G$7/100)+'Rate Design'!$G$9+D78*'Rate Design'!$G$10-0.2*D51</f>
        <v>360105.45150800009</v>
      </c>
      <c r="E134" s="431">
        <f>500000*('Rate Design'!$G$5/100)+MIN(5500000,E14-500000)*('Rate Design'!$G$6/100)+MAX(0,E14-6000000)*('Rate Design'!$G$7/100)+'Rate Design'!$G$9+E78*'Rate Design'!$G$10-0.2*E51</f>
        <v>309545.19167600002</v>
      </c>
      <c r="F134" s="431">
        <f>500000*('Rate Design'!$G$5/100)+MIN(5500000,F14-500000)*('Rate Design'!$G$6/100)+MAX(0,F14-6000000)*('Rate Design'!$G$7/100)+'Rate Design'!$G$9+F78*'Rate Design'!$G$10-0.2*F51</f>
        <v>345869.49694399995</v>
      </c>
      <c r="G134" s="431">
        <f>500000*('Rate Design'!$G$5/100)+MIN(5500000,G14-500000)*('Rate Design'!$G$6/100)+MAX(0,G14-6000000)*('Rate Design'!$G$7/100)+'Rate Design'!$G$9+G78*'Rate Design'!$G$10-0.2*G51</f>
        <v>230023.74014000001</v>
      </c>
      <c r="H134" s="431">
        <f>500000*('Rate Design'!$G$5/100)+MIN(5500000,H14-500000)*('Rate Design'!$G$6/100)+MAX(0,H14-6000000)*('Rate Design'!$G$7/100)+'Rate Design'!$G$9+H78*'Rate Design'!$G$10-0.2*H51</f>
        <v>349612.60696399998</v>
      </c>
      <c r="I134" s="431">
        <f>500000*('Rate Design'!$G$5/100)+MIN(5500000,I14-500000)*('Rate Design'!$G$6/100)+MAX(0,I14-6000000)*('Rate Design'!$G$7/100)+'Rate Design'!$G$9+I78*'Rate Design'!$G$10-0.2*I51</f>
        <v>345994.41849200003</v>
      </c>
      <c r="J134" s="431">
        <f>500000*('Rate Design'!$G$5/100)+MIN(5500000,J14-500000)*('Rate Design'!$G$6/100)+MAX(0,J14-6000000)*('Rate Design'!$G$7/100)+'Rate Design'!$G$9+J78*'Rate Design'!$G$10-0.2*J51</f>
        <v>350831.87484800001</v>
      </c>
      <c r="K134" s="431">
        <f>500000*('Rate Design'!$G$5/100)+MIN(5500000,K14-500000)*('Rate Design'!$G$6/100)+MAX(0,K14-6000000)*('Rate Design'!$G$7/100)+'Rate Design'!$G$9+K78*'Rate Design'!$G$10-0.2*K51</f>
        <v>346161.99914000003</v>
      </c>
      <c r="L134" s="431">
        <f>500000*('Rate Design'!$G$5/100)+MIN(5500000,L14-500000)*('Rate Design'!$G$6/100)+MAX(0,L14-6000000)*('Rate Design'!$G$7/100)+'Rate Design'!$G$9+L78*'Rate Design'!$G$10-0.2*L51</f>
        <v>315905.47755200008</v>
      </c>
      <c r="M134" s="431">
        <f>500000*('Rate Design'!$G$5/100)+MIN(5500000,M14-500000)*('Rate Design'!$G$6/100)+MAX(0,M14-6000000)*('Rate Design'!$G$7/100)+'Rate Design'!$G$9+M78*'Rate Design'!$G$10-0.2*M51</f>
        <v>327100.14549800003</v>
      </c>
      <c r="N134" s="431">
        <f>500000*('Rate Design'!$G$5/100)+MIN(5500000,N14-500000)*('Rate Design'!$G$6/100)+MAX(0,N14-6000000)*('Rate Design'!$G$7/100)+'Rate Design'!$G$9+N78*'Rate Design'!$G$10-0.2*N51</f>
        <v>234162.20743400001</v>
      </c>
      <c r="O134" s="431">
        <f>500000*('Rate Design'!$G$5/100)+MIN(5500000,O14-500000)*('Rate Design'!$G$6/100)+MAX(0,O14-6000000)*('Rate Design'!$G$7/100)+'Rate Design'!$G$9+O78*'Rate Design'!$G$10-0.2*O51</f>
        <v>303708.21965600003</v>
      </c>
      <c r="P134" s="43">
        <f t="shared" si="65"/>
        <v>3819020.8298519999</v>
      </c>
      <c r="T134" s="758">
        <f t="shared" si="66"/>
        <v>0</v>
      </c>
    </row>
    <row r="135" spans="2:20">
      <c r="B135" s="640">
        <f t="shared" si="64"/>
        <v>0</v>
      </c>
      <c r="C135" s="327">
        <v>500020</v>
      </c>
      <c r="D135" s="431">
        <f>500000*('Rate Design'!$G$5/100)+MIN(5500000,D15-500000)*('Rate Design'!$G$6/100)+MAX(0,D15-6000000)*('Rate Design'!$G$7/100)+'Rate Design'!$G$9+D79*'Rate Design'!$G$10-0.2*D52</f>
        <v>204640.35067399999</v>
      </c>
      <c r="E135" s="431">
        <f>500000*('Rate Design'!$G$5/100)+MIN(5500000,E15-500000)*('Rate Design'!$G$6/100)+MAX(0,E15-6000000)*('Rate Design'!$G$7/100)+'Rate Design'!$G$9+E79*'Rate Design'!$G$10-0.2*E52</f>
        <v>192983.64167300003</v>
      </c>
      <c r="F135" s="431">
        <f>500000*('Rate Design'!$G$5/100)+MIN(5500000,F15-500000)*('Rate Design'!$G$6/100)+MAX(0,F15-6000000)*('Rate Design'!$G$7/100)+'Rate Design'!$G$9+F79*'Rate Design'!$G$10-0.2*F52</f>
        <v>208129.52639300004</v>
      </c>
      <c r="G135" s="431">
        <f>500000*('Rate Design'!$G$5/100)+MIN(5500000,G15-500000)*('Rate Design'!$G$6/100)+MAX(0,G15-6000000)*('Rate Design'!$G$7/100)+'Rate Design'!$G$9+G79*'Rate Design'!$G$10-0.2*G52</f>
        <v>208961.51021600002</v>
      </c>
      <c r="H135" s="431">
        <f>500000*('Rate Design'!$G$5/100)+MIN(5500000,H15-500000)*('Rate Design'!$G$6/100)+MAX(0,H15-6000000)*('Rate Design'!$G$7/100)+'Rate Design'!$G$9+H79*'Rate Design'!$G$10-0.2*H52</f>
        <v>233714.149214</v>
      </c>
      <c r="I135" s="431">
        <f>500000*('Rate Design'!$G$5/100)+MIN(5500000,I15-500000)*('Rate Design'!$G$6/100)+MAX(0,I15-6000000)*('Rate Design'!$G$7/100)+'Rate Design'!$G$9+I79*'Rate Design'!$G$10-0.2*I52</f>
        <v>240948.17198600003</v>
      </c>
      <c r="J135" s="431">
        <f>500000*('Rate Design'!$G$5/100)+MIN(5500000,J15-500000)*('Rate Design'!$G$6/100)+MAX(0,J15-6000000)*('Rate Design'!$G$7/100)+'Rate Design'!$G$9+J79*'Rate Design'!$G$10-0.2*J52</f>
        <v>263431.34169799997</v>
      </c>
      <c r="K135" s="431">
        <f>500000*('Rate Design'!$G$5/100)+MIN(5500000,K15-500000)*('Rate Design'!$G$6/100)+MAX(0,K15-6000000)*('Rate Design'!$G$7/100)+'Rate Design'!$G$9+K79*'Rate Design'!$G$10-0.2*K52</f>
        <v>271212.17217799998</v>
      </c>
      <c r="L135" s="431">
        <f>500000*('Rate Design'!$G$5/100)+MIN(5500000,L15-500000)*('Rate Design'!$G$6/100)+MAX(0,L15-6000000)*('Rate Design'!$G$7/100)+'Rate Design'!$G$9+L79*'Rate Design'!$G$10-0.2*L52</f>
        <v>234419.08600400001</v>
      </c>
      <c r="M135" s="431">
        <f>500000*('Rate Design'!$G$5/100)+MIN(5500000,M15-500000)*('Rate Design'!$G$6/100)+MAX(0,M15-6000000)*('Rate Design'!$G$7/100)+'Rate Design'!$G$9+M79*'Rate Design'!$G$10-0.2*M52</f>
        <v>207356.752454</v>
      </c>
      <c r="N135" s="431">
        <f>500000*('Rate Design'!$G$5/100)+MIN(5500000,N15-500000)*('Rate Design'!$G$6/100)+MAX(0,N15-6000000)*('Rate Design'!$G$7/100)+'Rate Design'!$G$9+N79*'Rate Design'!$G$10-0.2*N52</f>
        <v>195911.91572899997</v>
      </c>
      <c r="O135" s="431">
        <f>500000*('Rate Design'!$G$5/100)+MIN(5500000,O15-500000)*('Rate Design'!$G$6/100)+MAX(0,O15-6000000)*('Rate Design'!$G$7/100)+'Rate Design'!$G$9+O79*'Rate Design'!$G$10-0.2*O52</f>
        <v>202815.52020500004</v>
      </c>
      <c r="P135" s="43">
        <f t="shared" si="65"/>
        <v>2664524.1384239998</v>
      </c>
      <c r="T135" s="758">
        <f t="shared" si="66"/>
        <v>0</v>
      </c>
    </row>
    <row r="136" spans="2:20">
      <c r="B136" s="640">
        <f t="shared" si="64"/>
        <v>0</v>
      </c>
      <c r="C136" s="327">
        <v>1900012</v>
      </c>
      <c r="D136" s="431">
        <f>500000*('Rate Design'!$G$5/100)+MIN(5500000,D16-500000)*('Rate Design'!$G$6/100)+MAX(0,D16-6000000)*('Rate Design'!$G$7/100)+'Rate Design'!$G$9+D80*'Rate Design'!$G$10-0.2*D53</f>
        <v>78047.589621000006</v>
      </c>
      <c r="E136" s="431">
        <f>500000*('Rate Design'!$G$5/100)+MIN(5500000,E16-500000)*('Rate Design'!$G$6/100)+MAX(0,E16-6000000)*('Rate Design'!$G$7/100)+'Rate Design'!$G$9+E80*'Rate Design'!$G$10-0.2*E53</f>
        <v>74691.454119000002</v>
      </c>
      <c r="F136" s="431">
        <f>500000*('Rate Design'!$G$5/100)+MIN(5500000,F16-500000)*('Rate Design'!$G$6/100)+MAX(0,F16-6000000)*('Rate Design'!$G$7/100)+'Rate Design'!$G$9+F80*'Rate Design'!$G$10-0.2*F53</f>
        <v>77285.579112000007</v>
      </c>
      <c r="G136" s="431">
        <f>500000*('Rate Design'!$G$5/100)+MIN(5500000,G16-500000)*('Rate Design'!$G$6/100)+MAX(0,G16-6000000)*('Rate Design'!$G$7/100)+'Rate Design'!$G$9+G80*'Rate Design'!$G$10-0.2*G53</f>
        <v>77955.222687000001</v>
      </c>
      <c r="H136" s="431">
        <f>500000*('Rate Design'!$G$5/100)+MIN(5500000,H16-500000)*('Rate Design'!$G$6/100)+MAX(0,H16-6000000)*('Rate Design'!$G$7/100)+'Rate Design'!$G$9+H80*'Rate Design'!$G$10-0.2*H53</f>
        <v>84767.675271</v>
      </c>
      <c r="I136" s="431">
        <f>500000*('Rate Design'!$G$5/100)+MIN(5500000,I16-500000)*('Rate Design'!$G$6/100)+MAX(0,I16-6000000)*('Rate Design'!$G$7/100)+'Rate Design'!$G$9+I80*'Rate Design'!$G$10-0.2*I53</f>
        <v>83980.075266</v>
      </c>
      <c r="J136" s="431">
        <f>500000*('Rate Design'!$G$5/100)+MIN(5500000,J16-500000)*('Rate Design'!$G$6/100)+MAX(0,J16-6000000)*('Rate Design'!$G$7/100)+'Rate Design'!$G$9+J80*'Rate Design'!$G$10-0.2*J53</f>
        <v>88492.040344000008</v>
      </c>
      <c r="K136" s="431">
        <f>500000*('Rate Design'!$G$5/100)+MIN(5500000,K16-500000)*('Rate Design'!$G$6/100)+MAX(0,K16-6000000)*('Rate Design'!$G$7/100)+'Rate Design'!$G$9+K80*'Rate Design'!$G$10-0.2*K53</f>
        <v>89480.000549000004</v>
      </c>
      <c r="L136" s="431">
        <f>500000*('Rate Design'!$G$5/100)+MIN(5500000,L16-500000)*('Rate Design'!$G$6/100)+MAX(0,L16-6000000)*('Rate Design'!$G$7/100)+'Rate Design'!$G$9+L80*'Rate Design'!$G$10-0.2*L53</f>
        <v>82404.255235000004</v>
      </c>
      <c r="M136" s="431">
        <f>500000*('Rate Design'!$G$5/100)+MIN(5500000,M16-500000)*('Rate Design'!$G$6/100)+MAX(0,M16-6000000)*('Rate Design'!$G$7/100)+'Rate Design'!$G$9+M80*'Rate Design'!$G$10-0.2*M53</f>
        <v>77186.606360000005</v>
      </c>
      <c r="N136" s="431">
        <f>500000*('Rate Design'!$G$5/100)+MIN(5500000,N16-500000)*('Rate Design'!$G$6/100)+MAX(0,N16-6000000)*('Rate Design'!$G$7/100)+'Rate Design'!$G$9+N80*'Rate Design'!$G$10-0.2*N53</f>
        <v>75200.420390999992</v>
      </c>
      <c r="O136" s="431">
        <f>500000*('Rate Design'!$G$5/100)+MIN(5500000,O16-500000)*('Rate Design'!$G$6/100)+MAX(0,O16-6000000)*('Rate Design'!$G$7/100)+'Rate Design'!$G$9+O80*'Rate Design'!$G$10-0.2*O53</f>
        <v>77159.109820999991</v>
      </c>
      <c r="P136" s="43">
        <f t="shared" si="65"/>
        <v>966650.02877600002</v>
      </c>
      <c r="T136" s="758">
        <f t="shared" si="66"/>
        <v>0</v>
      </c>
    </row>
    <row r="137" spans="2:20">
      <c r="B137" s="640">
        <f t="shared" si="64"/>
        <v>0</v>
      </c>
      <c r="C137" s="327">
        <v>2400169</v>
      </c>
      <c r="D137" s="431">
        <f>500000*('Rate Design'!$G$5/100)+MIN(5500000,D17-500000)*('Rate Design'!$G$6/100)+MAX(0,D17-6000000)*('Rate Design'!$G$7/100)+'Rate Design'!$G$9+D81*'Rate Design'!$G$10-0.2*D54</f>
        <v>108064.49503999999</v>
      </c>
      <c r="E137" s="431">
        <f>500000*('Rate Design'!$G$5/100)+MIN(5500000,E17-500000)*('Rate Design'!$G$6/100)+MAX(0,E17-6000000)*('Rate Design'!$G$7/100)+'Rate Design'!$G$9+E81*'Rate Design'!$G$10-0.2*E54</f>
        <v>104702.58341599999</v>
      </c>
      <c r="F137" s="431">
        <f>500000*('Rate Design'!$G$5/100)+MIN(5500000,F17-500000)*('Rate Design'!$G$6/100)+MAX(0,F17-6000000)*('Rate Design'!$G$7/100)+'Rate Design'!$G$9+F81*'Rate Design'!$G$10-0.2*F54</f>
        <v>105047.969252</v>
      </c>
      <c r="G137" s="431">
        <f>500000*('Rate Design'!$G$5/100)+MIN(5500000,G17-500000)*('Rate Design'!$G$6/100)+MAX(0,G17-6000000)*('Rate Design'!$G$7/100)+'Rate Design'!$G$9+G81*'Rate Design'!$G$10-0.2*G54</f>
        <v>105060.09973999999</v>
      </c>
      <c r="H137" s="431">
        <f>500000*('Rate Design'!$G$5/100)+MIN(5500000,H17-500000)*('Rate Design'!$G$6/100)+MAX(0,H17-6000000)*('Rate Design'!$G$7/100)+'Rate Design'!$G$9+H81*'Rate Design'!$G$10-0.2*H54</f>
        <v>113408.06896400001</v>
      </c>
      <c r="I137" s="431">
        <f>500000*('Rate Design'!$G$5/100)+MIN(5500000,I17-500000)*('Rate Design'!$G$6/100)+MAX(0,I17-6000000)*('Rate Design'!$G$7/100)+'Rate Design'!$G$9+I81*'Rate Design'!$G$10-0.2*I54</f>
        <v>106643.66538200001</v>
      </c>
      <c r="J137" s="431">
        <f>500000*('Rate Design'!$G$5/100)+MIN(5500000,J17-500000)*('Rate Design'!$G$6/100)+MAX(0,J17-6000000)*('Rate Design'!$G$7/100)+'Rate Design'!$G$9+J81*'Rate Design'!$G$10-0.2*J54</f>
        <v>110113.22285600001</v>
      </c>
      <c r="K137" s="431">
        <f>500000*('Rate Design'!$G$5/100)+MIN(5500000,K17-500000)*('Rate Design'!$G$6/100)+MAX(0,K17-6000000)*('Rate Design'!$G$7/100)+'Rate Design'!$G$9+K81*'Rate Design'!$G$10-0.2*K54</f>
        <v>105633.36134599999</v>
      </c>
      <c r="L137" s="431">
        <f>500000*('Rate Design'!$G$5/100)+MIN(5500000,L17-500000)*('Rate Design'!$G$6/100)+MAX(0,L17-6000000)*('Rate Design'!$G$7/100)+'Rate Design'!$G$9+L81*'Rate Design'!$G$10-0.2*L54</f>
        <v>106260.871316</v>
      </c>
      <c r="M137" s="431">
        <f>500000*('Rate Design'!$G$5/100)+MIN(5500000,M17-500000)*('Rate Design'!$G$6/100)+MAX(0,M17-6000000)*('Rate Design'!$G$7/100)+'Rate Design'!$G$9+M81*'Rate Design'!$G$10-0.2*M54</f>
        <v>110195.12710400001</v>
      </c>
      <c r="N137" s="431">
        <f>500000*('Rate Design'!$G$5/100)+MIN(5500000,N17-500000)*('Rate Design'!$G$6/100)+MAX(0,N17-6000000)*('Rate Design'!$G$7/100)+'Rate Design'!$G$9+N81*'Rate Design'!$G$10-0.2*N54</f>
        <v>99625.671590000013</v>
      </c>
      <c r="O137" s="431">
        <f>500000*('Rate Design'!$G$5/100)+MIN(5500000,O17-500000)*('Rate Design'!$G$6/100)+MAX(0,O17-6000000)*('Rate Design'!$G$7/100)+'Rate Design'!$G$9+O81*'Rate Design'!$G$10-0.2*O54</f>
        <v>101268.857516</v>
      </c>
      <c r="P137" s="43">
        <f t="shared" si="65"/>
        <v>1276023.993522</v>
      </c>
      <c r="T137" s="758">
        <f t="shared" si="66"/>
        <v>0</v>
      </c>
    </row>
    <row r="138" spans="2:20">
      <c r="B138" s="640">
        <f t="shared" si="64"/>
        <v>0</v>
      </c>
      <c r="C138" s="327">
        <v>610018682</v>
      </c>
      <c r="D138" s="431">
        <f>500000*('Rate Design'!$G$5/100)+MIN(5500000,D18-500000)*('Rate Design'!$G$6/100)+MAX(0,D18-6000000)*('Rate Design'!$G$7/100)+'Rate Design'!$G$9+D82*'Rate Design'!$G$10-0.2*D55</f>
        <v>96117.197464000012</v>
      </c>
      <c r="E138" s="431">
        <f>500000*('Rate Design'!$G$5/100)+MIN(5500000,E18-500000)*('Rate Design'!$G$6/100)+MAX(0,E18-6000000)*('Rate Design'!$G$7/100)+'Rate Design'!$G$9+E82*'Rate Design'!$G$10-0.2*E55</f>
        <v>88246.975231999997</v>
      </c>
      <c r="F138" s="431">
        <f>500000*('Rate Design'!$G$5/100)+MIN(5500000,F18-500000)*('Rate Design'!$G$6/100)+MAX(0,F18-6000000)*('Rate Design'!$G$7/100)+'Rate Design'!$G$9+F82*'Rate Design'!$G$10-0.2*F55</f>
        <v>92647.980079999994</v>
      </c>
      <c r="G138" s="431">
        <f>500000*('Rate Design'!$G$5/100)+MIN(5500000,G18-500000)*('Rate Design'!$G$6/100)+MAX(0,G18-6000000)*('Rate Design'!$G$7/100)+'Rate Design'!$G$9+G82*'Rate Design'!$G$10-0.2*G55</f>
        <v>89497.987851999991</v>
      </c>
      <c r="H138" s="431">
        <f>500000*('Rate Design'!$G$5/100)+MIN(5500000,H18-500000)*('Rate Design'!$G$6/100)+MAX(0,H18-6000000)*('Rate Design'!$G$7/100)+'Rate Design'!$G$9+H82*'Rate Design'!$G$10-0.2*H55</f>
        <v>97316.722040000008</v>
      </c>
      <c r="I138" s="431">
        <f>500000*('Rate Design'!$G$5/100)+MIN(5500000,I18-500000)*('Rate Design'!$G$6/100)+MAX(0,I18-6000000)*('Rate Design'!$G$7/100)+'Rate Design'!$G$9+I82*'Rate Design'!$G$10-0.2*I55</f>
        <v>96790.960904000007</v>
      </c>
      <c r="J138" s="431">
        <f>500000*('Rate Design'!$G$5/100)+MIN(5500000,J18-500000)*('Rate Design'!$G$6/100)+MAX(0,J18-6000000)*('Rate Design'!$G$7/100)+'Rate Design'!$G$9+J82*'Rate Design'!$G$10-0.2*J55</f>
        <v>104406.38783599999</v>
      </c>
      <c r="K138" s="431">
        <f>500000*('Rate Design'!$G$5/100)+MIN(5500000,K18-500000)*('Rate Design'!$G$6/100)+MAX(0,K18-6000000)*('Rate Design'!$G$7/100)+'Rate Design'!$G$9+K82*'Rate Design'!$G$10-0.2*K55</f>
        <v>109082.83499599999</v>
      </c>
      <c r="L138" s="431">
        <f>500000*('Rate Design'!$G$5/100)+MIN(5500000,L18-500000)*('Rate Design'!$G$6/100)+MAX(0,L18-6000000)*('Rate Design'!$G$7/100)+'Rate Design'!$G$9+L82*'Rate Design'!$G$10-0.2*L55</f>
        <v>98765.186935999998</v>
      </c>
      <c r="M138" s="431">
        <f>500000*('Rate Design'!$G$5/100)+MIN(5500000,M18-500000)*('Rate Design'!$G$6/100)+MAX(0,M18-6000000)*('Rate Design'!$G$7/100)+'Rate Design'!$G$9+M82*'Rate Design'!$G$10-0.2*M55</f>
        <v>92237.355356000015</v>
      </c>
      <c r="N138" s="431">
        <f>500000*('Rate Design'!$G$5/100)+MIN(5500000,N18-500000)*('Rate Design'!$G$6/100)+MAX(0,N18-6000000)*('Rate Design'!$G$7/100)+'Rate Design'!$G$9+N82*'Rate Design'!$G$10-0.2*N55</f>
        <v>91247.748284000016</v>
      </c>
      <c r="O138" s="431">
        <f>500000*('Rate Design'!$G$5/100)+MIN(5500000,O18-500000)*('Rate Design'!$G$6/100)+MAX(0,O18-6000000)*('Rate Design'!$G$7/100)+'Rate Design'!$G$9+O82*'Rate Design'!$G$10-0.2*O55</f>
        <v>86785.060941999996</v>
      </c>
      <c r="P138" s="43">
        <f t="shared" si="65"/>
        <v>1143142.3979219999</v>
      </c>
      <c r="T138" s="758">
        <f t="shared" si="66"/>
        <v>0</v>
      </c>
    </row>
    <row r="139" spans="2:20">
      <c r="B139" s="640">
        <f t="shared" si="64"/>
        <v>0</v>
      </c>
      <c r="C139" s="327">
        <v>690067830</v>
      </c>
      <c r="D139" s="431">
        <f>500000*('Rate Design'!$G$5/100)+MIN(5500000,D19-500000)*('Rate Design'!$G$6/100)+MAX(0,D19-6000000)*('Rate Design'!$G$7/100)+'Rate Design'!$G$9+D83*'Rate Design'!$G$10-0.2*D56</f>
        <v>170246.07303199999</v>
      </c>
      <c r="E139" s="431">
        <f>500000*('Rate Design'!$G$5/100)+MIN(5500000,E19-500000)*('Rate Design'!$G$6/100)+MAX(0,E19-6000000)*('Rate Design'!$G$7/100)+'Rate Design'!$G$9+E83*'Rate Design'!$G$10-0.2*E56</f>
        <v>153505.51325600001</v>
      </c>
      <c r="F139" s="431">
        <f>500000*('Rate Design'!$G$5/100)+MIN(5500000,F19-500000)*('Rate Design'!$G$6/100)+MAX(0,F19-6000000)*('Rate Design'!$G$7/100)+'Rate Design'!$G$9+F83*'Rate Design'!$G$10-0.2*F56</f>
        <v>164316.24054800003</v>
      </c>
      <c r="G139" s="431">
        <f>500000*('Rate Design'!$G$5/100)+MIN(5500000,G19-500000)*('Rate Design'!$G$6/100)+MAX(0,G19-6000000)*('Rate Design'!$G$7/100)+'Rate Design'!$G$9+G83*'Rate Design'!$G$10-0.2*G56</f>
        <v>146813.87117600002</v>
      </c>
      <c r="H139" s="431">
        <f>500000*('Rate Design'!$G$5/100)+MIN(5500000,H19-500000)*('Rate Design'!$G$6/100)+MAX(0,H19-6000000)*('Rate Design'!$G$7/100)+'Rate Design'!$G$9+H83*'Rate Design'!$G$10-0.2*H56</f>
        <v>138575.07052400001</v>
      </c>
      <c r="I139" s="431">
        <f>500000*('Rate Design'!$G$5/100)+MIN(5500000,I19-500000)*('Rate Design'!$G$6/100)+MAX(0,I19-6000000)*('Rate Design'!$G$7/100)+'Rate Design'!$G$9+I83*'Rate Design'!$G$10-0.2*I56</f>
        <v>141479.79180800004</v>
      </c>
      <c r="J139" s="431">
        <f>500000*('Rate Design'!$G$5/100)+MIN(5500000,J19-500000)*('Rate Design'!$G$6/100)+MAX(0,J19-6000000)*('Rate Design'!$G$7/100)+'Rate Design'!$G$9+J83*'Rate Design'!$G$10-0.2*J56</f>
        <v>145712.080292</v>
      </c>
      <c r="K139" s="431">
        <f>500000*('Rate Design'!$G$5/100)+MIN(5500000,K19-500000)*('Rate Design'!$G$6/100)+MAX(0,K19-6000000)*('Rate Design'!$G$7/100)+'Rate Design'!$G$9+K83*'Rate Design'!$G$10-0.2*K56</f>
        <v>135558.931988</v>
      </c>
      <c r="L139" s="431">
        <f>500000*('Rate Design'!$G$5/100)+MIN(5500000,L19-500000)*('Rate Design'!$G$6/100)+MAX(0,L19-6000000)*('Rate Design'!$G$7/100)+'Rate Design'!$G$9+L83*'Rate Design'!$G$10-0.2*L56</f>
        <v>128376.03045200001</v>
      </c>
      <c r="M139" s="431">
        <f>500000*('Rate Design'!$G$5/100)+MIN(5500000,M19-500000)*('Rate Design'!$G$6/100)+MAX(0,M19-6000000)*('Rate Design'!$G$7/100)+'Rate Design'!$G$9+M83*'Rate Design'!$G$10-0.2*M56</f>
        <v>151925.81855600001</v>
      </c>
      <c r="N139" s="431">
        <f>500000*('Rate Design'!$G$5/100)+MIN(5500000,N19-500000)*('Rate Design'!$G$6/100)+MAX(0,N19-6000000)*('Rate Design'!$G$7/100)+'Rate Design'!$G$9+N83*'Rate Design'!$G$10-0.2*N56</f>
        <v>149696.16384800003</v>
      </c>
      <c r="O139" s="431">
        <f>500000*('Rate Design'!$G$5/100)+MIN(5500000,O19-500000)*('Rate Design'!$G$6/100)+MAX(0,O19-6000000)*('Rate Design'!$G$7/100)+'Rate Design'!$G$9+O83*'Rate Design'!$G$10-0.2*O56</f>
        <v>148927.34026400003</v>
      </c>
      <c r="P139" s="43">
        <f t="shared" si="65"/>
        <v>1775132.9257440001</v>
      </c>
      <c r="T139" s="758">
        <f t="shared" si="66"/>
        <v>0</v>
      </c>
    </row>
    <row r="140" spans="2:20">
      <c r="B140" s="640">
        <f t="shared" si="64"/>
        <v>0</v>
      </c>
      <c r="C140" s="327">
        <v>1300001</v>
      </c>
      <c r="D140" s="431">
        <f>500000*('Rate Design'!$G$5/100)+MIN(5500000,D20-500000)*('Rate Design'!$G$6/100)+MAX(0,D20-6000000)*('Rate Design'!$G$7/100)+'Rate Design'!$G$9+D84*'Rate Design'!$G$10-0.2*D57</f>
        <v>175604.64965600002</v>
      </c>
      <c r="E140" s="431">
        <f>500000*('Rate Design'!$G$5/100)+MIN(5500000,E20-500000)*('Rate Design'!$G$6/100)+MAX(0,E20-6000000)*('Rate Design'!$G$7/100)+'Rate Design'!$G$9+E84*'Rate Design'!$G$10-0.2*E57</f>
        <v>170221.81032799999</v>
      </c>
      <c r="F140" s="431">
        <f>500000*('Rate Design'!$G$5/100)+MIN(5500000,F20-500000)*('Rate Design'!$G$6/100)+MAX(0,F20-6000000)*('Rate Design'!$G$7/100)+'Rate Design'!$G$9+F84*'Rate Design'!$G$10-0.2*F57</f>
        <v>181699.98411200001</v>
      </c>
      <c r="G140" s="431">
        <f>500000*('Rate Design'!$G$5/100)+MIN(5500000,G20-500000)*('Rate Design'!$G$6/100)+MAX(0,G20-6000000)*('Rate Design'!$G$7/100)+'Rate Design'!$G$9+G84*'Rate Design'!$G$10-0.2*G57</f>
        <v>164646.40481599999</v>
      </c>
      <c r="H140" s="431">
        <f>500000*('Rate Design'!$G$5/100)+MIN(5500000,H20-500000)*('Rate Design'!$G$6/100)+MAX(0,H20-6000000)*('Rate Design'!$G$7/100)+'Rate Design'!$G$9+H84*'Rate Design'!$G$10-0.2*H57</f>
        <v>160500.08388800002</v>
      </c>
      <c r="I140" s="431">
        <f>500000*('Rate Design'!$G$5/100)+MIN(5500000,I20-500000)*('Rate Design'!$G$6/100)+MAX(0,I20-6000000)*('Rate Design'!$G$7/100)+'Rate Design'!$G$9+I84*'Rate Design'!$G$10-0.2*I57</f>
        <v>153106.89539600001</v>
      </c>
      <c r="J140" s="431">
        <f>500000*('Rate Design'!$G$5/100)+MIN(5500000,J20-500000)*('Rate Design'!$G$6/100)+MAX(0,J20-6000000)*('Rate Design'!$G$7/100)+'Rate Design'!$G$9+J84*'Rate Design'!$G$10-0.2*J57</f>
        <v>157250.99588</v>
      </c>
      <c r="K140" s="431">
        <f>500000*('Rate Design'!$G$5/100)+MIN(5500000,K20-500000)*('Rate Design'!$G$6/100)+MAX(0,K20-6000000)*('Rate Design'!$G$7/100)+'Rate Design'!$G$9+K84*'Rate Design'!$G$10-0.2*K57</f>
        <v>163907.57998399998</v>
      </c>
      <c r="L140" s="431">
        <f>500000*('Rate Design'!$G$5/100)+MIN(5500000,L20-500000)*('Rate Design'!$G$6/100)+MAX(0,L20-6000000)*('Rate Design'!$G$7/100)+'Rate Design'!$G$9+L84*'Rate Design'!$G$10-0.2*L57</f>
        <v>165908.76438799998</v>
      </c>
      <c r="M140" s="431">
        <f>500000*('Rate Design'!$G$5/100)+MIN(5500000,M20-500000)*('Rate Design'!$G$6/100)+MAX(0,M20-6000000)*('Rate Design'!$G$7/100)+'Rate Design'!$G$9+M84*'Rate Design'!$G$10-0.2*M57</f>
        <v>173455.67850799998</v>
      </c>
      <c r="N140" s="431">
        <f>500000*('Rate Design'!$G$5/100)+MIN(5500000,N20-500000)*('Rate Design'!$G$6/100)+MAX(0,N20-6000000)*('Rate Design'!$G$7/100)+'Rate Design'!$G$9+N84*'Rate Design'!$G$10-0.2*N57</f>
        <v>169375.923476</v>
      </c>
      <c r="O140" s="431">
        <f>500000*('Rate Design'!$G$5/100)+MIN(5500000,O20-500000)*('Rate Design'!$G$6/100)+MAX(0,O20-6000000)*('Rate Design'!$G$7/100)+'Rate Design'!$G$9+O84*'Rate Design'!$G$10-0.2*O57</f>
        <v>173395.18756399999</v>
      </c>
      <c r="P140" s="43">
        <f t="shared" si="65"/>
        <v>2009073.9579960001</v>
      </c>
      <c r="T140" s="758">
        <f t="shared" si="66"/>
        <v>0</v>
      </c>
    </row>
    <row r="141" spans="2:20">
      <c r="B141" s="640">
        <f t="shared" si="64"/>
        <v>0</v>
      </c>
      <c r="C141" s="327">
        <v>290081951</v>
      </c>
      <c r="D141" s="431">
        <f>500000*('Rate Design'!$G$5/100)+MIN(5500000,D21-500000)*('Rate Design'!$G$6/100)+MAX(0,D21-6000000)*('Rate Design'!$G$7/100)+'Rate Design'!$G$9+D85*'Rate Design'!$G$10-0.2*D58</f>
        <v>271550.18191910005</v>
      </c>
      <c r="E141" s="431">
        <f>500000*('Rate Design'!$G$5/100)+MIN(5500000,E21-500000)*('Rate Design'!$G$6/100)+MAX(0,E21-6000000)*('Rate Design'!$G$7/100)+'Rate Design'!$G$9+E85*'Rate Design'!$G$10-0.2*E58</f>
        <v>252814.30592240003</v>
      </c>
      <c r="F141" s="431">
        <f>500000*('Rate Design'!$G$5/100)+MIN(5500000,F21-500000)*('Rate Design'!$G$6/100)+MAX(0,F21-6000000)*('Rate Design'!$G$7/100)+'Rate Design'!$G$9+F85*'Rate Design'!$G$10-0.2*F58</f>
        <v>257128.99460000003</v>
      </c>
      <c r="G141" s="431">
        <f>500000*('Rate Design'!$G$5/100)+MIN(5500000,G21-500000)*('Rate Design'!$G$6/100)+MAX(0,G21-6000000)*('Rate Design'!$G$7/100)+'Rate Design'!$G$9+G85*'Rate Design'!$G$10-0.2*G58</f>
        <v>241205.43055700001</v>
      </c>
      <c r="H141" s="431">
        <f>500000*('Rate Design'!$G$5/100)+MIN(5500000,H21-500000)*('Rate Design'!$G$6/100)+MAX(0,H21-6000000)*('Rate Design'!$G$7/100)+'Rate Design'!$G$9+H85*'Rate Design'!$G$10-0.2*H58</f>
        <v>272689.96576100006</v>
      </c>
      <c r="I141" s="431">
        <f>500000*('Rate Design'!$G$5/100)+MIN(5500000,I21-500000)*('Rate Design'!$G$6/100)+MAX(0,I21-6000000)*('Rate Design'!$G$7/100)+'Rate Design'!$G$9+I85*'Rate Design'!$G$10-0.2*I58</f>
        <v>292698.76199899998</v>
      </c>
      <c r="J141" s="431">
        <f>500000*('Rate Design'!$G$5/100)+MIN(5500000,J21-500000)*('Rate Design'!$G$6/100)+MAX(0,J21-6000000)*('Rate Design'!$G$7/100)+'Rate Design'!$G$9+J85*'Rate Design'!$G$10-0.2*J58</f>
        <v>330767.56375969999</v>
      </c>
      <c r="K141" s="431">
        <f>500000*('Rate Design'!$G$5/100)+MIN(5500000,K21-500000)*('Rate Design'!$G$6/100)+MAX(0,K21-6000000)*('Rate Design'!$G$7/100)+'Rate Design'!$G$9+K85*'Rate Design'!$G$10-0.2*K58</f>
        <v>357858.19143169996</v>
      </c>
      <c r="L141" s="431">
        <f>500000*('Rate Design'!$G$5/100)+MIN(5500000,L21-500000)*('Rate Design'!$G$6/100)+MAX(0,L21-6000000)*('Rate Design'!$G$7/100)+'Rate Design'!$G$9+L85*'Rate Design'!$G$10-0.2*L58</f>
        <v>305244.86048570002</v>
      </c>
      <c r="M141" s="431">
        <f>500000*('Rate Design'!$G$5/100)+MIN(5500000,M21-500000)*('Rate Design'!$G$6/100)+MAX(0,M21-6000000)*('Rate Design'!$G$7/100)+'Rate Design'!$G$9+M85*'Rate Design'!$G$10-0.2*M58</f>
        <v>263496.13567310001</v>
      </c>
      <c r="N141" s="431">
        <f>500000*('Rate Design'!$G$5/100)+MIN(5500000,N21-500000)*('Rate Design'!$G$6/100)+MAX(0,N21-6000000)*('Rate Design'!$G$7/100)+'Rate Design'!$G$9+N85*'Rate Design'!$G$10-0.2*N58</f>
        <v>272948.06050309999</v>
      </c>
      <c r="O141" s="431">
        <f>500000*('Rate Design'!$G$5/100)+MIN(5500000,O21-500000)*('Rate Design'!$G$6/100)+MAX(0,O21-6000000)*('Rate Design'!$G$7/100)+'Rate Design'!$G$9+O85*'Rate Design'!$G$10-0.2*O58</f>
        <v>277930.51733</v>
      </c>
      <c r="P141" s="43">
        <f t="shared" si="65"/>
        <v>3396332.9699418</v>
      </c>
      <c r="T141" s="758">
        <f t="shared" si="66"/>
        <v>0</v>
      </c>
    </row>
    <row r="142" spans="2:20">
      <c r="B142" s="640">
        <f t="shared" si="64"/>
        <v>0</v>
      </c>
      <c r="C142" s="327">
        <v>500033</v>
      </c>
      <c r="D142" s="431">
        <f>500000*('Rate Design'!$G$5/100)+MIN(5500000,D22-500000)*('Rate Design'!$G$6/100)+MAX(0,D22-6000000)*('Rate Design'!$G$7/100)+'Rate Design'!$G$9+D86*'Rate Design'!$G$10-0.2*D59</f>
        <v>221864.31836600002</v>
      </c>
      <c r="E142" s="431">
        <f>500000*('Rate Design'!$G$5/100)+MIN(5500000,E22-500000)*('Rate Design'!$G$6/100)+MAX(0,E22-6000000)*('Rate Design'!$G$7/100)+'Rate Design'!$G$9+E86*'Rate Design'!$G$10-0.2*E59</f>
        <v>208389.46636399999</v>
      </c>
      <c r="F142" s="431">
        <f>500000*('Rate Design'!$G$5/100)+MIN(5500000,F22-500000)*('Rate Design'!$G$6/100)+MAX(0,F22-6000000)*('Rate Design'!$G$7/100)+'Rate Design'!$G$9+F86*'Rate Design'!$G$10-0.2*F59</f>
        <v>210105.02528600002</v>
      </c>
      <c r="G142" s="431">
        <f>500000*('Rate Design'!$G$5/100)+MIN(5500000,G22-500000)*('Rate Design'!$G$6/100)+MAX(0,G22-6000000)*('Rate Design'!$G$7/100)+'Rate Design'!$G$9+G86*'Rate Design'!$G$10-0.2*G59</f>
        <v>199442.58031400002</v>
      </c>
      <c r="H142" s="431">
        <f>500000*('Rate Design'!$G$5/100)+MIN(5500000,H22-500000)*('Rate Design'!$G$6/100)+MAX(0,H22-6000000)*('Rate Design'!$G$7/100)+'Rate Design'!$G$9+H86*'Rate Design'!$G$10-0.2*H59</f>
        <v>191001.88263200002</v>
      </c>
      <c r="I142" s="431">
        <f>500000*('Rate Design'!$G$5/100)+MIN(5500000,I22-500000)*('Rate Design'!$G$6/100)+MAX(0,I22-6000000)*('Rate Design'!$G$7/100)+'Rate Design'!$G$9+I86*'Rate Design'!$G$10-0.2*I59</f>
        <v>182525.49512600002</v>
      </c>
      <c r="J142" s="431">
        <f>500000*('Rate Design'!$G$5/100)+MIN(5500000,J22-500000)*('Rate Design'!$G$6/100)+MAX(0,J22-6000000)*('Rate Design'!$G$7/100)+'Rate Design'!$G$9+J86*'Rate Design'!$G$10-0.2*J59</f>
        <v>186474.92225</v>
      </c>
      <c r="K142" s="431">
        <f>500000*('Rate Design'!$G$5/100)+MIN(5500000,K22-500000)*('Rate Design'!$G$6/100)+MAX(0,K22-6000000)*('Rate Design'!$G$7/100)+'Rate Design'!$G$9+K86*'Rate Design'!$G$10-0.2*K59</f>
        <v>194118.27812153002</v>
      </c>
      <c r="L142" s="431">
        <f>500000*('Rate Design'!$G$5/100)+MIN(5500000,L22-500000)*('Rate Design'!$G$6/100)+MAX(0,L22-6000000)*('Rate Design'!$G$7/100)+'Rate Design'!$G$9+L86*'Rate Design'!$G$10-0.2*L59</f>
        <v>196578.78463400001</v>
      </c>
      <c r="M142" s="431">
        <f>500000*('Rate Design'!$G$5/100)+MIN(5500000,M22-500000)*('Rate Design'!$G$6/100)+MAX(0,M22-6000000)*('Rate Design'!$G$7/100)+'Rate Design'!$G$9+M86*'Rate Design'!$G$10-0.2*M59</f>
        <v>212614.27752200002</v>
      </c>
      <c r="N142" s="431">
        <f>500000*('Rate Design'!$G$5/100)+MIN(5500000,N22-500000)*('Rate Design'!$G$6/100)+MAX(0,N22-6000000)*('Rate Design'!$G$7/100)+'Rate Design'!$G$9+N86*'Rate Design'!$G$10-0.2*N59</f>
        <v>216680.87282000002</v>
      </c>
      <c r="O142" s="431">
        <f>500000*('Rate Design'!$G$5/100)+MIN(5500000,O22-500000)*('Rate Design'!$G$6/100)+MAX(0,O22-6000000)*('Rate Design'!$G$7/100)+'Rate Design'!$G$9+O86*'Rate Design'!$G$10-0.2*O59</f>
        <v>224890.84932800004</v>
      </c>
      <c r="P142" s="43">
        <f t="shared" si="65"/>
        <v>2444686.7527635302</v>
      </c>
      <c r="T142" s="758">
        <f t="shared" si="66"/>
        <v>0</v>
      </c>
    </row>
    <row r="143" spans="2:20">
      <c r="B143" s="640">
        <f t="shared" si="64"/>
        <v>0</v>
      </c>
      <c r="C143" s="327">
        <v>410031282</v>
      </c>
      <c r="D143" s="431">
        <f>500000*('Rate Design'!$G$5/100)+MIN(5500000,D23-500000)*('Rate Design'!$G$6/100)+MAX(0,D23-6000000)*('Rate Design'!$G$7/100)+'Rate Design'!$G$9+D87*'Rate Design'!$G$10</f>
        <v>204423.40848000001</v>
      </c>
      <c r="E143" s="431">
        <f>500000*('Rate Design'!$G$5/100)+MIN(5500000,E23-500000)*('Rate Design'!$G$6/100)+MAX(0,E23-6000000)*('Rate Design'!$G$7/100)+'Rate Design'!$G$9+E87*'Rate Design'!$G$10</f>
        <v>234864.12192000003</v>
      </c>
      <c r="F143" s="431">
        <f>500000*('Rate Design'!$G$5/100)+MIN(5500000,F23-500000)*('Rate Design'!$G$6/100)+MAX(0,F23-6000000)*('Rate Design'!$G$7/100)+'Rate Design'!$G$9+F87*'Rate Design'!$G$10</f>
        <v>206735.02808000002</v>
      </c>
      <c r="G143" s="431">
        <f>500000*('Rate Design'!$G$5/100)+MIN(5500000,G23-500000)*('Rate Design'!$G$6/100)+MAX(0,G23-6000000)*('Rate Design'!$G$7/100)+'Rate Design'!$G$9+G87*'Rate Design'!$G$10</f>
        <v>185182.80186000004</v>
      </c>
      <c r="H143" s="431">
        <f>500000*('Rate Design'!$G$5/100)+MIN(5500000,H23-500000)*('Rate Design'!$G$6/100)+MAX(0,H23-6000000)*('Rate Design'!$G$7/100)+'Rate Design'!$G$9+H87*'Rate Design'!$G$10</f>
        <v>179162.90646</v>
      </c>
      <c r="I143" s="431">
        <f>500000*('Rate Design'!$G$5/100)+MIN(5500000,I23-500000)*('Rate Design'!$G$6/100)+MAX(0,I23-6000000)*('Rate Design'!$G$7/100)+'Rate Design'!$G$9+I87*'Rate Design'!$G$10</f>
        <v>174039.97834000003</v>
      </c>
      <c r="J143" s="431">
        <f>500000*('Rate Design'!$G$5/100)+MIN(5500000,J23-500000)*('Rate Design'!$G$6/100)+MAX(0,J23-6000000)*('Rate Design'!$G$7/100)+'Rate Design'!$G$9+J87*'Rate Design'!$G$10</f>
        <v>172954.74914</v>
      </c>
      <c r="K143" s="431">
        <f>500000*('Rate Design'!$G$5/100)+MIN(5500000,K23-500000)*('Rate Design'!$G$6/100)+MAX(0,K23-6000000)*('Rate Design'!$G$7/100)+'Rate Design'!$G$9+K87*'Rate Design'!$G$10</f>
        <v>177232.20544000002</v>
      </c>
      <c r="L143" s="431">
        <f>500000*('Rate Design'!$G$5/100)+MIN(5500000,L23-500000)*('Rate Design'!$G$6/100)+MAX(0,L23-6000000)*('Rate Design'!$G$7/100)+'Rate Design'!$G$9+L87*'Rate Design'!$G$10</f>
        <v>170339.97864000002</v>
      </c>
      <c r="M143" s="431">
        <f>500000*('Rate Design'!$G$5/100)+MIN(5500000,M23-500000)*('Rate Design'!$G$6/100)+MAX(0,M23-6000000)*('Rate Design'!$G$7/100)+'Rate Design'!$G$9+M87*'Rate Design'!$G$10</f>
        <v>178039.10664000001</v>
      </c>
      <c r="N143" s="431">
        <f>500000*('Rate Design'!$G$5/100)+MIN(5500000,N23-500000)*('Rate Design'!$G$6/100)+MAX(0,N23-6000000)*('Rate Design'!$G$7/100)+'Rate Design'!$G$9+N87*'Rate Design'!$G$10</f>
        <v>178365.01176000002</v>
      </c>
      <c r="O143" s="431">
        <f>500000*('Rate Design'!$G$5/100)+MIN(5500000,O23-500000)*('Rate Design'!$G$6/100)+MAX(0,O23-6000000)*('Rate Design'!$G$7/100)+'Rate Design'!$G$9+O87*'Rate Design'!$G$10</f>
        <v>178419.11000000002</v>
      </c>
      <c r="P143" s="43">
        <f t="shared" si="65"/>
        <v>2239758.4067600002</v>
      </c>
      <c r="T143" s="758">
        <f t="shared" si="66"/>
        <v>0</v>
      </c>
    </row>
    <row r="144" spans="2:20">
      <c r="B144" s="640">
        <f t="shared" si="64"/>
        <v>0</v>
      </c>
      <c r="C144" s="327">
        <v>500032</v>
      </c>
      <c r="D144" s="431">
        <f>500000*('Rate Design'!$G$5/100)+MIN(5500000,D24-500000)*('Rate Design'!$G$6/100)+MAX(0,D24-6000000)*('Rate Design'!$G$7/100)+'Rate Design'!$G$9+D88*'Rate Design'!$G$10</f>
        <v>161266.48097199999</v>
      </c>
      <c r="E144" s="431">
        <f>500000*('Rate Design'!$G$5/100)+MIN(5500000,E24-500000)*('Rate Design'!$G$6/100)+MAX(0,E24-6000000)*('Rate Design'!$G$7/100)+'Rate Design'!$G$9+E88*'Rate Design'!$G$10</f>
        <v>152987.00008800003</v>
      </c>
      <c r="F144" s="431">
        <f>500000*('Rate Design'!$G$5/100)+MIN(5500000,F24-500000)*('Rate Design'!$G$6/100)+MAX(0,F24-6000000)*('Rate Design'!$G$7/100)+'Rate Design'!$G$9+F88*'Rate Design'!$G$10</f>
        <v>156346.98808399998</v>
      </c>
      <c r="G144" s="431">
        <f>500000*('Rate Design'!$G$5/100)+MIN(5500000,G24-500000)*('Rate Design'!$G$6/100)+MAX(0,G24-6000000)*('Rate Design'!$G$7/100)+'Rate Design'!$G$9+G88*'Rate Design'!$G$10</f>
        <v>160564.58096800002</v>
      </c>
      <c r="H144" s="431">
        <f>500000*('Rate Design'!$G$5/100)+MIN(5500000,H24-500000)*('Rate Design'!$G$6/100)+MAX(0,H24-6000000)*('Rate Design'!$G$7/100)+'Rate Design'!$G$9+H88*'Rate Design'!$G$10</f>
        <v>164067.019852</v>
      </c>
      <c r="I144" s="431">
        <f>500000*('Rate Design'!$G$5/100)+MIN(5500000,I24-500000)*('Rate Design'!$G$6/100)+MAX(0,I24-6000000)*('Rate Design'!$G$7/100)+'Rate Design'!$G$9+I88*'Rate Design'!$G$10</f>
        <v>190108.31215600003</v>
      </c>
      <c r="J144" s="431">
        <f>500000*('Rate Design'!$G$5/100)+MIN(5500000,J24-500000)*('Rate Design'!$G$6/100)+MAX(0,J24-6000000)*('Rate Design'!$G$7/100)+'Rate Design'!$G$9+J88*'Rate Design'!$G$10</f>
        <v>210736.98584000001</v>
      </c>
      <c r="K144" s="431">
        <f>500000*('Rate Design'!$G$5/100)+MIN(5500000,K24-500000)*('Rate Design'!$G$6/100)+MAX(0,K24-6000000)*('Rate Design'!$G$7/100)+'Rate Design'!$G$9+K88*'Rate Design'!$G$10</f>
        <v>246808.08200400003</v>
      </c>
      <c r="L144" s="431">
        <f>500000*('Rate Design'!$G$5/100)+MIN(5500000,L24-500000)*('Rate Design'!$G$6/100)+MAX(0,L24-6000000)*('Rate Design'!$G$7/100)+'Rate Design'!$G$9+L88*'Rate Design'!$G$10</f>
        <v>238496.913012</v>
      </c>
      <c r="M144" s="431">
        <f>500000*('Rate Design'!$G$5/100)+MIN(5500000,M24-500000)*('Rate Design'!$G$6/100)+MAX(0,M24-6000000)*('Rate Design'!$G$7/100)+'Rate Design'!$G$9+M88*'Rate Design'!$G$10</f>
        <v>206085.62318</v>
      </c>
      <c r="N144" s="431">
        <f>500000*('Rate Design'!$G$5/100)+MIN(5500000,N24-500000)*('Rate Design'!$G$6/100)+MAX(0,N24-6000000)*('Rate Design'!$G$7/100)+'Rate Design'!$G$9+N88*'Rate Design'!$G$10</f>
        <v>153405.05895199999</v>
      </c>
      <c r="O144" s="431">
        <f>500000*('Rate Design'!$G$5/100)+MIN(5500000,O24-500000)*('Rate Design'!$G$6/100)+MAX(0,O24-6000000)*('Rate Design'!$G$7/100)+'Rate Design'!$G$9+O88*'Rate Design'!$G$10</f>
        <v>146867.55421199999</v>
      </c>
      <c r="P144" s="43">
        <f t="shared" si="65"/>
        <v>2187740.59932</v>
      </c>
      <c r="T144" s="758">
        <f t="shared" si="66"/>
        <v>0</v>
      </c>
    </row>
    <row r="145" spans="1:21" s="748" customFormat="1">
      <c r="B145" s="640">
        <f t="shared" si="64"/>
        <v>0</v>
      </c>
      <c r="C145" s="327"/>
      <c r="D145" s="431">
        <f>500000*('Rate Design'!$G$5/100)+MIN(5500000,D25-500000)*('Rate Design'!$G$6/100)+MAX(0,D25-6000000)*('Rate Design'!$G$7/100)+'Rate Design'!$G$9+D89*'Rate Design'!$G$10</f>
        <v>70862.723671999993</v>
      </c>
      <c r="E145" s="431">
        <f>500000*('Rate Design'!$G$5/100)+MIN(5500000,E25-500000)*('Rate Design'!$G$6/100)+MAX(0,E25-6000000)*('Rate Design'!$G$7/100)+'Rate Design'!$G$9+E89*'Rate Design'!$G$10</f>
        <v>68863.732495999997</v>
      </c>
      <c r="F145" s="431">
        <f>500000*('Rate Design'!$G$5/100)+MIN(5500000,F25-500000)*('Rate Design'!$G$6/100)+MAX(0,F25-6000000)*('Rate Design'!$G$7/100)+'Rate Design'!$G$9+F89*'Rate Design'!$G$10</f>
        <v>68012.490103999997</v>
      </c>
      <c r="G145" s="431">
        <f>500000*('Rate Design'!$G$5/100)+MIN(5500000,G25-500000)*('Rate Design'!$G$6/100)+MAX(0,G25-6000000)*('Rate Design'!$G$7/100)+'Rate Design'!$G$9+G89*'Rate Design'!$G$10</f>
        <v>71064.370208000008</v>
      </c>
      <c r="H145" s="431">
        <f>500000*('Rate Design'!$G$5/100)+MIN(5500000,H25-500000)*('Rate Design'!$G$6/100)+MAX(0,H25-6000000)*('Rate Design'!$G$7/100)+'Rate Design'!$G$9+H89*'Rate Design'!$G$10</f>
        <v>73564.565360000008</v>
      </c>
      <c r="I145" s="431">
        <f>500000*('Rate Design'!$G$5/100)+MIN(5500000,I25-500000)*('Rate Design'!$G$6/100)+MAX(0,I25-6000000)*('Rate Design'!$G$7/100)+'Rate Design'!$G$9+I89*'Rate Design'!$G$10</f>
        <v>71637.967231999995</v>
      </c>
      <c r="J145" s="431">
        <f>500000*('Rate Design'!$G$5/100)+MIN(5500000,J25-500000)*('Rate Design'!$G$6/100)+MAX(0,J25-6000000)*('Rate Design'!$G$7/100)+'Rate Design'!$G$9+J89*'Rate Design'!$G$10</f>
        <v>71366.701327999996</v>
      </c>
      <c r="K145" s="431">
        <f>500000*('Rate Design'!$G$5/100)+MIN(5500000,K25-500000)*('Rate Design'!$G$6/100)+MAX(0,K25-6000000)*('Rate Design'!$G$7/100)+'Rate Design'!$G$9+K89*'Rate Design'!$G$10</f>
        <v>72998.73464000001</v>
      </c>
      <c r="L145" s="431">
        <f>500000*('Rate Design'!$G$5/100)+MIN(5500000,L25-500000)*('Rate Design'!$G$6/100)+MAX(0,L25-6000000)*('Rate Design'!$G$7/100)+'Rate Design'!$G$9+L89*'Rate Design'!$G$10</f>
        <v>72209.62268</v>
      </c>
      <c r="M145" s="431">
        <f>500000*('Rate Design'!$G$5/100)+MIN(5500000,M25-500000)*('Rate Design'!$G$6/100)+MAX(0,M25-6000000)*('Rate Design'!$G$7/100)+'Rate Design'!$G$9+M89*'Rate Design'!$G$10</f>
        <v>189428.981604</v>
      </c>
      <c r="N145" s="431">
        <f>500000*('Rate Design'!$G$5/100)+MIN(5500000,N25-500000)*('Rate Design'!$G$6/100)+MAX(0,N25-6000000)*('Rate Design'!$G$7/100)+'Rate Design'!$G$9+N89*'Rate Design'!$G$10</f>
        <v>205659.53908399999</v>
      </c>
      <c r="O145" s="431">
        <f>500000*('Rate Design'!$G$5/100)+MIN(5500000,O25-500000)*('Rate Design'!$G$6/100)+MAX(0,O25-6000000)*('Rate Design'!$G$7/100)+'Rate Design'!$G$9+O89*'Rate Design'!$G$10</f>
        <v>200233.82457200001</v>
      </c>
      <c r="P145" s="541">
        <f>SUM(D145:O145)</f>
        <v>1235903.2529799999</v>
      </c>
      <c r="T145" s="758">
        <f t="shared" si="66"/>
        <v>0</v>
      </c>
    </row>
    <row r="146" spans="1:21" s="748" customFormat="1">
      <c r="B146" s="640">
        <f t="shared" si="64"/>
        <v>0</v>
      </c>
      <c r="C146" s="327"/>
      <c r="D146" s="431">
        <f>500000*('Rate Design'!$G$5/100)+MIN(5500000,D26-500000)*('Rate Design'!$G$6/100)+MAX(0,D26-6000000)*('Rate Design'!$G$7/100)+'Rate Design'!$G$9+D90*'Rate Design'!$G$10-0.2*D63</f>
        <v>83373.160766000001</v>
      </c>
      <c r="E146" s="431">
        <f>500000*('Rate Design'!$G$5/100)+MIN(5500000,E26-500000)*('Rate Design'!$G$6/100)+MAX(0,E26-6000000)*('Rate Design'!$G$7/100)+'Rate Design'!$G$9+E90*'Rate Design'!$G$10-0.2*E63</f>
        <v>82090.854985999991</v>
      </c>
      <c r="F146" s="431">
        <f>500000*('Rate Design'!$G$5/100)+MIN(5500000,F26-500000)*('Rate Design'!$G$6/100)+MAX(0,F26-6000000)*('Rate Design'!$G$7/100)+'Rate Design'!$G$9+F90*'Rate Design'!$G$10-0.2*F63</f>
        <v>80496.200263999999</v>
      </c>
      <c r="G146" s="431">
        <f>500000*('Rate Design'!$G$5/100)+MIN(5500000,G26-500000)*('Rate Design'!$G$6/100)+MAX(0,G26-6000000)*('Rate Design'!$G$7/100)+'Rate Design'!$G$9+G90*'Rate Design'!$G$10-0.2*G63</f>
        <v>77056.116421999992</v>
      </c>
      <c r="H146" s="431">
        <f>500000*('Rate Design'!$G$5/100)+MIN(5500000,H26-500000)*('Rate Design'!$G$6/100)+MAX(0,H26-6000000)*('Rate Design'!$G$7/100)+'Rate Design'!$G$9+H90*'Rate Design'!$G$10-0.2*H63</f>
        <v>79155.508532000007</v>
      </c>
      <c r="I146" s="431">
        <f>500000*('Rate Design'!$G$5/100)+MIN(5500000,I26-500000)*('Rate Design'!$G$6/100)+MAX(0,I26-6000000)*('Rate Design'!$G$7/100)+'Rate Design'!$G$9+I90*'Rate Design'!$G$10-0.2*I63</f>
        <v>77349.899552000003</v>
      </c>
      <c r="J146" s="431">
        <f>500000*('Rate Design'!$G$5/100)+MIN(5500000,J26-500000)*('Rate Design'!$G$6/100)+MAX(0,J26-6000000)*('Rate Design'!$G$7/100)+'Rate Design'!$G$9+J90*'Rate Design'!$G$10-0.2*J63</f>
        <v>79659.952430000005</v>
      </c>
      <c r="K146" s="431">
        <f>500000*('Rate Design'!$G$5/100)+MIN(5500000,K26-500000)*('Rate Design'!$G$6/100)+MAX(0,K26-6000000)*('Rate Design'!$G$7/100)+'Rate Design'!$G$9+K90*'Rate Design'!$G$10-0.2*K63</f>
        <v>80503.476080000008</v>
      </c>
      <c r="L146" s="431">
        <f>500000*('Rate Design'!$G$5/100)+MIN(5500000,L26-500000)*('Rate Design'!$G$6/100)+MAX(0,L26-6000000)*('Rate Design'!$G$7/100)+'Rate Design'!$G$9+L90*'Rate Design'!$G$10-0.2*L63</f>
        <v>75664.674589999995</v>
      </c>
      <c r="M146" s="431">
        <f>500000*('Rate Design'!$G$5/100)+MIN(5500000,M26-500000)*('Rate Design'!$G$6/100)+MAX(0,M26-6000000)*('Rate Design'!$G$7/100)+'Rate Design'!$G$9+M90*'Rate Design'!$G$10-0.2*M63</f>
        <v>79916.223289999994</v>
      </c>
      <c r="N146" s="431">
        <f>500000*('Rate Design'!$G$5/100)+MIN(5500000,N26-500000)*('Rate Design'!$G$6/100)+MAX(0,N26-6000000)*('Rate Design'!$G$7/100)+'Rate Design'!$G$9+N90*'Rate Design'!$G$10-0.2*N63</f>
        <v>79918.116007999997</v>
      </c>
      <c r="O146" s="431">
        <f>500000*('Rate Design'!$G$5/100)+MIN(5500000,O26-500000)*('Rate Design'!$G$6/100)+MAX(0,O26-6000000)*('Rate Design'!$G$7/100)+'Rate Design'!$G$9+O90*'Rate Design'!$G$10-0.2*O63</f>
        <v>79142.150389999995</v>
      </c>
      <c r="P146" s="541">
        <f>SUM(D146:O146)</f>
        <v>954326.3333099999</v>
      </c>
      <c r="T146" s="758">
        <f t="shared" si="66"/>
        <v>0</v>
      </c>
    </row>
    <row r="147" spans="1:21">
      <c r="B147" t="s">
        <v>365</v>
      </c>
      <c r="P147" s="43">
        <f>SUM(P124:P146)</f>
        <v>69248167.057503954</v>
      </c>
      <c r="Q147" s="541">
        <f ca="1">P147-'Pres &amp; Prop Rev'!G152</f>
        <v>1.039654016494751E-4</v>
      </c>
      <c r="T147">
        <f>SUM(T124:T144)</f>
        <v>0</v>
      </c>
    </row>
    <row r="148" spans="1:21" s="554" customFormat="1">
      <c r="P148" s="541"/>
    </row>
    <row r="149" spans="1:21" s="554" customFormat="1">
      <c r="A149" s="691"/>
      <c r="B149" s="640"/>
      <c r="C149" s="327"/>
      <c r="D149" s="431" t="e">
        <f>500000*('Rate Design'!$G$15/100)+MIN(5500000,#REF!-500000)*('Rate Design'!$G$16/100)+MAX(0,#REF!-6000000)*('Rate Design'!$G$17/100)+'Rate Design'!$G$31+#REF!*'Rate Design'!$G$32</f>
        <v>#REF!</v>
      </c>
      <c r="E149" s="431" t="e">
        <f>500000*('Rate Design'!$G$15/100)+MIN(5500000,#REF!-500000)*('Rate Design'!$G$16/100)+MAX(0,#REF!-6000000)*('Rate Design'!$G$17/100)+'Rate Design'!$G$31+#REF!*'Rate Design'!$G$32</f>
        <v>#REF!</v>
      </c>
      <c r="F149" s="431" t="e">
        <f>500000*('Rate Design'!$G$15/100)+MIN(5500000,#REF!-500000)*('Rate Design'!$G$16/100)+MAX(0,#REF!-6000000)*('Rate Design'!$G$17/100)+'Rate Design'!$G$31+#REF!*'Rate Design'!$G$32</f>
        <v>#REF!</v>
      </c>
      <c r="G149" s="723" t="e">
        <f>500000*('Rate Design'!$G$27/100)+MIN(5500000,#REF!-500000)*('Rate Design'!$G$28/100)+MAX(0,#REF!-6000000)*('Rate Design'!$G$29/100)+'Rate Design'!$G$31+#REF!*'Rate Design'!$G$32</f>
        <v>#REF!</v>
      </c>
      <c r="H149" s="723" t="e">
        <f>500000*('Rate Design'!$G$27/100)+MIN(5500000,#REF!-500000)*('Rate Design'!$G$28/100)+MAX(0,#REF!-6000000)*('Rate Design'!$G$29/100)+'Rate Design'!$G$31+#REF!*'Rate Design'!$G$32</f>
        <v>#REF!</v>
      </c>
      <c r="I149" s="723" t="e">
        <f>500000*('Rate Design'!$G$27/100)+MIN(5500000,#REF!-500000)*('Rate Design'!$G$28/100)+MAX(0,#REF!-6000000)*('Rate Design'!$G$29/100)+'Rate Design'!$G$31+#REF!*'Rate Design'!$G$32</f>
        <v>#REF!</v>
      </c>
      <c r="J149" s="723" t="e">
        <f>500000*('Rate Design'!$G$27/100)+MIN(5500000,#REF!-500000)*('Rate Design'!$G$28/100)+MAX(0,#REF!-6000000)*('Rate Design'!$G$29/100)+'Rate Design'!$G$31+#REF!*'Rate Design'!$G$32</f>
        <v>#REF!</v>
      </c>
      <c r="K149" s="723" t="e">
        <f>500000*('Rate Design'!$G$27/100)+MIN(5500000,#REF!-500000)*('Rate Design'!$G$28/100)+MAX(0,#REF!-6000000)*('Rate Design'!$G$29/100)+'Rate Design'!$G$31+#REF!*'Rate Design'!$G$32</f>
        <v>#REF!</v>
      </c>
      <c r="L149" s="723" t="e">
        <f>500000*('Rate Design'!$G$27/100)+MIN(5500000,#REF!-500000)*('Rate Design'!$G$28/100)+MAX(0,#REF!-6000000)*('Rate Design'!$G$29/100)+'Rate Design'!$G$31+#REF!*'Rate Design'!$G$32</f>
        <v>#REF!</v>
      </c>
      <c r="M149" s="723" t="e">
        <f>500000*('Rate Design'!$G$27/100)+MIN(5500000,#REF!-500000)*('Rate Design'!$G$28/100)+MAX(0,#REF!-6000000)*('Rate Design'!$G$29/100)+'Rate Design'!$G$31+#REF!*'Rate Design'!$G$32</f>
        <v>#REF!</v>
      </c>
      <c r="N149" s="723" t="e">
        <f>500000*('Rate Design'!$G$27/100)+MIN(5500000,#REF!-500000)*('Rate Design'!$G$28/100)+MAX(0,#REF!-6000000)*('Rate Design'!$G$29/100)+'Rate Design'!$G$31+#REF!*'Rate Design'!$G$32</f>
        <v>#REF!</v>
      </c>
      <c r="O149" s="723" t="e">
        <f>500000*('Rate Design'!$G$27/100)+MIN(5500000,#REF!-500000)*('Rate Design'!$G$28/100)+MAX(0,#REF!-6000000)*('Rate Design'!$G$29/100)+'Rate Design'!$G$31+#REF!*'Rate Design'!$G$32</f>
        <v>#REF!</v>
      </c>
      <c r="P149" s="541" t="e">
        <f>SUM(D149:O149)</f>
        <v>#REF!</v>
      </c>
      <c r="Q149" s="691"/>
      <c r="R149" s="691"/>
      <c r="S149" s="691"/>
      <c r="T149" s="691"/>
      <c r="U149" s="691" t="e">
        <f>IF(P149&lt;'Exh 3'!M52,'Exh 3'!M52-P149,0)</f>
        <v>#REF!</v>
      </c>
    </row>
    <row r="150" spans="1:21" s="554" customFormat="1">
      <c r="P150" s="541"/>
    </row>
    <row r="151" spans="1:21">
      <c r="A151" s="539"/>
      <c r="B151" s="539"/>
      <c r="C151" s="539"/>
      <c r="D151" s="539">
        <v>24</v>
      </c>
      <c r="E151" s="539">
        <v>24</v>
      </c>
      <c r="F151" s="539">
        <v>24</v>
      </c>
      <c r="G151" s="539">
        <v>24</v>
      </c>
      <c r="H151" s="539">
        <v>24</v>
      </c>
      <c r="I151" s="539">
        <v>24</v>
      </c>
      <c r="J151" s="539">
        <v>24</v>
      </c>
      <c r="K151" s="539">
        <v>24</v>
      </c>
      <c r="L151" s="539">
        <v>24</v>
      </c>
      <c r="M151" s="539">
        <v>24</v>
      </c>
      <c r="N151" s="539">
        <v>24</v>
      </c>
      <c r="O151" s="539">
        <v>24</v>
      </c>
      <c r="P151" s="599"/>
    </row>
    <row r="152" spans="1:21">
      <c r="A152" s="539"/>
      <c r="B152" s="539"/>
      <c r="C152" s="539"/>
      <c r="D152" s="539">
        <v>31</v>
      </c>
      <c r="E152" s="539">
        <v>30</v>
      </c>
      <c r="F152" s="539">
        <v>31</v>
      </c>
      <c r="G152" s="539">
        <v>31</v>
      </c>
      <c r="H152" s="539">
        <v>28</v>
      </c>
      <c r="I152" s="539">
        <v>31</v>
      </c>
      <c r="J152" s="539">
        <v>30</v>
      </c>
      <c r="K152" s="539">
        <v>31</v>
      </c>
      <c r="L152" s="539">
        <v>30</v>
      </c>
      <c r="M152" s="539">
        <v>31</v>
      </c>
      <c r="N152" s="539">
        <v>31</v>
      </c>
      <c r="O152" s="539">
        <v>30</v>
      </c>
      <c r="P152" s="599">
        <f>SUM(D152:O152)</f>
        <v>365</v>
      </c>
    </row>
    <row r="153" spans="1:21">
      <c r="A153" s="539"/>
      <c r="B153" s="539"/>
      <c r="C153" s="539"/>
      <c r="D153" s="539">
        <f>D151*D152</f>
        <v>744</v>
      </c>
      <c r="E153" s="599">
        <f>E151*E152</f>
        <v>720</v>
      </c>
      <c r="F153" s="599">
        <f t="shared" ref="F153:O153" si="67">F151*F152</f>
        <v>744</v>
      </c>
      <c r="G153" s="599">
        <f t="shared" si="67"/>
        <v>744</v>
      </c>
      <c r="H153" s="599">
        <f t="shared" si="67"/>
        <v>672</v>
      </c>
      <c r="I153" s="599">
        <f t="shared" si="67"/>
        <v>744</v>
      </c>
      <c r="J153" s="599">
        <f t="shared" si="67"/>
        <v>720</v>
      </c>
      <c r="K153" s="599">
        <f t="shared" si="67"/>
        <v>744</v>
      </c>
      <c r="L153" s="599">
        <f t="shared" si="67"/>
        <v>720</v>
      </c>
      <c r="M153" s="599">
        <f t="shared" si="67"/>
        <v>744</v>
      </c>
      <c r="N153" s="599">
        <f t="shared" si="67"/>
        <v>744</v>
      </c>
      <c r="O153" s="599">
        <f t="shared" si="67"/>
        <v>720</v>
      </c>
      <c r="P153" s="539">
        <f>SUM(D153:O153)</f>
        <v>8760</v>
      </c>
    </row>
    <row r="154" spans="1:21">
      <c r="A154" s="539"/>
      <c r="B154" s="542" t="s">
        <v>568</v>
      </c>
      <c r="C154" s="539"/>
      <c r="D154" s="543">
        <f t="shared" ref="D154:O154" si="68">D3</f>
        <v>43466</v>
      </c>
      <c r="E154" s="568">
        <f t="shared" si="68"/>
        <v>43497</v>
      </c>
      <c r="F154" s="568">
        <f t="shared" si="68"/>
        <v>43525</v>
      </c>
      <c r="G154" s="568">
        <f t="shared" si="68"/>
        <v>43556</v>
      </c>
      <c r="H154" s="568">
        <f t="shared" si="68"/>
        <v>43586</v>
      </c>
      <c r="I154" s="568">
        <f t="shared" si="68"/>
        <v>43617</v>
      </c>
      <c r="J154" s="568">
        <f t="shared" si="68"/>
        <v>43647</v>
      </c>
      <c r="K154" s="568">
        <f t="shared" si="68"/>
        <v>43678</v>
      </c>
      <c r="L154" s="568">
        <f t="shared" si="68"/>
        <v>43709</v>
      </c>
      <c r="M154" s="568">
        <f t="shared" si="68"/>
        <v>43739</v>
      </c>
      <c r="N154" s="568">
        <f t="shared" si="68"/>
        <v>43770</v>
      </c>
      <c r="O154" s="568">
        <f t="shared" si="68"/>
        <v>43800</v>
      </c>
      <c r="P154" s="540" t="s">
        <v>569</v>
      </c>
      <c r="Q154" s="539" t="s">
        <v>570</v>
      </c>
    </row>
    <row r="155" spans="1:21">
      <c r="A155" s="539">
        <v>1</v>
      </c>
      <c r="B155" s="639" t="s">
        <v>75</v>
      </c>
      <c r="C155" s="539"/>
      <c r="D155" s="544">
        <f t="shared" ref="D155:O155" si="69">(D4/D$153)/D41</f>
        <v>0.76927986311952845</v>
      </c>
      <c r="E155" s="544">
        <f t="shared" si="69"/>
        <v>0.61869558759467658</v>
      </c>
      <c r="F155" s="544">
        <f t="shared" si="69"/>
        <v>0.71177283823959481</v>
      </c>
      <c r="G155" s="544">
        <f t="shared" si="69"/>
        <v>0.62136563890125085</v>
      </c>
      <c r="H155" s="544">
        <f t="shared" si="69"/>
        <v>0.49535230008870867</v>
      </c>
      <c r="I155" s="544">
        <f t="shared" si="69"/>
        <v>0.76330777753211332</v>
      </c>
      <c r="J155" s="544">
        <f t="shared" si="69"/>
        <v>0.82148898925921121</v>
      </c>
      <c r="K155" s="544">
        <f t="shared" si="69"/>
        <v>0.79878847802172115</v>
      </c>
      <c r="L155" s="544">
        <f t="shared" si="69"/>
        <v>0.83058074333072562</v>
      </c>
      <c r="M155" s="544">
        <f t="shared" si="69"/>
        <v>0.5848321622906848</v>
      </c>
      <c r="N155" s="544">
        <f t="shared" si="69"/>
        <v>0.71744742876267553</v>
      </c>
      <c r="O155" s="544">
        <f t="shared" si="69"/>
        <v>0.69149436487970461</v>
      </c>
      <c r="P155" s="545">
        <f>AVERAGE(D155:O155)</f>
        <v>0.70203384766838284</v>
      </c>
      <c r="Q155" s="545">
        <f t="shared" ref="Q155:Q175" si="70">(P4/8760)/Q41</f>
        <v>0.40112624925569795</v>
      </c>
    </row>
    <row r="156" spans="1:21">
      <c r="A156" s="539">
        <v>2</v>
      </c>
      <c r="B156" s="639" t="s">
        <v>76</v>
      </c>
      <c r="C156" s="539"/>
      <c r="D156" s="544">
        <f t="shared" ref="D156:O156" si="71">(D5/D$153)/D42</f>
        <v>0.60985842013790637</v>
      </c>
      <c r="E156" s="544">
        <f t="shared" si="71"/>
        <v>0.74755764114124479</v>
      </c>
      <c r="F156" s="544">
        <f t="shared" si="71"/>
        <v>0.78201743236280186</v>
      </c>
      <c r="G156" s="544">
        <f t="shared" si="71"/>
        <v>0.78890777810245505</v>
      </c>
      <c r="H156" s="544">
        <f t="shared" si="71"/>
        <v>0.87723634516988358</v>
      </c>
      <c r="I156" s="544">
        <f t="shared" si="71"/>
        <v>0.76252561879734815</v>
      </c>
      <c r="J156" s="544">
        <f t="shared" si="71"/>
        <v>0.78027322424778711</v>
      </c>
      <c r="K156" s="544">
        <f t="shared" si="71"/>
        <v>0.79247988949137427</v>
      </c>
      <c r="L156" s="544">
        <f t="shared" si="71"/>
        <v>0.76573345974201967</v>
      </c>
      <c r="M156" s="544">
        <f t="shared" si="71"/>
        <v>0.78685189106284981</v>
      </c>
      <c r="N156" s="544">
        <f t="shared" si="71"/>
        <v>0.74794944864951485</v>
      </c>
      <c r="O156" s="544">
        <f t="shared" si="71"/>
        <v>0.56569096923265438</v>
      </c>
      <c r="P156" s="545">
        <f t="shared" ref="P156:P175" si="72">AVERAGE(D156:O156)</f>
        <v>0.75059017651148663</v>
      </c>
      <c r="Q156" s="545">
        <f t="shared" si="70"/>
        <v>0.70394782206681572</v>
      </c>
    </row>
    <row r="157" spans="1:21">
      <c r="A157" s="539">
        <v>3</v>
      </c>
      <c r="B157" s="639" t="s">
        <v>77</v>
      </c>
      <c r="C157" s="539"/>
      <c r="D157" s="544">
        <f t="shared" ref="D157:O157" si="73">(D6/D$153)/D43</f>
        <v>0.65319099621036403</v>
      </c>
      <c r="E157" s="544">
        <f t="shared" si="73"/>
        <v>0.63274704252172642</v>
      </c>
      <c r="F157" s="544">
        <f t="shared" si="73"/>
        <v>0.65803031431716674</v>
      </c>
      <c r="G157" s="544">
        <f t="shared" si="73"/>
        <v>0.61668696118693422</v>
      </c>
      <c r="H157" s="544">
        <f t="shared" si="73"/>
        <v>0.72249171059316442</v>
      </c>
      <c r="I157" s="544">
        <f t="shared" si="73"/>
        <v>0.64133291831184669</v>
      </c>
      <c r="J157" s="544">
        <f t="shared" si="73"/>
        <v>0.6700715582119996</v>
      </c>
      <c r="K157" s="544">
        <f t="shared" si="73"/>
        <v>0.58780647295722699</v>
      </c>
      <c r="L157" s="544">
        <f t="shared" si="73"/>
        <v>0.64317714719338903</v>
      </c>
      <c r="M157" s="544">
        <f t="shared" si="73"/>
        <v>0.66361729491790034</v>
      </c>
      <c r="N157" s="544">
        <f t="shared" si="73"/>
        <v>0.60495418057535333</v>
      </c>
      <c r="O157" s="544">
        <f t="shared" si="73"/>
        <v>0.62084170240476244</v>
      </c>
      <c r="P157" s="545">
        <f t="shared" si="72"/>
        <v>0.64291235828348614</v>
      </c>
      <c r="Q157" s="545">
        <f t="shared" si="70"/>
        <v>0.57091383284551012</v>
      </c>
    </row>
    <row r="158" spans="1:21">
      <c r="A158" s="539">
        <v>4</v>
      </c>
      <c r="B158" s="639" t="s">
        <v>78</v>
      </c>
      <c r="C158" s="539"/>
      <c r="D158" s="544">
        <f t="shared" ref="D158:O158" si="74">(D7/D$153)/D44</f>
        <v>0.65507532789535461</v>
      </c>
      <c r="E158" s="544">
        <f t="shared" si="74"/>
        <v>0.64393307443996983</v>
      </c>
      <c r="F158" s="544">
        <f t="shared" si="74"/>
        <v>0.6991014160563116</v>
      </c>
      <c r="G158" s="544">
        <f t="shared" si="74"/>
        <v>0.66575290560029954</v>
      </c>
      <c r="H158" s="544">
        <f t="shared" si="74"/>
        <v>0.75937750247349867</v>
      </c>
      <c r="I158" s="544">
        <f t="shared" si="74"/>
        <v>0.60830648775162699</v>
      </c>
      <c r="J158" s="544">
        <f t="shared" si="74"/>
        <v>0.6801755835680483</v>
      </c>
      <c r="K158" s="544">
        <f t="shared" si="74"/>
        <v>0.64505820803013014</v>
      </c>
      <c r="L158" s="544">
        <f t="shared" si="74"/>
        <v>0.65191530152559207</v>
      </c>
      <c r="M158" s="544">
        <f t="shared" si="74"/>
        <v>0.69063870089293911</v>
      </c>
      <c r="N158" s="544">
        <f t="shared" si="74"/>
        <v>0.64759192205745963</v>
      </c>
      <c r="O158" s="544">
        <f t="shared" si="74"/>
        <v>0.66742899848521331</v>
      </c>
      <c r="P158" s="545">
        <f t="shared" si="72"/>
        <v>0.66786295239803695</v>
      </c>
      <c r="Q158" s="545">
        <f t="shared" si="70"/>
        <v>0.59997093278357783</v>
      </c>
    </row>
    <row r="159" spans="1:21">
      <c r="A159" s="539">
        <v>5</v>
      </c>
      <c r="B159" s="639" t="s">
        <v>79</v>
      </c>
      <c r="C159" s="539"/>
      <c r="D159" s="544">
        <f t="shared" ref="D159:O159" si="75">(D8/D$153)/D45</f>
        <v>0.81760512305083632</v>
      </c>
      <c r="E159" s="544">
        <f t="shared" si="75"/>
        <v>0.75543385378925643</v>
      </c>
      <c r="F159" s="544">
        <f t="shared" si="75"/>
        <v>0.79622247893193232</v>
      </c>
      <c r="G159" s="544">
        <f t="shared" si="75"/>
        <v>0.69949508600575172</v>
      </c>
      <c r="H159" s="544">
        <f t="shared" si="75"/>
        <v>0.81213699207648071</v>
      </c>
      <c r="I159" s="544">
        <f t="shared" si="75"/>
        <v>0.67558171869561556</v>
      </c>
      <c r="J159" s="544">
        <f t="shared" si="75"/>
        <v>0.73394057527466827</v>
      </c>
      <c r="K159" s="544">
        <f t="shared" si="75"/>
        <v>0.75926924794580408</v>
      </c>
      <c r="L159" s="544">
        <f t="shared" si="75"/>
        <v>0.68811154755061632</v>
      </c>
      <c r="M159" s="544">
        <f t="shared" si="75"/>
        <v>0.80838942830969485</v>
      </c>
      <c r="N159" s="544">
        <f t="shared" si="75"/>
        <v>0.76065187115866673</v>
      </c>
      <c r="O159" s="544">
        <f t="shared" si="75"/>
        <v>0.81724490989117471</v>
      </c>
      <c r="P159" s="545">
        <f t="shared" si="72"/>
        <v>0.7603402360567082</v>
      </c>
      <c r="Q159" s="545">
        <f t="shared" si="70"/>
        <v>0.61941091379516822</v>
      </c>
    </row>
    <row r="160" spans="1:21">
      <c r="A160" s="539">
        <v>6</v>
      </c>
      <c r="B160" s="639" t="s">
        <v>80</v>
      </c>
      <c r="C160" s="539"/>
      <c r="D160" s="544">
        <f t="shared" ref="D160:O160" si="76">(D9/D$153)/D46</f>
        <v>0.65989554930995442</v>
      </c>
      <c r="E160" s="544">
        <f t="shared" si="76"/>
        <v>0.72376585408670002</v>
      </c>
      <c r="F160" s="544">
        <f t="shared" si="76"/>
        <v>0.68477520971935046</v>
      </c>
      <c r="G160" s="544">
        <f t="shared" si="76"/>
        <v>0.64526025845942903</v>
      </c>
      <c r="H160" s="544">
        <f t="shared" si="76"/>
        <v>0.56457731505646713</v>
      </c>
      <c r="I160" s="544">
        <f t="shared" si="76"/>
        <v>0.48497288852147835</v>
      </c>
      <c r="J160" s="544">
        <f t="shared" si="76"/>
        <v>0.53164005604261033</v>
      </c>
      <c r="K160" s="544">
        <f t="shared" si="76"/>
        <v>0.50338358097096403</v>
      </c>
      <c r="L160" s="544">
        <f t="shared" si="76"/>
        <v>0.52281273388145677</v>
      </c>
      <c r="M160" s="544">
        <f t="shared" si="76"/>
        <v>0.69888395871986453</v>
      </c>
      <c r="N160" s="544">
        <f t="shared" si="76"/>
        <v>0.64349245895274165</v>
      </c>
      <c r="O160" s="544">
        <f t="shared" si="76"/>
        <v>0.6609756809437809</v>
      </c>
      <c r="P160" s="545">
        <f t="shared" si="72"/>
        <v>0.61036962872206646</v>
      </c>
      <c r="Q160" s="545">
        <f t="shared" si="70"/>
        <v>0.51574640859097787</v>
      </c>
    </row>
    <row r="161" spans="1:17">
      <c r="A161" s="539">
        <v>7</v>
      </c>
      <c r="B161" s="639" t="s">
        <v>81</v>
      </c>
      <c r="C161" s="539"/>
      <c r="D161" s="544">
        <f t="shared" ref="D161:O161" si="77">(D10/D$153)/D47</f>
        <v>0.58219131107702227</v>
      </c>
      <c r="E161" s="544">
        <f t="shared" si="77"/>
        <v>0.53435090798503038</v>
      </c>
      <c r="F161" s="544">
        <f t="shared" si="77"/>
        <v>0.57619491488666685</v>
      </c>
      <c r="G161" s="544">
        <f t="shared" si="77"/>
        <v>0.54094033975482059</v>
      </c>
      <c r="H161" s="544">
        <f t="shared" si="77"/>
        <v>0.62664631636146717</v>
      </c>
      <c r="I161" s="544">
        <f t="shared" si="77"/>
        <v>0.53581243400115275</v>
      </c>
      <c r="J161" s="544">
        <f t="shared" si="77"/>
        <v>0.56634809629923111</v>
      </c>
      <c r="K161" s="544">
        <f t="shared" si="77"/>
        <v>0.55003423132197926</v>
      </c>
      <c r="L161" s="544">
        <f t="shared" si="77"/>
        <v>0.54270541409763773</v>
      </c>
      <c r="M161" s="544">
        <f t="shared" si="77"/>
        <v>0.55275768716862306</v>
      </c>
      <c r="N161" s="544">
        <f t="shared" si="77"/>
        <v>0.54690628138987063</v>
      </c>
      <c r="O161" s="544">
        <f t="shared" si="77"/>
        <v>0.55695114114958788</v>
      </c>
      <c r="P161" s="545">
        <f t="shared" si="72"/>
        <v>0.55931992295775745</v>
      </c>
      <c r="Q161" s="545">
        <f t="shared" si="70"/>
        <v>0.48994134761295777</v>
      </c>
    </row>
    <row r="162" spans="1:17">
      <c r="A162" s="539">
        <v>8</v>
      </c>
      <c r="B162" s="639" t="s">
        <v>94</v>
      </c>
      <c r="C162" s="539"/>
      <c r="D162" s="544">
        <f t="shared" ref="D162:O162" si="78">(D11/D$153)/D48</f>
        <v>0.32945648205827727</v>
      </c>
      <c r="E162" s="544">
        <f t="shared" si="78"/>
        <v>0.30927803051723074</v>
      </c>
      <c r="F162" s="544">
        <f t="shared" si="78"/>
        <v>0.34017264678460607</v>
      </c>
      <c r="G162" s="544">
        <f t="shared" si="78"/>
        <v>0.3343055622813022</v>
      </c>
      <c r="H162" s="544">
        <f t="shared" si="78"/>
        <v>0.38916884067810925</v>
      </c>
      <c r="I162" s="544">
        <f t="shared" si="78"/>
        <v>0.34753162053998155</v>
      </c>
      <c r="J162" s="544">
        <f t="shared" si="78"/>
        <v>0.36243978517714059</v>
      </c>
      <c r="K162" s="544">
        <f t="shared" si="78"/>
        <v>0.35943902736330158</v>
      </c>
      <c r="L162" s="544">
        <f t="shared" si="78"/>
        <v>0.33104400927909827</v>
      </c>
      <c r="M162" s="544">
        <f t="shared" si="78"/>
        <v>0.35877863454160486</v>
      </c>
      <c r="N162" s="544">
        <f t="shared" si="78"/>
        <v>0.30845237787259394</v>
      </c>
      <c r="O162" s="544">
        <f t="shared" si="78"/>
        <v>0.32903756318995747</v>
      </c>
      <c r="P162" s="545">
        <f t="shared" si="72"/>
        <v>0.34159204835693369</v>
      </c>
      <c r="Q162" s="545">
        <f t="shared" si="70"/>
        <v>0.33415687559752394</v>
      </c>
    </row>
    <row r="163" spans="1:17">
      <c r="A163" s="539">
        <v>9</v>
      </c>
      <c r="B163" s="639" t="s">
        <v>345</v>
      </c>
      <c r="C163" s="539"/>
      <c r="D163" s="544">
        <f t="shared" ref="D163:O163" si="79">(D12/D$153)/D49</f>
        <v>0.85301681769784743</v>
      </c>
      <c r="E163" s="544">
        <f t="shared" si="79"/>
        <v>0.83240912039034021</v>
      </c>
      <c r="F163" s="544">
        <f t="shared" si="79"/>
        <v>0.78081391858506499</v>
      </c>
      <c r="G163" s="544">
        <f t="shared" si="79"/>
        <v>0.75917810298780275</v>
      </c>
      <c r="H163" s="544">
        <f t="shared" si="79"/>
        <v>0.96533702692677925</v>
      </c>
      <c r="I163" s="544">
        <f t="shared" si="79"/>
        <v>0.8422406686351529</v>
      </c>
      <c r="J163" s="544">
        <f t="shared" si="79"/>
        <v>0.91858521031613216</v>
      </c>
      <c r="K163" s="544">
        <f t="shared" si="79"/>
        <v>0.86742616606245271</v>
      </c>
      <c r="L163" s="544">
        <f t="shared" si="79"/>
        <v>0.88893055585482106</v>
      </c>
      <c r="M163" s="544">
        <f t="shared" si="79"/>
        <v>0.89035729276664721</v>
      </c>
      <c r="N163" s="544">
        <f t="shared" si="79"/>
        <v>0.73060809644374869</v>
      </c>
      <c r="O163" s="544">
        <f t="shared" si="79"/>
        <v>0.9007835028296981</v>
      </c>
      <c r="P163" s="545">
        <f t="shared" si="72"/>
        <v>0.85247387329137403</v>
      </c>
      <c r="Q163" s="545">
        <f t="shared" si="70"/>
        <v>0.81885609951976868</v>
      </c>
    </row>
    <row r="164" spans="1:17">
      <c r="A164" s="539">
        <v>10</v>
      </c>
      <c r="B164" s="639" t="s">
        <v>82</v>
      </c>
      <c r="C164" s="539"/>
      <c r="D164" s="544">
        <f t="shared" ref="D164:O164" si="80">(D13/D$153)/D50</f>
        <v>0.76810646538303773</v>
      </c>
      <c r="E164" s="544">
        <f t="shared" si="80"/>
        <v>0.6930478531678429</v>
      </c>
      <c r="F164" s="544">
        <f t="shared" si="80"/>
        <v>0.85903019594358432</v>
      </c>
      <c r="G164" s="544">
        <f t="shared" si="80"/>
        <v>0.65939929740699554</v>
      </c>
      <c r="H164" s="544">
        <f t="shared" si="80"/>
        <v>0.97667985807649471</v>
      </c>
      <c r="I164" s="544">
        <f t="shared" si="80"/>
        <v>0.85126990919648482</v>
      </c>
      <c r="J164" s="544">
        <f t="shared" si="80"/>
        <v>0.91532276625049369</v>
      </c>
      <c r="K164" s="544">
        <f t="shared" si="80"/>
        <v>0.88551015315991788</v>
      </c>
      <c r="L164" s="544">
        <f t="shared" si="80"/>
        <v>0.89141311699488845</v>
      </c>
      <c r="M164" s="544">
        <f t="shared" si="80"/>
        <v>0.85696121821042215</v>
      </c>
      <c r="N164" s="544">
        <f t="shared" si="80"/>
        <v>0.78594128292580112</v>
      </c>
      <c r="O164" s="544">
        <f t="shared" si="80"/>
        <v>0.80110282849492198</v>
      </c>
      <c r="P164" s="545">
        <f t="shared" si="72"/>
        <v>0.8286487454342405</v>
      </c>
      <c r="Q164" s="545">
        <f t="shared" si="70"/>
        <v>0.73897784331647065</v>
      </c>
    </row>
    <row r="165" spans="1:17">
      <c r="A165" s="539">
        <v>11</v>
      </c>
      <c r="B165" s="639" t="s">
        <v>83</v>
      </c>
      <c r="C165" s="539"/>
      <c r="D165" s="544">
        <f t="shared" ref="D165:O165" si="81">(D14/D$153)/D51</f>
        <v>0.89513102694513214</v>
      </c>
      <c r="E165" s="544">
        <f t="shared" si="81"/>
        <v>0.75727210234027553</v>
      </c>
      <c r="F165" s="544">
        <f t="shared" si="81"/>
        <v>0.83200401823455183</v>
      </c>
      <c r="G165" s="544">
        <f t="shared" si="81"/>
        <v>0.48961414935324399</v>
      </c>
      <c r="H165" s="544">
        <f t="shared" si="81"/>
        <v>0.92439660374375776</v>
      </c>
      <c r="I165" s="544">
        <f t="shared" si="81"/>
        <v>0.78114342720112762</v>
      </c>
      <c r="J165" s="544">
        <f t="shared" si="81"/>
        <v>0.85774331585775221</v>
      </c>
      <c r="K165" s="544">
        <f t="shared" si="81"/>
        <v>0.83009661311757688</v>
      </c>
      <c r="L165" s="544">
        <f t="shared" si="81"/>
        <v>0.7971982281003861</v>
      </c>
      <c r="M165" s="544">
        <f t="shared" si="81"/>
        <v>0.79766823834191225</v>
      </c>
      <c r="N165" s="544">
        <f t="shared" si="81"/>
        <v>0.49195564254912361</v>
      </c>
      <c r="O165" s="544">
        <f t="shared" si="81"/>
        <v>0.73188176774363578</v>
      </c>
      <c r="P165" s="545">
        <f t="shared" si="72"/>
        <v>0.76550876112737309</v>
      </c>
      <c r="Q165" s="545">
        <f t="shared" si="70"/>
        <v>0.72417306056462349</v>
      </c>
    </row>
    <row r="166" spans="1:17">
      <c r="A166" s="539">
        <v>12</v>
      </c>
      <c r="B166" s="639" t="s">
        <v>84</v>
      </c>
      <c r="C166" s="539"/>
      <c r="D166" s="544">
        <f t="shared" ref="D166:O166" si="82">(D15/D$153)/D52</f>
        <v>0.8488871193699753</v>
      </c>
      <c r="E166" s="544">
        <f t="shared" si="82"/>
        <v>0.80752879037232672</v>
      </c>
      <c r="F166" s="544">
        <f t="shared" si="82"/>
        <v>0.75733767692177467</v>
      </c>
      <c r="G166" s="544">
        <f t="shared" si="82"/>
        <v>0.700990586889498</v>
      </c>
      <c r="H166" s="544">
        <f t="shared" si="82"/>
        <v>0.81559445784418538</v>
      </c>
      <c r="I166" s="544">
        <f t="shared" si="82"/>
        <v>0.7038913458012781</v>
      </c>
      <c r="J166" s="544">
        <f t="shared" si="82"/>
        <v>0.77658274904115709</v>
      </c>
      <c r="K166" s="544">
        <f t="shared" si="82"/>
        <v>0.76024585361172325</v>
      </c>
      <c r="L166" s="544">
        <f t="shared" si="82"/>
        <v>0.71734088381395278</v>
      </c>
      <c r="M166" s="544">
        <f t="shared" si="82"/>
        <v>0.74268983495302587</v>
      </c>
      <c r="N166" s="544">
        <f t="shared" si="82"/>
        <v>0.81887336342701811</v>
      </c>
      <c r="O166" s="544">
        <f t="shared" si="82"/>
        <v>0.87381017521406112</v>
      </c>
      <c r="P166" s="545">
        <f t="shared" si="72"/>
        <v>0.77698106977166459</v>
      </c>
      <c r="Q166" s="545">
        <f t="shared" si="70"/>
        <v>0.6291568184803753</v>
      </c>
    </row>
    <row r="167" spans="1:17">
      <c r="A167" s="539">
        <v>13</v>
      </c>
      <c r="B167" s="639" t="s">
        <v>85</v>
      </c>
      <c r="C167" s="539"/>
      <c r="D167" s="544">
        <f t="shared" ref="D167:O167" si="83">(D16/D$153)/D53</f>
        <v>0.67800568289813834</v>
      </c>
      <c r="E167" s="544">
        <f t="shared" si="83"/>
        <v>0.64603984406566739</v>
      </c>
      <c r="F167" s="544">
        <f t="shared" si="83"/>
        <v>0.67954519486659937</v>
      </c>
      <c r="G167" s="544">
        <f t="shared" si="83"/>
        <v>0.5817490201617479</v>
      </c>
      <c r="H167" s="544">
        <f t="shared" si="83"/>
        <v>0.6646109270286501</v>
      </c>
      <c r="I167" s="544">
        <f t="shared" si="83"/>
        <v>0.5678102199632995</v>
      </c>
      <c r="J167" s="544">
        <f t="shared" si="83"/>
        <v>0.60935907959712832</v>
      </c>
      <c r="K167" s="544">
        <f t="shared" si="83"/>
        <v>0.58989626306497578</v>
      </c>
      <c r="L167" s="544">
        <f t="shared" si="83"/>
        <v>0.57307663553409194</v>
      </c>
      <c r="M167" s="544">
        <f t="shared" si="83"/>
        <v>0.59971057747740875</v>
      </c>
      <c r="N167" s="544">
        <f t="shared" si="83"/>
        <v>0.66100179633114331</v>
      </c>
      <c r="O167" s="544">
        <f t="shared" si="83"/>
        <v>0.69837357949732659</v>
      </c>
      <c r="P167" s="545">
        <f t="shared" si="72"/>
        <v>0.62909823504051487</v>
      </c>
      <c r="Q167" s="545">
        <f t="shared" si="70"/>
        <v>0.50533779006260837</v>
      </c>
    </row>
    <row r="168" spans="1:17">
      <c r="A168" s="539">
        <v>14</v>
      </c>
      <c r="B168" s="639" t="s">
        <v>86</v>
      </c>
      <c r="C168" s="539"/>
      <c r="D168" s="544">
        <f t="shared" ref="D168:O168" si="84">(D17/D$153)/D54</f>
        <v>0.2365062522931686</v>
      </c>
      <c r="E168" s="544">
        <f t="shared" si="84"/>
        <v>0.22293287308252466</v>
      </c>
      <c r="F168" s="544">
        <f t="shared" si="84"/>
        <v>0.22210171816410404</v>
      </c>
      <c r="G168" s="544">
        <f t="shared" si="84"/>
        <v>0.23060570885672824</v>
      </c>
      <c r="H168" s="544">
        <f t="shared" si="84"/>
        <v>0.24997168414646512</v>
      </c>
      <c r="I168" s="544">
        <f t="shared" si="84"/>
        <v>0.20824977519251017</v>
      </c>
      <c r="J168" s="544">
        <f t="shared" si="84"/>
        <v>0.22475227502527803</v>
      </c>
      <c r="K168" s="544">
        <f t="shared" si="84"/>
        <v>0.20708910370522057</v>
      </c>
      <c r="L168" s="544">
        <f t="shared" si="84"/>
        <v>0.20623173697780342</v>
      </c>
      <c r="M168" s="544">
        <f t="shared" si="84"/>
        <v>0.22223535476313899</v>
      </c>
      <c r="N168" s="544">
        <f t="shared" si="84"/>
        <v>0.16614500885567102</v>
      </c>
      <c r="O168" s="544">
        <f t="shared" si="84"/>
        <v>0.19915401621593654</v>
      </c>
      <c r="P168" s="545">
        <f t="shared" si="72"/>
        <v>0.21633129227321243</v>
      </c>
      <c r="Q168" s="545">
        <f t="shared" si="70"/>
        <v>0.20719848238663507</v>
      </c>
    </row>
    <row r="169" spans="1:17">
      <c r="A169" s="539">
        <v>15</v>
      </c>
      <c r="B169" s="639" t="s">
        <v>87</v>
      </c>
      <c r="C169" s="539"/>
      <c r="D169" s="544">
        <f t="shared" ref="D169:O169" si="85">(D18/D$153)/D55</f>
        <v>0.58459670219793425</v>
      </c>
      <c r="E169" s="544">
        <f t="shared" si="85"/>
        <v>0.52880759250185994</v>
      </c>
      <c r="F169" s="544">
        <f t="shared" si="85"/>
        <v>0.55394403829513161</v>
      </c>
      <c r="G169" s="544">
        <f t="shared" si="85"/>
        <v>0.53144118176043487</v>
      </c>
      <c r="H169" s="544">
        <f t="shared" si="85"/>
        <v>0.53917235448835421</v>
      </c>
      <c r="I169" s="544">
        <f t="shared" si="85"/>
        <v>0.50571514373878124</v>
      </c>
      <c r="J169" s="544">
        <f t="shared" si="85"/>
        <v>0.53911348151288929</v>
      </c>
      <c r="K169" s="544">
        <f t="shared" si="85"/>
        <v>0.52454593680570094</v>
      </c>
      <c r="L169" s="544">
        <f t="shared" si="85"/>
        <v>0.45731187602524342</v>
      </c>
      <c r="M169" s="544">
        <f t="shared" si="85"/>
        <v>0.50577355783538391</v>
      </c>
      <c r="N169" s="544">
        <f t="shared" si="85"/>
        <v>0.54383676107643053</v>
      </c>
      <c r="O169" s="544">
        <f t="shared" si="85"/>
        <v>0.52169849955386494</v>
      </c>
      <c r="P169" s="545">
        <f t="shared" si="72"/>
        <v>0.52799642714933415</v>
      </c>
      <c r="Q169" s="545">
        <f t="shared" si="70"/>
        <v>0.45333781381932858</v>
      </c>
    </row>
    <row r="170" spans="1:17">
      <c r="A170" s="539">
        <v>16</v>
      </c>
      <c r="B170" s="639" t="s">
        <v>88</v>
      </c>
      <c r="C170" s="539"/>
      <c r="D170" s="544">
        <f t="shared" ref="D170:O170" si="86">(D19/D$153)/D56</f>
        <v>0.65308595483920662</v>
      </c>
      <c r="E170" s="544">
        <f t="shared" si="86"/>
        <v>0.62196162391256116</v>
      </c>
      <c r="F170" s="544">
        <f t="shared" si="86"/>
        <v>0.63559356554900326</v>
      </c>
      <c r="G170" s="544">
        <f t="shared" si="86"/>
        <v>0.59388781870418528</v>
      </c>
      <c r="H170" s="544">
        <f t="shared" si="86"/>
        <v>0.60488905299380402</v>
      </c>
      <c r="I170" s="544">
        <f t="shared" si="86"/>
        <v>0.60140264073043792</v>
      </c>
      <c r="J170" s="544">
        <f t="shared" si="86"/>
        <v>0.64255730817660661</v>
      </c>
      <c r="K170" s="544">
        <f t="shared" si="86"/>
        <v>0.59372464238024691</v>
      </c>
      <c r="L170" s="544">
        <f t="shared" si="86"/>
        <v>0.54338587575426422</v>
      </c>
      <c r="M170" s="544">
        <f t="shared" si="86"/>
        <v>0.64700022538485868</v>
      </c>
      <c r="N170" s="544">
        <f t="shared" si="86"/>
        <v>0.61262171124408882</v>
      </c>
      <c r="O170" s="544">
        <f t="shared" si="86"/>
        <v>0.64331061218011221</v>
      </c>
      <c r="P170" s="545">
        <f t="shared" si="72"/>
        <v>0.61611841932078137</v>
      </c>
      <c r="Q170" s="545">
        <f t="shared" si="70"/>
        <v>0.56261788072799657</v>
      </c>
    </row>
    <row r="171" spans="1:17">
      <c r="A171" s="539">
        <v>17</v>
      </c>
      <c r="B171" s="639" t="s">
        <v>89</v>
      </c>
      <c r="C171" s="539"/>
      <c r="D171" s="544">
        <f t="shared" ref="D171:O171" si="87">(D20/D$153)/D57</f>
        <v>0.77107352339238411</v>
      </c>
      <c r="E171" s="544">
        <f t="shared" si="87"/>
        <v>0.75999355839477689</v>
      </c>
      <c r="F171" s="544">
        <f t="shared" si="87"/>
        <v>0.76074674763882644</v>
      </c>
      <c r="G171" s="544">
        <f t="shared" si="87"/>
        <v>0.77257455781597695</v>
      </c>
      <c r="H171" s="544">
        <f t="shared" si="87"/>
        <v>0.84942356434313571</v>
      </c>
      <c r="I171" s="544">
        <f t="shared" si="87"/>
        <v>0.75483725407596791</v>
      </c>
      <c r="J171" s="544">
        <f t="shared" si="87"/>
        <v>0.79988443396032838</v>
      </c>
      <c r="K171" s="544">
        <f t="shared" si="87"/>
        <v>0.78063409516394189</v>
      </c>
      <c r="L171" s="544">
        <f t="shared" si="87"/>
        <v>0.73237754272512523</v>
      </c>
      <c r="M171" s="544">
        <f t="shared" si="87"/>
        <v>0.77214911333645952</v>
      </c>
      <c r="N171" s="544">
        <f t="shared" si="87"/>
        <v>0.76240833553646792</v>
      </c>
      <c r="O171" s="544">
        <f t="shared" si="87"/>
        <v>0.80424322823338279</v>
      </c>
      <c r="P171" s="545">
        <f t="shared" si="72"/>
        <v>0.77669549621806444</v>
      </c>
      <c r="Q171" s="545">
        <f t="shared" si="70"/>
        <v>0.71150502047755382</v>
      </c>
    </row>
    <row r="172" spans="1:17">
      <c r="A172" s="539">
        <v>18</v>
      </c>
      <c r="B172" s="639" t="s">
        <v>90</v>
      </c>
      <c r="C172" s="539"/>
      <c r="D172" s="544">
        <f t="shared" ref="D172:O172" si="88">(D21/D$153)/D58</f>
        <v>0.7241563335321255</v>
      </c>
      <c r="E172" s="544">
        <f t="shared" si="88"/>
        <v>0.70880041957649187</v>
      </c>
      <c r="F172" s="544">
        <f t="shared" si="88"/>
        <v>0.76116277746300587</v>
      </c>
      <c r="G172" s="544">
        <f t="shared" si="88"/>
        <v>0.62505080227090071</v>
      </c>
      <c r="H172" s="544">
        <f t="shared" si="88"/>
        <v>0.71262073254937841</v>
      </c>
      <c r="I172" s="544">
        <f t="shared" si="88"/>
        <v>0.57276266663766962</v>
      </c>
      <c r="J172" s="544">
        <f t="shared" si="88"/>
        <v>0.61106497623727418</v>
      </c>
      <c r="K172" s="544">
        <f t="shared" si="88"/>
        <v>0.61688433876532667</v>
      </c>
      <c r="L172" s="544">
        <f t="shared" si="88"/>
        <v>0.54345251857998367</v>
      </c>
      <c r="M172" s="544">
        <f t="shared" si="88"/>
        <v>0.72887820096351352</v>
      </c>
      <c r="N172" s="544">
        <f t="shared" si="88"/>
        <v>0.70787556321850598</v>
      </c>
      <c r="O172" s="544">
        <f t="shared" si="88"/>
        <v>0.76089331243186753</v>
      </c>
      <c r="P172" s="545">
        <f t="shared" si="72"/>
        <v>0.67280022018550367</v>
      </c>
      <c r="Q172" s="545">
        <f t="shared" si="70"/>
        <v>0.50062058155375211</v>
      </c>
    </row>
    <row r="173" spans="1:17">
      <c r="A173" s="539">
        <v>19</v>
      </c>
      <c r="B173" s="639" t="s">
        <v>91</v>
      </c>
      <c r="C173" s="539"/>
      <c r="D173" s="544">
        <f t="shared" ref="D173:O173" si="89">(D22/D$153)/D59</f>
        <v>0.75728784191804588</v>
      </c>
      <c r="E173" s="544">
        <f t="shared" si="89"/>
        <v>0.73438197009467876</v>
      </c>
      <c r="F173" s="544">
        <f t="shared" si="89"/>
        <v>0.7846158014795398</v>
      </c>
      <c r="G173" s="544">
        <f t="shared" si="89"/>
        <v>0.73074443886113116</v>
      </c>
      <c r="H173" s="544">
        <f t="shared" si="89"/>
        <v>0.90768591434245083</v>
      </c>
      <c r="I173" s="544">
        <f t="shared" si="89"/>
        <v>0.77405132208509697</v>
      </c>
      <c r="J173" s="544">
        <f t="shared" si="89"/>
        <v>0.84423315693241308</v>
      </c>
      <c r="K173" s="544">
        <f t="shared" si="89"/>
        <v>0.73286332523530662</v>
      </c>
      <c r="L173" s="544">
        <f t="shared" si="89"/>
        <v>0.77427802707953863</v>
      </c>
      <c r="M173" s="544">
        <f t="shared" si="89"/>
        <v>0.75560296219628897</v>
      </c>
      <c r="N173" s="544">
        <f t="shared" si="89"/>
        <v>0.75465118502267159</v>
      </c>
      <c r="O173" s="544">
        <f t="shared" si="89"/>
        <v>0.79746702774307165</v>
      </c>
      <c r="P173" s="545">
        <f t="shared" si="72"/>
        <v>0.77898858108251945</v>
      </c>
      <c r="Q173" s="545">
        <f t="shared" si="70"/>
        <v>0.70708398756709501</v>
      </c>
    </row>
    <row r="174" spans="1:17">
      <c r="A174" s="539">
        <v>20</v>
      </c>
      <c r="B174" s="639" t="s">
        <v>92</v>
      </c>
      <c r="C174" s="539"/>
      <c r="D174" s="544">
        <f t="shared" ref="D174:O174" si="90">(D23/D$153)/D60</f>
        <v>0.73389155353172864</v>
      </c>
      <c r="E174" s="544">
        <f t="shared" si="90"/>
        <v>0.44051170367868697</v>
      </c>
      <c r="F174" s="544">
        <f t="shared" si="90"/>
        <v>0.71851656611260573</v>
      </c>
      <c r="G174" s="544">
        <f t="shared" si="90"/>
        <v>0.71557872352512064</v>
      </c>
      <c r="H174" s="544">
        <f t="shared" si="90"/>
        <v>0.78752513801985713</v>
      </c>
      <c r="I174" s="544">
        <f t="shared" si="90"/>
        <v>0.70752066426615234</v>
      </c>
      <c r="J174" s="544">
        <f t="shared" si="90"/>
        <v>0.76015890819197895</v>
      </c>
      <c r="K174" s="544">
        <f t="shared" si="90"/>
        <v>0.71713565137524438</v>
      </c>
      <c r="L174" s="544">
        <f t="shared" si="90"/>
        <v>0.6848881709859922</v>
      </c>
      <c r="M174" s="544">
        <f t="shared" si="90"/>
        <v>0.68444618055511264</v>
      </c>
      <c r="N174" s="544">
        <f t="shared" si="90"/>
        <v>0.69867122459527542</v>
      </c>
      <c r="O174" s="544">
        <f t="shared" si="90"/>
        <v>0.73560276745982778</v>
      </c>
      <c r="P174" s="545">
        <f t="shared" si="72"/>
        <v>0.69870393769146533</v>
      </c>
      <c r="Q174" s="545">
        <f t="shared" si="70"/>
        <v>0.39081022042301122</v>
      </c>
    </row>
    <row r="175" spans="1:17">
      <c r="A175" s="539">
        <v>21</v>
      </c>
      <c r="B175" s="639" t="s">
        <v>93</v>
      </c>
      <c r="C175" s="539"/>
      <c r="D175" s="544">
        <f t="shared" ref="D175:O175" si="91">(D24/D$153)/D61</f>
        <v>0.74249367488155849</v>
      </c>
      <c r="E175" s="544">
        <f t="shared" si="91"/>
        <v>0.71165975704939222</v>
      </c>
      <c r="F175" s="544">
        <f t="shared" si="91"/>
        <v>0.72406884246279446</v>
      </c>
      <c r="G175" s="544">
        <f t="shared" si="91"/>
        <v>0.68097705665600128</v>
      </c>
      <c r="H175" s="544">
        <f t="shared" si="91"/>
        <v>0.66970230609615522</v>
      </c>
      <c r="I175" s="544">
        <f t="shared" si="91"/>
        <v>0.55582366355510338</v>
      </c>
      <c r="J175" s="544">
        <f t="shared" si="91"/>
        <v>0.72522025011552105</v>
      </c>
      <c r="K175" s="544">
        <f t="shared" si="91"/>
        <v>0.67391736611539421</v>
      </c>
      <c r="L175" s="544">
        <f t="shared" si="91"/>
        <v>0.4422258106721581</v>
      </c>
      <c r="M175" s="544">
        <f t="shared" si="91"/>
        <v>0.42264728666320156</v>
      </c>
      <c r="N175" s="544">
        <f t="shared" si="91"/>
        <v>0.70083966242751028</v>
      </c>
      <c r="O175" s="544">
        <f t="shared" si="91"/>
        <v>0.69002909812360214</v>
      </c>
      <c r="P175" s="545">
        <f t="shared" si="72"/>
        <v>0.64496706456819941</v>
      </c>
      <c r="Q175" s="545">
        <f t="shared" si="70"/>
        <v>0.36666636143159864</v>
      </c>
    </row>
  </sheetData>
  <phoneticPr fontId="0" type="noConversion"/>
  <conditionalFormatting sqref="P38">
    <cfRule type="expression" dxfId="22" priority="2" stopIfTrue="1">
      <formula>ABS(P38-#REF!)&gt;1</formula>
    </cfRule>
  </conditionalFormatting>
  <conditionalFormatting sqref="S28">
    <cfRule type="cellIs" dxfId="21" priority="1" operator="notEqual">
      <formula>$P$27</formula>
    </cfRule>
    <cfRule type="expression" dxfId="20" priority="3" stopIfTrue="1">
      <formula>ABS($P$27-$S$28)&gt;0.5</formula>
    </cfRule>
  </conditionalFormatting>
  <printOptions horizontalCentered="1"/>
  <pageMargins left="0.25" right="0.25" top="0.87" bottom="0.21" header="0.4" footer="0.18"/>
  <pageSetup scale="56" fitToHeight="2" orientation="landscape" r:id="rId1"/>
  <headerFooter alignWithMargins="0"/>
  <rowBreaks count="1" manualBreakCount="1">
    <brk id="66" max="1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P55"/>
  <sheetViews>
    <sheetView showGridLines="0" zoomScaleNormal="100" zoomScaleSheetLayoutView="100" workbookViewId="0">
      <selection activeCell="J20" sqref="J20"/>
    </sheetView>
  </sheetViews>
  <sheetFormatPr defaultColWidth="11.44140625" defaultRowHeight="13.2"/>
  <cols>
    <col min="1" max="1" width="9.33203125" customWidth="1"/>
    <col min="2" max="2" width="15.44140625" customWidth="1"/>
    <col min="3" max="3" width="11.44140625" customWidth="1"/>
    <col min="4" max="4" width="12.44140625" customWidth="1"/>
    <col min="5" max="5" width="1.6640625" customWidth="1"/>
    <col min="6" max="6" width="11.44140625" customWidth="1"/>
    <col min="7" max="7" width="13.44140625" customWidth="1"/>
    <col min="8" max="8" width="1.6640625" customWidth="1"/>
    <col min="9" max="9" width="14" bestFit="1" customWidth="1"/>
    <col min="12" max="12" width="12.33203125" bestFit="1" customWidth="1"/>
    <col min="14" max="14" width="12.6640625" style="550" customWidth="1"/>
  </cols>
  <sheetData>
    <row r="1" spans="2:16">
      <c r="B1" s="138" t="s">
        <v>101</v>
      </c>
      <c r="C1" s="55"/>
      <c r="D1" s="56"/>
      <c r="E1" s="55"/>
      <c r="F1" s="55"/>
      <c r="G1" s="55"/>
      <c r="H1" s="55"/>
      <c r="I1" s="55"/>
      <c r="J1" s="55"/>
    </row>
    <row r="2" spans="2:16">
      <c r="B2" s="138" t="s">
        <v>405</v>
      </c>
      <c r="C2" s="55"/>
      <c r="D2" s="56"/>
      <c r="E2" s="55"/>
      <c r="F2" s="55"/>
      <c r="G2" s="55"/>
      <c r="H2" s="55"/>
      <c r="I2" s="55"/>
      <c r="J2" s="55"/>
    </row>
    <row r="3" spans="2:16">
      <c r="B3" s="138" t="s">
        <v>102</v>
      </c>
      <c r="C3" s="55"/>
      <c r="D3" s="56"/>
      <c r="E3" s="55"/>
      <c r="F3" s="55"/>
      <c r="G3" s="55"/>
      <c r="H3" s="55"/>
      <c r="I3" s="55"/>
      <c r="J3" s="55"/>
    </row>
    <row r="4" spans="2:16">
      <c r="B4" s="138" t="s">
        <v>943</v>
      </c>
      <c r="C4" s="55"/>
      <c r="D4" s="56"/>
      <c r="E4" s="55"/>
      <c r="F4" s="55"/>
      <c r="G4" s="55"/>
      <c r="H4" s="55"/>
      <c r="I4" s="55"/>
      <c r="J4" s="55"/>
    </row>
    <row r="5" spans="2:16">
      <c r="B5" s="55"/>
      <c r="C5" s="55"/>
      <c r="D5" s="55"/>
      <c r="F5" s="55"/>
      <c r="G5" s="55"/>
    </row>
    <row r="6" spans="2:16">
      <c r="B6" s="55"/>
      <c r="C6" s="55"/>
      <c r="D6" s="55"/>
      <c r="F6" s="55"/>
      <c r="G6" s="55"/>
    </row>
    <row r="7" spans="2:16">
      <c r="C7" s="808" t="str">
        <f>"Present "&amp;IF(Base1_Billing2=2,"Billing ","")&amp;"Rates(1)"</f>
        <v>Present Rates(1)</v>
      </c>
      <c r="D7" s="808" t="str">
        <f>"Present "&amp;IF(Base1_Billing2=2,"Billing","")&amp;" Rates"</f>
        <v>Present  Rates</v>
      </c>
      <c r="F7" s="808" t="str">
        <f>"Proposed "&amp;IF(Base1_Billing2=2,"Billing ","")&amp;"Rates(2)"</f>
        <v>Proposed Rates(2)</v>
      </c>
      <c r="G7" s="808" t="str">
        <f>"Proposed "&amp;IF(Base1_Billing2=2,"Billing ","")&amp;"Rates"</f>
        <v>Proposed Rates</v>
      </c>
      <c r="I7" s="311" t="s">
        <v>414</v>
      </c>
      <c r="J7" s="55"/>
    </row>
    <row r="8" spans="2:16">
      <c r="C8" s="35" t="s">
        <v>105</v>
      </c>
      <c r="D8" s="35" t="s">
        <v>73</v>
      </c>
      <c r="F8" s="35" t="s">
        <v>105</v>
      </c>
      <c r="G8" s="35" t="s">
        <v>73</v>
      </c>
      <c r="I8" s="55"/>
      <c r="J8" s="55"/>
      <c r="L8" s="59" t="s">
        <v>421</v>
      </c>
      <c r="N8" s="550" t="s">
        <v>73</v>
      </c>
      <c r="O8" s="455" t="s">
        <v>284</v>
      </c>
      <c r="P8" s="455" t="s">
        <v>286</v>
      </c>
    </row>
    <row r="9" spans="2:16">
      <c r="C9" s="57" t="s">
        <v>106</v>
      </c>
      <c r="D9" s="57" t="s">
        <v>106</v>
      </c>
      <c r="F9" s="57" t="s">
        <v>106</v>
      </c>
      <c r="G9" s="57" t="s">
        <v>106</v>
      </c>
      <c r="I9" s="57" t="s">
        <v>415</v>
      </c>
      <c r="J9" s="57" t="s">
        <v>227</v>
      </c>
      <c r="L9" s="281" t="s">
        <v>422</v>
      </c>
      <c r="N9" s="550" t="s">
        <v>522</v>
      </c>
      <c r="O9" s="455" t="s">
        <v>463</v>
      </c>
      <c r="P9" s="455" t="s">
        <v>463</v>
      </c>
    </row>
    <row r="10" spans="2:16">
      <c r="C10" s="57"/>
      <c r="D10" s="57"/>
      <c r="F10" s="57"/>
      <c r="G10" s="57"/>
    </row>
    <row r="11" spans="2:16">
      <c r="B11" t="s">
        <v>416</v>
      </c>
      <c r="C11" s="60">
        <f>'St Lts'!Y$101*IF(Base1_Billing2=2,(1+$I$39),1)</f>
        <v>181.27</v>
      </c>
      <c r="D11" s="49">
        <f>C11*12</f>
        <v>2175.2400000000002</v>
      </c>
      <c r="F11" s="60">
        <f>'St Lts'!AQ$101*IF(Base1_Billing2=2,1+$D$39,1)</f>
        <v>196.33</v>
      </c>
      <c r="G11" s="49">
        <f t="shared" ref="G11:G17" si="0">F11*12</f>
        <v>2355.96</v>
      </c>
      <c r="I11" s="158">
        <f t="shared" ref="I11:I17" si="1">G11/D11-1</f>
        <v>8.3080487670325942E-2</v>
      </c>
      <c r="J11" s="312">
        <v>0</v>
      </c>
      <c r="L11" s="182">
        <v>8.3000000000000004E-2</v>
      </c>
      <c r="N11" s="611">
        <f>'REVRUNS 12ME1219'!P207</f>
        <v>28214.475000000002</v>
      </c>
    </row>
    <row r="12" spans="2:16">
      <c r="B12" t="s">
        <v>417</v>
      </c>
      <c r="C12" s="251">
        <f>'St Lts'!Z$101*IF(Base1_Billing2=2,1+$I$39,1)</f>
        <v>350635.22</v>
      </c>
      <c r="D12" s="252">
        <f t="shared" ref="D12:D17" si="2">C12*12</f>
        <v>4207622.6399999997</v>
      </c>
      <c r="E12" s="253"/>
      <c r="F12" s="251">
        <f>'St Lts'!AR$101*IF(Base1_Billing2=2,1+$D$39,1)</f>
        <v>379745.02</v>
      </c>
      <c r="G12" s="252">
        <f>F12*12</f>
        <v>4556940.24</v>
      </c>
      <c r="I12" s="158">
        <f>G12/D12-1</f>
        <v>8.3020182627404182E-2</v>
      </c>
      <c r="J12" s="312">
        <v>0</v>
      </c>
      <c r="L12" s="519">
        <v>7.6499999999999999E-2</v>
      </c>
      <c r="N12" s="611">
        <f>'REVRUNS 12ME1219'!P216</f>
        <v>9111659.5536700003</v>
      </c>
    </row>
    <row r="13" spans="2:16">
      <c r="B13" t="s">
        <v>418</v>
      </c>
      <c r="C13" s="251">
        <f>'St Lts'!AA$101*IF(Base1_Billing2=2,1+$I$39,1)</f>
        <v>1995.6</v>
      </c>
      <c r="D13" s="252">
        <f t="shared" si="2"/>
        <v>23947.199999999997</v>
      </c>
      <c r="E13" s="253"/>
      <c r="F13" s="251">
        <f>'St Lts'!AS$101*IF(Base1_Billing2=2,1+$D$39,1)</f>
        <v>2161.17</v>
      </c>
      <c r="G13" s="252">
        <f t="shared" si="0"/>
        <v>25934.04</v>
      </c>
      <c r="I13" s="158">
        <f t="shared" si="1"/>
        <v>8.29675285628384E-2</v>
      </c>
      <c r="J13" s="312">
        <v>0</v>
      </c>
      <c r="L13" s="381">
        <f>L11</f>
        <v>8.3000000000000004E-2</v>
      </c>
      <c r="N13" s="611">
        <f>'REVRUNS 12ME1219'!P225</f>
        <v>123112.35188</v>
      </c>
    </row>
    <row r="14" spans="2:16">
      <c r="B14" t="s">
        <v>419</v>
      </c>
      <c r="C14" s="251">
        <f>'St Lts'!AB$101*IF(Base1_Billing2=2,1+$I$39,1)</f>
        <v>2720.82</v>
      </c>
      <c r="D14" s="252">
        <f t="shared" si="2"/>
        <v>32649.840000000004</v>
      </c>
      <c r="E14" s="253"/>
      <c r="F14" s="251">
        <f>'St Lts'!AT$101*IF(Base1_Billing2=2,1+$D$39,1)</f>
        <v>2946.69</v>
      </c>
      <c r="G14" s="252">
        <f t="shared" si="0"/>
        <v>35360.28</v>
      </c>
      <c r="I14" s="158">
        <f t="shared" si="1"/>
        <v>8.3015414470637428E-2</v>
      </c>
      <c r="J14" s="312">
        <v>0</v>
      </c>
      <c r="L14" s="381">
        <f>L11</f>
        <v>8.3000000000000004E-2</v>
      </c>
      <c r="N14" s="611">
        <f>'REVRUNS 12ME1219'!P234</f>
        <v>424923.17200000002</v>
      </c>
    </row>
    <row r="15" spans="2:16">
      <c r="B15" t="s">
        <v>420</v>
      </c>
      <c r="C15" s="251">
        <f>'St Lts'!AC$101*IF(Base1_Billing2=2,1+$I$39,1)</f>
        <v>9042.34</v>
      </c>
      <c r="D15" s="252">
        <f t="shared" si="2"/>
        <v>108508.08</v>
      </c>
      <c r="E15" s="253"/>
      <c r="F15" s="251">
        <f>'St Lts'!AU$101*IF(Base1_Billing2=2,1+$D$39,1)</f>
        <v>9791.51</v>
      </c>
      <c r="G15" s="252">
        <f t="shared" si="0"/>
        <v>117498.12</v>
      </c>
      <c r="I15" s="158">
        <f t="shared" si="1"/>
        <v>8.2851341577512061E-2</v>
      </c>
      <c r="J15" s="312">
        <v>0</v>
      </c>
      <c r="L15" s="381">
        <f>L11</f>
        <v>8.3000000000000004E-2</v>
      </c>
      <c r="N15" s="611">
        <f>'REVRUNS 12ME1219'!P243</f>
        <v>1041932.9840000002</v>
      </c>
      <c r="O15" s="552">
        <f>D15/N15</f>
        <v>0.10414113159508154</v>
      </c>
      <c r="P15" s="552">
        <f>G15/N15</f>
        <v>0.11276936406113426</v>
      </c>
    </row>
    <row r="16" spans="2:16">
      <c r="B16" t="s">
        <v>424</v>
      </c>
      <c r="C16" s="251">
        <f>'Area Lts'!S54*IF(Base1_Billing2=2,1+$I$39,1)</f>
        <v>120186.13999999998</v>
      </c>
      <c r="D16" s="252">
        <f t="shared" si="2"/>
        <v>1442233.6799999997</v>
      </c>
      <c r="E16" s="253"/>
      <c r="F16" s="251">
        <f>IF(Base1_Billing2=1,'Area Lts'!AG54,'Area Lts'!AG63)</f>
        <v>130155.54999999999</v>
      </c>
      <c r="G16" s="252">
        <f t="shared" si="0"/>
        <v>1561866.5999999999</v>
      </c>
      <c r="I16" s="158">
        <f t="shared" si="1"/>
        <v>8.2949747782897543E-2</v>
      </c>
      <c r="J16" s="312">
        <v>0</v>
      </c>
      <c r="L16" s="381">
        <f>L11</f>
        <v>8.3000000000000004E-2</v>
      </c>
      <c r="N16" s="611">
        <f>'REVRUNS 12ME1219'!P252</f>
        <v>4732835.9471299993</v>
      </c>
      <c r="O16" s="552"/>
    </row>
    <row r="17" spans="2:14" ht="15">
      <c r="B17" t="s">
        <v>425</v>
      </c>
      <c r="C17" s="254">
        <f>'Area Lts'!T54*IF(Base1_Billing2=2,1+$I$39,1)</f>
        <v>67627.360165999984</v>
      </c>
      <c r="D17" s="254">
        <f t="shared" si="2"/>
        <v>811528.32199199987</v>
      </c>
      <c r="E17" s="253"/>
      <c r="F17" s="254">
        <f>IF(Base1_Billing2=1,'Area Lts'!AH54,'Area Lts'!AH63)</f>
        <v>73239.240166000003</v>
      </c>
      <c r="G17" s="254">
        <f t="shared" si="0"/>
        <v>878870.88199200004</v>
      </c>
      <c r="I17" s="158">
        <f t="shared" si="1"/>
        <v>8.2982390355396562E-2</v>
      </c>
      <c r="J17" s="312">
        <v>0</v>
      </c>
      <c r="L17" s="381">
        <f>L11</f>
        <v>8.3000000000000004E-2</v>
      </c>
      <c r="N17" s="685">
        <f>'REVRUNS 12ME1219'!P262</f>
        <v>2499245.1762899999</v>
      </c>
    </row>
    <row r="18" spans="2:14">
      <c r="I18" s="85"/>
      <c r="L18" s="381"/>
      <c r="N18" s="418"/>
    </row>
    <row r="19" spans="2:14" ht="15">
      <c r="B19" t="s">
        <v>66</v>
      </c>
      <c r="C19" s="255">
        <f>SUM(C11:C17)</f>
        <v>552388.75016599998</v>
      </c>
      <c r="D19" s="255">
        <f>SUM(D11:D17)</f>
        <v>6628665.0019919993</v>
      </c>
      <c r="F19" s="255">
        <f>SUM(F11:F17)</f>
        <v>598235.51016599999</v>
      </c>
      <c r="G19" s="255">
        <f>SUM(G11:G17)</f>
        <v>7178826.1219920004</v>
      </c>
      <c r="I19" s="328">
        <f>G19/D19-1</f>
        <v>8.2997273181654396E-2</v>
      </c>
      <c r="J19" s="313">
        <v>0</v>
      </c>
      <c r="L19" s="381">
        <f>L11</f>
        <v>8.3000000000000004E-2</v>
      </c>
      <c r="N19" s="418">
        <f>SUM(N11:N18)</f>
        <v>17961923.65997</v>
      </c>
    </row>
    <row r="20" spans="2:14">
      <c r="C20" s="69">
        <f>ROUND(C19-CHOOSE(Base1_Billing2,'St Lts'!AC103+'Area Lts'!T55,'St Lts'!AC109+'Area Lts'!T64+G52),0)</f>
        <v>0</v>
      </c>
      <c r="F20" s="69">
        <f>ROUND(F19-CHOOSE(Base1_Billing2,'St Lts'!AU102+'Area Lts'!AH55,'St Lts'!AU108+'Area Lts'!AH64),0)</f>
        <v>0</v>
      </c>
      <c r="L20" s="158">
        <f>I19-L19</f>
        <v>-2.7268183456080619E-6</v>
      </c>
      <c r="N20" s="418"/>
    </row>
    <row r="21" spans="2:14" s="536" customFormat="1">
      <c r="B21" s="117" t="s">
        <v>564</v>
      </c>
      <c r="C21" s="69"/>
      <c r="D21" s="600">
        <f>D15/N15</f>
        <v>0.10414113159508154</v>
      </c>
      <c r="E21" s="596"/>
      <c r="F21" s="596"/>
      <c r="G21" s="600">
        <f>G15/N15</f>
        <v>0.11276936406113426</v>
      </c>
      <c r="L21" s="158"/>
      <c r="N21" s="550"/>
    </row>
    <row r="22" spans="2:14" s="536" customFormat="1">
      <c r="C22" s="69"/>
      <c r="F22" s="69"/>
      <c r="L22" s="158"/>
      <c r="N22" s="550"/>
    </row>
    <row r="23" spans="2:14">
      <c r="B23" s="762" t="s">
        <v>944</v>
      </c>
      <c r="C23" s="19"/>
      <c r="L23" s="317">
        <f ca="1">G19-('Rate Spread GRC'!H25*1000)</f>
        <v>-642.07578328903764</v>
      </c>
    </row>
    <row r="24" spans="2:14">
      <c r="B24" s="762" t="s">
        <v>945</v>
      </c>
      <c r="C24" s="19"/>
      <c r="D24" s="19"/>
      <c r="E24" s="19"/>
      <c r="F24" s="19"/>
      <c r="G24" s="19"/>
      <c r="H24" s="19"/>
      <c r="I24" s="19"/>
      <c r="J24" s="19"/>
      <c r="K24" s="19"/>
    </row>
    <row r="25" spans="2:14" s="536" customFormat="1">
      <c r="B25" s="95"/>
      <c r="C25" s="19"/>
      <c r="D25" s="19"/>
      <c r="E25" s="19"/>
      <c r="F25" s="19"/>
      <c r="G25" s="19"/>
      <c r="H25" s="19"/>
      <c r="I25" s="19"/>
      <c r="J25" s="19"/>
      <c r="K25" s="19"/>
      <c r="N25" s="550"/>
    </row>
    <row r="26" spans="2:14">
      <c r="C26" s="86" t="s">
        <v>355</v>
      </c>
      <c r="D26" s="258">
        <f>D19*(1+I39)+'Area Lts'!T62*12</f>
        <v>6628665.0019919993</v>
      </c>
      <c r="E26" s="19"/>
      <c r="F26" s="86" t="s">
        <v>574</v>
      </c>
      <c r="G26" s="258">
        <f>G19*(1+J39)+'Area Lts'!AH62*12</f>
        <v>7178826.1219920004</v>
      </c>
      <c r="I26" s="259">
        <f>G26/D26-1</f>
        <v>8.2997273181654396E-2</v>
      </c>
      <c r="J26" s="19"/>
      <c r="K26" s="258">
        <f>G26-D26</f>
        <v>550161.12000000104</v>
      </c>
    </row>
    <row r="27" spans="2:14">
      <c r="C27" s="260" t="s">
        <v>71</v>
      </c>
      <c r="D27" s="261">
        <f>D26-D19</f>
        <v>0</v>
      </c>
      <c r="E27" s="262"/>
      <c r="F27" s="263" t="s">
        <v>574</v>
      </c>
      <c r="G27" s="264">
        <f>G26-G19</f>
        <v>0</v>
      </c>
      <c r="I27" s="19"/>
      <c r="J27" s="19"/>
      <c r="K27" s="19"/>
    </row>
    <row r="28" spans="2:14">
      <c r="C28" s="265" t="s">
        <v>572</v>
      </c>
      <c r="D28" s="266">
        <f>D$19*(I36+I37)</f>
        <v>0</v>
      </c>
      <c r="E28" s="267"/>
      <c r="F28" s="268" t="s">
        <v>573</v>
      </c>
      <c r="G28" s="269">
        <f>G$19*(J36+J37)</f>
        <v>0</v>
      </c>
      <c r="I28" s="19"/>
      <c r="J28" s="19"/>
      <c r="K28" s="19"/>
      <c r="L28" s="19"/>
      <c r="M28" s="19"/>
    </row>
    <row r="29" spans="2:14">
      <c r="C29" s="270" t="s">
        <v>356</v>
      </c>
      <c r="D29" s="271">
        <f>D$19*I38</f>
        <v>0</v>
      </c>
      <c r="E29" s="170"/>
      <c r="F29" s="272" t="s">
        <v>575</v>
      </c>
      <c r="G29" s="273">
        <f>G$19*J38</f>
        <v>0</v>
      </c>
      <c r="I29" s="19"/>
      <c r="J29" s="19"/>
      <c r="K29" s="19"/>
      <c r="L29" s="19"/>
      <c r="M29" s="19"/>
    </row>
    <row r="30" spans="2:14">
      <c r="C30" s="86" t="s">
        <v>576</v>
      </c>
      <c r="D30" s="258">
        <f>D28*($L$36+L37)</f>
        <v>0</v>
      </c>
      <c r="E30" s="19"/>
      <c r="F30" s="86"/>
      <c r="G30" s="258"/>
      <c r="I30" s="19"/>
      <c r="J30" s="19"/>
      <c r="K30" s="19"/>
      <c r="L30" s="19"/>
      <c r="M30" s="19"/>
    </row>
    <row r="31" spans="2:14">
      <c r="C31" s="86" t="s">
        <v>355</v>
      </c>
      <c r="D31" s="295">
        <f>D26</f>
        <v>6628665.0019919993</v>
      </c>
      <c r="E31" s="19"/>
      <c r="F31" s="86" t="s">
        <v>615</v>
      </c>
      <c r="G31" s="295">
        <f>G19*(1+D39)+'Area Lts'!AH62*12</f>
        <v>7178826.1219920004</v>
      </c>
      <c r="I31" s="259">
        <f>G31/D31-1</f>
        <v>8.2997273181654396E-2</v>
      </c>
      <c r="J31" s="19"/>
      <c r="K31" s="258">
        <f>G31-D26</f>
        <v>550161.12000000104</v>
      </c>
      <c r="L31" s="258">
        <f>K31-J$19</f>
        <v>550161.12000000104</v>
      </c>
      <c r="M31" s="19"/>
    </row>
    <row r="32" spans="2:14">
      <c r="C32" s="86"/>
      <c r="D32" s="258"/>
      <c r="E32" s="19"/>
      <c r="F32" s="86"/>
      <c r="G32" s="258"/>
      <c r="I32" s="19"/>
      <c r="J32" s="19"/>
      <c r="K32" s="19"/>
      <c r="L32" s="19"/>
      <c r="M32" s="19"/>
    </row>
    <row r="33" spans="2:15">
      <c r="C33" s="86"/>
      <c r="D33" s="258"/>
      <c r="E33" s="19"/>
      <c r="F33" s="86"/>
      <c r="G33" s="258"/>
      <c r="I33" s="19"/>
      <c r="J33" s="19"/>
      <c r="K33" s="19"/>
      <c r="L33" s="19"/>
      <c r="M33" s="19"/>
    </row>
    <row r="34" spans="2:15">
      <c r="C34" s="19"/>
      <c r="D34" s="258"/>
      <c r="E34" s="19"/>
      <c r="F34" s="19"/>
      <c r="G34" s="19"/>
      <c r="I34" s="19"/>
      <c r="J34" s="86" t="s">
        <v>354</v>
      </c>
      <c r="K34" s="259"/>
      <c r="L34" s="19"/>
      <c r="M34" s="19"/>
    </row>
    <row r="35" spans="2:15">
      <c r="D35" s="277" t="s">
        <v>286</v>
      </c>
      <c r="E35" s="19"/>
      <c r="F35" s="19"/>
      <c r="G35" s="19"/>
      <c r="I35" s="277" t="s">
        <v>284</v>
      </c>
      <c r="J35" s="277" t="s">
        <v>284</v>
      </c>
      <c r="K35" s="277" t="s">
        <v>286</v>
      </c>
      <c r="L35" s="19"/>
      <c r="M35" s="19"/>
    </row>
    <row r="36" spans="2:15">
      <c r="D36" s="278">
        <f>K36</f>
        <v>0</v>
      </c>
      <c r="E36" s="19"/>
      <c r="F36" s="19"/>
      <c r="G36" s="19" t="s">
        <v>433</v>
      </c>
      <c r="I36" s="274">
        <v>0</v>
      </c>
      <c r="J36" s="259">
        <f>(L19+(1+I36))/(1+L19)-1</f>
        <v>0</v>
      </c>
      <c r="K36" s="278">
        <f>J36*(1+L36)</f>
        <v>0</v>
      </c>
      <c r="L36" s="274">
        <v>0</v>
      </c>
      <c r="M36" s="19"/>
    </row>
    <row r="37" spans="2:15" s="329" customFormat="1">
      <c r="D37" s="278">
        <f>K37</f>
        <v>0</v>
      </c>
      <c r="E37" s="19"/>
      <c r="F37" s="19"/>
      <c r="G37" s="19" t="s">
        <v>571</v>
      </c>
      <c r="I37" s="274">
        <v>0</v>
      </c>
      <c r="J37" s="259">
        <f>(L19+(1+I37))/(1+L19)-1</f>
        <v>0</v>
      </c>
      <c r="K37" s="278">
        <f>J37*(1+L37)</f>
        <v>0</v>
      </c>
      <c r="L37" s="274">
        <v>0</v>
      </c>
      <c r="M37" s="19" t="s">
        <v>445</v>
      </c>
      <c r="N37" s="550"/>
    </row>
    <row r="38" spans="2:15">
      <c r="D38" s="278">
        <f>K38</f>
        <v>0</v>
      </c>
      <c r="E38" s="19"/>
      <c r="F38" s="19"/>
      <c r="G38" s="19"/>
      <c r="I38" s="274">
        <v>0</v>
      </c>
      <c r="J38" s="259">
        <f>(L19+(1+I38))/(1+L19)-1</f>
        <v>0</v>
      </c>
      <c r="K38" s="259">
        <f>J38*(1+$L$38)</f>
        <v>0</v>
      </c>
      <c r="L38" s="274">
        <v>0</v>
      </c>
      <c r="M38" s="19"/>
    </row>
    <row r="39" spans="2:15">
      <c r="C39" s="19"/>
      <c r="D39" s="275">
        <f>D36+D37+D38</f>
        <v>0</v>
      </c>
      <c r="E39" s="19"/>
      <c r="F39" s="19"/>
      <c r="G39" s="86" t="s">
        <v>353</v>
      </c>
      <c r="I39" s="276">
        <f>I36+I37+I38</f>
        <v>0</v>
      </c>
      <c r="J39" s="276">
        <f>J36+J37+J38</f>
        <v>0</v>
      </c>
      <c r="K39" s="275">
        <f>K36+K37+K38</f>
        <v>0</v>
      </c>
      <c r="L39" s="19"/>
      <c r="M39" s="19"/>
    </row>
    <row r="40" spans="2:15">
      <c r="C40" s="19"/>
      <c r="D40" s="19"/>
      <c r="E40" s="19"/>
      <c r="F40" s="19"/>
      <c r="G40" s="19"/>
      <c r="I40" s="19"/>
      <c r="J40" s="19"/>
      <c r="K40" s="19"/>
      <c r="L40" s="19"/>
      <c r="M40" s="19"/>
    </row>
    <row r="41" spans="2:15">
      <c r="C41" s="19" t="s">
        <v>632</v>
      </c>
      <c r="D41" s="19" t="s">
        <v>649</v>
      </c>
      <c r="E41" s="19" t="s">
        <v>633</v>
      </c>
      <c r="F41" s="19"/>
      <c r="G41" s="19" t="s">
        <v>770</v>
      </c>
      <c r="H41" s="19"/>
      <c r="J41" s="19"/>
      <c r="K41" s="19"/>
      <c r="L41" s="19"/>
      <c r="M41" s="19"/>
      <c r="N41" s="19"/>
      <c r="O41" s="550"/>
    </row>
    <row r="42" spans="2:15" hidden="1">
      <c r="B42" s="59" t="s">
        <v>375</v>
      </c>
      <c r="C42" s="325">
        <v>488916.65005000005</v>
      </c>
      <c r="D42" s="325">
        <v>488917.65005</v>
      </c>
      <c r="E42" s="325">
        <v>5866999.8006000007</v>
      </c>
      <c r="F42" s="326"/>
      <c r="G42" s="325">
        <v>556466.54005000007</v>
      </c>
      <c r="H42" s="325">
        <v>6677598.4805999994</v>
      </c>
      <c r="I42" s="19"/>
      <c r="J42" s="19"/>
      <c r="K42" s="19"/>
      <c r="L42" s="19"/>
      <c r="M42" s="19"/>
      <c r="N42"/>
      <c r="O42" s="550"/>
    </row>
    <row r="43" spans="2:15" hidden="1">
      <c r="B43" s="59" t="s">
        <v>376</v>
      </c>
      <c r="C43" s="58">
        <f>C19-C42</f>
        <v>63472.100115999929</v>
      </c>
      <c r="D43" s="58">
        <f>D19-D42</f>
        <v>6139747.351941999</v>
      </c>
      <c r="E43" s="58">
        <f>D19-E42</f>
        <v>761665.20139199868</v>
      </c>
      <c r="G43" s="58">
        <f>F19-G42</f>
        <v>41768.970115999924</v>
      </c>
      <c r="H43" s="58">
        <f>G19-H42</f>
        <v>501227.64139200095</v>
      </c>
      <c r="N43"/>
      <c r="O43" s="550"/>
    </row>
    <row r="44" spans="2:15" hidden="1">
      <c r="B44" s="59" t="s">
        <v>377</v>
      </c>
      <c r="C44" s="85">
        <f>C43/C42</f>
        <v>0.12982192385861441</v>
      </c>
      <c r="D44" s="85">
        <f>D43/D42</f>
        <v>12.557835355942064</v>
      </c>
      <c r="E44" s="85">
        <f>E43/E42</f>
        <v>0.12982192385861432</v>
      </c>
      <c r="F44" s="85"/>
      <c r="G44" s="85">
        <f>G43/G42</f>
        <v>7.5061063172364079E-2</v>
      </c>
      <c r="H44" s="85">
        <f>H43/H42</f>
        <v>7.5061063172364384E-2</v>
      </c>
      <c r="N44"/>
      <c r="O44" s="550"/>
    </row>
    <row r="45" spans="2:15">
      <c r="B45" s="625" t="s">
        <v>416</v>
      </c>
      <c r="C45" s="400"/>
      <c r="D45" s="400"/>
      <c r="E45" s="400"/>
      <c r="G45" s="641">
        <f>C45+D45+F45</f>
        <v>0</v>
      </c>
      <c r="N45"/>
      <c r="O45" s="550"/>
    </row>
    <row r="46" spans="2:15">
      <c r="B46" s="625" t="s">
        <v>417</v>
      </c>
      <c r="C46" s="400"/>
      <c r="D46" s="400"/>
      <c r="G46" s="641">
        <f t="shared" ref="G46:G51" si="3">C46+D46+F46</f>
        <v>0</v>
      </c>
      <c r="N46"/>
      <c r="O46" s="550"/>
    </row>
    <row r="47" spans="2:15">
      <c r="B47" s="625" t="s">
        <v>418</v>
      </c>
      <c r="C47" s="400"/>
      <c r="D47" s="400"/>
      <c r="G47" s="641">
        <f t="shared" si="3"/>
        <v>0</v>
      </c>
      <c r="N47"/>
      <c r="O47" s="550"/>
    </row>
    <row r="48" spans="2:15">
      <c r="B48" s="625" t="s">
        <v>419</v>
      </c>
      <c r="C48" s="400"/>
      <c r="D48" s="400"/>
      <c r="G48" s="641">
        <f t="shared" si="3"/>
        <v>0</v>
      </c>
      <c r="N48"/>
      <c r="O48" s="550"/>
    </row>
    <row r="49" spans="2:15">
      <c r="B49" s="625" t="s">
        <v>420</v>
      </c>
      <c r="C49" s="400"/>
      <c r="D49" s="400"/>
      <c r="G49" s="641">
        <f t="shared" si="3"/>
        <v>0</v>
      </c>
      <c r="N49"/>
      <c r="O49" s="550"/>
    </row>
    <row r="50" spans="2:15">
      <c r="B50" s="625" t="s">
        <v>424</v>
      </c>
      <c r="C50" s="400"/>
      <c r="D50" s="400"/>
      <c r="G50" s="641">
        <f t="shared" si="3"/>
        <v>0</v>
      </c>
      <c r="N50"/>
      <c r="O50" s="550"/>
    </row>
    <row r="51" spans="2:15">
      <c r="B51" s="625" t="s">
        <v>425</v>
      </c>
      <c r="C51" s="400"/>
      <c r="D51" s="400"/>
      <c r="F51" s="400"/>
      <c r="G51" s="641">
        <f t="shared" si="3"/>
        <v>0</v>
      </c>
      <c r="N51"/>
      <c r="O51" s="550"/>
    </row>
    <row r="52" spans="2:15" ht="13.8" thickBot="1">
      <c r="B52" s="625" t="s">
        <v>66</v>
      </c>
      <c r="C52" s="626">
        <f>C45+C46+C47+C48+C49+C50+C51</f>
        <v>0</v>
      </c>
      <c r="D52" s="626">
        <f>D45+D46+D47+D48+D49+D50+D51</f>
        <v>0</v>
      </c>
      <c r="F52" s="626">
        <f>E45+E46+E47+E48+E49+E50+F51</f>
        <v>0</v>
      </c>
      <c r="G52" s="58">
        <f>C52+F52+D52</f>
        <v>0</v>
      </c>
      <c r="I52" s="58"/>
      <c r="N52"/>
      <c r="O52" s="550"/>
    </row>
    <row r="53" spans="2:15" ht="13.8" thickTop="1">
      <c r="C53" s="627"/>
      <c r="D53" s="627"/>
      <c r="F53" s="627"/>
      <c r="N53"/>
      <c r="O53" s="550"/>
    </row>
    <row r="55" spans="2:15">
      <c r="F55" t="s">
        <v>309</v>
      </c>
      <c r="G55" s="58">
        <f>D31+G52</f>
        <v>6628665.0019919993</v>
      </c>
    </row>
  </sheetData>
  <mergeCells count="2">
    <mergeCell ref="C7:D7"/>
    <mergeCell ref="F7:G7"/>
  </mergeCells>
  <phoneticPr fontId="0" type="noConversion"/>
  <conditionalFormatting sqref="C20:C22 F20 F22">
    <cfRule type="expression" dxfId="19"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FX152"/>
  <sheetViews>
    <sheetView showGridLines="0" zoomScale="90" zoomScaleNormal="90" workbookViewId="0">
      <selection activeCell="V82" sqref="V82"/>
    </sheetView>
  </sheetViews>
  <sheetFormatPr defaultRowHeight="13.2"/>
  <cols>
    <col min="1" max="1" width="7.6640625" customWidth="1"/>
    <col min="2" max="2" width="6.6640625" style="35" customWidth="1"/>
    <col min="3" max="3" width="7.5546875" style="35" customWidth="1"/>
    <col min="4" max="4" width="10.44140625" style="35" customWidth="1"/>
    <col min="5" max="5" width="12.33203125" customWidth="1"/>
    <col min="6" max="6" width="1.6640625" customWidth="1"/>
    <col min="7" max="7" width="9.6640625" customWidth="1"/>
    <col min="8" max="8" width="7.6640625" style="583" bestFit="1" customWidth="1"/>
    <col min="9" max="9" width="28.44140625" customWidth="1"/>
    <col min="10" max="10" width="27" bestFit="1" customWidth="1"/>
    <col min="11" max="11" width="14.44140625" style="59" bestFit="1" customWidth="1"/>
    <col min="12" max="12" width="7.5546875" customWidth="1"/>
    <col min="13" max="13" width="6.6640625" customWidth="1"/>
    <col min="14" max="14" width="7.33203125" customWidth="1"/>
    <col min="15" max="16" width="6.6640625" customWidth="1"/>
    <col min="17" max="17" width="7.33203125" customWidth="1"/>
    <col min="18" max="18" width="2.6640625" customWidth="1"/>
    <col min="19" max="19" width="7.5546875" customWidth="1"/>
    <col min="20" max="20" width="9.33203125" customWidth="1"/>
    <col min="21" max="22" width="7.5546875" customWidth="1"/>
    <col min="23" max="23" width="7.33203125" customWidth="1"/>
    <col min="24" max="24" width="2.6640625" customWidth="1"/>
    <col min="25" max="25" width="8.33203125" customWidth="1"/>
    <col min="26" max="26" width="9.6640625" customWidth="1"/>
    <col min="27" max="27" width="7.33203125" customWidth="1"/>
    <col min="28" max="28" width="8.33203125" customWidth="1"/>
    <col min="29" max="29" width="9.6640625" customWidth="1"/>
    <col min="30" max="30" width="10.6640625" customWidth="1"/>
    <col min="31" max="31" width="6.6640625" customWidth="1"/>
    <col min="32" max="32" width="7.33203125" customWidth="1"/>
    <col min="33" max="35" width="6.6640625" customWidth="1"/>
    <col min="36" max="36" width="2.6640625" customWidth="1"/>
    <col min="37" max="41" width="8" customWidth="1"/>
    <col min="42" max="42" width="2.6640625" customWidth="1"/>
    <col min="43" max="43" width="8.33203125" customWidth="1"/>
    <col min="44" max="44" width="9.6640625" bestFit="1" customWidth="1"/>
    <col min="45" max="46" width="8.33203125" customWidth="1"/>
    <col min="47" max="47" width="9.44140625" bestFit="1" customWidth="1"/>
    <col min="48" max="48" width="10.6640625" customWidth="1"/>
    <col min="49" max="49" width="10.6640625" style="764" customWidth="1"/>
    <col min="50" max="50" width="6.44140625" style="445" customWidth="1"/>
    <col min="56" max="56" width="9.33203125" style="445"/>
    <col min="57" max="57" width="11.5546875" bestFit="1" customWidth="1"/>
    <col min="58" max="58" width="9.33203125" customWidth="1"/>
  </cols>
  <sheetData>
    <row r="1" spans="1:123" ht="17.399999999999999">
      <c r="A1" s="61" t="s">
        <v>112</v>
      </c>
      <c r="I1" s="743" t="s">
        <v>903</v>
      </c>
      <c r="AJ1" s="59" t="s">
        <v>423</v>
      </c>
      <c r="AK1" s="205">
        <f>'Lighting summary'!L11</f>
        <v>8.3000000000000004E-2</v>
      </c>
      <c r="AL1" s="205">
        <f>'Lighting summary'!L12</f>
        <v>7.6499999999999999E-2</v>
      </c>
      <c r="AM1" s="205">
        <f>'Lighting summary'!L13</f>
        <v>8.3000000000000004E-2</v>
      </c>
      <c r="AN1" s="205">
        <f>'Lighting summary'!L14</f>
        <v>8.3000000000000004E-2</v>
      </c>
      <c r="AO1" s="205">
        <f>'Lighting summary'!L15</f>
        <v>8.3000000000000004E-2</v>
      </c>
      <c r="AY1" s="165"/>
      <c r="BE1" s="622">
        <f>-0.00789-0.00045-0.00339</f>
        <v>-1.1730000000000001E-2</v>
      </c>
      <c r="BF1" t="s">
        <v>408</v>
      </c>
      <c r="BM1" s="85">
        <f>BF2</f>
        <v>1.0150999999999999</v>
      </c>
    </row>
    <row r="2" spans="1:123" ht="13.8">
      <c r="A2" s="63" t="s">
        <v>938</v>
      </c>
      <c r="M2" s="64" t="s">
        <v>382</v>
      </c>
      <c r="N2" s="65"/>
      <c r="O2" s="65"/>
      <c r="P2" s="65"/>
      <c r="Q2" s="65"/>
      <c r="S2" s="64" t="s">
        <v>103</v>
      </c>
      <c r="T2" s="65"/>
      <c r="U2" s="65"/>
      <c r="V2" s="65"/>
      <c r="W2" s="65"/>
      <c r="Y2" s="64" t="s">
        <v>114</v>
      </c>
      <c r="Z2" s="65"/>
      <c r="AA2" s="65"/>
      <c r="AB2" s="65"/>
      <c r="AC2" s="65"/>
      <c r="AE2" s="64" t="s">
        <v>113</v>
      </c>
      <c r="AF2" s="65"/>
      <c r="AG2" s="65"/>
      <c r="AH2" s="65"/>
      <c r="AI2" s="65"/>
      <c r="AK2" s="64" t="s">
        <v>104</v>
      </c>
      <c r="AL2" s="65"/>
      <c r="AM2" s="65"/>
      <c r="AN2" s="65"/>
      <c r="AO2" s="65"/>
      <c r="AQ2" s="64" t="s">
        <v>208</v>
      </c>
      <c r="AR2" s="65"/>
      <c r="AS2" s="65"/>
      <c r="AT2" s="65"/>
      <c r="AU2" s="65"/>
      <c r="AY2" s="64" t="s">
        <v>361</v>
      </c>
      <c r="AZ2" s="65"/>
      <c r="BA2" s="65"/>
      <c r="BB2" s="65"/>
      <c r="BC2" s="65"/>
      <c r="BD2" s="383"/>
      <c r="BE2" s="622">
        <v>1.3939999999999999E-2</v>
      </c>
      <c r="BF2" s="761">
        <f>1+0.0151</f>
        <v>1.0150999999999999</v>
      </c>
      <c r="BG2" t="s">
        <v>821</v>
      </c>
      <c r="BM2" t="s">
        <v>378</v>
      </c>
      <c r="BO2" s="284"/>
      <c r="BS2" s="377" t="s">
        <v>292</v>
      </c>
    </row>
    <row r="3" spans="1:123" ht="12.75" customHeight="1" thickBot="1">
      <c r="A3" s="63"/>
      <c r="I3" s="66" t="s">
        <v>115</v>
      </c>
      <c r="J3" s="66" t="s">
        <v>116</v>
      </c>
      <c r="K3" s="67" t="s">
        <v>117</v>
      </c>
      <c r="L3" s="66" t="s">
        <v>118</v>
      </c>
      <c r="M3" s="68" t="s">
        <v>119</v>
      </c>
      <c r="N3" s="68" t="s">
        <v>120</v>
      </c>
      <c r="O3" s="68" t="s">
        <v>121</v>
      </c>
      <c r="P3" s="68" t="s">
        <v>122</v>
      </c>
      <c r="Q3" s="68" t="s">
        <v>123</v>
      </c>
      <c r="S3" s="68" t="s">
        <v>119</v>
      </c>
      <c r="T3" s="68" t="s">
        <v>120</v>
      </c>
      <c r="U3" s="68" t="s">
        <v>121</v>
      </c>
      <c r="V3" s="68" t="s">
        <v>122</v>
      </c>
      <c r="W3" s="68" t="s">
        <v>123</v>
      </c>
      <c r="Y3" s="68" t="s">
        <v>119</v>
      </c>
      <c r="Z3" s="68" t="s">
        <v>120</v>
      </c>
      <c r="AA3" s="68" t="s">
        <v>121</v>
      </c>
      <c r="AB3" s="68" t="s">
        <v>122</v>
      </c>
      <c r="AC3" s="68" t="s">
        <v>123</v>
      </c>
      <c r="AE3" s="68" t="s">
        <v>119</v>
      </c>
      <c r="AF3" s="68" t="s">
        <v>120</v>
      </c>
      <c r="AG3" s="68" t="s">
        <v>121</v>
      </c>
      <c r="AH3" s="68" t="s">
        <v>122</v>
      </c>
      <c r="AI3" s="68" t="s">
        <v>123</v>
      </c>
      <c r="AK3" s="68" t="s">
        <v>119</v>
      </c>
      <c r="AL3" s="68" t="s">
        <v>120</v>
      </c>
      <c r="AM3" s="68" t="s">
        <v>121</v>
      </c>
      <c r="AN3" s="68" t="s">
        <v>122</v>
      </c>
      <c r="AO3" s="68" t="s">
        <v>123</v>
      </c>
      <c r="AQ3" s="68" t="s">
        <v>119</v>
      </c>
      <c r="AR3" s="68" t="s">
        <v>120</v>
      </c>
      <c r="AS3" s="68" t="s">
        <v>121</v>
      </c>
      <c r="AT3" s="68" t="s">
        <v>122</v>
      </c>
      <c r="AU3" s="68" t="s">
        <v>123</v>
      </c>
      <c r="AX3" s="289" t="s">
        <v>386</v>
      </c>
      <c r="AY3" s="68" t="s">
        <v>119</v>
      </c>
      <c r="AZ3" s="68" t="s">
        <v>120</v>
      </c>
      <c r="BA3" s="68" t="s">
        <v>121</v>
      </c>
      <c r="BB3" s="68" t="s">
        <v>122</v>
      </c>
      <c r="BC3" s="68" t="s">
        <v>123</v>
      </c>
      <c r="BD3" s="384"/>
      <c r="BE3" s="587" t="s">
        <v>587</v>
      </c>
      <c r="BF3" s="68" t="s">
        <v>119</v>
      </c>
      <c r="BG3" s="68" t="s">
        <v>120</v>
      </c>
      <c r="BH3" s="68" t="s">
        <v>121</v>
      </c>
      <c r="BI3" s="68" t="s">
        <v>122</v>
      </c>
      <c r="BJ3" s="68" t="s">
        <v>123</v>
      </c>
      <c r="BM3" s="68" t="s">
        <v>119</v>
      </c>
      <c r="BN3" s="68" t="s">
        <v>120</v>
      </c>
      <c r="BO3" s="68" t="s">
        <v>121</v>
      </c>
      <c r="BP3" s="68" t="s">
        <v>122</v>
      </c>
      <c r="BQ3" s="68" t="s">
        <v>123</v>
      </c>
      <c r="BS3" s="68" t="s">
        <v>119</v>
      </c>
      <c r="BT3" s="68" t="s">
        <v>120</v>
      </c>
      <c r="BU3" s="68" t="s">
        <v>121</v>
      </c>
      <c r="BV3" s="68" t="s">
        <v>122</v>
      </c>
      <c r="BW3" s="68" t="s">
        <v>123</v>
      </c>
    </row>
    <row r="4" spans="1:123" ht="12.75" customHeight="1">
      <c r="H4" s="200"/>
      <c r="I4" s="614" t="s">
        <v>124</v>
      </c>
      <c r="J4" s="614" t="s">
        <v>110</v>
      </c>
      <c r="K4" s="619">
        <v>4000</v>
      </c>
      <c r="L4" s="620">
        <v>214</v>
      </c>
      <c r="M4" s="636">
        <f t="shared" ref="M4:Q13" si="0">SUMIF($G:$G,TEXT(M$3,"000")&amp;TEXT($L4,"000"),$E:$E)</f>
        <v>0</v>
      </c>
      <c r="N4" s="636">
        <f t="shared" si="0"/>
        <v>0</v>
      </c>
      <c r="O4" s="636">
        <f t="shared" si="0"/>
        <v>0</v>
      </c>
      <c r="P4" s="636">
        <f t="shared" si="0"/>
        <v>0</v>
      </c>
      <c r="Q4" s="636">
        <f t="shared" si="0"/>
        <v>0</v>
      </c>
      <c r="R4" s="636">
        <f t="shared" ref="R4:R48" si="1">IF(SUM(M4:Q4)&gt;0,0,1)</f>
        <v>1</v>
      </c>
      <c r="S4" s="637">
        <v>14.67</v>
      </c>
      <c r="T4" s="637">
        <v>0</v>
      </c>
      <c r="U4" s="637">
        <v>0</v>
      </c>
      <c r="V4" s="637">
        <v>0</v>
      </c>
      <c r="W4" s="637">
        <v>0</v>
      </c>
      <c r="X4" s="614"/>
      <c r="Y4" s="694">
        <f>IF(AND(M4&lt;&gt;0,S4=0),#VALUE!,M4*S4)</f>
        <v>0</v>
      </c>
      <c r="Z4" s="694">
        <f>IF(AND(N4&lt;&gt;0,T4=0),#VALUE!,N4*T4)</f>
        <v>0</v>
      </c>
      <c r="AA4" s="694">
        <f>IF(AND(O4&lt;&gt;0,U4=0),#VALUE!,O4*U4)</f>
        <v>0</v>
      </c>
      <c r="AB4" s="694">
        <f>IF(AND(P4&lt;&gt;0,V4=0),#VALUE!,P4*V4)</f>
        <v>0</v>
      </c>
      <c r="AC4" s="694">
        <f>IF(AND(Q4&lt;&gt;0,W4=0),#VALUE!,Q4*W4)</f>
        <v>0</v>
      </c>
      <c r="AD4" s="614"/>
      <c r="AE4" s="636">
        <f>M4</f>
        <v>0</v>
      </c>
      <c r="AF4" s="636">
        <f>N4</f>
        <v>0</v>
      </c>
      <c r="AG4" s="636">
        <f>O4</f>
        <v>0</v>
      </c>
      <c r="AH4" s="636">
        <f>P4</f>
        <v>0</v>
      </c>
      <c r="AI4" s="636">
        <f>Q4</f>
        <v>0</v>
      </c>
      <c r="AJ4" s="614"/>
      <c r="AK4" s="638"/>
      <c r="AL4" s="638">
        <f t="shared" ref="AK4:AL32" si="2">ROUND(T4*(1+AL$1),2)</f>
        <v>0</v>
      </c>
      <c r="AM4" s="638">
        <f t="shared" ref="AM4:AM53" si="3">ROUND(U4*(1+AM$1),2)</f>
        <v>0</v>
      </c>
      <c r="AN4" s="638">
        <f t="shared" ref="AN4:AN53" si="4">ROUND(V4*(1+AN$1),2)</f>
        <v>0</v>
      </c>
      <c r="AO4" s="638">
        <f t="shared" ref="AO4:AO53" si="5">ROUND(W4*(1+AO$1),2)</f>
        <v>0</v>
      </c>
      <c r="AP4" s="614"/>
      <c r="AQ4" s="694">
        <f t="shared" ref="AQ4:AQ51" si="6">IF(AND(AE4&lt;&gt;0,AK4=0),#VALUE!,AE4*AK4)</f>
        <v>0</v>
      </c>
      <c r="AR4" s="694">
        <f t="shared" ref="AR4:AR51" si="7">IF(AND(AF4&lt;&gt;0,AL4=0),#VALUE!,AF4*AL4)</f>
        <v>0</v>
      </c>
      <c r="AS4" s="694">
        <f t="shared" ref="AS4:AS51" si="8">IF(AND(AG4&lt;&gt;0,AM4=0),#VALUE!,AG4*AM4)</f>
        <v>0</v>
      </c>
      <c r="AT4" s="694">
        <f t="shared" ref="AT4:AT51" si="9">IF(AND(AH4&lt;&gt;0,AN4=0),#VALUE!,AH4*AN4)</f>
        <v>0</v>
      </c>
      <c r="AU4" s="694">
        <f t="shared" ref="AU4:AU51" si="10">IF(AND(AI4&lt;&gt;0,AO4=0),#VALUE!,AI4*AO4)</f>
        <v>0</v>
      </c>
      <c r="AV4" s="70">
        <f t="shared" ref="AV4" si="11">SUM(AQ4:AU4)-SUM(Y4:AC4)</f>
        <v>0</v>
      </c>
      <c r="AW4" s="70"/>
      <c r="AX4" s="447">
        <v>42</v>
      </c>
      <c r="AY4" s="582">
        <v>14.99</v>
      </c>
      <c r="AZ4" s="582"/>
      <c r="BA4" s="582"/>
      <c r="BB4" s="582"/>
      <c r="BC4" s="582"/>
      <c r="BD4" s="140"/>
      <c r="BE4" s="448">
        <f>ROUND(AX4*$BE$2,2)+ROUND(AX4*$BE$1,2)</f>
        <v>9.9999999999999978E-2</v>
      </c>
      <c r="BF4" s="54">
        <f>ROUND((S4*$BF$2),2)+ROUND($BE4-AY4,2)</f>
        <v>0</v>
      </c>
      <c r="BG4" s="54"/>
      <c r="BH4" s="54"/>
      <c r="BI4" s="54"/>
      <c r="BJ4" s="54"/>
      <c r="BM4" s="279">
        <f>AK4*$BM$1</f>
        <v>0</v>
      </c>
      <c r="BN4" s="279">
        <f>AL4*$BM$1</f>
        <v>0</v>
      </c>
      <c r="BO4" s="279">
        <f>AM4*$BM$1</f>
        <v>0</v>
      </c>
      <c r="BP4" s="279">
        <f>AN4*$BM$1</f>
        <v>0</v>
      </c>
      <c r="BQ4" s="279">
        <f>AO4*$BM$1</f>
        <v>0</v>
      </c>
      <c r="BS4" s="54">
        <f>BM4-AY4</f>
        <v>-14.99</v>
      </c>
      <c r="BT4" s="54">
        <f>BN4-AZ4</f>
        <v>0</v>
      </c>
      <c r="BU4" s="54">
        <f>BO4-BA4</f>
        <v>0</v>
      </c>
      <c r="BV4" s="54">
        <f>BP4-BB4</f>
        <v>0</v>
      </c>
      <c r="BW4" s="54">
        <f>BQ4-BC4</f>
        <v>0</v>
      </c>
    </row>
    <row r="5" spans="1:123" ht="12.75" customHeight="1">
      <c r="B5" s="45" t="s">
        <v>125</v>
      </c>
      <c r="C5" s="45" t="s">
        <v>118</v>
      </c>
      <c r="D5" s="45" t="s">
        <v>126</v>
      </c>
      <c r="E5" s="71" t="s">
        <v>127</v>
      </c>
      <c r="F5" s="59"/>
      <c r="G5" s="59"/>
      <c r="H5" s="200"/>
      <c r="I5" s="758" t="s">
        <v>453</v>
      </c>
      <c r="J5" s="758" t="s">
        <v>131</v>
      </c>
      <c r="K5" s="215" t="s">
        <v>936</v>
      </c>
      <c r="L5" s="581" t="s">
        <v>853</v>
      </c>
      <c r="M5" s="580">
        <f t="shared" si="0"/>
        <v>0</v>
      </c>
      <c r="N5" s="580">
        <f t="shared" si="0"/>
        <v>0</v>
      </c>
      <c r="O5" s="580">
        <f t="shared" si="0"/>
        <v>0</v>
      </c>
      <c r="P5" s="580">
        <f t="shared" si="0"/>
        <v>0</v>
      </c>
      <c r="Q5" s="580">
        <f t="shared" si="0"/>
        <v>0</v>
      </c>
      <c r="R5" s="580">
        <f t="shared" ref="R5" si="12">IF(SUM(M5:Q5)&gt;0,0,1)</f>
        <v>1</v>
      </c>
      <c r="S5" s="618">
        <v>0</v>
      </c>
      <c r="T5" s="618">
        <v>0</v>
      </c>
      <c r="U5" s="618">
        <v>0</v>
      </c>
      <c r="V5" s="618">
        <v>0</v>
      </c>
      <c r="W5" s="618">
        <v>0.21038000000000001</v>
      </c>
      <c r="X5" s="758"/>
      <c r="Y5" s="70">
        <f t="shared" ref="Y5" si="13">IF(AND(M5&lt;&gt;0,S5=0),#VALUE!,M5*S5)</f>
        <v>0</v>
      </c>
      <c r="Z5" s="70">
        <f t="shared" ref="Z5" si="14">IF(AND(N5&lt;&gt;0,T5=0),#VALUE!,N5*T5)</f>
        <v>0</v>
      </c>
      <c r="AA5" s="70">
        <f t="shared" ref="AA5" si="15">IF(AND(O5&lt;&gt;0,U5=0),#VALUE!,O5*U5)</f>
        <v>0</v>
      </c>
      <c r="AB5" s="70">
        <f t="shared" ref="AB5" si="16">IF(AND(P5&lt;&gt;0,V5=0),#VALUE!,P5*V5)</f>
        <v>0</v>
      </c>
      <c r="AC5" s="70">
        <f t="shared" ref="AC5" si="17">IF(AND(Q5&lt;&gt;0,W5=0),#VALUE!,Q5*W5)</f>
        <v>0</v>
      </c>
      <c r="AD5" s="758"/>
      <c r="AE5" s="580">
        <f t="shared" ref="AE5:AI14" si="18">SUMIF($G:$G,TEXT(AE$3,"000")&amp;TEXT($L5,"000"),$E:$E)</f>
        <v>0</v>
      </c>
      <c r="AF5" s="580">
        <f t="shared" si="18"/>
        <v>0</v>
      </c>
      <c r="AG5" s="580">
        <f t="shared" si="18"/>
        <v>0</v>
      </c>
      <c r="AH5" s="580">
        <f t="shared" si="18"/>
        <v>0</v>
      </c>
      <c r="AI5" s="580">
        <f t="shared" si="18"/>
        <v>0</v>
      </c>
      <c r="AJ5" s="758"/>
      <c r="AK5" s="585">
        <f t="shared" si="2"/>
        <v>0</v>
      </c>
      <c r="AL5" s="585"/>
      <c r="AM5" s="585">
        <f t="shared" si="3"/>
        <v>0</v>
      </c>
      <c r="AN5" s="585">
        <f t="shared" si="4"/>
        <v>0</v>
      </c>
      <c r="AO5" s="585">
        <f t="shared" si="5"/>
        <v>0.23</v>
      </c>
      <c r="AP5" s="758"/>
      <c r="AQ5" s="70">
        <f t="shared" si="6"/>
        <v>0</v>
      </c>
      <c r="AR5" s="70">
        <f t="shared" si="7"/>
        <v>0</v>
      </c>
      <c r="AS5" s="70">
        <f t="shared" si="8"/>
        <v>0</v>
      </c>
      <c r="AT5" s="70">
        <f t="shared" si="9"/>
        <v>0</v>
      </c>
      <c r="AU5" s="70">
        <f t="shared" si="10"/>
        <v>0</v>
      </c>
      <c r="AV5" s="758"/>
      <c r="AX5" s="592">
        <v>2</v>
      </c>
      <c r="AY5" s="582"/>
      <c r="AZ5" s="582"/>
      <c r="BA5" s="582"/>
      <c r="BB5" s="582"/>
      <c r="BC5" s="582">
        <v>0.21</v>
      </c>
      <c r="BD5" s="582"/>
      <c r="BE5" s="588">
        <f t="shared" ref="BE5" si="19">ROUND(AX5*$BE$2,2)+ROUND(AX5*$BE$1,2)</f>
        <v>9.9999999999999985E-3</v>
      </c>
      <c r="BF5" s="578"/>
      <c r="BG5" s="578"/>
      <c r="BH5" s="578"/>
      <c r="BI5" s="578"/>
      <c r="BJ5" s="578">
        <f>ROUND((W5*$BF$2)+$BE5-BC5,2)</f>
        <v>0.01</v>
      </c>
      <c r="BK5" s="758"/>
      <c r="BL5" s="758"/>
      <c r="BM5" s="586">
        <f t="shared" ref="BM5" si="20">AK5*$BM$1</f>
        <v>0</v>
      </c>
      <c r="BN5" s="586">
        <f t="shared" ref="BN5" si="21">AL5*$BM$1</f>
        <v>0</v>
      </c>
      <c r="BO5" s="586">
        <f t="shared" ref="BO5" si="22">AM5*$BM$1</f>
        <v>0</v>
      </c>
      <c r="BP5" s="586">
        <f t="shared" ref="BP5" si="23">AN5*$BM$1</f>
        <v>0</v>
      </c>
      <c r="BQ5" s="586">
        <f>AO5*$BM$1</f>
        <v>0.23347299999999999</v>
      </c>
      <c r="BR5" s="758"/>
      <c r="BS5" s="578">
        <f t="shared" ref="BS5" si="24">BM5-AY5</f>
        <v>0</v>
      </c>
      <c r="BT5" s="578">
        <f t="shared" ref="BT5" si="25">BN5-AZ5</f>
        <v>0</v>
      </c>
      <c r="BU5" s="578">
        <f t="shared" ref="BU5" si="26">BO5-BA5</f>
        <v>0</v>
      </c>
      <c r="BV5" s="578">
        <f t="shared" ref="BV5" si="27">BP5-BB5</f>
        <v>0</v>
      </c>
      <c r="BW5" s="578">
        <f>BQ5-BC5</f>
        <v>2.3472999999999994E-2</v>
      </c>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c r="DM5" s="758"/>
      <c r="DN5" s="758"/>
      <c r="DO5" s="758"/>
      <c r="DP5" s="758"/>
      <c r="DQ5" s="758"/>
      <c r="DR5" s="758"/>
      <c r="DS5" s="758"/>
    </row>
    <row r="6" spans="1:123" ht="12.75" customHeight="1">
      <c r="I6" s="758" t="s">
        <v>453</v>
      </c>
      <c r="J6" s="758" t="s">
        <v>131</v>
      </c>
      <c r="K6" s="215" t="s">
        <v>936</v>
      </c>
      <c r="L6" s="581" t="s">
        <v>854</v>
      </c>
      <c r="M6" s="580">
        <f t="shared" si="0"/>
        <v>0</v>
      </c>
      <c r="N6" s="580">
        <f t="shared" si="0"/>
        <v>0</v>
      </c>
      <c r="O6" s="580">
        <f t="shared" si="0"/>
        <v>0</v>
      </c>
      <c r="P6" s="580">
        <f t="shared" si="0"/>
        <v>0</v>
      </c>
      <c r="Q6" s="580">
        <f t="shared" si="0"/>
        <v>42</v>
      </c>
      <c r="R6" s="580">
        <f t="shared" ref="R6:R26" si="28">IF(SUM(M6:Q6)&gt;0,0,1)</f>
        <v>0</v>
      </c>
      <c r="S6" s="618">
        <v>0</v>
      </c>
      <c r="T6" s="618">
        <v>0</v>
      </c>
      <c r="U6" s="618">
        <v>0</v>
      </c>
      <c r="V6" s="618">
        <v>0</v>
      </c>
      <c r="W6" s="618">
        <v>0.52595000000000003</v>
      </c>
      <c r="X6" s="758"/>
      <c r="Y6" s="70">
        <f t="shared" ref="Y6:Y26" si="29">IF(AND(M6&lt;&gt;0,S6=0),#VALUE!,M6*S6)</f>
        <v>0</v>
      </c>
      <c r="Z6" s="70">
        <f t="shared" ref="Z6:Z26" si="30">IF(AND(N6&lt;&gt;0,T6=0),#VALUE!,N6*T6)</f>
        <v>0</v>
      </c>
      <c r="AA6" s="70">
        <f t="shared" ref="AA6:AA26" si="31">IF(AND(O6&lt;&gt;0,U6=0),#VALUE!,O6*U6)</f>
        <v>0</v>
      </c>
      <c r="AB6" s="70">
        <f t="shared" ref="AB6:AB26" si="32">IF(AND(P6&lt;&gt;0,V6=0),#VALUE!,P6*V6)</f>
        <v>0</v>
      </c>
      <c r="AC6" s="70">
        <f t="shared" ref="AC6:AC25" si="33">IF(AND(Q6&lt;&gt;0,W6=0),#VALUE!,Q6*W6)</f>
        <v>22.0899</v>
      </c>
      <c r="AD6" s="758"/>
      <c r="AE6" s="580">
        <f t="shared" si="18"/>
        <v>0</v>
      </c>
      <c r="AF6" s="580">
        <f t="shared" si="18"/>
        <v>0</v>
      </c>
      <c r="AG6" s="580">
        <f t="shared" si="18"/>
        <v>0</v>
      </c>
      <c r="AH6" s="580">
        <f t="shared" si="18"/>
        <v>0</v>
      </c>
      <c r="AI6" s="580">
        <f t="shared" si="18"/>
        <v>42</v>
      </c>
      <c r="AJ6" s="758"/>
      <c r="AK6" s="585">
        <f t="shared" ref="AK6:AK26" si="34">ROUND(S6*(1+AK$1),2)</f>
        <v>0</v>
      </c>
      <c r="AL6" s="585"/>
      <c r="AM6" s="585">
        <f t="shared" ref="AM6:AM26" si="35">ROUND(U6*(1+AM$1),2)</f>
        <v>0</v>
      </c>
      <c r="AN6" s="585">
        <f t="shared" ref="AN6:AN26" si="36">ROUND(V6*(1+AN$1),2)</f>
        <v>0</v>
      </c>
      <c r="AO6" s="585">
        <f t="shared" ref="AO6:AO25" si="37">ROUND(W6*(1+AO$1),2)</f>
        <v>0.56999999999999995</v>
      </c>
      <c r="AP6" s="758"/>
      <c r="AQ6" s="70">
        <f t="shared" ref="AQ6:AQ26" si="38">IF(AND(AE6&lt;&gt;0,AK6=0),#VALUE!,AE6*AK6)</f>
        <v>0</v>
      </c>
      <c r="AR6" s="70">
        <f t="shared" ref="AR6:AR26" si="39">IF(AND(AF6&lt;&gt;0,AL6=0),#VALUE!,AF6*AL6)</f>
        <v>0</v>
      </c>
      <c r="AS6" s="70">
        <f t="shared" ref="AS6:AS26" si="40">IF(AND(AG6&lt;&gt;0,AM6=0),#VALUE!,AG6*AM6)</f>
        <v>0</v>
      </c>
      <c r="AT6" s="70">
        <f t="shared" ref="AT6:AT26" si="41">IF(AND(AH6&lt;&gt;0,AN6=0),#VALUE!,AH6*AN6)</f>
        <v>0</v>
      </c>
      <c r="AU6" s="70">
        <f>IF(AND(AI6&lt;&gt;0,AO6=0),#VALUE!,AI6*AO6)</f>
        <v>23.939999999999998</v>
      </c>
      <c r="AV6" s="758"/>
      <c r="AX6" s="592">
        <v>5</v>
      </c>
      <c r="AY6" s="582"/>
      <c r="AZ6" s="582"/>
      <c r="BA6" s="582"/>
      <c r="BB6" s="582"/>
      <c r="BC6" s="582">
        <v>0.55000000000000004</v>
      </c>
      <c r="BD6" s="582"/>
      <c r="BE6" s="588">
        <f t="shared" ref="BE6:BE26" si="42">ROUND(AX6*$BE$2,2)+ROUND(AX6*$BE$1,2)</f>
        <v>1.0000000000000009E-2</v>
      </c>
      <c r="BF6" s="578"/>
      <c r="BG6" s="578"/>
      <c r="BH6" s="578"/>
      <c r="BI6" s="578"/>
      <c r="BJ6" s="578">
        <f t="shared" ref="BJ6:BJ26" si="43">ROUND((W6*$BF$2)+$BE6-BC6,2)</f>
        <v>-0.01</v>
      </c>
      <c r="BK6" s="758"/>
      <c r="BL6" s="758"/>
      <c r="BM6" s="586">
        <f t="shared" ref="BM6:BM26" si="44">AK6*$BM$1</f>
        <v>0</v>
      </c>
      <c r="BN6" s="586">
        <f t="shared" ref="BN6:BN26" si="45">AL6*$BM$1</f>
        <v>0</v>
      </c>
      <c r="BO6" s="586">
        <f t="shared" ref="BO6:BO26" si="46">AM6*$BM$1</f>
        <v>0</v>
      </c>
      <c r="BP6" s="586">
        <f t="shared" ref="BP6:BP26" si="47">AN6*$BM$1</f>
        <v>0</v>
      </c>
      <c r="BQ6" s="586">
        <f t="shared" ref="BQ6:BQ26" si="48">AO6*$BM$1</f>
        <v>0.57860699999999987</v>
      </c>
      <c r="BR6" s="758"/>
      <c r="BS6" s="578">
        <f t="shared" ref="BS6:BS26" si="49">BM6-AY6</f>
        <v>0</v>
      </c>
      <c r="BT6" s="578">
        <f t="shared" ref="BT6:BT26" si="50">BN6-AZ6</f>
        <v>0</v>
      </c>
      <c r="BU6" s="578">
        <f t="shared" ref="BU6:BU26" si="51">BO6-BA6</f>
        <v>0</v>
      </c>
      <c r="BV6" s="578">
        <f t="shared" ref="BV6:BV26" si="52">BP6-BB6</f>
        <v>0</v>
      </c>
      <c r="BW6" s="578">
        <f t="shared" ref="BW6:BW26" si="53">BQ6-BC6</f>
        <v>2.8606999999999827E-2</v>
      </c>
      <c r="BX6" s="758"/>
      <c r="BY6" s="758"/>
      <c r="BZ6" s="758"/>
      <c r="CA6" s="758"/>
      <c r="CB6" s="758"/>
      <c r="CC6" s="758"/>
      <c r="CD6" s="758"/>
      <c r="CE6" s="758"/>
      <c r="CF6" s="758"/>
      <c r="CG6" s="758"/>
      <c r="CH6" s="758"/>
      <c r="CI6" s="758"/>
      <c r="CJ6" s="758"/>
      <c r="CK6" s="758"/>
      <c r="CL6" s="758"/>
      <c r="CM6" s="758"/>
      <c r="CN6" s="758"/>
      <c r="CO6" s="758"/>
      <c r="CP6" s="758"/>
      <c r="CQ6" s="758"/>
      <c r="CR6" s="758"/>
      <c r="CS6" s="758"/>
      <c r="CT6" s="758"/>
      <c r="CU6" s="758"/>
      <c r="CV6" s="758"/>
      <c r="CW6" s="758"/>
      <c r="CX6" s="758"/>
      <c r="CY6" s="758"/>
      <c r="CZ6" s="758"/>
      <c r="DA6" s="758"/>
      <c r="DB6" s="758"/>
      <c r="DC6" s="758"/>
      <c r="DD6" s="758"/>
      <c r="DE6" s="758"/>
      <c r="DF6" s="758"/>
      <c r="DG6" s="758"/>
      <c r="DH6" s="758"/>
      <c r="DI6" s="758"/>
      <c r="DJ6" s="758"/>
      <c r="DK6" s="758"/>
      <c r="DL6" s="758"/>
      <c r="DM6" s="758"/>
      <c r="DN6" s="758"/>
      <c r="DO6" s="758"/>
      <c r="DP6" s="758"/>
      <c r="DQ6" s="758"/>
      <c r="DR6" s="758"/>
      <c r="DS6" s="758"/>
    </row>
    <row r="7" spans="1:123" ht="12.75" customHeight="1">
      <c r="B7" s="35">
        <v>2</v>
      </c>
      <c r="C7" s="72" t="s">
        <v>119</v>
      </c>
      <c r="D7" s="35">
        <v>214</v>
      </c>
      <c r="E7" s="96">
        <v>0</v>
      </c>
      <c r="F7" s="73"/>
      <c r="G7" s="73" t="str">
        <f>IF(OR(ISBLANK(C7),ISBLANK(D7)),"",TEXT(C7,"000")&amp;TEXT(D7,"000"))</f>
        <v>041214</v>
      </c>
      <c r="H7" s="46"/>
      <c r="I7" s="758" t="s">
        <v>453</v>
      </c>
      <c r="J7" s="758" t="s">
        <v>131</v>
      </c>
      <c r="K7" s="215" t="s">
        <v>936</v>
      </c>
      <c r="L7" s="581" t="s">
        <v>855</v>
      </c>
      <c r="M7" s="580">
        <f t="shared" si="0"/>
        <v>0</v>
      </c>
      <c r="N7" s="580">
        <f t="shared" si="0"/>
        <v>0</v>
      </c>
      <c r="O7" s="580">
        <f t="shared" si="0"/>
        <v>0</v>
      </c>
      <c r="P7" s="580">
        <f t="shared" si="0"/>
        <v>0</v>
      </c>
      <c r="Q7" s="580">
        <f t="shared" si="0"/>
        <v>45</v>
      </c>
      <c r="R7" s="580">
        <f t="shared" si="28"/>
        <v>0</v>
      </c>
      <c r="S7" s="618">
        <v>0</v>
      </c>
      <c r="T7" s="618">
        <v>0</v>
      </c>
      <c r="U7" s="618">
        <v>0</v>
      </c>
      <c r="V7" s="618">
        <v>0</v>
      </c>
      <c r="W7" s="618">
        <v>0.94671000000000005</v>
      </c>
      <c r="X7" s="758"/>
      <c r="Y7" s="70">
        <f t="shared" si="29"/>
        <v>0</v>
      </c>
      <c r="Z7" s="70">
        <f t="shared" si="30"/>
        <v>0</v>
      </c>
      <c r="AA7" s="70">
        <f t="shared" si="31"/>
        <v>0</v>
      </c>
      <c r="AB7" s="70">
        <f t="shared" si="32"/>
        <v>0</v>
      </c>
      <c r="AC7" s="70">
        <f t="shared" si="33"/>
        <v>42.601950000000002</v>
      </c>
      <c r="AD7" s="758"/>
      <c r="AE7" s="580">
        <f t="shared" si="18"/>
        <v>0</v>
      </c>
      <c r="AF7" s="580">
        <f t="shared" si="18"/>
        <v>0</v>
      </c>
      <c r="AG7" s="580">
        <f t="shared" si="18"/>
        <v>0</v>
      </c>
      <c r="AH7" s="580">
        <f t="shared" si="18"/>
        <v>0</v>
      </c>
      <c r="AI7" s="580">
        <f t="shared" si="18"/>
        <v>45</v>
      </c>
      <c r="AJ7" s="758"/>
      <c r="AK7" s="585">
        <f t="shared" si="34"/>
        <v>0</v>
      </c>
      <c r="AL7" s="585"/>
      <c r="AM7" s="585">
        <f t="shared" si="35"/>
        <v>0</v>
      </c>
      <c r="AN7" s="585">
        <f t="shared" si="36"/>
        <v>0</v>
      </c>
      <c r="AO7" s="585">
        <f t="shared" si="37"/>
        <v>1.03</v>
      </c>
      <c r="AP7" s="758"/>
      <c r="AQ7" s="70">
        <f t="shared" si="38"/>
        <v>0</v>
      </c>
      <c r="AR7" s="70">
        <f t="shared" si="39"/>
        <v>0</v>
      </c>
      <c r="AS7" s="70">
        <f t="shared" si="40"/>
        <v>0</v>
      </c>
      <c r="AT7" s="70">
        <f t="shared" si="41"/>
        <v>0</v>
      </c>
      <c r="AU7" s="70">
        <f t="shared" ref="AU7:AU25" si="54">IF(AND(AI7&lt;&gt;0,AO7=0),#VALUE!,AI7*AO7)</f>
        <v>46.35</v>
      </c>
      <c r="AV7" s="758"/>
      <c r="AX7" s="592">
        <v>9</v>
      </c>
      <c r="AY7" s="582"/>
      <c r="AZ7" s="582"/>
      <c r="BA7" s="582"/>
      <c r="BB7" s="582"/>
      <c r="BC7" s="582">
        <v>0.99</v>
      </c>
      <c r="BD7" s="582"/>
      <c r="BE7" s="588">
        <f t="shared" si="42"/>
        <v>2.0000000000000004E-2</v>
      </c>
      <c r="BF7" s="578"/>
      <c r="BG7" s="578"/>
      <c r="BH7" s="578"/>
      <c r="BI7" s="578"/>
      <c r="BJ7" s="578">
        <f t="shared" si="43"/>
        <v>-0.01</v>
      </c>
      <c r="BK7" s="758"/>
      <c r="BL7" s="758"/>
      <c r="BM7" s="586">
        <f t="shared" si="44"/>
        <v>0</v>
      </c>
      <c r="BN7" s="586">
        <f t="shared" si="45"/>
        <v>0</v>
      </c>
      <c r="BO7" s="586">
        <f t="shared" si="46"/>
        <v>0</v>
      </c>
      <c r="BP7" s="586">
        <f t="shared" si="47"/>
        <v>0</v>
      </c>
      <c r="BQ7" s="586">
        <f t="shared" si="48"/>
        <v>1.045553</v>
      </c>
      <c r="BR7" s="758"/>
      <c r="BS7" s="578">
        <f t="shared" si="49"/>
        <v>0</v>
      </c>
      <c r="BT7" s="578">
        <f t="shared" si="50"/>
        <v>0</v>
      </c>
      <c r="BU7" s="578">
        <f t="shared" si="51"/>
        <v>0</v>
      </c>
      <c r="BV7" s="578">
        <f t="shared" si="52"/>
        <v>0</v>
      </c>
      <c r="BW7" s="578">
        <f t="shared" si="53"/>
        <v>5.5552999999999964E-2</v>
      </c>
      <c r="BX7" s="758"/>
      <c r="BY7" s="758"/>
      <c r="BZ7" s="758"/>
      <c r="CA7" s="758"/>
      <c r="CB7" s="758"/>
      <c r="CC7" s="758"/>
      <c r="CD7" s="758"/>
      <c r="CE7" s="758"/>
      <c r="CF7" s="758"/>
      <c r="CG7" s="758"/>
      <c r="CH7" s="758"/>
      <c r="CI7" s="758"/>
      <c r="CJ7" s="758"/>
      <c r="CK7" s="758"/>
      <c r="CL7" s="758"/>
      <c r="CM7" s="758"/>
      <c r="CN7" s="758"/>
      <c r="CO7" s="758"/>
      <c r="CP7" s="758"/>
      <c r="CQ7" s="758"/>
      <c r="CR7" s="758"/>
      <c r="CS7" s="758"/>
      <c r="CT7" s="758"/>
      <c r="CU7" s="758"/>
      <c r="CV7" s="758"/>
      <c r="CW7" s="758"/>
      <c r="CX7" s="758"/>
      <c r="CY7" s="758"/>
      <c r="CZ7" s="758"/>
      <c r="DA7" s="758"/>
      <c r="DB7" s="758"/>
      <c r="DC7" s="758"/>
      <c r="DD7" s="758"/>
      <c r="DE7" s="758"/>
      <c r="DF7" s="758"/>
      <c r="DG7" s="758"/>
      <c r="DH7" s="758"/>
      <c r="DI7" s="758"/>
      <c r="DJ7" s="758"/>
      <c r="DK7" s="758"/>
      <c r="DL7" s="758"/>
      <c r="DM7" s="758"/>
      <c r="DN7" s="758"/>
      <c r="DO7" s="758"/>
      <c r="DP7" s="758"/>
      <c r="DQ7" s="758"/>
      <c r="DR7" s="758"/>
      <c r="DS7" s="758"/>
    </row>
    <row r="8" spans="1:123" ht="12.75" customHeight="1">
      <c r="B8" s="35">
        <v>2</v>
      </c>
      <c r="C8" s="72" t="s">
        <v>119</v>
      </c>
      <c r="D8" s="35">
        <v>411</v>
      </c>
      <c r="E8" s="96">
        <v>1</v>
      </c>
      <c r="F8" s="73"/>
      <c r="G8" s="73" t="str">
        <f>IF(OR(ISBLANK(C8),ISBLANK(D8)),"",TEXT(C8,"000")&amp;TEXT(D8,"000"))</f>
        <v>041411</v>
      </c>
      <c r="H8" s="46"/>
      <c r="I8" s="758" t="s">
        <v>453</v>
      </c>
      <c r="J8" s="758" t="s">
        <v>131</v>
      </c>
      <c r="K8" s="215" t="s">
        <v>936</v>
      </c>
      <c r="L8" s="581" t="s">
        <v>856</v>
      </c>
      <c r="M8" s="580">
        <f t="shared" si="0"/>
        <v>0</v>
      </c>
      <c r="N8" s="580">
        <f t="shared" si="0"/>
        <v>0</v>
      </c>
      <c r="O8" s="580">
        <f t="shared" si="0"/>
        <v>0</v>
      </c>
      <c r="P8" s="580">
        <f t="shared" si="0"/>
        <v>0</v>
      </c>
      <c r="Q8" s="580">
        <f t="shared" si="0"/>
        <v>0</v>
      </c>
      <c r="R8" s="580">
        <f t="shared" si="28"/>
        <v>1</v>
      </c>
      <c r="S8" s="618">
        <v>0</v>
      </c>
      <c r="T8" s="618">
        <v>0</v>
      </c>
      <c r="U8" s="618">
        <v>0</v>
      </c>
      <c r="V8" s="618">
        <v>0</v>
      </c>
      <c r="W8" s="618">
        <v>1.36747</v>
      </c>
      <c r="X8" s="758"/>
      <c r="Y8" s="70">
        <f t="shared" si="29"/>
        <v>0</v>
      </c>
      <c r="Z8" s="70">
        <f t="shared" si="30"/>
        <v>0</v>
      </c>
      <c r="AA8" s="70">
        <f t="shared" si="31"/>
        <v>0</v>
      </c>
      <c r="AB8" s="70">
        <f t="shared" si="32"/>
        <v>0</v>
      </c>
      <c r="AC8" s="70">
        <f t="shared" si="33"/>
        <v>0</v>
      </c>
      <c r="AD8" s="758"/>
      <c r="AE8" s="580">
        <f t="shared" si="18"/>
        <v>0</v>
      </c>
      <c r="AF8" s="580">
        <f t="shared" si="18"/>
        <v>0</v>
      </c>
      <c r="AG8" s="580">
        <f t="shared" si="18"/>
        <v>0</v>
      </c>
      <c r="AH8" s="580">
        <f t="shared" si="18"/>
        <v>0</v>
      </c>
      <c r="AI8" s="580">
        <f t="shared" si="18"/>
        <v>0</v>
      </c>
      <c r="AJ8" s="758"/>
      <c r="AK8" s="585">
        <f t="shared" si="34"/>
        <v>0</v>
      </c>
      <c r="AL8" s="585"/>
      <c r="AM8" s="585">
        <f t="shared" si="35"/>
        <v>0</v>
      </c>
      <c r="AN8" s="585">
        <f t="shared" si="36"/>
        <v>0</v>
      </c>
      <c r="AO8" s="585">
        <f t="shared" si="37"/>
        <v>1.48</v>
      </c>
      <c r="AP8" s="758"/>
      <c r="AQ8" s="70">
        <f t="shared" si="38"/>
        <v>0</v>
      </c>
      <c r="AR8" s="70">
        <f t="shared" si="39"/>
        <v>0</v>
      </c>
      <c r="AS8" s="70">
        <f t="shared" si="40"/>
        <v>0</v>
      </c>
      <c r="AT8" s="70">
        <f t="shared" si="41"/>
        <v>0</v>
      </c>
      <c r="AU8" s="70">
        <f t="shared" si="54"/>
        <v>0</v>
      </c>
      <c r="AV8" s="758"/>
      <c r="AX8" s="592">
        <v>13</v>
      </c>
      <c r="AY8" s="582"/>
      <c r="AZ8" s="582"/>
      <c r="BA8" s="582"/>
      <c r="BB8" s="582"/>
      <c r="BC8" s="582">
        <v>1.42</v>
      </c>
      <c r="BD8" s="582"/>
      <c r="BE8" s="588">
        <f t="shared" si="42"/>
        <v>0.03</v>
      </c>
      <c r="BF8" s="578"/>
      <c r="BG8" s="578"/>
      <c r="BH8" s="578"/>
      <c r="BI8" s="578"/>
      <c r="BJ8" s="578">
        <f t="shared" si="43"/>
        <v>0</v>
      </c>
      <c r="BK8" s="758"/>
      <c r="BL8" s="758"/>
      <c r="BM8" s="586">
        <f t="shared" si="44"/>
        <v>0</v>
      </c>
      <c r="BN8" s="586">
        <f t="shared" si="45"/>
        <v>0</v>
      </c>
      <c r="BO8" s="586">
        <f t="shared" si="46"/>
        <v>0</v>
      </c>
      <c r="BP8" s="586">
        <f t="shared" si="47"/>
        <v>0</v>
      </c>
      <c r="BQ8" s="586">
        <f t="shared" si="48"/>
        <v>1.5023479999999998</v>
      </c>
      <c r="BR8" s="758"/>
      <c r="BS8" s="578">
        <f t="shared" si="49"/>
        <v>0</v>
      </c>
      <c r="BT8" s="578">
        <f t="shared" si="50"/>
        <v>0</v>
      </c>
      <c r="BU8" s="578">
        <f t="shared" si="51"/>
        <v>0</v>
      </c>
      <c r="BV8" s="578">
        <f t="shared" si="52"/>
        <v>0</v>
      </c>
      <c r="BW8" s="578">
        <f t="shared" si="53"/>
        <v>8.2347999999999866E-2</v>
      </c>
      <c r="BX8" s="758"/>
      <c r="BY8" s="758"/>
      <c r="BZ8" s="758"/>
      <c r="CA8" s="758"/>
      <c r="CB8" s="758"/>
      <c r="CC8" s="758"/>
      <c r="CD8" s="758"/>
      <c r="CE8" s="758"/>
      <c r="CF8" s="758"/>
      <c r="CG8" s="758"/>
      <c r="CH8" s="758"/>
      <c r="CI8" s="758"/>
      <c r="CJ8" s="758"/>
      <c r="CK8" s="758"/>
      <c r="CL8" s="758"/>
      <c r="CM8" s="758"/>
      <c r="CN8" s="758"/>
      <c r="CO8" s="758"/>
      <c r="CP8" s="758"/>
      <c r="CQ8" s="758"/>
      <c r="CR8" s="758"/>
      <c r="CS8" s="758"/>
      <c r="CT8" s="758"/>
      <c r="CU8" s="758"/>
      <c r="CV8" s="758"/>
      <c r="CW8" s="758"/>
      <c r="CX8" s="758"/>
      <c r="CY8" s="758"/>
      <c r="CZ8" s="758"/>
      <c r="DA8" s="758"/>
      <c r="DB8" s="758"/>
      <c r="DC8" s="758"/>
      <c r="DD8" s="758"/>
      <c r="DE8" s="758"/>
      <c r="DF8" s="758"/>
      <c r="DG8" s="758"/>
      <c r="DH8" s="758"/>
      <c r="DI8" s="758"/>
      <c r="DJ8" s="758"/>
      <c r="DK8" s="758"/>
      <c r="DL8" s="758"/>
      <c r="DM8" s="758"/>
      <c r="DN8" s="758"/>
      <c r="DO8" s="758"/>
      <c r="DP8" s="758"/>
      <c r="DQ8" s="758"/>
      <c r="DR8" s="758"/>
      <c r="DS8" s="758"/>
    </row>
    <row r="9" spans="1:123">
      <c r="B9" s="35">
        <v>2</v>
      </c>
      <c r="C9" s="72" t="s">
        <v>119</v>
      </c>
      <c r="D9" s="35">
        <v>511</v>
      </c>
      <c r="E9" s="700">
        <v>0</v>
      </c>
      <c r="F9" s="73"/>
      <c r="G9" s="73" t="str">
        <f>IF(OR(ISBLANK(C9),ISBLANK(D9)),"",TEXT(C9,"000")&amp;TEXT(D9,"000"))</f>
        <v>041511</v>
      </c>
      <c r="H9" s="46"/>
      <c r="I9" s="758" t="s">
        <v>453</v>
      </c>
      <c r="J9" s="758" t="s">
        <v>131</v>
      </c>
      <c r="K9" s="215" t="s">
        <v>936</v>
      </c>
      <c r="L9" s="581" t="s">
        <v>857</v>
      </c>
      <c r="M9" s="580">
        <f t="shared" si="0"/>
        <v>0</v>
      </c>
      <c r="N9" s="580">
        <f t="shared" si="0"/>
        <v>0</v>
      </c>
      <c r="O9" s="580">
        <f t="shared" si="0"/>
        <v>0</v>
      </c>
      <c r="P9" s="580">
        <f t="shared" si="0"/>
        <v>0</v>
      </c>
      <c r="Q9" s="580">
        <f t="shared" si="0"/>
        <v>0</v>
      </c>
      <c r="R9" s="580">
        <f t="shared" si="28"/>
        <v>1</v>
      </c>
      <c r="S9" s="618">
        <v>0</v>
      </c>
      <c r="T9" s="618">
        <v>0</v>
      </c>
      <c r="U9" s="618">
        <v>0</v>
      </c>
      <c r="V9" s="618">
        <v>0</v>
      </c>
      <c r="W9" s="618">
        <v>1.6830400000000001</v>
      </c>
      <c r="X9" s="758"/>
      <c r="Y9" s="70">
        <f t="shared" si="29"/>
        <v>0</v>
      </c>
      <c r="Z9" s="70">
        <f t="shared" si="30"/>
        <v>0</v>
      </c>
      <c r="AA9" s="70">
        <f t="shared" si="31"/>
        <v>0</v>
      </c>
      <c r="AB9" s="70">
        <f t="shared" si="32"/>
        <v>0</v>
      </c>
      <c r="AC9" s="70">
        <f t="shared" si="33"/>
        <v>0</v>
      </c>
      <c r="AD9" s="758"/>
      <c r="AE9" s="580">
        <f t="shared" si="18"/>
        <v>0</v>
      </c>
      <c r="AF9" s="580">
        <f t="shared" si="18"/>
        <v>0</v>
      </c>
      <c r="AG9" s="580">
        <f t="shared" si="18"/>
        <v>0</v>
      </c>
      <c r="AH9" s="580">
        <f t="shared" si="18"/>
        <v>0</v>
      </c>
      <c r="AI9" s="580">
        <f t="shared" si="18"/>
        <v>0</v>
      </c>
      <c r="AJ9" s="758"/>
      <c r="AK9" s="585">
        <f t="shared" si="34"/>
        <v>0</v>
      </c>
      <c r="AL9" s="585"/>
      <c r="AM9" s="585">
        <f t="shared" si="35"/>
        <v>0</v>
      </c>
      <c r="AN9" s="585">
        <f t="shared" si="36"/>
        <v>0</v>
      </c>
      <c r="AO9" s="585">
        <f t="shared" si="37"/>
        <v>1.82</v>
      </c>
      <c r="AP9" s="758"/>
      <c r="AQ9" s="70">
        <f t="shared" si="38"/>
        <v>0</v>
      </c>
      <c r="AR9" s="70">
        <f t="shared" si="39"/>
        <v>0</v>
      </c>
      <c r="AS9" s="70">
        <f t="shared" si="40"/>
        <v>0</v>
      </c>
      <c r="AT9" s="70">
        <f t="shared" si="41"/>
        <v>0</v>
      </c>
      <c r="AU9" s="70">
        <f t="shared" si="54"/>
        <v>0</v>
      </c>
      <c r="AV9" s="758"/>
      <c r="AX9" s="592">
        <v>16</v>
      </c>
      <c r="AY9" s="582"/>
      <c r="AZ9" s="582"/>
      <c r="BA9" s="582"/>
      <c r="BB9" s="582"/>
      <c r="BC9" s="582">
        <v>1.74</v>
      </c>
      <c r="BD9" s="582"/>
      <c r="BE9" s="588">
        <f t="shared" si="42"/>
        <v>0.03</v>
      </c>
      <c r="BF9" s="578"/>
      <c r="BG9" s="578"/>
      <c r="BH9" s="578"/>
      <c r="BI9" s="578"/>
      <c r="BJ9" s="578">
        <f t="shared" si="43"/>
        <v>0</v>
      </c>
      <c r="BK9" s="758"/>
      <c r="BL9" s="758"/>
      <c r="BM9" s="586">
        <f t="shared" si="44"/>
        <v>0</v>
      </c>
      <c r="BN9" s="586">
        <f t="shared" si="45"/>
        <v>0</v>
      </c>
      <c r="BO9" s="586">
        <f t="shared" si="46"/>
        <v>0</v>
      </c>
      <c r="BP9" s="586">
        <f t="shared" si="47"/>
        <v>0</v>
      </c>
      <c r="BQ9" s="586">
        <f t="shared" si="48"/>
        <v>1.8474819999999998</v>
      </c>
      <c r="BR9" s="758"/>
      <c r="BS9" s="578">
        <f t="shared" si="49"/>
        <v>0</v>
      </c>
      <c r="BT9" s="578">
        <f t="shared" si="50"/>
        <v>0</v>
      </c>
      <c r="BU9" s="578">
        <f t="shared" si="51"/>
        <v>0</v>
      </c>
      <c r="BV9" s="578">
        <f t="shared" si="52"/>
        <v>0</v>
      </c>
      <c r="BW9" s="578">
        <f t="shared" si="53"/>
        <v>0.10748199999999986</v>
      </c>
      <c r="BX9" s="758"/>
      <c r="BY9" s="758"/>
      <c r="BZ9" s="758"/>
      <c r="CA9" s="758"/>
      <c r="CB9" s="758"/>
      <c r="CC9" s="758"/>
      <c r="CD9" s="758"/>
      <c r="CE9" s="758"/>
      <c r="CF9" s="758"/>
      <c r="CG9" s="758"/>
      <c r="CH9" s="758"/>
      <c r="CI9" s="758"/>
      <c r="CJ9" s="758"/>
      <c r="CK9" s="758"/>
      <c r="CL9" s="758"/>
      <c r="CM9" s="758"/>
      <c r="CN9" s="758"/>
      <c r="CO9" s="758"/>
      <c r="CP9" s="758"/>
      <c r="CQ9" s="758"/>
      <c r="CR9" s="758"/>
      <c r="CS9" s="758"/>
      <c r="CT9" s="758"/>
      <c r="CU9" s="758"/>
      <c r="CV9" s="758"/>
      <c r="CW9" s="758"/>
      <c r="CX9" s="758"/>
      <c r="CY9" s="758"/>
      <c r="CZ9" s="758"/>
      <c r="DA9" s="758"/>
      <c r="DB9" s="758"/>
      <c r="DC9" s="758"/>
      <c r="DD9" s="758"/>
      <c r="DE9" s="758"/>
      <c r="DF9" s="758"/>
      <c r="DG9" s="758"/>
      <c r="DH9" s="758"/>
      <c r="DI9" s="758"/>
      <c r="DJ9" s="758"/>
      <c r="DK9" s="758"/>
      <c r="DL9" s="758"/>
      <c r="DM9" s="758"/>
      <c r="DN9" s="758"/>
      <c r="DO9" s="758"/>
      <c r="DP9" s="758"/>
      <c r="DQ9" s="758"/>
      <c r="DR9" s="758"/>
      <c r="DS9" s="758"/>
    </row>
    <row r="10" spans="1:123">
      <c r="B10" s="35">
        <v>2</v>
      </c>
      <c r="C10" s="72" t="s">
        <v>119</v>
      </c>
      <c r="D10" s="35">
        <v>611</v>
      </c>
      <c r="E10" s="96">
        <v>6</v>
      </c>
      <c r="F10" s="73"/>
      <c r="G10" s="73" t="str">
        <f>IF(OR(ISBLANK(C10),ISBLANK(D10)),"",TEXT(C10,"000")&amp;TEXT(D10,"000"))</f>
        <v>041611</v>
      </c>
      <c r="H10" s="46"/>
      <c r="I10" s="758" t="s">
        <v>453</v>
      </c>
      <c r="J10" s="758" t="s">
        <v>131</v>
      </c>
      <c r="K10" s="215" t="s">
        <v>936</v>
      </c>
      <c r="L10" s="581" t="s">
        <v>858</v>
      </c>
      <c r="M10" s="580">
        <f t="shared" si="0"/>
        <v>0</v>
      </c>
      <c r="N10" s="580">
        <f t="shared" si="0"/>
        <v>0</v>
      </c>
      <c r="O10" s="580">
        <f t="shared" si="0"/>
        <v>0</v>
      </c>
      <c r="P10" s="580">
        <f t="shared" si="0"/>
        <v>0</v>
      </c>
      <c r="Q10" s="580">
        <f t="shared" si="0"/>
        <v>0</v>
      </c>
      <c r="R10" s="580">
        <f t="shared" si="28"/>
        <v>1</v>
      </c>
      <c r="S10" s="618">
        <v>0</v>
      </c>
      <c r="T10" s="618">
        <v>0</v>
      </c>
      <c r="U10" s="618">
        <v>0</v>
      </c>
      <c r="V10" s="618">
        <v>0</v>
      </c>
      <c r="W10" s="618">
        <v>2.1038000000000001</v>
      </c>
      <c r="X10" s="758"/>
      <c r="Y10" s="70">
        <f t="shared" si="29"/>
        <v>0</v>
      </c>
      <c r="Z10" s="70">
        <f t="shared" si="30"/>
        <v>0</v>
      </c>
      <c r="AA10" s="70">
        <f t="shared" si="31"/>
        <v>0</v>
      </c>
      <c r="AB10" s="70">
        <f t="shared" si="32"/>
        <v>0</v>
      </c>
      <c r="AC10" s="70">
        <f t="shared" si="33"/>
        <v>0</v>
      </c>
      <c r="AD10" s="758"/>
      <c r="AE10" s="580">
        <f t="shared" si="18"/>
        <v>0</v>
      </c>
      <c r="AF10" s="580">
        <f t="shared" si="18"/>
        <v>0</v>
      </c>
      <c r="AG10" s="580">
        <f t="shared" si="18"/>
        <v>0</v>
      </c>
      <c r="AH10" s="580">
        <f t="shared" si="18"/>
        <v>0</v>
      </c>
      <c r="AI10" s="580">
        <f t="shared" si="18"/>
        <v>0</v>
      </c>
      <c r="AJ10" s="758"/>
      <c r="AK10" s="585">
        <f t="shared" si="34"/>
        <v>0</v>
      </c>
      <c r="AL10" s="585"/>
      <c r="AM10" s="585">
        <f t="shared" si="35"/>
        <v>0</v>
      </c>
      <c r="AN10" s="585">
        <f t="shared" si="36"/>
        <v>0</v>
      </c>
      <c r="AO10" s="585">
        <f t="shared" si="37"/>
        <v>2.2799999999999998</v>
      </c>
      <c r="AP10" s="758"/>
      <c r="AQ10" s="70">
        <f t="shared" si="38"/>
        <v>0</v>
      </c>
      <c r="AR10" s="70">
        <f t="shared" si="39"/>
        <v>0</v>
      </c>
      <c r="AS10" s="70">
        <f t="shared" si="40"/>
        <v>0</v>
      </c>
      <c r="AT10" s="70">
        <f t="shared" si="41"/>
        <v>0</v>
      </c>
      <c r="AU10" s="70">
        <f t="shared" si="54"/>
        <v>0</v>
      </c>
      <c r="AV10" s="758"/>
      <c r="AX10" s="592">
        <v>20</v>
      </c>
      <c r="AY10" s="582"/>
      <c r="AZ10" s="582"/>
      <c r="BA10" s="582"/>
      <c r="BB10" s="582"/>
      <c r="BC10" s="582">
        <v>2.17</v>
      </c>
      <c r="BD10" s="582"/>
      <c r="BE10" s="588">
        <f t="shared" si="42"/>
        <v>5.0000000000000017E-2</v>
      </c>
      <c r="BF10" s="578"/>
      <c r="BG10" s="578"/>
      <c r="BH10" s="578"/>
      <c r="BI10" s="578"/>
      <c r="BJ10" s="578">
        <f t="shared" si="43"/>
        <v>0.02</v>
      </c>
      <c r="BK10" s="758"/>
      <c r="BL10" s="758"/>
      <c r="BM10" s="586">
        <f t="shared" si="44"/>
        <v>0</v>
      </c>
      <c r="BN10" s="586">
        <f t="shared" si="45"/>
        <v>0</v>
      </c>
      <c r="BO10" s="586">
        <f t="shared" si="46"/>
        <v>0</v>
      </c>
      <c r="BP10" s="586">
        <f t="shared" si="47"/>
        <v>0</v>
      </c>
      <c r="BQ10" s="586">
        <f t="shared" si="48"/>
        <v>2.3144279999999995</v>
      </c>
      <c r="BR10" s="758"/>
      <c r="BS10" s="578">
        <f t="shared" si="49"/>
        <v>0</v>
      </c>
      <c r="BT10" s="578">
        <f t="shared" si="50"/>
        <v>0</v>
      </c>
      <c r="BU10" s="578">
        <f t="shared" si="51"/>
        <v>0</v>
      </c>
      <c r="BV10" s="578">
        <f t="shared" si="52"/>
        <v>0</v>
      </c>
      <c r="BW10" s="578">
        <f t="shared" si="53"/>
        <v>0.14442799999999956</v>
      </c>
      <c r="BX10" s="758"/>
      <c r="BY10" s="758"/>
      <c r="BZ10" s="758"/>
      <c r="CA10" s="758"/>
      <c r="CB10" s="758"/>
      <c r="CC10" s="758"/>
      <c r="CD10" s="758"/>
      <c r="CE10" s="758"/>
      <c r="CF10" s="758"/>
      <c r="CG10" s="758"/>
      <c r="CH10" s="758"/>
      <c r="CI10" s="758"/>
      <c r="CJ10" s="758"/>
      <c r="CK10" s="758"/>
      <c r="CL10" s="758"/>
      <c r="CM10" s="758"/>
      <c r="CN10" s="758"/>
      <c r="CO10" s="758"/>
      <c r="CP10" s="758"/>
      <c r="CQ10" s="758"/>
      <c r="CR10" s="758"/>
      <c r="CS10" s="758"/>
      <c r="CT10" s="758"/>
      <c r="CU10" s="758"/>
      <c r="CV10" s="758"/>
      <c r="CW10" s="758"/>
      <c r="CX10" s="758"/>
      <c r="CY10" s="758"/>
      <c r="CZ10" s="758"/>
      <c r="DA10" s="758"/>
      <c r="DB10" s="758"/>
      <c r="DC10" s="758"/>
      <c r="DD10" s="758"/>
      <c r="DE10" s="758"/>
      <c r="DF10" s="758"/>
      <c r="DG10" s="758"/>
      <c r="DH10" s="758"/>
      <c r="DI10" s="758"/>
      <c r="DJ10" s="758"/>
      <c r="DK10" s="758"/>
      <c r="DL10" s="758"/>
      <c r="DM10" s="758"/>
      <c r="DN10" s="758"/>
      <c r="DO10" s="758"/>
      <c r="DP10" s="758"/>
      <c r="DQ10" s="758"/>
      <c r="DR10" s="758"/>
      <c r="DS10" s="758"/>
    </row>
    <row r="11" spans="1:123">
      <c r="C11" s="72"/>
      <c r="E11" s="74">
        <f>SUM(E7:E10)</f>
        <v>7</v>
      </c>
      <c r="F11" s="75"/>
      <c r="G11" s="73"/>
      <c r="H11" s="46"/>
      <c r="I11" s="758" t="s">
        <v>453</v>
      </c>
      <c r="J11" s="758" t="s">
        <v>131</v>
      </c>
      <c r="K11" s="215" t="s">
        <v>936</v>
      </c>
      <c r="L11" s="581" t="s">
        <v>859</v>
      </c>
      <c r="M11" s="580">
        <f t="shared" si="0"/>
        <v>0</v>
      </c>
      <c r="N11" s="580">
        <f t="shared" si="0"/>
        <v>0</v>
      </c>
      <c r="O11" s="580">
        <f t="shared" si="0"/>
        <v>0</v>
      </c>
      <c r="P11" s="580">
        <f t="shared" si="0"/>
        <v>0</v>
      </c>
      <c r="Q11" s="580">
        <f t="shared" si="0"/>
        <v>0</v>
      </c>
      <c r="R11" s="580">
        <f t="shared" si="28"/>
        <v>1</v>
      </c>
      <c r="S11" s="618">
        <v>0</v>
      </c>
      <c r="T11" s="618">
        <v>0</v>
      </c>
      <c r="U11" s="618">
        <v>0</v>
      </c>
      <c r="V11" s="618">
        <v>0</v>
      </c>
      <c r="W11" s="618">
        <v>2.4193700000000002</v>
      </c>
      <c r="X11" s="758"/>
      <c r="Y11" s="70">
        <f t="shared" si="29"/>
        <v>0</v>
      </c>
      <c r="Z11" s="70">
        <f t="shared" si="30"/>
        <v>0</v>
      </c>
      <c r="AA11" s="70">
        <f t="shared" si="31"/>
        <v>0</v>
      </c>
      <c r="AB11" s="70">
        <f t="shared" si="32"/>
        <v>0</v>
      </c>
      <c r="AC11" s="70">
        <f t="shared" si="33"/>
        <v>0</v>
      </c>
      <c r="AD11" s="758"/>
      <c r="AE11" s="580">
        <f t="shared" si="18"/>
        <v>0</v>
      </c>
      <c r="AF11" s="580">
        <f t="shared" si="18"/>
        <v>0</v>
      </c>
      <c r="AG11" s="580">
        <f t="shared" si="18"/>
        <v>0</v>
      </c>
      <c r="AH11" s="580">
        <f t="shared" si="18"/>
        <v>0</v>
      </c>
      <c r="AI11" s="580">
        <f t="shared" si="18"/>
        <v>0</v>
      </c>
      <c r="AJ11" s="758"/>
      <c r="AK11" s="585">
        <f t="shared" si="34"/>
        <v>0</v>
      </c>
      <c r="AL11" s="585"/>
      <c r="AM11" s="585">
        <f t="shared" si="35"/>
        <v>0</v>
      </c>
      <c r="AN11" s="585">
        <f t="shared" si="36"/>
        <v>0</v>
      </c>
      <c r="AO11" s="585">
        <f t="shared" si="37"/>
        <v>2.62</v>
      </c>
      <c r="AP11" s="758"/>
      <c r="AQ11" s="70">
        <f t="shared" si="38"/>
        <v>0</v>
      </c>
      <c r="AR11" s="70">
        <f t="shared" si="39"/>
        <v>0</v>
      </c>
      <c r="AS11" s="70">
        <f t="shared" si="40"/>
        <v>0</v>
      </c>
      <c r="AT11" s="70">
        <f t="shared" si="41"/>
        <v>0</v>
      </c>
      <c r="AU11" s="70">
        <f t="shared" si="54"/>
        <v>0</v>
      </c>
      <c r="AV11" s="758"/>
      <c r="AX11" s="592">
        <v>23</v>
      </c>
      <c r="AY11" s="582"/>
      <c r="AZ11" s="582"/>
      <c r="BA11" s="582"/>
      <c r="BB11" s="582"/>
      <c r="BC11" s="582">
        <v>2.5099999999999998</v>
      </c>
      <c r="BD11" s="582"/>
      <c r="BE11" s="588">
        <f t="shared" si="42"/>
        <v>4.9999999999999989E-2</v>
      </c>
      <c r="BF11" s="578"/>
      <c r="BG11" s="578"/>
      <c r="BH11" s="578"/>
      <c r="BI11" s="578"/>
      <c r="BJ11" s="578">
        <f t="shared" si="43"/>
        <v>0</v>
      </c>
      <c r="BK11" s="758"/>
      <c r="BL11" s="758"/>
      <c r="BM11" s="586">
        <f t="shared" si="44"/>
        <v>0</v>
      </c>
      <c r="BN11" s="586">
        <f t="shared" si="45"/>
        <v>0</v>
      </c>
      <c r="BO11" s="586">
        <f t="shared" si="46"/>
        <v>0</v>
      </c>
      <c r="BP11" s="586">
        <f t="shared" si="47"/>
        <v>0</v>
      </c>
      <c r="BQ11" s="586">
        <f t="shared" si="48"/>
        <v>2.6595619999999998</v>
      </c>
      <c r="BR11" s="758"/>
      <c r="BS11" s="578">
        <f t="shared" si="49"/>
        <v>0</v>
      </c>
      <c r="BT11" s="578">
        <f t="shared" si="50"/>
        <v>0</v>
      </c>
      <c r="BU11" s="578">
        <f t="shared" si="51"/>
        <v>0</v>
      </c>
      <c r="BV11" s="578">
        <f t="shared" si="52"/>
        <v>0</v>
      </c>
      <c r="BW11" s="578">
        <f t="shared" si="53"/>
        <v>0.14956199999999997</v>
      </c>
      <c r="BX11" s="758"/>
      <c r="BY11" s="758"/>
      <c r="BZ11" s="758"/>
      <c r="CA11" s="758"/>
      <c r="CB11" s="758"/>
      <c r="CC11" s="758"/>
      <c r="CD11" s="758"/>
      <c r="CE11" s="758"/>
      <c r="CF11" s="758"/>
      <c r="CG11" s="758"/>
      <c r="CH11" s="758"/>
      <c r="CI11" s="758"/>
      <c r="CJ11" s="758"/>
      <c r="CK11" s="758"/>
      <c r="CL11" s="758"/>
      <c r="CM11" s="758"/>
      <c r="CN11" s="758"/>
      <c r="CO11" s="758"/>
      <c r="CP11" s="758"/>
      <c r="CQ11" s="758"/>
      <c r="CR11" s="758"/>
      <c r="CS11" s="758"/>
      <c r="CT11" s="758"/>
      <c r="CU11" s="758"/>
      <c r="CV11" s="758"/>
      <c r="CW11" s="758"/>
      <c r="CX11" s="758"/>
      <c r="CY11" s="758"/>
      <c r="CZ11" s="758"/>
      <c r="DA11" s="758"/>
      <c r="DB11" s="758"/>
      <c r="DC11" s="758"/>
      <c r="DD11" s="758"/>
      <c r="DE11" s="758"/>
      <c r="DF11" s="758"/>
      <c r="DG11" s="758"/>
      <c r="DH11" s="758"/>
      <c r="DI11" s="758"/>
      <c r="DJ11" s="758"/>
      <c r="DK11" s="758"/>
      <c r="DL11" s="758"/>
      <c r="DM11" s="758"/>
      <c r="DN11" s="758"/>
      <c r="DO11" s="758"/>
      <c r="DP11" s="758"/>
      <c r="DQ11" s="758"/>
      <c r="DR11" s="758"/>
      <c r="DS11" s="758"/>
    </row>
    <row r="12" spans="1:123">
      <c r="E12" s="73"/>
      <c r="F12" s="73"/>
      <c r="G12" s="73" t="str">
        <f t="shared" ref="G12:G41" si="55">IF(OR(ISBLANK(C12),ISBLANK(D12)),"",TEXT(C12,"000")&amp;TEXT(D12,"000"))</f>
        <v/>
      </c>
      <c r="I12" s="758" t="s">
        <v>453</v>
      </c>
      <c r="J12" s="758" t="s">
        <v>131</v>
      </c>
      <c r="K12" s="215" t="s">
        <v>936</v>
      </c>
      <c r="L12" s="581" t="s">
        <v>860</v>
      </c>
      <c r="M12" s="580">
        <f t="shared" si="0"/>
        <v>0</v>
      </c>
      <c r="N12" s="580">
        <f t="shared" si="0"/>
        <v>0</v>
      </c>
      <c r="O12" s="580">
        <f t="shared" si="0"/>
        <v>0</v>
      </c>
      <c r="P12" s="580">
        <f t="shared" si="0"/>
        <v>0</v>
      </c>
      <c r="Q12" s="580">
        <f t="shared" si="0"/>
        <v>0</v>
      </c>
      <c r="R12" s="580">
        <f t="shared" si="28"/>
        <v>1</v>
      </c>
      <c r="S12" s="618">
        <v>0</v>
      </c>
      <c r="T12" s="618">
        <v>0</v>
      </c>
      <c r="U12" s="618">
        <v>0</v>
      </c>
      <c r="V12" s="618">
        <v>0</v>
      </c>
      <c r="W12" s="618">
        <v>2.8401300000000003</v>
      </c>
      <c r="X12" s="758"/>
      <c r="Y12" s="70">
        <f t="shared" si="29"/>
        <v>0</v>
      </c>
      <c r="Z12" s="70">
        <f t="shared" si="30"/>
        <v>0</v>
      </c>
      <c r="AA12" s="70">
        <f t="shared" si="31"/>
        <v>0</v>
      </c>
      <c r="AB12" s="70">
        <f t="shared" si="32"/>
        <v>0</v>
      </c>
      <c r="AC12" s="70">
        <f t="shared" si="33"/>
        <v>0</v>
      </c>
      <c r="AD12" s="758"/>
      <c r="AE12" s="580">
        <f t="shared" si="18"/>
        <v>0</v>
      </c>
      <c r="AF12" s="580">
        <f t="shared" si="18"/>
        <v>0</v>
      </c>
      <c r="AG12" s="580">
        <f t="shared" si="18"/>
        <v>0</v>
      </c>
      <c r="AH12" s="580">
        <f t="shared" si="18"/>
        <v>0</v>
      </c>
      <c r="AI12" s="580">
        <f t="shared" si="18"/>
        <v>0</v>
      </c>
      <c r="AJ12" s="758"/>
      <c r="AK12" s="585">
        <f t="shared" si="34"/>
        <v>0</v>
      </c>
      <c r="AL12" s="585"/>
      <c r="AM12" s="585">
        <f t="shared" si="35"/>
        <v>0</v>
      </c>
      <c r="AN12" s="585">
        <f t="shared" si="36"/>
        <v>0</v>
      </c>
      <c r="AO12" s="585">
        <f t="shared" si="37"/>
        <v>3.08</v>
      </c>
      <c r="AP12" s="758"/>
      <c r="AQ12" s="70">
        <f t="shared" si="38"/>
        <v>0</v>
      </c>
      <c r="AR12" s="70">
        <f t="shared" si="39"/>
        <v>0</v>
      </c>
      <c r="AS12" s="70">
        <f t="shared" si="40"/>
        <v>0</v>
      </c>
      <c r="AT12" s="70">
        <f t="shared" si="41"/>
        <v>0</v>
      </c>
      <c r="AU12" s="70">
        <f t="shared" si="54"/>
        <v>0</v>
      </c>
      <c r="AV12" s="758"/>
      <c r="AX12" s="592">
        <v>27</v>
      </c>
      <c r="AY12" s="582"/>
      <c r="AZ12" s="582"/>
      <c r="BA12" s="582"/>
      <c r="BB12" s="582"/>
      <c r="BC12" s="582">
        <v>2.95</v>
      </c>
      <c r="BD12" s="582"/>
      <c r="BE12" s="588">
        <f t="shared" si="42"/>
        <v>0.06</v>
      </c>
      <c r="BF12" s="578"/>
      <c r="BG12" s="578"/>
      <c r="BH12" s="578"/>
      <c r="BI12" s="578"/>
      <c r="BJ12" s="578">
        <f t="shared" si="43"/>
        <v>-0.01</v>
      </c>
      <c r="BK12" s="758"/>
      <c r="BL12" s="758"/>
      <c r="BM12" s="586">
        <f t="shared" si="44"/>
        <v>0</v>
      </c>
      <c r="BN12" s="586">
        <f t="shared" si="45"/>
        <v>0</v>
      </c>
      <c r="BO12" s="586">
        <f t="shared" si="46"/>
        <v>0</v>
      </c>
      <c r="BP12" s="586">
        <f t="shared" si="47"/>
        <v>0</v>
      </c>
      <c r="BQ12" s="586">
        <f t="shared" si="48"/>
        <v>3.1265079999999998</v>
      </c>
      <c r="BR12" s="758"/>
      <c r="BS12" s="578">
        <f t="shared" si="49"/>
        <v>0</v>
      </c>
      <c r="BT12" s="578">
        <f t="shared" si="50"/>
        <v>0</v>
      </c>
      <c r="BU12" s="578">
        <f t="shared" si="51"/>
        <v>0</v>
      </c>
      <c r="BV12" s="578">
        <f t="shared" si="52"/>
        <v>0</v>
      </c>
      <c r="BW12" s="578">
        <f t="shared" si="53"/>
        <v>0.17650799999999967</v>
      </c>
      <c r="BX12" s="758"/>
      <c r="BY12" s="758"/>
      <c r="BZ12" s="758"/>
      <c r="CA12" s="758"/>
      <c r="CB12" s="758"/>
      <c r="CC12" s="758"/>
      <c r="CD12" s="758"/>
      <c r="CE12" s="758"/>
      <c r="CF12" s="758"/>
      <c r="CG12" s="758"/>
      <c r="CH12" s="758"/>
      <c r="CI12" s="758"/>
      <c r="CJ12" s="758"/>
      <c r="CK12" s="758"/>
      <c r="CL12" s="758"/>
      <c r="CM12" s="758"/>
      <c r="CN12" s="758"/>
      <c r="CO12" s="758"/>
      <c r="CP12" s="758"/>
      <c r="CQ12" s="758"/>
      <c r="CR12" s="758"/>
      <c r="CS12" s="758"/>
      <c r="CT12" s="758"/>
      <c r="CU12" s="758"/>
      <c r="CV12" s="758"/>
      <c r="CW12" s="758"/>
      <c r="CX12" s="758"/>
      <c r="CY12" s="758"/>
      <c r="CZ12" s="758"/>
      <c r="DA12" s="758"/>
      <c r="DB12" s="758"/>
      <c r="DC12" s="758"/>
      <c r="DD12" s="758"/>
      <c r="DE12" s="758"/>
      <c r="DF12" s="758"/>
      <c r="DG12" s="758"/>
      <c r="DH12" s="758"/>
      <c r="DI12" s="758"/>
      <c r="DJ12" s="758"/>
      <c r="DK12" s="758"/>
      <c r="DL12" s="758"/>
      <c r="DM12" s="758"/>
      <c r="DN12" s="758"/>
      <c r="DO12" s="758"/>
      <c r="DP12" s="758"/>
      <c r="DQ12" s="758"/>
      <c r="DR12" s="758"/>
      <c r="DS12" s="758"/>
    </row>
    <row r="13" spans="1:123">
      <c r="B13" s="35">
        <v>2</v>
      </c>
      <c r="C13" s="72" t="s">
        <v>120</v>
      </c>
      <c r="D13" s="35">
        <v>234</v>
      </c>
      <c r="E13" s="561">
        <v>96</v>
      </c>
      <c r="F13" s="73"/>
      <c r="G13" s="73" t="str">
        <f t="shared" si="55"/>
        <v>042234</v>
      </c>
      <c r="H13" s="46"/>
      <c r="I13" s="758" t="s">
        <v>453</v>
      </c>
      <c r="J13" s="758" t="s">
        <v>131</v>
      </c>
      <c r="K13" s="215" t="s">
        <v>936</v>
      </c>
      <c r="L13" s="581" t="s">
        <v>861</v>
      </c>
      <c r="M13" s="580">
        <f t="shared" si="0"/>
        <v>0</v>
      </c>
      <c r="N13" s="580">
        <f t="shared" si="0"/>
        <v>0</v>
      </c>
      <c r="O13" s="580">
        <f t="shared" si="0"/>
        <v>0</v>
      </c>
      <c r="P13" s="580">
        <f t="shared" si="0"/>
        <v>0</v>
      </c>
      <c r="Q13" s="580">
        <f t="shared" si="0"/>
        <v>0</v>
      </c>
      <c r="R13" s="580">
        <f t="shared" si="28"/>
        <v>1</v>
      </c>
      <c r="S13" s="618">
        <v>0</v>
      </c>
      <c r="T13" s="618">
        <v>0</v>
      </c>
      <c r="U13" s="618">
        <v>0</v>
      </c>
      <c r="V13" s="618">
        <v>0</v>
      </c>
      <c r="W13" s="618">
        <v>3.2608900000000003</v>
      </c>
      <c r="X13" s="758"/>
      <c r="Y13" s="70">
        <f t="shared" si="29"/>
        <v>0</v>
      </c>
      <c r="Z13" s="70">
        <f t="shared" si="30"/>
        <v>0</v>
      </c>
      <c r="AA13" s="70">
        <f t="shared" si="31"/>
        <v>0</v>
      </c>
      <c r="AB13" s="70">
        <f t="shared" si="32"/>
        <v>0</v>
      </c>
      <c r="AC13" s="70">
        <f t="shared" si="33"/>
        <v>0</v>
      </c>
      <c r="AD13" s="758"/>
      <c r="AE13" s="580">
        <f t="shared" si="18"/>
        <v>0</v>
      </c>
      <c r="AF13" s="580">
        <f t="shared" si="18"/>
        <v>0</v>
      </c>
      <c r="AG13" s="580">
        <f t="shared" si="18"/>
        <v>0</v>
      </c>
      <c r="AH13" s="580">
        <f t="shared" si="18"/>
        <v>0</v>
      </c>
      <c r="AI13" s="580">
        <f t="shared" si="18"/>
        <v>0</v>
      </c>
      <c r="AJ13" s="758"/>
      <c r="AK13" s="585">
        <f t="shared" si="34"/>
        <v>0</v>
      </c>
      <c r="AL13" s="585"/>
      <c r="AM13" s="585">
        <f t="shared" si="35"/>
        <v>0</v>
      </c>
      <c r="AN13" s="585">
        <f t="shared" si="36"/>
        <v>0</v>
      </c>
      <c r="AO13" s="585">
        <f t="shared" si="37"/>
        <v>3.53</v>
      </c>
      <c r="AP13" s="758"/>
      <c r="AQ13" s="70">
        <f t="shared" si="38"/>
        <v>0</v>
      </c>
      <c r="AR13" s="70">
        <f t="shared" si="39"/>
        <v>0</v>
      </c>
      <c r="AS13" s="70">
        <f t="shared" si="40"/>
        <v>0</v>
      </c>
      <c r="AT13" s="70">
        <f t="shared" si="41"/>
        <v>0</v>
      </c>
      <c r="AU13" s="70">
        <f t="shared" si="54"/>
        <v>0</v>
      </c>
      <c r="AV13" s="758"/>
      <c r="AX13" s="592">
        <v>31</v>
      </c>
      <c r="AY13" s="582"/>
      <c r="AZ13" s="582"/>
      <c r="BA13" s="582"/>
      <c r="BB13" s="582"/>
      <c r="BC13" s="582">
        <v>3.38</v>
      </c>
      <c r="BD13" s="582"/>
      <c r="BE13" s="588">
        <f t="shared" si="42"/>
        <v>7.0000000000000007E-2</v>
      </c>
      <c r="BF13" s="578"/>
      <c r="BG13" s="578"/>
      <c r="BH13" s="578"/>
      <c r="BI13" s="578"/>
      <c r="BJ13" s="578">
        <f t="shared" si="43"/>
        <v>0</v>
      </c>
      <c r="BK13" s="758"/>
      <c r="BL13" s="758"/>
      <c r="BM13" s="586">
        <f t="shared" si="44"/>
        <v>0</v>
      </c>
      <c r="BN13" s="586">
        <f t="shared" si="45"/>
        <v>0</v>
      </c>
      <c r="BO13" s="586">
        <f t="shared" si="46"/>
        <v>0</v>
      </c>
      <c r="BP13" s="586">
        <f t="shared" si="47"/>
        <v>0</v>
      </c>
      <c r="BQ13" s="586">
        <f t="shared" si="48"/>
        <v>3.5833029999999995</v>
      </c>
      <c r="BR13" s="758"/>
      <c r="BS13" s="578">
        <f t="shared" si="49"/>
        <v>0</v>
      </c>
      <c r="BT13" s="578">
        <f t="shared" si="50"/>
        <v>0</v>
      </c>
      <c r="BU13" s="578">
        <f t="shared" si="51"/>
        <v>0</v>
      </c>
      <c r="BV13" s="578">
        <f t="shared" si="52"/>
        <v>0</v>
      </c>
      <c r="BW13" s="578">
        <f t="shared" si="53"/>
        <v>0.20330299999999957</v>
      </c>
      <c r="BX13" s="758"/>
      <c r="BY13" s="758"/>
      <c r="BZ13" s="758"/>
      <c r="CA13" s="758"/>
      <c r="CB13" s="758"/>
      <c r="CC13" s="758"/>
      <c r="CD13" s="758"/>
      <c r="CE13" s="758"/>
      <c r="CF13" s="758"/>
      <c r="CG13" s="758"/>
      <c r="CH13" s="758"/>
      <c r="CI13" s="758"/>
      <c r="CJ13" s="758"/>
      <c r="CK13" s="758"/>
      <c r="CL13" s="758"/>
      <c r="CM13" s="758"/>
      <c r="CN13" s="758"/>
      <c r="CO13" s="758"/>
      <c r="CP13" s="758"/>
      <c r="CQ13" s="758"/>
      <c r="CR13" s="758"/>
      <c r="CS13" s="758"/>
      <c r="CT13" s="758"/>
      <c r="CU13" s="758"/>
      <c r="CV13" s="758"/>
      <c r="CW13" s="758"/>
      <c r="CX13" s="758"/>
      <c r="CY13" s="758"/>
      <c r="CZ13" s="758"/>
      <c r="DA13" s="758"/>
      <c r="DB13" s="758"/>
      <c r="DC13" s="758"/>
      <c r="DD13" s="758"/>
      <c r="DE13" s="758"/>
      <c r="DF13" s="758"/>
      <c r="DG13" s="758"/>
      <c r="DH13" s="758"/>
      <c r="DI13" s="758"/>
      <c r="DJ13" s="758"/>
      <c r="DK13" s="758"/>
      <c r="DL13" s="758"/>
      <c r="DM13" s="758"/>
      <c r="DN13" s="758"/>
      <c r="DO13" s="758"/>
      <c r="DP13" s="758"/>
      <c r="DQ13" s="758"/>
      <c r="DR13" s="758"/>
      <c r="DS13" s="758"/>
    </row>
    <row r="14" spans="1:123">
      <c r="B14" s="35">
        <v>2</v>
      </c>
      <c r="C14" s="72" t="s">
        <v>120</v>
      </c>
      <c r="D14" s="35">
        <v>421</v>
      </c>
      <c r="E14" s="561">
        <v>2</v>
      </c>
      <c r="F14" s="73"/>
      <c r="G14" s="73" t="str">
        <f t="shared" si="55"/>
        <v>042421</v>
      </c>
      <c r="H14" s="46"/>
      <c r="I14" s="758" t="s">
        <v>453</v>
      </c>
      <c r="J14" s="758" t="s">
        <v>131</v>
      </c>
      <c r="K14" s="215" t="s">
        <v>936</v>
      </c>
      <c r="L14" s="581" t="s">
        <v>862</v>
      </c>
      <c r="M14" s="580">
        <f t="shared" ref="M14:Q23" si="56">SUMIF($G:$G,TEXT(M$3,"000")&amp;TEXT($L14,"000"),$E:$E)</f>
        <v>0</v>
      </c>
      <c r="N14" s="580">
        <f t="shared" si="56"/>
        <v>0</v>
      </c>
      <c r="O14" s="580">
        <f t="shared" si="56"/>
        <v>0</v>
      </c>
      <c r="P14" s="580">
        <f t="shared" si="56"/>
        <v>0</v>
      </c>
      <c r="Q14" s="580">
        <f t="shared" si="56"/>
        <v>0</v>
      </c>
      <c r="R14" s="580">
        <f t="shared" si="28"/>
        <v>1</v>
      </c>
      <c r="S14" s="618">
        <v>0</v>
      </c>
      <c r="T14" s="618">
        <v>0</v>
      </c>
      <c r="U14" s="618">
        <v>0</v>
      </c>
      <c r="V14" s="618">
        <v>0</v>
      </c>
      <c r="W14" s="618">
        <v>3.57646</v>
      </c>
      <c r="X14" s="758"/>
      <c r="Y14" s="70">
        <f t="shared" si="29"/>
        <v>0</v>
      </c>
      <c r="Z14" s="70">
        <f t="shared" si="30"/>
        <v>0</v>
      </c>
      <c r="AA14" s="70">
        <f t="shared" si="31"/>
        <v>0</v>
      </c>
      <c r="AB14" s="70">
        <f t="shared" si="32"/>
        <v>0</v>
      </c>
      <c r="AC14" s="70">
        <f t="shared" si="33"/>
        <v>0</v>
      </c>
      <c r="AD14" s="758"/>
      <c r="AE14" s="580">
        <f t="shared" si="18"/>
        <v>0</v>
      </c>
      <c r="AF14" s="580">
        <f t="shared" si="18"/>
        <v>0</v>
      </c>
      <c r="AG14" s="580">
        <f t="shared" si="18"/>
        <v>0</v>
      </c>
      <c r="AH14" s="580">
        <f t="shared" si="18"/>
        <v>0</v>
      </c>
      <c r="AI14" s="580">
        <f t="shared" si="18"/>
        <v>0</v>
      </c>
      <c r="AJ14" s="758"/>
      <c r="AK14" s="585">
        <f t="shared" si="34"/>
        <v>0</v>
      </c>
      <c r="AL14" s="585"/>
      <c r="AM14" s="585">
        <f t="shared" si="35"/>
        <v>0</v>
      </c>
      <c r="AN14" s="585">
        <f t="shared" si="36"/>
        <v>0</v>
      </c>
      <c r="AO14" s="585">
        <f t="shared" si="37"/>
        <v>3.87</v>
      </c>
      <c r="AP14" s="758"/>
      <c r="AQ14" s="70">
        <f t="shared" si="38"/>
        <v>0</v>
      </c>
      <c r="AR14" s="70">
        <f t="shared" si="39"/>
        <v>0</v>
      </c>
      <c r="AS14" s="70">
        <f t="shared" si="40"/>
        <v>0</v>
      </c>
      <c r="AT14" s="70">
        <f t="shared" si="41"/>
        <v>0</v>
      </c>
      <c r="AU14" s="70">
        <f t="shared" si="54"/>
        <v>0</v>
      </c>
      <c r="AV14" s="758"/>
      <c r="AX14" s="592">
        <v>34</v>
      </c>
      <c r="AY14" s="582"/>
      <c r="AZ14" s="582"/>
      <c r="BA14" s="582"/>
      <c r="BB14" s="582"/>
      <c r="BC14" s="582">
        <v>3.69</v>
      </c>
      <c r="BD14" s="582"/>
      <c r="BE14" s="588">
        <f t="shared" si="42"/>
        <v>6.9999999999999951E-2</v>
      </c>
      <c r="BF14" s="578"/>
      <c r="BG14" s="578"/>
      <c r="BH14" s="578"/>
      <c r="BI14" s="578"/>
      <c r="BJ14" s="578">
        <f t="shared" si="43"/>
        <v>0.01</v>
      </c>
      <c r="BK14" s="758"/>
      <c r="BL14" s="758"/>
      <c r="BM14" s="586">
        <f t="shared" si="44"/>
        <v>0</v>
      </c>
      <c r="BN14" s="586">
        <f t="shared" si="45"/>
        <v>0</v>
      </c>
      <c r="BO14" s="586">
        <f t="shared" si="46"/>
        <v>0</v>
      </c>
      <c r="BP14" s="586">
        <f t="shared" si="47"/>
        <v>0</v>
      </c>
      <c r="BQ14" s="586">
        <f t="shared" si="48"/>
        <v>3.9284369999999997</v>
      </c>
      <c r="BR14" s="758"/>
      <c r="BS14" s="578">
        <f t="shared" si="49"/>
        <v>0</v>
      </c>
      <c r="BT14" s="578">
        <f t="shared" si="50"/>
        <v>0</v>
      </c>
      <c r="BU14" s="578">
        <f t="shared" si="51"/>
        <v>0</v>
      </c>
      <c r="BV14" s="578">
        <f t="shared" si="52"/>
        <v>0</v>
      </c>
      <c r="BW14" s="578">
        <f t="shared" si="53"/>
        <v>0.23843699999999979</v>
      </c>
      <c r="BX14" s="758"/>
      <c r="BY14" s="758"/>
      <c r="BZ14" s="758"/>
      <c r="CA14" s="758"/>
      <c r="CB14" s="758"/>
      <c r="CC14" s="758"/>
      <c r="CD14" s="758"/>
      <c r="CE14" s="758"/>
      <c r="CF14" s="758"/>
      <c r="CG14" s="758"/>
      <c r="CH14" s="758"/>
      <c r="CI14" s="758"/>
      <c r="CJ14" s="758"/>
      <c r="CK14" s="758"/>
      <c r="CL14" s="758"/>
      <c r="CM14" s="758"/>
      <c r="CN14" s="758"/>
      <c r="CO14" s="758"/>
      <c r="CP14" s="758"/>
      <c r="CQ14" s="758"/>
      <c r="CR14" s="758"/>
      <c r="CS14" s="758"/>
      <c r="CT14" s="758"/>
      <c r="CU14" s="758"/>
      <c r="CV14" s="758"/>
      <c r="CW14" s="758"/>
      <c r="CX14" s="758"/>
      <c r="CY14" s="758"/>
      <c r="CZ14" s="758"/>
      <c r="DA14" s="758"/>
      <c r="DB14" s="758"/>
      <c r="DC14" s="758"/>
      <c r="DD14" s="758"/>
      <c r="DE14" s="758"/>
      <c r="DF14" s="758"/>
      <c r="DG14" s="758"/>
      <c r="DH14" s="758"/>
      <c r="DI14" s="758"/>
      <c r="DJ14" s="758"/>
      <c r="DK14" s="758"/>
      <c r="DL14" s="758"/>
      <c r="DM14" s="758"/>
      <c r="DN14" s="758"/>
      <c r="DO14" s="758"/>
      <c r="DP14" s="758"/>
      <c r="DQ14" s="758"/>
      <c r="DR14" s="758"/>
      <c r="DS14" s="758"/>
    </row>
    <row r="15" spans="1:123">
      <c r="A15" s="647"/>
      <c r="B15" s="540">
        <v>2</v>
      </c>
      <c r="C15" s="72" t="s">
        <v>120</v>
      </c>
      <c r="D15" s="540" t="s">
        <v>590</v>
      </c>
      <c r="E15" s="563">
        <v>1</v>
      </c>
      <c r="F15" s="73"/>
      <c r="G15" s="73" t="str">
        <f t="shared" si="55"/>
        <v>042421L</v>
      </c>
      <c r="H15" s="46"/>
      <c r="I15" s="758" t="s">
        <v>453</v>
      </c>
      <c r="J15" s="758" t="s">
        <v>131</v>
      </c>
      <c r="K15" s="215" t="s">
        <v>936</v>
      </c>
      <c r="L15" s="581" t="s">
        <v>863</v>
      </c>
      <c r="M15" s="580">
        <f t="shared" si="56"/>
        <v>0</v>
      </c>
      <c r="N15" s="580">
        <f t="shared" si="56"/>
        <v>0</v>
      </c>
      <c r="O15" s="580">
        <f t="shared" si="56"/>
        <v>0</v>
      </c>
      <c r="P15" s="580">
        <f t="shared" si="56"/>
        <v>0</v>
      </c>
      <c r="Q15" s="580">
        <f t="shared" si="56"/>
        <v>6</v>
      </c>
      <c r="R15" s="580">
        <f t="shared" si="28"/>
        <v>0</v>
      </c>
      <c r="S15" s="618">
        <v>0</v>
      </c>
      <c r="T15" s="618">
        <v>0</v>
      </c>
      <c r="U15" s="618">
        <v>0</v>
      </c>
      <c r="V15" s="618">
        <v>0</v>
      </c>
      <c r="W15" s="618">
        <v>3.9972200000000004</v>
      </c>
      <c r="X15" s="758"/>
      <c r="Y15" s="70">
        <f t="shared" si="29"/>
        <v>0</v>
      </c>
      <c r="Z15" s="70">
        <f t="shared" si="30"/>
        <v>0</v>
      </c>
      <c r="AA15" s="70">
        <f t="shared" si="31"/>
        <v>0</v>
      </c>
      <c r="AB15" s="70">
        <f t="shared" si="32"/>
        <v>0</v>
      </c>
      <c r="AC15" s="70">
        <f t="shared" si="33"/>
        <v>23.983320000000003</v>
      </c>
      <c r="AD15" s="758"/>
      <c r="AE15" s="580">
        <f t="shared" ref="AE15:AI26" si="57">SUMIF($G:$G,TEXT(AE$3,"000")&amp;TEXT($L15,"000"),$E:$E)</f>
        <v>0</v>
      </c>
      <c r="AF15" s="580">
        <f t="shared" si="57"/>
        <v>0</v>
      </c>
      <c r="AG15" s="580">
        <f t="shared" si="57"/>
        <v>0</v>
      </c>
      <c r="AH15" s="580">
        <f t="shared" si="57"/>
        <v>0</v>
      </c>
      <c r="AI15" s="580">
        <f t="shared" si="57"/>
        <v>6</v>
      </c>
      <c r="AJ15" s="758"/>
      <c r="AK15" s="585">
        <f t="shared" si="34"/>
        <v>0</v>
      </c>
      <c r="AL15" s="585"/>
      <c r="AM15" s="585">
        <f t="shared" si="35"/>
        <v>0</v>
      </c>
      <c r="AN15" s="585">
        <f t="shared" si="36"/>
        <v>0</v>
      </c>
      <c r="AO15" s="585">
        <f t="shared" si="37"/>
        <v>4.33</v>
      </c>
      <c r="AP15" s="758"/>
      <c r="AQ15" s="70">
        <f t="shared" si="38"/>
        <v>0</v>
      </c>
      <c r="AR15" s="70">
        <f t="shared" si="39"/>
        <v>0</v>
      </c>
      <c r="AS15" s="70">
        <f t="shared" si="40"/>
        <v>0</v>
      </c>
      <c r="AT15" s="70">
        <f t="shared" si="41"/>
        <v>0</v>
      </c>
      <c r="AU15" s="70">
        <f t="shared" si="54"/>
        <v>25.98</v>
      </c>
      <c r="AV15" s="758"/>
      <c r="AX15" s="592">
        <v>38</v>
      </c>
      <c r="AY15" s="582"/>
      <c r="AZ15" s="582"/>
      <c r="BA15" s="582"/>
      <c r="BB15" s="582"/>
      <c r="BC15" s="582">
        <v>4.1399999999999997</v>
      </c>
      <c r="BD15" s="582"/>
      <c r="BE15" s="588">
        <f t="shared" si="42"/>
        <v>8.0000000000000016E-2</v>
      </c>
      <c r="BF15" s="578"/>
      <c r="BG15" s="578"/>
      <c r="BH15" s="578"/>
      <c r="BI15" s="578"/>
      <c r="BJ15" s="578">
        <f t="shared" si="43"/>
        <v>0</v>
      </c>
      <c r="BK15" s="758"/>
      <c r="BL15" s="758"/>
      <c r="BM15" s="586">
        <f t="shared" si="44"/>
        <v>0</v>
      </c>
      <c r="BN15" s="586">
        <f t="shared" si="45"/>
        <v>0</v>
      </c>
      <c r="BO15" s="586">
        <f t="shared" si="46"/>
        <v>0</v>
      </c>
      <c r="BP15" s="586">
        <f t="shared" si="47"/>
        <v>0</v>
      </c>
      <c r="BQ15" s="586">
        <f t="shared" si="48"/>
        <v>4.3953829999999998</v>
      </c>
      <c r="BR15" s="758"/>
      <c r="BS15" s="578">
        <f t="shared" si="49"/>
        <v>0</v>
      </c>
      <c r="BT15" s="578">
        <f t="shared" si="50"/>
        <v>0</v>
      </c>
      <c r="BU15" s="578">
        <f t="shared" si="51"/>
        <v>0</v>
      </c>
      <c r="BV15" s="578">
        <f t="shared" si="52"/>
        <v>0</v>
      </c>
      <c r="BW15" s="578">
        <f t="shared" si="53"/>
        <v>0.25538300000000014</v>
      </c>
      <c r="BX15" s="758"/>
      <c r="BY15" s="758"/>
      <c r="BZ15" s="758"/>
      <c r="CA15" s="758"/>
      <c r="CB15" s="758"/>
      <c r="CC15" s="758"/>
      <c r="CD15" s="758"/>
      <c r="CE15" s="758"/>
      <c r="CF15" s="758"/>
      <c r="CG15" s="758"/>
      <c r="CH15" s="758"/>
      <c r="CI15" s="758"/>
      <c r="CJ15" s="758"/>
      <c r="CK15" s="758"/>
      <c r="CL15" s="758"/>
      <c r="CM15" s="758"/>
      <c r="CN15" s="758"/>
      <c r="CO15" s="758"/>
      <c r="CP15" s="758"/>
      <c r="CQ15" s="758"/>
      <c r="CR15" s="758"/>
      <c r="CS15" s="758"/>
      <c r="CT15" s="758"/>
      <c r="CU15" s="758"/>
      <c r="CV15" s="758"/>
      <c r="CW15" s="758"/>
      <c r="CX15" s="758"/>
      <c r="CY15" s="758"/>
      <c r="CZ15" s="758"/>
      <c r="DA15" s="758"/>
      <c r="DB15" s="758"/>
      <c r="DC15" s="758"/>
      <c r="DD15" s="758"/>
      <c r="DE15" s="758"/>
      <c r="DF15" s="758"/>
      <c r="DG15" s="758"/>
      <c r="DH15" s="758"/>
      <c r="DI15" s="758"/>
      <c r="DJ15" s="758"/>
      <c r="DK15" s="758"/>
      <c r="DL15" s="758"/>
      <c r="DM15" s="758"/>
      <c r="DN15" s="758"/>
      <c r="DO15" s="758"/>
      <c r="DP15" s="758"/>
      <c r="DQ15" s="758"/>
      <c r="DR15" s="758"/>
      <c r="DS15" s="758"/>
    </row>
    <row r="16" spans="1:123">
      <c r="B16" s="35">
        <v>2</v>
      </c>
      <c r="C16" s="72" t="s">
        <v>120</v>
      </c>
      <c r="D16" s="35">
        <v>431</v>
      </c>
      <c r="E16" s="561">
        <v>0</v>
      </c>
      <c r="F16" s="73"/>
      <c r="G16" s="73" t="str">
        <f t="shared" si="55"/>
        <v>042431</v>
      </c>
      <c r="H16" s="46"/>
      <c r="I16" s="758" t="s">
        <v>453</v>
      </c>
      <c r="J16" s="758" t="s">
        <v>131</v>
      </c>
      <c r="K16" s="215" t="s">
        <v>936</v>
      </c>
      <c r="L16" s="581" t="s">
        <v>864</v>
      </c>
      <c r="M16" s="580">
        <f t="shared" si="56"/>
        <v>0</v>
      </c>
      <c r="N16" s="580">
        <f t="shared" si="56"/>
        <v>0</v>
      </c>
      <c r="O16" s="580">
        <f t="shared" si="56"/>
        <v>0</v>
      </c>
      <c r="P16" s="580">
        <f t="shared" si="56"/>
        <v>0</v>
      </c>
      <c r="Q16" s="580">
        <f t="shared" si="56"/>
        <v>0</v>
      </c>
      <c r="R16" s="580">
        <f t="shared" si="28"/>
        <v>1</v>
      </c>
      <c r="S16" s="618">
        <v>0</v>
      </c>
      <c r="T16" s="618">
        <v>0</v>
      </c>
      <c r="U16" s="618">
        <v>0</v>
      </c>
      <c r="V16" s="618">
        <v>0</v>
      </c>
      <c r="W16" s="618">
        <v>4.3127900000000006</v>
      </c>
      <c r="X16" s="758"/>
      <c r="Y16" s="70">
        <f t="shared" si="29"/>
        <v>0</v>
      </c>
      <c r="Z16" s="70">
        <f t="shared" si="30"/>
        <v>0</v>
      </c>
      <c r="AA16" s="70">
        <f t="shared" si="31"/>
        <v>0</v>
      </c>
      <c r="AB16" s="70">
        <f t="shared" si="32"/>
        <v>0</v>
      </c>
      <c r="AC16" s="70">
        <f t="shared" si="33"/>
        <v>0</v>
      </c>
      <c r="AD16" s="758"/>
      <c r="AE16" s="580">
        <f t="shared" si="57"/>
        <v>0</v>
      </c>
      <c r="AF16" s="580">
        <f t="shared" si="57"/>
        <v>0</v>
      </c>
      <c r="AG16" s="580">
        <f t="shared" si="57"/>
        <v>0</v>
      </c>
      <c r="AH16" s="580">
        <f t="shared" si="57"/>
        <v>0</v>
      </c>
      <c r="AI16" s="580">
        <f t="shared" si="57"/>
        <v>0</v>
      </c>
      <c r="AJ16" s="758"/>
      <c r="AK16" s="585">
        <f t="shared" si="34"/>
        <v>0</v>
      </c>
      <c r="AL16" s="585"/>
      <c r="AM16" s="585">
        <f t="shared" si="35"/>
        <v>0</v>
      </c>
      <c r="AN16" s="585">
        <f t="shared" si="36"/>
        <v>0</v>
      </c>
      <c r="AO16" s="585">
        <f t="shared" si="37"/>
        <v>4.67</v>
      </c>
      <c r="AP16" s="758"/>
      <c r="AQ16" s="70">
        <f t="shared" si="38"/>
        <v>0</v>
      </c>
      <c r="AR16" s="70">
        <f t="shared" si="39"/>
        <v>0</v>
      </c>
      <c r="AS16" s="70">
        <f t="shared" si="40"/>
        <v>0</v>
      </c>
      <c r="AT16" s="70">
        <f t="shared" si="41"/>
        <v>0</v>
      </c>
      <c r="AU16" s="70">
        <f t="shared" si="54"/>
        <v>0</v>
      </c>
      <c r="AV16" s="758"/>
      <c r="AX16" s="592">
        <v>41</v>
      </c>
      <c r="AY16" s="582"/>
      <c r="AZ16" s="582"/>
      <c r="BA16" s="582"/>
      <c r="BB16" s="582"/>
      <c r="BC16" s="582">
        <v>4.47</v>
      </c>
      <c r="BD16" s="582"/>
      <c r="BE16" s="588">
        <f t="shared" si="42"/>
        <v>8.9999999999999969E-2</v>
      </c>
      <c r="BF16" s="578"/>
      <c r="BG16" s="578"/>
      <c r="BH16" s="578"/>
      <c r="BI16" s="578"/>
      <c r="BJ16" s="578">
        <f t="shared" si="43"/>
        <v>0</v>
      </c>
      <c r="BK16" s="758"/>
      <c r="BL16" s="758"/>
      <c r="BM16" s="586">
        <f t="shared" si="44"/>
        <v>0</v>
      </c>
      <c r="BN16" s="586">
        <f t="shared" si="45"/>
        <v>0</v>
      </c>
      <c r="BO16" s="586">
        <f t="shared" si="46"/>
        <v>0</v>
      </c>
      <c r="BP16" s="586">
        <f t="shared" si="47"/>
        <v>0</v>
      </c>
      <c r="BQ16" s="586">
        <f t="shared" si="48"/>
        <v>4.7405169999999996</v>
      </c>
      <c r="BR16" s="758"/>
      <c r="BS16" s="578">
        <f t="shared" si="49"/>
        <v>0</v>
      </c>
      <c r="BT16" s="578">
        <f t="shared" si="50"/>
        <v>0</v>
      </c>
      <c r="BU16" s="578">
        <f t="shared" si="51"/>
        <v>0</v>
      </c>
      <c r="BV16" s="578">
        <f t="shared" si="52"/>
        <v>0</v>
      </c>
      <c r="BW16" s="578">
        <f t="shared" si="53"/>
        <v>0.2705169999999999</v>
      </c>
      <c r="BX16" s="758"/>
      <c r="BY16" s="758"/>
      <c r="BZ16" s="758"/>
      <c r="CA16" s="758"/>
      <c r="CB16" s="758"/>
      <c r="CC16" s="758"/>
      <c r="CD16" s="758"/>
      <c r="CE16" s="758"/>
      <c r="CF16" s="758"/>
      <c r="CG16" s="758"/>
      <c r="CH16" s="758"/>
      <c r="CI16" s="758"/>
      <c r="CJ16" s="758"/>
      <c r="CK16" s="758"/>
      <c r="CL16" s="758"/>
      <c r="CM16" s="758"/>
      <c r="CN16" s="758"/>
      <c r="CO16" s="758"/>
      <c r="CP16" s="758"/>
      <c r="CQ16" s="758"/>
      <c r="CR16" s="758"/>
      <c r="CS16" s="758"/>
      <c r="CT16" s="758"/>
      <c r="CU16" s="758"/>
      <c r="CV16" s="758"/>
      <c r="CW16" s="758"/>
      <c r="CX16" s="758"/>
      <c r="CY16" s="758"/>
      <c r="CZ16" s="758"/>
      <c r="DA16" s="758"/>
      <c r="DB16" s="758"/>
      <c r="DC16" s="758"/>
      <c r="DD16" s="758"/>
      <c r="DE16" s="758"/>
      <c r="DF16" s="758"/>
      <c r="DG16" s="758"/>
      <c r="DH16" s="758"/>
      <c r="DI16" s="758"/>
      <c r="DJ16" s="758"/>
      <c r="DK16" s="758"/>
      <c r="DL16" s="758"/>
      <c r="DM16" s="758"/>
      <c r="DN16" s="758"/>
      <c r="DO16" s="758"/>
      <c r="DP16" s="758"/>
      <c r="DQ16" s="758"/>
      <c r="DR16" s="758"/>
      <c r="DS16" s="758"/>
    </row>
    <row r="17" spans="1:123">
      <c r="A17" s="647"/>
      <c r="B17" s="540">
        <v>2</v>
      </c>
      <c r="C17" s="72" t="s">
        <v>120</v>
      </c>
      <c r="D17" s="540" t="s">
        <v>591</v>
      </c>
      <c r="E17" s="563">
        <v>0</v>
      </c>
      <c r="F17" s="73"/>
      <c r="G17" s="73" t="str">
        <f t="shared" si="55"/>
        <v>042431L</v>
      </c>
      <c r="H17" s="46"/>
      <c r="I17" s="758" t="s">
        <v>453</v>
      </c>
      <c r="J17" s="758" t="s">
        <v>131</v>
      </c>
      <c r="K17" s="215" t="s">
        <v>936</v>
      </c>
      <c r="L17" s="581" t="s">
        <v>865</v>
      </c>
      <c r="M17" s="580">
        <f t="shared" si="56"/>
        <v>0</v>
      </c>
      <c r="N17" s="580">
        <f t="shared" si="56"/>
        <v>0</v>
      </c>
      <c r="O17" s="580">
        <f t="shared" si="56"/>
        <v>0</v>
      </c>
      <c r="P17" s="580">
        <f t="shared" si="56"/>
        <v>0</v>
      </c>
      <c r="Q17" s="580">
        <f t="shared" si="56"/>
        <v>0</v>
      </c>
      <c r="R17" s="580">
        <f t="shared" si="28"/>
        <v>1</v>
      </c>
      <c r="S17" s="618">
        <v>0</v>
      </c>
      <c r="T17" s="618">
        <v>0</v>
      </c>
      <c r="U17" s="618">
        <v>0</v>
      </c>
      <c r="V17" s="618">
        <v>0</v>
      </c>
      <c r="W17" s="618">
        <v>4.7335500000000001</v>
      </c>
      <c r="X17" s="758"/>
      <c r="Y17" s="70">
        <f t="shared" si="29"/>
        <v>0</v>
      </c>
      <c r="Z17" s="70">
        <f t="shared" si="30"/>
        <v>0</v>
      </c>
      <c r="AA17" s="70">
        <f t="shared" si="31"/>
        <v>0</v>
      </c>
      <c r="AB17" s="70">
        <f t="shared" si="32"/>
        <v>0</v>
      </c>
      <c r="AC17" s="70">
        <f t="shared" si="33"/>
        <v>0</v>
      </c>
      <c r="AD17" s="758"/>
      <c r="AE17" s="580">
        <f t="shared" si="57"/>
        <v>0</v>
      </c>
      <c r="AF17" s="580">
        <f t="shared" si="57"/>
        <v>0</v>
      </c>
      <c r="AG17" s="580">
        <f t="shared" si="57"/>
        <v>0</v>
      </c>
      <c r="AH17" s="580">
        <f t="shared" si="57"/>
        <v>0</v>
      </c>
      <c r="AI17" s="580">
        <f t="shared" si="57"/>
        <v>0</v>
      </c>
      <c r="AJ17" s="758"/>
      <c r="AK17" s="585">
        <f t="shared" si="34"/>
        <v>0</v>
      </c>
      <c r="AL17" s="585"/>
      <c r="AM17" s="585">
        <f t="shared" si="35"/>
        <v>0</v>
      </c>
      <c r="AN17" s="585">
        <f t="shared" si="36"/>
        <v>0</v>
      </c>
      <c r="AO17" s="585">
        <f t="shared" si="37"/>
        <v>5.13</v>
      </c>
      <c r="AP17" s="758"/>
      <c r="AQ17" s="70">
        <f t="shared" si="38"/>
        <v>0</v>
      </c>
      <c r="AR17" s="70">
        <f t="shared" si="39"/>
        <v>0</v>
      </c>
      <c r="AS17" s="70">
        <f t="shared" si="40"/>
        <v>0</v>
      </c>
      <c r="AT17" s="70">
        <f t="shared" si="41"/>
        <v>0</v>
      </c>
      <c r="AU17" s="70">
        <f t="shared" si="54"/>
        <v>0</v>
      </c>
      <c r="AV17" s="758"/>
      <c r="AX17" s="592">
        <v>45</v>
      </c>
      <c r="AY17" s="582"/>
      <c r="AZ17" s="582"/>
      <c r="BA17" s="582"/>
      <c r="BB17" s="582"/>
      <c r="BC17" s="582">
        <v>4.9000000000000004</v>
      </c>
      <c r="BD17" s="582"/>
      <c r="BE17" s="588">
        <f t="shared" si="42"/>
        <v>9.9999999999999978E-2</v>
      </c>
      <c r="BF17" s="578"/>
      <c r="BG17" s="578"/>
      <c r="BH17" s="578"/>
      <c r="BI17" s="578"/>
      <c r="BJ17" s="578">
        <f t="shared" si="43"/>
        <v>0.01</v>
      </c>
      <c r="BK17" s="758"/>
      <c r="BL17" s="758"/>
      <c r="BM17" s="586">
        <f t="shared" si="44"/>
        <v>0</v>
      </c>
      <c r="BN17" s="586">
        <f t="shared" si="45"/>
        <v>0</v>
      </c>
      <c r="BO17" s="586">
        <f t="shared" si="46"/>
        <v>0</v>
      </c>
      <c r="BP17" s="586">
        <f t="shared" si="47"/>
        <v>0</v>
      </c>
      <c r="BQ17" s="586">
        <f t="shared" si="48"/>
        <v>5.2074629999999997</v>
      </c>
      <c r="BR17" s="758"/>
      <c r="BS17" s="578">
        <f t="shared" si="49"/>
        <v>0</v>
      </c>
      <c r="BT17" s="578">
        <f t="shared" si="50"/>
        <v>0</v>
      </c>
      <c r="BU17" s="578">
        <f t="shared" si="51"/>
        <v>0</v>
      </c>
      <c r="BV17" s="578">
        <f t="shared" si="52"/>
        <v>0</v>
      </c>
      <c r="BW17" s="578">
        <f t="shared" si="53"/>
        <v>0.30746299999999938</v>
      </c>
      <c r="BX17" s="758"/>
      <c r="BY17" s="758"/>
      <c r="BZ17" s="758"/>
      <c r="CA17" s="758"/>
      <c r="CB17" s="758"/>
      <c r="CC17" s="758"/>
      <c r="CD17" s="758"/>
      <c r="CE17" s="758"/>
      <c r="CF17" s="758"/>
      <c r="CG17" s="758"/>
      <c r="CH17" s="758"/>
      <c r="CI17" s="758"/>
      <c r="CJ17" s="758"/>
      <c r="CK17" s="758"/>
      <c r="CL17" s="758"/>
      <c r="CM17" s="758"/>
      <c r="CN17" s="758"/>
      <c r="CO17" s="758"/>
      <c r="CP17" s="758"/>
      <c r="CQ17" s="758"/>
      <c r="CR17" s="758"/>
      <c r="CS17" s="758"/>
      <c r="CT17" s="758"/>
      <c r="CU17" s="758"/>
      <c r="CV17" s="758"/>
      <c r="CW17" s="758"/>
      <c r="CX17" s="758"/>
      <c r="CY17" s="758"/>
      <c r="CZ17" s="758"/>
      <c r="DA17" s="758"/>
      <c r="DB17" s="758"/>
      <c r="DC17" s="758"/>
      <c r="DD17" s="758"/>
      <c r="DE17" s="758"/>
      <c r="DF17" s="758"/>
      <c r="DG17" s="758"/>
      <c r="DH17" s="758"/>
      <c r="DI17" s="758"/>
      <c r="DJ17" s="758"/>
      <c r="DK17" s="758"/>
      <c r="DL17" s="758"/>
      <c r="DM17" s="758"/>
      <c r="DN17" s="758"/>
      <c r="DO17" s="758"/>
      <c r="DP17" s="758"/>
      <c r="DQ17" s="758"/>
      <c r="DR17" s="758"/>
      <c r="DS17" s="758"/>
    </row>
    <row r="18" spans="1:123">
      <c r="A18" s="612"/>
      <c r="B18" s="540">
        <v>2</v>
      </c>
      <c r="C18" s="72" t="s">
        <v>120</v>
      </c>
      <c r="D18" s="540" t="s">
        <v>703</v>
      </c>
      <c r="E18" s="563">
        <v>0</v>
      </c>
      <c r="F18" s="73"/>
      <c r="G18" s="73" t="str">
        <f t="shared" si="55"/>
        <v>042431T</v>
      </c>
      <c r="H18" s="46"/>
      <c r="I18" s="758" t="s">
        <v>453</v>
      </c>
      <c r="J18" s="758" t="s">
        <v>131</v>
      </c>
      <c r="K18" s="215" t="s">
        <v>936</v>
      </c>
      <c r="L18" s="581" t="s">
        <v>866</v>
      </c>
      <c r="M18" s="580">
        <f t="shared" si="56"/>
        <v>0</v>
      </c>
      <c r="N18" s="580">
        <f t="shared" si="56"/>
        <v>0</v>
      </c>
      <c r="O18" s="580">
        <f t="shared" si="56"/>
        <v>0</v>
      </c>
      <c r="P18" s="580">
        <f t="shared" si="56"/>
        <v>0</v>
      </c>
      <c r="Q18" s="580">
        <f t="shared" si="56"/>
        <v>36</v>
      </c>
      <c r="R18" s="580">
        <f t="shared" si="28"/>
        <v>0</v>
      </c>
      <c r="S18" s="618">
        <v>0</v>
      </c>
      <c r="T18" s="618">
        <v>0</v>
      </c>
      <c r="U18" s="618">
        <v>0</v>
      </c>
      <c r="V18" s="618">
        <v>0</v>
      </c>
      <c r="W18" s="618">
        <v>5.1543100000000006</v>
      </c>
      <c r="X18" s="758"/>
      <c r="Y18" s="70">
        <f t="shared" si="29"/>
        <v>0</v>
      </c>
      <c r="Z18" s="70">
        <f t="shared" si="30"/>
        <v>0</v>
      </c>
      <c r="AA18" s="70">
        <f t="shared" si="31"/>
        <v>0</v>
      </c>
      <c r="AB18" s="70">
        <f t="shared" si="32"/>
        <v>0</v>
      </c>
      <c r="AC18" s="70">
        <f t="shared" si="33"/>
        <v>185.55516000000003</v>
      </c>
      <c r="AD18" s="758"/>
      <c r="AE18" s="580">
        <f t="shared" si="57"/>
        <v>0</v>
      </c>
      <c r="AF18" s="580">
        <f t="shared" si="57"/>
        <v>0</v>
      </c>
      <c r="AG18" s="580">
        <f t="shared" si="57"/>
        <v>0</v>
      </c>
      <c r="AH18" s="580">
        <f t="shared" si="57"/>
        <v>0</v>
      </c>
      <c r="AI18" s="580">
        <f t="shared" si="57"/>
        <v>36</v>
      </c>
      <c r="AJ18" s="758"/>
      <c r="AK18" s="585">
        <f t="shared" si="34"/>
        <v>0</v>
      </c>
      <c r="AL18" s="585"/>
      <c r="AM18" s="585">
        <f t="shared" si="35"/>
        <v>0</v>
      </c>
      <c r="AN18" s="585">
        <f t="shared" si="36"/>
        <v>0</v>
      </c>
      <c r="AO18" s="585">
        <f t="shared" si="37"/>
        <v>5.58</v>
      </c>
      <c r="AP18" s="758"/>
      <c r="AQ18" s="70">
        <f t="shared" si="38"/>
        <v>0</v>
      </c>
      <c r="AR18" s="70">
        <f t="shared" si="39"/>
        <v>0</v>
      </c>
      <c r="AS18" s="70">
        <f t="shared" si="40"/>
        <v>0</v>
      </c>
      <c r="AT18" s="70">
        <f t="shared" si="41"/>
        <v>0</v>
      </c>
      <c r="AU18" s="70">
        <f t="shared" si="54"/>
        <v>200.88</v>
      </c>
      <c r="AV18" s="758"/>
      <c r="AX18" s="592">
        <v>49</v>
      </c>
      <c r="AY18" s="582"/>
      <c r="AZ18" s="582"/>
      <c r="BA18" s="582"/>
      <c r="BB18" s="582"/>
      <c r="BC18" s="582">
        <v>5.33</v>
      </c>
      <c r="BD18" s="582"/>
      <c r="BE18" s="588">
        <f t="shared" si="42"/>
        <v>0.1100000000000001</v>
      </c>
      <c r="BF18" s="578"/>
      <c r="BG18" s="578"/>
      <c r="BH18" s="578"/>
      <c r="BI18" s="578"/>
      <c r="BJ18" s="578">
        <f t="shared" si="43"/>
        <v>0.01</v>
      </c>
      <c r="BK18" s="758"/>
      <c r="BL18" s="758"/>
      <c r="BM18" s="586">
        <f t="shared" si="44"/>
        <v>0</v>
      </c>
      <c r="BN18" s="586">
        <f t="shared" si="45"/>
        <v>0</v>
      </c>
      <c r="BO18" s="586">
        <f t="shared" si="46"/>
        <v>0</v>
      </c>
      <c r="BP18" s="586">
        <f t="shared" si="47"/>
        <v>0</v>
      </c>
      <c r="BQ18" s="586">
        <f t="shared" si="48"/>
        <v>5.6642579999999993</v>
      </c>
      <c r="BR18" s="758"/>
      <c r="BS18" s="578">
        <f t="shared" si="49"/>
        <v>0</v>
      </c>
      <c r="BT18" s="578">
        <f t="shared" si="50"/>
        <v>0</v>
      </c>
      <c r="BU18" s="578">
        <f t="shared" si="51"/>
        <v>0</v>
      </c>
      <c r="BV18" s="578">
        <f t="shared" si="52"/>
        <v>0</v>
      </c>
      <c r="BW18" s="578">
        <f t="shared" si="53"/>
        <v>0.33425799999999928</v>
      </c>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c r="DM18" s="758"/>
      <c r="DN18" s="758"/>
      <c r="DO18" s="758"/>
      <c r="DP18" s="758"/>
      <c r="DQ18" s="758"/>
      <c r="DR18" s="758"/>
      <c r="DS18" s="758"/>
    </row>
    <row r="19" spans="1:123">
      <c r="B19" s="35">
        <v>2</v>
      </c>
      <c r="C19" s="72" t="s">
        <v>120</v>
      </c>
      <c r="D19" s="35">
        <v>432</v>
      </c>
      <c r="E19" s="561">
        <v>78</v>
      </c>
      <c r="F19" s="73"/>
      <c r="G19" s="73" t="str">
        <f t="shared" si="55"/>
        <v>042432</v>
      </c>
      <c r="H19" s="46"/>
      <c r="I19" s="758" t="s">
        <v>453</v>
      </c>
      <c r="J19" s="758" t="s">
        <v>131</v>
      </c>
      <c r="K19" s="215" t="s">
        <v>936</v>
      </c>
      <c r="L19" s="581" t="s">
        <v>867</v>
      </c>
      <c r="M19" s="580">
        <f t="shared" si="56"/>
        <v>0</v>
      </c>
      <c r="N19" s="580">
        <f t="shared" si="56"/>
        <v>0</v>
      </c>
      <c r="O19" s="580">
        <f t="shared" si="56"/>
        <v>0</v>
      </c>
      <c r="P19" s="580">
        <f t="shared" si="56"/>
        <v>0</v>
      </c>
      <c r="Q19" s="580">
        <f t="shared" si="56"/>
        <v>0</v>
      </c>
      <c r="R19" s="580">
        <f t="shared" si="28"/>
        <v>1</v>
      </c>
      <c r="S19" s="618">
        <v>0</v>
      </c>
      <c r="T19" s="618">
        <v>0</v>
      </c>
      <c r="U19" s="618">
        <v>0</v>
      </c>
      <c r="V19" s="618">
        <v>0</v>
      </c>
      <c r="W19" s="618">
        <v>5.4698799999999999</v>
      </c>
      <c r="X19" s="758"/>
      <c r="Y19" s="70">
        <f t="shared" si="29"/>
        <v>0</v>
      </c>
      <c r="Z19" s="70">
        <f t="shared" si="30"/>
        <v>0</v>
      </c>
      <c r="AA19" s="70">
        <f t="shared" si="31"/>
        <v>0</v>
      </c>
      <c r="AB19" s="70">
        <f t="shared" si="32"/>
        <v>0</v>
      </c>
      <c r="AC19" s="70">
        <f t="shared" si="33"/>
        <v>0</v>
      </c>
      <c r="AD19" s="758"/>
      <c r="AE19" s="580">
        <f t="shared" si="57"/>
        <v>0</v>
      </c>
      <c r="AF19" s="580">
        <f t="shared" si="57"/>
        <v>0</v>
      </c>
      <c r="AG19" s="580">
        <f t="shared" si="57"/>
        <v>0</v>
      </c>
      <c r="AH19" s="580">
        <f t="shared" si="57"/>
        <v>0</v>
      </c>
      <c r="AI19" s="580">
        <f t="shared" si="57"/>
        <v>0</v>
      </c>
      <c r="AJ19" s="758"/>
      <c r="AK19" s="585">
        <f t="shared" si="34"/>
        <v>0</v>
      </c>
      <c r="AL19" s="585"/>
      <c r="AM19" s="585">
        <f t="shared" si="35"/>
        <v>0</v>
      </c>
      <c r="AN19" s="585">
        <f t="shared" si="36"/>
        <v>0</v>
      </c>
      <c r="AO19" s="585">
        <f t="shared" si="37"/>
        <v>5.92</v>
      </c>
      <c r="AP19" s="758"/>
      <c r="AQ19" s="70">
        <f t="shared" si="38"/>
        <v>0</v>
      </c>
      <c r="AR19" s="70">
        <f t="shared" si="39"/>
        <v>0</v>
      </c>
      <c r="AS19" s="70">
        <f t="shared" si="40"/>
        <v>0</v>
      </c>
      <c r="AT19" s="70">
        <f t="shared" si="41"/>
        <v>0</v>
      </c>
      <c r="AU19" s="70">
        <f t="shared" si="54"/>
        <v>0</v>
      </c>
      <c r="AV19" s="758"/>
      <c r="AX19" s="592">
        <v>52</v>
      </c>
      <c r="AY19" s="582"/>
      <c r="AZ19" s="582"/>
      <c r="BA19" s="582"/>
      <c r="BB19" s="582"/>
      <c r="BC19" s="582">
        <v>5.66</v>
      </c>
      <c r="BD19" s="582"/>
      <c r="BE19" s="588">
        <f t="shared" si="42"/>
        <v>0.10999999999999999</v>
      </c>
      <c r="BF19" s="578"/>
      <c r="BG19" s="578"/>
      <c r="BH19" s="578"/>
      <c r="BI19" s="578"/>
      <c r="BJ19" s="578">
        <f t="shared" si="43"/>
        <v>0</v>
      </c>
      <c r="BK19" s="758"/>
      <c r="BL19" s="758"/>
      <c r="BM19" s="586">
        <f t="shared" si="44"/>
        <v>0</v>
      </c>
      <c r="BN19" s="586">
        <f t="shared" si="45"/>
        <v>0</v>
      </c>
      <c r="BO19" s="586">
        <f t="shared" si="46"/>
        <v>0</v>
      </c>
      <c r="BP19" s="586">
        <f t="shared" si="47"/>
        <v>0</v>
      </c>
      <c r="BQ19" s="586">
        <f t="shared" si="48"/>
        <v>6.0093919999999992</v>
      </c>
      <c r="BR19" s="758"/>
      <c r="BS19" s="578">
        <f t="shared" si="49"/>
        <v>0</v>
      </c>
      <c r="BT19" s="578">
        <f t="shared" si="50"/>
        <v>0</v>
      </c>
      <c r="BU19" s="578">
        <f t="shared" si="51"/>
        <v>0</v>
      </c>
      <c r="BV19" s="578">
        <f t="shared" si="52"/>
        <v>0</v>
      </c>
      <c r="BW19" s="578">
        <f t="shared" si="53"/>
        <v>0.34939199999999904</v>
      </c>
      <c r="BX19" s="758"/>
      <c r="BY19" s="758"/>
      <c r="BZ19" s="758"/>
      <c r="CA19" s="758"/>
      <c r="CB19" s="758"/>
      <c r="CC19" s="758"/>
      <c r="CD19" s="758"/>
      <c r="CE19" s="758"/>
      <c r="CF19" s="758"/>
      <c r="CG19" s="758"/>
      <c r="CH19" s="758"/>
      <c r="CI19" s="758"/>
      <c r="CJ19" s="758"/>
      <c r="CK19" s="758"/>
      <c r="CL19" s="758"/>
      <c r="CM19" s="758"/>
      <c r="CN19" s="758"/>
      <c r="CO19" s="758"/>
      <c r="CP19" s="758"/>
      <c r="CQ19" s="758"/>
      <c r="CR19" s="758"/>
      <c r="CS19" s="758"/>
      <c r="CT19" s="758"/>
      <c r="CU19" s="758"/>
      <c r="CV19" s="758"/>
      <c r="CW19" s="758"/>
      <c r="CX19" s="758"/>
      <c r="CY19" s="758"/>
      <c r="CZ19" s="758"/>
      <c r="DA19" s="758"/>
      <c r="DB19" s="758"/>
      <c r="DC19" s="758"/>
      <c r="DD19" s="758"/>
      <c r="DE19" s="758"/>
      <c r="DF19" s="758"/>
      <c r="DG19" s="758"/>
      <c r="DH19" s="758"/>
      <c r="DI19" s="758"/>
      <c r="DJ19" s="758"/>
      <c r="DK19" s="758"/>
      <c r="DL19" s="758"/>
      <c r="DM19" s="758"/>
      <c r="DN19" s="758"/>
      <c r="DO19" s="758"/>
      <c r="DP19" s="758"/>
      <c r="DQ19" s="758"/>
      <c r="DR19" s="758"/>
      <c r="DS19" s="758"/>
    </row>
    <row r="20" spans="1:123">
      <c r="A20" s="647"/>
      <c r="B20" s="540">
        <v>2</v>
      </c>
      <c r="C20" s="72" t="s">
        <v>120</v>
      </c>
      <c r="D20" s="540" t="s">
        <v>592</v>
      </c>
      <c r="E20" s="563">
        <v>141</v>
      </c>
      <c r="F20" s="73"/>
      <c r="G20" s="73" t="str">
        <f t="shared" si="55"/>
        <v>042432L</v>
      </c>
      <c r="H20" s="46"/>
      <c r="I20" s="758" t="s">
        <v>453</v>
      </c>
      <c r="J20" s="758" t="s">
        <v>131</v>
      </c>
      <c r="K20" s="215" t="s">
        <v>936</v>
      </c>
      <c r="L20" s="581" t="s">
        <v>868</v>
      </c>
      <c r="M20" s="580">
        <f t="shared" si="56"/>
        <v>0</v>
      </c>
      <c r="N20" s="580">
        <f t="shared" si="56"/>
        <v>0</v>
      </c>
      <c r="O20" s="580">
        <f t="shared" si="56"/>
        <v>0</v>
      </c>
      <c r="P20" s="580">
        <f t="shared" si="56"/>
        <v>0</v>
      </c>
      <c r="Q20" s="580">
        <f t="shared" si="56"/>
        <v>0</v>
      </c>
      <c r="R20" s="580">
        <f t="shared" si="28"/>
        <v>1</v>
      </c>
      <c r="S20" s="618">
        <v>0</v>
      </c>
      <c r="T20" s="618">
        <v>0</v>
      </c>
      <c r="U20" s="618">
        <v>0</v>
      </c>
      <c r="V20" s="618">
        <v>0</v>
      </c>
      <c r="W20" s="618">
        <v>5.8906400000000003</v>
      </c>
      <c r="X20" s="758"/>
      <c r="Y20" s="70">
        <f t="shared" si="29"/>
        <v>0</v>
      </c>
      <c r="Z20" s="70">
        <f t="shared" si="30"/>
        <v>0</v>
      </c>
      <c r="AA20" s="70">
        <f t="shared" si="31"/>
        <v>0</v>
      </c>
      <c r="AB20" s="70">
        <f t="shared" si="32"/>
        <v>0</v>
      </c>
      <c r="AC20" s="70">
        <f t="shared" si="33"/>
        <v>0</v>
      </c>
      <c r="AD20" s="758"/>
      <c r="AE20" s="580">
        <f t="shared" si="57"/>
        <v>0</v>
      </c>
      <c r="AF20" s="580">
        <f t="shared" si="57"/>
        <v>0</v>
      </c>
      <c r="AG20" s="580">
        <f t="shared" si="57"/>
        <v>0</v>
      </c>
      <c r="AH20" s="580">
        <f t="shared" si="57"/>
        <v>0</v>
      </c>
      <c r="AI20" s="580">
        <f t="shared" si="57"/>
        <v>0</v>
      </c>
      <c r="AJ20" s="758"/>
      <c r="AK20" s="585">
        <f t="shared" si="34"/>
        <v>0</v>
      </c>
      <c r="AL20" s="585"/>
      <c r="AM20" s="585">
        <f t="shared" si="35"/>
        <v>0</v>
      </c>
      <c r="AN20" s="585">
        <f t="shared" si="36"/>
        <v>0</v>
      </c>
      <c r="AO20" s="585">
        <f t="shared" si="37"/>
        <v>6.38</v>
      </c>
      <c r="AP20" s="758"/>
      <c r="AQ20" s="70">
        <f t="shared" si="38"/>
        <v>0</v>
      </c>
      <c r="AR20" s="70">
        <f t="shared" si="39"/>
        <v>0</v>
      </c>
      <c r="AS20" s="70">
        <f t="shared" si="40"/>
        <v>0</v>
      </c>
      <c r="AT20" s="70">
        <f t="shared" si="41"/>
        <v>0</v>
      </c>
      <c r="AU20" s="70">
        <f t="shared" si="54"/>
        <v>0</v>
      </c>
      <c r="AV20" s="758"/>
      <c r="AX20" s="592">
        <v>56</v>
      </c>
      <c r="AY20" s="582"/>
      <c r="AZ20" s="582"/>
      <c r="BA20" s="582"/>
      <c r="BB20" s="582"/>
      <c r="BC20" s="582">
        <v>6.1</v>
      </c>
      <c r="BD20" s="582"/>
      <c r="BE20" s="588">
        <f t="shared" si="42"/>
        <v>0.12</v>
      </c>
      <c r="BF20" s="578"/>
      <c r="BG20" s="578"/>
      <c r="BH20" s="578"/>
      <c r="BI20" s="578"/>
      <c r="BJ20" s="578">
        <f t="shared" si="43"/>
        <v>0</v>
      </c>
      <c r="BK20" s="758"/>
      <c r="BL20" s="758"/>
      <c r="BM20" s="586">
        <f t="shared" si="44"/>
        <v>0</v>
      </c>
      <c r="BN20" s="586">
        <f t="shared" si="45"/>
        <v>0</v>
      </c>
      <c r="BO20" s="586">
        <f t="shared" si="46"/>
        <v>0</v>
      </c>
      <c r="BP20" s="586">
        <f t="shared" si="47"/>
        <v>0</v>
      </c>
      <c r="BQ20" s="586">
        <f t="shared" si="48"/>
        <v>6.4763379999999993</v>
      </c>
      <c r="BR20" s="758"/>
      <c r="BS20" s="578">
        <f t="shared" si="49"/>
        <v>0</v>
      </c>
      <c r="BT20" s="578">
        <f t="shared" si="50"/>
        <v>0</v>
      </c>
      <c r="BU20" s="578">
        <f t="shared" si="51"/>
        <v>0</v>
      </c>
      <c r="BV20" s="578">
        <f t="shared" si="52"/>
        <v>0</v>
      </c>
      <c r="BW20" s="578">
        <f t="shared" si="53"/>
        <v>0.37633799999999962</v>
      </c>
      <c r="BX20" s="758"/>
      <c r="BY20" s="758"/>
      <c r="BZ20" s="758"/>
      <c r="CA20" s="758"/>
      <c r="CB20" s="758"/>
      <c r="CC20" s="758"/>
      <c r="CD20" s="758"/>
      <c r="CE20" s="758"/>
      <c r="CF20" s="758"/>
      <c r="CG20" s="758"/>
      <c r="CH20" s="758"/>
      <c r="CI20" s="758"/>
      <c r="CJ20" s="758"/>
      <c r="CK20" s="758"/>
      <c r="CL20" s="758"/>
      <c r="CM20" s="758"/>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row>
    <row r="21" spans="1:123">
      <c r="A21" s="646"/>
      <c r="B21" s="540">
        <v>2</v>
      </c>
      <c r="C21" s="72" t="s">
        <v>120</v>
      </c>
      <c r="D21" s="540" t="s">
        <v>705</v>
      </c>
      <c r="E21" s="563">
        <v>28</v>
      </c>
      <c r="F21" s="73"/>
      <c r="G21" s="73" t="str">
        <f t="shared" si="55"/>
        <v>042432T</v>
      </c>
      <c r="H21" s="46"/>
      <c r="I21" s="758" t="s">
        <v>453</v>
      </c>
      <c r="J21" s="758" t="s">
        <v>131</v>
      </c>
      <c r="K21" s="215" t="s">
        <v>936</v>
      </c>
      <c r="L21" s="581" t="s">
        <v>869</v>
      </c>
      <c r="M21" s="580">
        <f t="shared" si="56"/>
        <v>0</v>
      </c>
      <c r="N21" s="580">
        <f t="shared" si="56"/>
        <v>0</v>
      </c>
      <c r="O21" s="580">
        <f t="shared" si="56"/>
        <v>0</v>
      </c>
      <c r="P21" s="580">
        <f t="shared" si="56"/>
        <v>0</v>
      </c>
      <c r="Q21" s="580">
        <f t="shared" si="56"/>
        <v>0</v>
      </c>
      <c r="R21" s="580">
        <f t="shared" si="28"/>
        <v>1</v>
      </c>
      <c r="S21" s="618">
        <v>0</v>
      </c>
      <c r="T21" s="618">
        <v>0</v>
      </c>
      <c r="U21" s="618">
        <v>0</v>
      </c>
      <c r="V21" s="618">
        <v>0</v>
      </c>
      <c r="W21" s="618">
        <v>6.2062100000000004</v>
      </c>
      <c r="X21" s="758"/>
      <c r="Y21" s="70">
        <f t="shared" si="29"/>
        <v>0</v>
      </c>
      <c r="Z21" s="70">
        <f t="shared" si="30"/>
        <v>0</v>
      </c>
      <c r="AA21" s="70">
        <f t="shared" si="31"/>
        <v>0</v>
      </c>
      <c r="AB21" s="70">
        <f t="shared" si="32"/>
        <v>0</v>
      </c>
      <c r="AC21" s="70">
        <f t="shared" si="33"/>
        <v>0</v>
      </c>
      <c r="AD21" s="758"/>
      <c r="AE21" s="580">
        <f t="shared" si="57"/>
        <v>0</v>
      </c>
      <c r="AF21" s="580">
        <f t="shared" si="57"/>
        <v>0</v>
      </c>
      <c r="AG21" s="580">
        <f t="shared" si="57"/>
        <v>0</v>
      </c>
      <c r="AH21" s="580">
        <f t="shared" si="57"/>
        <v>0</v>
      </c>
      <c r="AI21" s="580">
        <f t="shared" si="57"/>
        <v>0</v>
      </c>
      <c r="AJ21" s="758"/>
      <c r="AK21" s="585">
        <f t="shared" si="34"/>
        <v>0</v>
      </c>
      <c r="AL21" s="585"/>
      <c r="AM21" s="585">
        <f t="shared" si="35"/>
        <v>0</v>
      </c>
      <c r="AN21" s="585">
        <f t="shared" si="36"/>
        <v>0</v>
      </c>
      <c r="AO21" s="585">
        <f t="shared" si="37"/>
        <v>6.72</v>
      </c>
      <c r="AP21" s="758"/>
      <c r="AQ21" s="70">
        <f t="shared" si="38"/>
        <v>0</v>
      </c>
      <c r="AR21" s="70">
        <f t="shared" si="39"/>
        <v>0</v>
      </c>
      <c r="AS21" s="70">
        <f t="shared" si="40"/>
        <v>0</v>
      </c>
      <c r="AT21" s="70">
        <f t="shared" si="41"/>
        <v>0</v>
      </c>
      <c r="AU21" s="70">
        <f t="shared" si="54"/>
        <v>0</v>
      </c>
      <c r="AV21" s="758"/>
      <c r="AX21" s="592">
        <v>59</v>
      </c>
      <c r="AY21" s="582"/>
      <c r="AZ21" s="582"/>
      <c r="BA21" s="582"/>
      <c r="BB21" s="582"/>
      <c r="BC21" s="582">
        <v>6.42</v>
      </c>
      <c r="BD21" s="582"/>
      <c r="BE21" s="588">
        <f t="shared" si="42"/>
        <v>0.13</v>
      </c>
      <c r="BF21" s="578"/>
      <c r="BG21" s="578"/>
      <c r="BH21" s="578"/>
      <c r="BI21" s="578"/>
      <c r="BJ21" s="578">
        <f t="shared" si="43"/>
        <v>0.01</v>
      </c>
      <c r="BK21" s="758"/>
      <c r="BL21" s="758"/>
      <c r="BM21" s="586">
        <f t="shared" si="44"/>
        <v>0</v>
      </c>
      <c r="BN21" s="586">
        <f t="shared" si="45"/>
        <v>0</v>
      </c>
      <c r="BO21" s="586">
        <f t="shared" si="46"/>
        <v>0</v>
      </c>
      <c r="BP21" s="586">
        <f t="shared" si="47"/>
        <v>0</v>
      </c>
      <c r="BQ21" s="586">
        <f t="shared" si="48"/>
        <v>6.8214719999999991</v>
      </c>
      <c r="BR21" s="758"/>
      <c r="BS21" s="578">
        <f t="shared" si="49"/>
        <v>0</v>
      </c>
      <c r="BT21" s="578">
        <f t="shared" si="50"/>
        <v>0</v>
      </c>
      <c r="BU21" s="578">
        <f t="shared" si="51"/>
        <v>0</v>
      </c>
      <c r="BV21" s="578">
        <f t="shared" si="52"/>
        <v>0</v>
      </c>
      <c r="BW21" s="578">
        <f t="shared" si="53"/>
        <v>0.40147199999999916</v>
      </c>
      <c r="BX21" s="758"/>
      <c r="BY21" s="758"/>
      <c r="BZ21" s="758"/>
      <c r="CA21" s="758"/>
      <c r="CB21" s="758"/>
      <c r="CC21" s="758"/>
      <c r="CD21" s="758"/>
      <c r="CE21" s="758"/>
      <c r="CF21" s="758"/>
      <c r="CG21" s="758"/>
      <c r="CH21" s="758"/>
      <c r="CI21" s="758"/>
      <c r="CJ21" s="758"/>
      <c r="CK21" s="758"/>
      <c r="CL21" s="758"/>
      <c r="CM21" s="758"/>
      <c r="CN21" s="758"/>
      <c r="CO21" s="758"/>
      <c r="CP21" s="758"/>
      <c r="CQ21" s="758"/>
      <c r="CR21" s="758"/>
      <c r="CS21" s="758"/>
      <c r="CT21" s="758"/>
      <c r="CU21" s="758"/>
      <c r="CV21" s="758"/>
      <c r="CW21" s="758"/>
      <c r="CX21" s="758"/>
      <c r="CY21" s="758"/>
      <c r="CZ21" s="758"/>
      <c r="DA21" s="758"/>
      <c r="DB21" s="758"/>
      <c r="DC21" s="758"/>
      <c r="DD21" s="758"/>
      <c r="DE21" s="758"/>
      <c r="DF21" s="758"/>
      <c r="DG21" s="758"/>
      <c r="DH21" s="758"/>
      <c r="DI21" s="758"/>
      <c r="DJ21" s="758"/>
      <c r="DK21" s="758"/>
      <c r="DL21" s="758"/>
      <c r="DM21" s="758"/>
      <c r="DN21" s="758"/>
      <c r="DO21" s="758"/>
      <c r="DP21" s="758"/>
      <c r="DQ21" s="758"/>
      <c r="DR21" s="758"/>
      <c r="DS21" s="758"/>
    </row>
    <row r="22" spans="1:123">
      <c r="B22" s="35">
        <v>2</v>
      </c>
      <c r="C22" s="72" t="s">
        <v>120</v>
      </c>
      <c r="D22" s="35">
        <v>433</v>
      </c>
      <c r="E22" s="561">
        <v>6</v>
      </c>
      <c r="F22" s="73"/>
      <c r="G22" s="73" t="str">
        <f t="shared" si="55"/>
        <v>042433</v>
      </c>
      <c r="H22" s="46"/>
      <c r="I22" s="758" t="s">
        <v>453</v>
      </c>
      <c r="J22" s="758" t="s">
        <v>131</v>
      </c>
      <c r="K22" s="215" t="s">
        <v>936</v>
      </c>
      <c r="L22" s="581" t="s">
        <v>870</v>
      </c>
      <c r="M22" s="580">
        <f t="shared" si="56"/>
        <v>0</v>
      </c>
      <c r="N22" s="580">
        <f t="shared" si="56"/>
        <v>0</v>
      </c>
      <c r="O22" s="580">
        <f t="shared" si="56"/>
        <v>0</v>
      </c>
      <c r="P22" s="580">
        <f t="shared" si="56"/>
        <v>0</v>
      </c>
      <c r="Q22" s="580">
        <f t="shared" si="56"/>
        <v>0</v>
      </c>
      <c r="R22" s="580">
        <f t="shared" si="28"/>
        <v>1</v>
      </c>
      <c r="S22" s="618">
        <v>0</v>
      </c>
      <c r="T22" s="618">
        <v>0</v>
      </c>
      <c r="U22" s="618">
        <v>0</v>
      </c>
      <c r="V22" s="618">
        <v>0</v>
      </c>
      <c r="W22" s="618">
        <v>6.62697</v>
      </c>
      <c r="X22" s="758"/>
      <c r="Y22" s="70">
        <f t="shared" si="29"/>
        <v>0</v>
      </c>
      <c r="Z22" s="70">
        <f t="shared" si="30"/>
        <v>0</v>
      </c>
      <c r="AA22" s="70">
        <f t="shared" si="31"/>
        <v>0</v>
      </c>
      <c r="AB22" s="70">
        <f t="shared" si="32"/>
        <v>0</v>
      </c>
      <c r="AC22" s="70">
        <f t="shared" si="33"/>
        <v>0</v>
      </c>
      <c r="AD22" s="758"/>
      <c r="AE22" s="580">
        <f t="shared" si="57"/>
        <v>0</v>
      </c>
      <c r="AF22" s="580">
        <f t="shared" si="57"/>
        <v>0</v>
      </c>
      <c r="AG22" s="580">
        <f t="shared" si="57"/>
        <v>0</v>
      </c>
      <c r="AH22" s="580">
        <f t="shared" si="57"/>
        <v>0</v>
      </c>
      <c r="AI22" s="580">
        <f t="shared" si="57"/>
        <v>0</v>
      </c>
      <c r="AJ22" s="758"/>
      <c r="AK22" s="585">
        <f t="shared" si="34"/>
        <v>0</v>
      </c>
      <c r="AL22" s="585"/>
      <c r="AM22" s="585">
        <f t="shared" si="35"/>
        <v>0</v>
      </c>
      <c r="AN22" s="585">
        <f t="shared" si="36"/>
        <v>0</v>
      </c>
      <c r="AO22" s="585">
        <f t="shared" si="37"/>
        <v>7.18</v>
      </c>
      <c r="AP22" s="758"/>
      <c r="AQ22" s="70">
        <f t="shared" si="38"/>
        <v>0</v>
      </c>
      <c r="AR22" s="70">
        <f t="shared" si="39"/>
        <v>0</v>
      </c>
      <c r="AS22" s="70">
        <f t="shared" si="40"/>
        <v>0</v>
      </c>
      <c r="AT22" s="70">
        <f t="shared" si="41"/>
        <v>0</v>
      </c>
      <c r="AU22" s="70">
        <f t="shared" si="54"/>
        <v>0</v>
      </c>
      <c r="AV22" s="758"/>
      <c r="AX22" s="592">
        <v>63</v>
      </c>
      <c r="AY22" s="582"/>
      <c r="AZ22" s="582"/>
      <c r="BA22" s="582"/>
      <c r="BB22" s="582"/>
      <c r="BC22" s="582">
        <v>6.87</v>
      </c>
      <c r="BD22" s="582"/>
      <c r="BE22" s="588">
        <f t="shared" si="42"/>
        <v>0.14000000000000001</v>
      </c>
      <c r="BF22" s="578"/>
      <c r="BG22" s="578"/>
      <c r="BH22" s="578"/>
      <c r="BI22" s="578"/>
      <c r="BJ22" s="578">
        <f t="shared" si="43"/>
        <v>0</v>
      </c>
      <c r="BK22" s="758"/>
      <c r="BL22" s="758"/>
      <c r="BM22" s="586">
        <f t="shared" si="44"/>
        <v>0</v>
      </c>
      <c r="BN22" s="586">
        <f t="shared" si="45"/>
        <v>0</v>
      </c>
      <c r="BO22" s="586">
        <f t="shared" si="46"/>
        <v>0</v>
      </c>
      <c r="BP22" s="586">
        <f t="shared" si="47"/>
        <v>0</v>
      </c>
      <c r="BQ22" s="586">
        <f t="shared" si="48"/>
        <v>7.2884179999999992</v>
      </c>
      <c r="BR22" s="758"/>
      <c r="BS22" s="578">
        <f t="shared" si="49"/>
        <v>0</v>
      </c>
      <c r="BT22" s="578">
        <f t="shared" si="50"/>
        <v>0</v>
      </c>
      <c r="BU22" s="578">
        <f t="shared" si="51"/>
        <v>0</v>
      </c>
      <c r="BV22" s="578">
        <f t="shared" si="52"/>
        <v>0</v>
      </c>
      <c r="BW22" s="578">
        <f t="shared" si="53"/>
        <v>0.41841799999999907</v>
      </c>
      <c r="BX22" s="758"/>
      <c r="BY22" s="758"/>
      <c r="BZ22" s="758"/>
      <c r="CA22" s="758"/>
      <c r="CB22" s="758"/>
      <c r="CC22" s="758"/>
      <c r="CD22" s="758"/>
      <c r="CE22" s="758"/>
      <c r="CF22" s="758"/>
      <c r="CG22" s="758"/>
      <c r="CH22" s="758"/>
      <c r="CI22" s="758"/>
      <c r="CJ22" s="758"/>
      <c r="CK22" s="758"/>
      <c r="CL22" s="758"/>
      <c r="CM22" s="758"/>
      <c r="CN22" s="758"/>
      <c r="CO22" s="758"/>
      <c r="CP22" s="758"/>
      <c r="CQ22" s="758"/>
      <c r="CR22" s="758"/>
      <c r="CS22" s="758"/>
      <c r="CT22" s="758"/>
      <c r="CU22" s="758"/>
      <c r="CV22" s="758"/>
      <c r="CW22" s="758"/>
      <c r="CX22" s="758"/>
      <c r="CY22" s="758"/>
      <c r="CZ22" s="758"/>
      <c r="DA22" s="758"/>
      <c r="DB22" s="758"/>
      <c r="DC22" s="758"/>
      <c r="DD22" s="758"/>
      <c r="DE22" s="758"/>
      <c r="DF22" s="758"/>
      <c r="DG22" s="758"/>
      <c r="DH22" s="758"/>
      <c r="DI22" s="758"/>
      <c r="DJ22" s="758"/>
      <c r="DK22" s="758"/>
      <c r="DL22" s="758"/>
      <c r="DM22" s="758"/>
      <c r="DN22" s="758"/>
      <c r="DO22" s="758"/>
      <c r="DP22" s="758"/>
      <c r="DQ22" s="758"/>
      <c r="DR22" s="758"/>
      <c r="DS22" s="758"/>
    </row>
    <row r="23" spans="1:123">
      <c r="A23" s="647"/>
      <c r="B23" s="540">
        <v>2</v>
      </c>
      <c r="C23" s="72" t="s">
        <v>120</v>
      </c>
      <c r="D23" s="540" t="s">
        <v>593</v>
      </c>
      <c r="E23" s="563">
        <v>49</v>
      </c>
      <c r="F23" s="73"/>
      <c r="G23" s="73" t="str">
        <f t="shared" si="55"/>
        <v>042433L</v>
      </c>
      <c r="H23" s="46"/>
      <c r="I23" s="758" t="s">
        <v>453</v>
      </c>
      <c r="J23" s="758" t="s">
        <v>131</v>
      </c>
      <c r="K23" s="215" t="s">
        <v>936</v>
      </c>
      <c r="L23" s="581" t="s">
        <v>871</v>
      </c>
      <c r="M23" s="580">
        <f t="shared" si="56"/>
        <v>0</v>
      </c>
      <c r="N23" s="580">
        <f t="shared" si="56"/>
        <v>0</v>
      </c>
      <c r="O23" s="580">
        <f t="shared" si="56"/>
        <v>0</v>
      </c>
      <c r="P23" s="580">
        <f t="shared" si="56"/>
        <v>0</v>
      </c>
      <c r="Q23" s="580">
        <f t="shared" si="56"/>
        <v>0</v>
      </c>
      <c r="R23" s="580">
        <f t="shared" si="28"/>
        <v>1</v>
      </c>
      <c r="S23" s="618">
        <v>0</v>
      </c>
      <c r="T23" s="618">
        <v>0</v>
      </c>
      <c r="U23" s="618">
        <v>0</v>
      </c>
      <c r="V23" s="618">
        <v>0</v>
      </c>
      <c r="W23" s="618">
        <v>7.0477300000000005</v>
      </c>
      <c r="X23" s="758"/>
      <c r="Y23" s="70">
        <f t="shared" si="29"/>
        <v>0</v>
      </c>
      <c r="Z23" s="70">
        <f t="shared" si="30"/>
        <v>0</v>
      </c>
      <c r="AA23" s="70">
        <f t="shared" si="31"/>
        <v>0</v>
      </c>
      <c r="AB23" s="70">
        <f t="shared" si="32"/>
        <v>0</v>
      </c>
      <c r="AC23" s="70">
        <f t="shared" si="33"/>
        <v>0</v>
      </c>
      <c r="AD23" s="758"/>
      <c r="AE23" s="580">
        <f t="shared" si="57"/>
        <v>0</v>
      </c>
      <c r="AF23" s="580">
        <f t="shared" si="57"/>
        <v>0</v>
      </c>
      <c r="AG23" s="580">
        <f t="shared" si="57"/>
        <v>0</v>
      </c>
      <c r="AH23" s="580">
        <f t="shared" si="57"/>
        <v>0</v>
      </c>
      <c r="AI23" s="580">
        <f t="shared" si="57"/>
        <v>0</v>
      </c>
      <c r="AJ23" s="758"/>
      <c r="AK23" s="585">
        <f t="shared" si="34"/>
        <v>0</v>
      </c>
      <c r="AL23" s="585"/>
      <c r="AM23" s="585">
        <f t="shared" si="35"/>
        <v>0</v>
      </c>
      <c r="AN23" s="585">
        <f t="shared" si="36"/>
        <v>0</v>
      </c>
      <c r="AO23" s="585">
        <f t="shared" si="37"/>
        <v>7.63</v>
      </c>
      <c r="AP23" s="758"/>
      <c r="AQ23" s="70">
        <f t="shared" si="38"/>
        <v>0</v>
      </c>
      <c r="AR23" s="70">
        <f t="shared" si="39"/>
        <v>0</v>
      </c>
      <c r="AS23" s="70">
        <f t="shared" si="40"/>
        <v>0</v>
      </c>
      <c r="AT23" s="70">
        <f t="shared" si="41"/>
        <v>0</v>
      </c>
      <c r="AU23" s="70">
        <f t="shared" si="54"/>
        <v>0</v>
      </c>
      <c r="AV23" s="758"/>
      <c r="AX23" s="592">
        <v>67</v>
      </c>
      <c r="AY23" s="582"/>
      <c r="AZ23" s="582"/>
      <c r="BA23" s="582"/>
      <c r="BB23" s="582"/>
      <c r="BC23" s="582">
        <v>7.3</v>
      </c>
      <c r="BD23" s="582"/>
      <c r="BE23" s="588">
        <f t="shared" si="42"/>
        <v>0.14000000000000001</v>
      </c>
      <c r="BF23" s="578"/>
      <c r="BG23" s="578"/>
      <c r="BH23" s="578"/>
      <c r="BI23" s="578"/>
      <c r="BJ23" s="578">
        <f t="shared" si="43"/>
        <v>-0.01</v>
      </c>
      <c r="BK23" s="758"/>
      <c r="BL23" s="758"/>
      <c r="BM23" s="586">
        <f t="shared" si="44"/>
        <v>0</v>
      </c>
      <c r="BN23" s="586">
        <f t="shared" si="45"/>
        <v>0</v>
      </c>
      <c r="BO23" s="586">
        <f t="shared" si="46"/>
        <v>0</v>
      </c>
      <c r="BP23" s="586">
        <f t="shared" si="47"/>
        <v>0</v>
      </c>
      <c r="BQ23" s="586">
        <f t="shared" si="48"/>
        <v>7.7452129999999988</v>
      </c>
      <c r="BR23" s="758"/>
      <c r="BS23" s="578">
        <f t="shared" si="49"/>
        <v>0</v>
      </c>
      <c r="BT23" s="578">
        <f t="shared" si="50"/>
        <v>0</v>
      </c>
      <c r="BU23" s="578">
        <f t="shared" si="51"/>
        <v>0</v>
      </c>
      <c r="BV23" s="578">
        <f t="shared" si="52"/>
        <v>0</v>
      </c>
      <c r="BW23" s="578">
        <f t="shared" si="53"/>
        <v>0.44521299999999897</v>
      </c>
      <c r="BX23" s="758"/>
      <c r="BY23" s="758"/>
      <c r="BZ23" s="758"/>
      <c r="CA23" s="758"/>
      <c r="CB23" s="758"/>
      <c r="CC23" s="758"/>
      <c r="CD23" s="758"/>
      <c r="CE23" s="758"/>
      <c r="CF23" s="758"/>
      <c r="CG23" s="758"/>
      <c r="CH23" s="758"/>
      <c r="CI23" s="758"/>
      <c r="CJ23" s="758"/>
      <c r="CK23" s="758"/>
      <c r="CL23" s="758"/>
      <c r="CM23" s="758"/>
      <c r="CN23" s="758"/>
      <c r="CO23" s="758"/>
      <c r="CP23" s="758"/>
      <c r="CQ23" s="758"/>
      <c r="CR23" s="758"/>
      <c r="CS23" s="758"/>
      <c r="CT23" s="758"/>
      <c r="CU23" s="758"/>
      <c r="CV23" s="758"/>
      <c r="CW23" s="758"/>
      <c r="CX23" s="758"/>
      <c r="CY23" s="758"/>
      <c r="CZ23" s="758"/>
      <c r="DA23" s="758"/>
      <c r="DB23" s="758"/>
      <c r="DC23" s="758"/>
      <c r="DD23" s="758"/>
      <c r="DE23" s="758"/>
      <c r="DF23" s="758"/>
      <c r="DG23" s="758"/>
      <c r="DH23" s="758"/>
      <c r="DI23" s="758"/>
      <c r="DJ23" s="758"/>
      <c r="DK23" s="758"/>
      <c r="DL23" s="758"/>
      <c r="DM23" s="758"/>
      <c r="DN23" s="758"/>
      <c r="DO23" s="758"/>
      <c r="DP23" s="758"/>
      <c r="DQ23" s="758"/>
      <c r="DR23" s="758"/>
      <c r="DS23" s="758"/>
    </row>
    <row r="24" spans="1:123">
      <c r="A24" s="646"/>
      <c r="B24" s="540">
        <v>2</v>
      </c>
      <c r="C24" s="72" t="s">
        <v>120</v>
      </c>
      <c r="D24" s="540" t="s">
        <v>706</v>
      </c>
      <c r="E24" s="563">
        <v>65</v>
      </c>
      <c r="F24" s="73"/>
      <c r="G24" s="73" t="str">
        <f t="shared" si="55"/>
        <v>042433T</v>
      </c>
      <c r="H24" s="46"/>
      <c r="I24" s="758" t="s">
        <v>453</v>
      </c>
      <c r="J24" s="758" t="s">
        <v>131</v>
      </c>
      <c r="K24" s="215" t="s">
        <v>936</v>
      </c>
      <c r="L24" s="581" t="s">
        <v>872</v>
      </c>
      <c r="M24" s="580">
        <f t="shared" ref="M24:Q33" si="58">SUMIF($G:$G,TEXT(M$3,"000")&amp;TEXT($L24,"000"),$E:$E)</f>
        <v>0</v>
      </c>
      <c r="N24" s="580">
        <f t="shared" si="58"/>
        <v>0</v>
      </c>
      <c r="O24" s="580">
        <f t="shared" si="58"/>
        <v>0</v>
      </c>
      <c r="P24" s="580">
        <f t="shared" si="58"/>
        <v>0</v>
      </c>
      <c r="Q24" s="580">
        <f t="shared" si="58"/>
        <v>0</v>
      </c>
      <c r="R24" s="580">
        <f t="shared" si="28"/>
        <v>1</v>
      </c>
      <c r="S24" s="618">
        <v>0</v>
      </c>
      <c r="T24" s="618">
        <v>0</v>
      </c>
      <c r="U24" s="618">
        <v>0</v>
      </c>
      <c r="V24" s="618">
        <v>0</v>
      </c>
      <c r="W24" s="618">
        <v>7.3633000000000006</v>
      </c>
      <c r="X24" s="758"/>
      <c r="Y24" s="70">
        <f t="shared" si="29"/>
        <v>0</v>
      </c>
      <c r="Z24" s="70">
        <f t="shared" si="30"/>
        <v>0</v>
      </c>
      <c r="AA24" s="70">
        <f t="shared" si="31"/>
        <v>0</v>
      </c>
      <c r="AB24" s="70">
        <f t="shared" si="32"/>
        <v>0</v>
      </c>
      <c r="AC24" s="70">
        <f t="shared" si="33"/>
        <v>0</v>
      </c>
      <c r="AD24" s="758"/>
      <c r="AE24" s="580">
        <f t="shared" si="57"/>
        <v>0</v>
      </c>
      <c r="AF24" s="580">
        <f t="shared" si="57"/>
        <v>0</v>
      </c>
      <c r="AG24" s="580">
        <f t="shared" si="57"/>
        <v>0</v>
      </c>
      <c r="AH24" s="580">
        <f t="shared" si="57"/>
        <v>0</v>
      </c>
      <c r="AI24" s="580">
        <f t="shared" si="57"/>
        <v>0</v>
      </c>
      <c r="AJ24" s="758"/>
      <c r="AK24" s="585">
        <f t="shared" si="34"/>
        <v>0</v>
      </c>
      <c r="AL24" s="585"/>
      <c r="AM24" s="585">
        <f t="shared" si="35"/>
        <v>0</v>
      </c>
      <c r="AN24" s="585">
        <f t="shared" si="36"/>
        <v>0</v>
      </c>
      <c r="AO24" s="585">
        <f t="shared" si="37"/>
        <v>7.97</v>
      </c>
      <c r="AP24" s="758"/>
      <c r="AQ24" s="70">
        <f t="shared" si="38"/>
        <v>0</v>
      </c>
      <c r="AR24" s="70">
        <f t="shared" si="39"/>
        <v>0</v>
      </c>
      <c r="AS24" s="70">
        <f t="shared" si="40"/>
        <v>0</v>
      </c>
      <c r="AT24" s="70">
        <f t="shared" si="41"/>
        <v>0</v>
      </c>
      <c r="AU24" s="70">
        <f t="shared" si="54"/>
        <v>0</v>
      </c>
      <c r="AV24" s="758"/>
      <c r="AX24" s="592">
        <v>70</v>
      </c>
      <c r="AY24" s="582"/>
      <c r="AZ24" s="582"/>
      <c r="BA24" s="582"/>
      <c r="BB24" s="582"/>
      <c r="BC24" s="582">
        <v>7.63</v>
      </c>
      <c r="BD24" s="582"/>
      <c r="BE24" s="588">
        <f t="shared" si="42"/>
        <v>0.16000000000000003</v>
      </c>
      <c r="BF24" s="578"/>
      <c r="BG24" s="578"/>
      <c r="BH24" s="578"/>
      <c r="BI24" s="578"/>
      <c r="BJ24" s="578">
        <f t="shared" si="43"/>
        <v>0</v>
      </c>
      <c r="BK24" s="758"/>
      <c r="BL24" s="758"/>
      <c r="BM24" s="586">
        <f t="shared" si="44"/>
        <v>0</v>
      </c>
      <c r="BN24" s="586">
        <f t="shared" si="45"/>
        <v>0</v>
      </c>
      <c r="BO24" s="586">
        <f t="shared" si="46"/>
        <v>0</v>
      </c>
      <c r="BP24" s="586">
        <f t="shared" si="47"/>
        <v>0</v>
      </c>
      <c r="BQ24" s="586">
        <f t="shared" si="48"/>
        <v>8.0903469999999995</v>
      </c>
      <c r="BR24" s="758"/>
      <c r="BS24" s="578">
        <f t="shared" si="49"/>
        <v>0</v>
      </c>
      <c r="BT24" s="578">
        <f t="shared" si="50"/>
        <v>0</v>
      </c>
      <c r="BU24" s="578">
        <f t="shared" si="51"/>
        <v>0</v>
      </c>
      <c r="BV24" s="578">
        <f t="shared" si="52"/>
        <v>0</v>
      </c>
      <c r="BW24" s="578">
        <f t="shared" si="53"/>
        <v>0.46034699999999962</v>
      </c>
      <c r="BX24" s="758"/>
      <c r="BY24" s="758"/>
      <c r="BZ24" s="758"/>
      <c r="CA24" s="758"/>
      <c r="CB24" s="758"/>
      <c r="CC24" s="758"/>
      <c r="CD24" s="758"/>
      <c r="CE24" s="758"/>
      <c r="CF24" s="758"/>
      <c r="CG24" s="758"/>
      <c r="CH24" s="758"/>
      <c r="CI24" s="758"/>
      <c r="CJ24" s="758"/>
      <c r="CK24" s="758"/>
      <c r="CL24" s="758"/>
      <c r="CM24" s="758"/>
      <c r="CN24" s="758"/>
      <c r="CO24" s="758"/>
      <c r="CP24" s="758"/>
      <c r="CQ24" s="758"/>
      <c r="CR24" s="758"/>
      <c r="CS24" s="758"/>
      <c r="CT24" s="758"/>
      <c r="CU24" s="758"/>
      <c r="CV24" s="758"/>
      <c r="CW24" s="758"/>
      <c r="CX24" s="758"/>
      <c r="CY24" s="758"/>
      <c r="CZ24" s="758"/>
      <c r="DA24" s="758"/>
      <c r="DB24" s="758"/>
      <c r="DC24" s="758"/>
      <c r="DD24" s="758"/>
      <c r="DE24" s="758"/>
      <c r="DF24" s="758"/>
      <c r="DG24" s="758"/>
      <c r="DH24" s="758"/>
      <c r="DI24" s="758"/>
      <c r="DJ24" s="758"/>
      <c r="DK24" s="758"/>
      <c r="DL24" s="758"/>
      <c r="DM24" s="758"/>
      <c r="DN24" s="758"/>
      <c r="DO24" s="758"/>
      <c r="DP24" s="758"/>
      <c r="DQ24" s="758"/>
      <c r="DR24" s="758"/>
      <c r="DS24" s="758"/>
    </row>
    <row r="25" spans="1:123">
      <c r="B25" s="35">
        <v>2</v>
      </c>
      <c r="C25" s="72" t="s">
        <v>120</v>
      </c>
      <c r="D25" s="35">
        <v>434</v>
      </c>
      <c r="E25" s="561">
        <v>2197</v>
      </c>
      <c r="F25" s="73"/>
      <c r="G25" s="73" t="str">
        <f t="shared" si="55"/>
        <v>042434</v>
      </c>
      <c r="H25" s="46"/>
      <c r="I25" s="758" t="s">
        <v>453</v>
      </c>
      <c r="J25" s="758" t="s">
        <v>131</v>
      </c>
      <c r="K25" s="215" t="s">
        <v>936</v>
      </c>
      <c r="L25" s="581" t="s">
        <v>873</v>
      </c>
      <c r="M25" s="580">
        <f t="shared" si="58"/>
        <v>0</v>
      </c>
      <c r="N25" s="580">
        <f t="shared" si="58"/>
        <v>0</v>
      </c>
      <c r="O25" s="580">
        <f t="shared" si="58"/>
        <v>0</v>
      </c>
      <c r="P25" s="580">
        <f t="shared" si="58"/>
        <v>0</v>
      </c>
      <c r="Q25" s="580">
        <f t="shared" si="58"/>
        <v>0</v>
      </c>
      <c r="R25" s="580">
        <f t="shared" si="28"/>
        <v>1</v>
      </c>
      <c r="S25" s="618">
        <v>0</v>
      </c>
      <c r="T25" s="618">
        <v>0</v>
      </c>
      <c r="U25" s="618">
        <v>0</v>
      </c>
      <c r="V25" s="618">
        <v>0</v>
      </c>
      <c r="W25" s="618">
        <v>8.0996300000000012</v>
      </c>
      <c r="X25" s="758"/>
      <c r="Y25" s="70">
        <f t="shared" si="29"/>
        <v>0</v>
      </c>
      <c r="Z25" s="70">
        <f t="shared" si="30"/>
        <v>0</v>
      </c>
      <c r="AA25" s="70">
        <f t="shared" si="31"/>
        <v>0</v>
      </c>
      <c r="AB25" s="70">
        <f t="shared" si="32"/>
        <v>0</v>
      </c>
      <c r="AC25" s="70">
        <f t="shared" si="33"/>
        <v>0</v>
      </c>
      <c r="AD25" s="758"/>
      <c r="AE25" s="580">
        <f t="shared" si="57"/>
        <v>0</v>
      </c>
      <c r="AF25" s="580">
        <f t="shared" si="57"/>
        <v>0</v>
      </c>
      <c r="AG25" s="580">
        <f t="shared" si="57"/>
        <v>0</v>
      </c>
      <c r="AH25" s="580">
        <f t="shared" si="57"/>
        <v>0</v>
      </c>
      <c r="AI25" s="580">
        <f t="shared" si="57"/>
        <v>0</v>
      </c>
      <c r="AJ25" s="758"/>
      <c r="AK25" s="585">
        <f t="shared" si="34"/>
        <v>0</v>
      </c>
      <c r="AL25" s="585"/>
      <c r="AM25" s="585">
        <f t="shared" si="35"/>
        <v>0</v>
      </c>
      <c r="AN25" s="585">
        <f t="shared" si="36"/>
        <v>0</v>
      </c>
      <c r="AO25" s="585">
        <f t="shared" si="37"/>
        <v>8.77</v>
      </c>
      <c r="AP25" s="758"/>
      <c r="AQ25" s="70">
        <f t="shared" si="38"/>
        <v>0</v>
      </c>
      <c r="AR25" s="70">
        <f t="shared" si="39"/>
        <v>0</v>
      </c>
      <c r="AS25" s="70">
        <f t="shared" si="40"/>
        <v>0</v>
      </c>
      <c r="AT25" s="70">
        <f t="shared" si="41"/>
        <v>0</v>
      </c>
      <c r="AU25" s="70">
        <f t="shared" si="54"/>
        <v>0</v>
      </c>
      <c r="AV25" s="758"/>
      <c r="AX25" s="592">
        <v>77</v>
      </c>
      <c r="AY25" s="582"/>
      <c r="AZ25" s="582"/>
      <c r="BA25" s="582"/>
      <c r="BB25" s="582"/>
      <c r="BC25" s="582">
        <v>8.39</v>
      </c>
      <c r="BD25" s="582"/>
      <c r="BE25" s="588">
        <f t="shared" si="42"/>
        <v>0.17000000000000004</v>
      </c>
      <c r="BF25" s="578"/>
      <c r="BG25" s="578"/>
      <c r="BH25" s="578"/>
      <c r="BI25" s="578"/>
      <c r="BJ25" s="578">
        <f t="shared" si="43"/>
        <v>0</v>
      </c>
      <c r="BK25" s="758"/>
      <c r="BL25" s="758"/>
      <c r="BM25" s="586">
        <f t="shared" si="44"/>
        <v>0</v>
      </c>
      <c r="BN25" s="586">
        <f t="shared" si="45"/>
        <v>0</v>
      </c>
      <c r="BO25" s="586">
        <f t="shared" si="46"/>
        <v>0</v>
      </c>
      <c r="BP25" s="586">
        <f t="shared" si="47"/>
        <v>0</v>
      </c>
      <c r="BQ25" s="586">
        <f t="shared" si="48"/>
        <v>8.9024269999999994</v>
      </c>
      <c r="BR25" s="758"/>
      <c r="BS25" s="578">
        <f t="shared" si="49"/>
        <v>0</v>
      </c>
      <c r="BT25" s="578">
        <f t="shared" si="50"/>
        <v>0</v>
      </c>
      <c r="BU25" s="578">
        <f t="shared" si="51"/>
        <v>0</v>
      </c>
      <c r="BV25" s="578">
        <f t="shared" si="52"/>
        <v>0</v>
      </c>
      <c r="BW25" s="578">
        <f t="shared" si="53"/>
        <v>0.51242699999999886</v>
      </c>
      <c r="BX25" s="758"/>
      <c r="BY25" s="758"/>
      <c r="BZ25" s="758"/>
      <c r="CA25" s="758"/>
      <c r="CB25" s="758"/>
      <c r="CC25" s="758"/>
      <c r="CD25" s="758"/>
      <c r="CE25" s="758"/>
      <c r="CF25" s="758"/>
      <c r="CG25" s="758"/>
      <c r="CH25" s="758"/>
      <c r="CI25" s="758"/>
      <c r="CJ25" s="758"/>
      <c r="CK25" s="758"/>
      <c r="CL25" s="758"/>
      <c r="CM25" s="758"/>
      <c r="CN25" s="758"/>
      <c r="CO25" s="758"/>
      <c r="CP25" s="758"/>
      <c r="CQ25" s="758"/>
      <c r="CR25" s="758"/>
      <c r="CS25" s="758"/>
      <c r="CT25" s="758"/>
      <c r="CU25" s="758"/>
      <c r="CV25" s="758"/>
      <c r="CW25" s="758"/>
      <c r="CX25" s="758"/>
      <c r="CY25" s="758"/>
      <c r="CZ25" s="758"/>
      <c r="DA25" s="758"/>
      <c r="DB25" s="758"/>
      <c r="DC25" s="758"/>
      <c r="DD25" s="758"/>
      <c r="DE25" s="758"/>
      <c r="DF25" s="758"/>
      <c r="DG25" s="758"/>
      <c r="DH25" s="758"/>
      <c r="DI25" s="758"/>
      <c r="DJ25" s="758"/>
      <c r="DK25" s="758"/>
      <c r="DL25" s="758"/>
      <c r="DM25" s="758"/>
      <c r="DN25" s="758"/>
      <c r="DO25" s="758"/>
      <c r="DP25" s="758"/>
      <c r="DQ25" s="758"/>
      <c r="DR25" s="758"/>
      <c r="DS25" s="758"/>
    </row>
    <row r="26" spans="1:123">
      <c r="A26" s="647"/>
      <c r="B26" s="540">
        <v>2</v>
      </c>
      <c r="C26" s="72" t="s">
        <v>120</v>
      </c>
      <c r="D26" s="540" t="s">
        <v>594</v>
      </c>
      <c r="E26" s="563">
        <v>1100</v>
      </c>
      <c r="F26" s="73"/>
      <c r="G26" s="73" t="str">
        <f t="shared" si="55"/>
        <v>042434L</v>
      </c>
      <c r="H26" s="46"/>
      <c r="I26" s="758" t="s">
        <v>453</v>
      </c>
      <c r="J26" s="758" t="s">
        <v>131</v>
      </c>
      <c r="K26" s="215" t="s">
        <v>936</v>
      </c>
      <c r="L26" s="581" t="s">
        <v>874</v>
      </c>
      <c r="M26" s="580">
        <f t="shared" si="58"/>
        <v>0</v>
      </c>
      <c r="N26" s="580">
        <f t="shared" si="58"/>
        <v>0</v>
      </c>
      <c r="O26" s="580">
        <f t="shared" si="58"/>
        <v>0</v>
      </c>
      <c r="P26" s="580">
        <f t="shared" si="58"/>
        <v>0</v>
      </c>
      <c r="Q26" s="580">
        <f t="shared" si="58"/>
        <v>30</v>
      </c>
      <c r="R26" s="580">
        <f t="shared" si="28"/>
        <v>0</v>
      </c>
      <c r="S26" s="618">
        <v>0</v>
      </c>
      <c r="T26" s="618">
        <v>0</v>
      </c>
      <c r="U26" s="618">
        <v>0</v>
      </c>
      <c r="V26" s="618">
        <v>0</v>
      </c>
      <c r="W26" s="618">
        <v>9.0463400000000007</v>
      </c>
      <c r="X26" s="758"/>
      <c r="Y26" s="70">
        <f t="shared" si="29"/>
        <v>0</v>
      </c>
      <c r="Z26" s="70">
        <f t="shared" si="30"/>
        <v>0</v>
      </c>
      <c r="AA26" s="70">
        <f t="shared" si="31"/>
        <v>0</v>
      </c>
      <c r="AB26" s="70">
        <f t="shared" si="32"/>
        <v>0</v>
      </c>
      <c r="AC26" s="70">
        <f>IF(AND(Q26&lt;&gt;0,W26=0),#VALUE!,Q26*W26)</f>
        <v>271.39020000000005</v>
      </c>
      <c r="AD26" s="758"/>
      <c r="AE26" s="580">
        <f t="shared" si="57"/>
        <v>0</v>
      </c>
      <c r="AF26" s="580">
        <f t="shared" si="57"/>
        <v>0</v>
      </c>
      <c r="AG26" s="580">
        <f t="shared" si="57"/>
        <v>0</v>
      </c>
      <c r="AH26" s="580">
        <f t="shared" si="57"/>
        <v>0</v>
      </c>
      <c r="AI26" s="580">
        <f t="shared" si="57"/>
        <v>30</v>
      </c>
      <c r="AJ26" s="758"/>
      <c r="AK26" s="585">
        <f t="shared" si="34"/>
        <v>0</v>
      </c>
      <c r="AL26" s="585"/>
      <c r="AM26" s="585">
        <f t="shared" si="35"/>
        <v>0</v>
      </c>
      <c r="AN26" s="585">
        <f t="shared" si="36"/>
        <v>0</v>
      </c>
      <c r="AO26" s="585">
        <f>ROUND(W26*(1+AO$1),2)</f>
        <v>9.8000000000000007</v>
      </c>
      <c r="AP26" s="758"/>
      <c r="AQ26" s="70">
        <f t="shared" si="38"/>
        <v>0</v>
      </c>
      <c r="AR26" s="70">
        <f t="shared" si="39"/>
        <v>0</v>
      </c>
      <c r="AS26" s="70">
        <f t="shared" si="40"/>
        <v>0</v>
      </c>
      <c r="AT26" s="70">
        <f t="shared" si="41"/>
        <v>0</v>
      </c>
      <c r="AU26" s="70">
        <f>IF(AND(AI26&lt;&gt;0,AO26=0),#VALUE!,AI26*AO26)</f>
        <v>294</v>
      </c>
      <c r="AV26" s="758"/>
      <c r="AX26" s="592">
        <v>86</v>
      </c>
      <c r="AY26" s="582"/>
      <c r="AZ26" s="582"/>
      <c r="BA26" s="582"/>
      <c r="BB26" s="582"/>
      <c r="BC26" s="582">
        <v>9.3800000000000008</v>
      </c>
      <c r="BD26" s="582"/>
      <c r="BE26" s="588">
        <f t="shared" si="42"/>
        <v>0.18999999999999995</v>
      </c>
      <c r="BF26" s="578"/>
      <c r="BG26" s="578"/>
      <c r="BH26" s="578"/>
      <c r="BI26" s="578"/>
      <c r="BJ26" s="578">
        <f t="shared" si="43"/>
        <v>-0.01</v>
      </c>
      <c r="BK26" s="758"/>
      <c r="BL26" s="758"/>
      <c r="BM26" s="586">
        <f t="shared" si="44"/>
        <v>0</v>
      </c>
      <c r="BN26" s="586">
        <f t="shared" si="45"/>
        <v>0</v>
      </c>
      <c r="BO26" s="586">
        <f t="shared" si="46"/>
        <v>0</v>
      </c>
      <c r="BP26" s="586">
        <f t="shared" si="47"/>
        <v>0</v>
      </c>
      <c r="BQ26" s="586">
        <f t="shared" si="48"/>
        <v>9.9479799999999994</v>
      </c>
      <c r="BR26" s="758"/>
      <c r="BS26" s="578">
        <f t="shared" si="49"/>
        <v>0</v>
      </c>
      <c r="BT26" s="578">
        <f t="shared" si="50"/>
        <v>0</v>
      </c>
      <c r="BU26" s="578">
        <f t="shared" si="51"/>
        <v>0</v>
      </c>
      <c r="BV26" s="578">
        <f t="shared" si="52"/>
        <v>0</v>
      </c>
      <c r="BW26" s="578">
        <f t="shared" si="53"/>
        <v>0.5679799999999986</v>
      </c>
      <c r="BX26" s="758"/>
      <c r="BY26" s="758"/>
      <c r="BZ26" s="758"/>
      <c r="CA26" s="758"/>
      <c r="CB26" s="758"/>
      <c r="CC26" s="758"/>
      <c r="CD26" s="758"/>
      <c r="CE26" s="758"/>
      <c r="CF26" s="758"/>
      <c r="CG26" s="758"/>
      <c r="CH26" s="758"/>
      <c r="CI26" s="758"/>
      <c r="CJ26" s="758"/>
      <c r="CK26" s="758"/>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row>
    <row r="27" spans="1:123">
      <c r="B27" s="35">
        <v>2</v>
      </c>
      <c r="C27" s="72" t="s">
        <v>120</v>
      </c>
      <c r="D27" s="35">
        <v>435</v>
      </c>
      <c r="E27" s="561">
        <f>238+557</f>
        <v>795</v>
      </c>
      <c r="F27" s="73"/>
      <c r="G27" s="73" t="str">
        <f t="shared" si="55"/>
        <v>042435</v>
      </c>
      <c r="H27" s="46"/>
      <c r="I27" t="s">
        <v>128</v>
      </c>
      <c r="J27" t="s">
        <v>110</v>
      </c>
      <c r="K27" s="59" t="s">
        <v>129</v>
      </c>
      <c r="L27" s="97">
        <v>234</v>
      </c>
      <c r="M27" s="69">
        <f t="shared" si="58"/>
        <v>0</v>
      </c>
      <c r="N27" s="69">
        <f t="shared" si="58"/>
        <v>96</v>
      </c>
      <c r="O27" s="69">
        <f t="shared" si="58"/>
        <v>0</v>
      </c>
      <c r="P27" s="69">
        <f t="shared" si="58"/>
        <v>0</v>
      </c>
      <c r="Q27" s="69">
        <f t="shared" si="58"/>
        <v>0</v>
      </c>
      <c r="R27" s="580">
        <f t="shared" si="1"/>
        <v>0</v>
      </c>
      <c r="S27" s="618">
        <v>0</v>
      </c>
      <c r="T27" s="618">
        <v>13.78</v>
      </c>
      <c r="U27" s="618">
        <v>0</v>
      </c>
      <c r="V27" s="618">
        <v>0</v>
      </c>
      <c r="W27" s="618">
        <v>0</v>
      </c>
      <c r="Y27" s="70">
        <f t="shared" ref="Y27:Y95" si="59">IF(AND(M27&lt;&gt;0,S27=0),#VALUE!,M27*S27)</f>
        <v>0</v>
      </c>
      <c r="Z27" s="70">
        <f t="shared" ref="Z27:Z97" si="60">IF(AND(N27&lt;&gt;0,T27=0),#VALUE!,N27*T27)</f>
        <v>1322.8799999999999</v>
      </c>
      <c r="AA27" s="70">
        <f t="shared" ref="AA27:AA97" si="61">IF(AND(O27&lt;&gt;0,U27=0),#VALUE!,O27*U27)</f>
        <v>0</v>
      </c>
      <c r="AB27" s="70">
        <f t="shared" ref="AB27:AB97" si="62">IF(AND(P27&lt;&gt;0,V27=0),#VALUE!,P27*V27)</f>
        <v>0</v>
      </c>
      <c r="AC27" s="70">
        <f t="shared" ref="AC27:AC97" si="63">IF(AND(Q27&lt;&gt;0,W27=0),#VALUE!,Q27*W27)</f>
        <v>0</v>
      </c>
      <c r="AE27" s="69">
        <f t="shared" ref="AE27:AE97" si="64">M27</f>
        <v>0</v>
      </c>
      <c r="AF27" s="69">
        <f t="shared" ref="AF27:AI32" si="65">N27</f>
        <v>96</v>
      </c>
      <c r="AG27" s="69">
        <f t="shared" si="65"/>
        <v>0</v>
      </c>
      <c r="AH27" s="69">
        <f t="shared" si="65"/>
        <v>0</v>
      </c>
      <c r="AI27" s="69">
        <f t="shared" si="65"/>
        <v>0</v>
      </c>
      <c r="AK27" s="435">
        <f t="shared" si="2"/>
        <v>0</v>
      </c>
      <c r="AL27" s="435">
        <f t="shared" si="2"/>
        <v>14.83</v>
      </c>
      <c r="AM27" s="435">
        <f t="shared" si="3"/>
        <v>0</v>
      </c>
      <c r="AN27" s="435">
        <f t="shared" si="4"/>
        <v>0</v>
      </c>
      <c r="AO27" s="435">
        <f t="shared" si="5"/>
        <v>0</v>
      </c>
      <c r="AQ27" s="70">
        <f t="shared" si="6"/>
        <v>0</v>
      </c>
      <c r="AR27" s="70">
        <f t="shared" si="7"/>
        <v>1423.68</v>
      </c>
      <c r="AS27" s="70">
        <f t="shared" si="8"/>
        <v>0</v>
      </c>
      <c r="AT27" s="70">
        <f t="shared" si="9"/>
        <v>0</v>
      </c>
      <c r="AU27" s="70">
        <f t="shared" si="10"/>
        <v>0</v>
      </c>
      <c r="AV27" s="70">
        <f t="shared" ref="AV27:AV87" si="66">SUM(AR27)-SUM(Z27)</f>
        <v>100.80000000000018</v>
      </c>
      <c r="AW27" s="456">
        <f>AV27/Z27</f>
        <v>7.6197387518142382E-2</v>
      </c>
      <c r="AX27" s="447">
        <v>20</v>
      </c>
      <c r="AY27" s="582"/>
      <c r="AZ27" s="582">
        <v>14.03</v>
      </c>
      <c r="BA27" s="582"/>
      <c r="BB27" s="582"/>
      <c r="BC27" s="582"/>
      <c r="BD27" s="140"/>
      <c r="BE27" s="588">
        <f t="shared" ref="BE27:BE77" si="67">ROUND(AX27*$BE$2,2)+ROUND(AX27*$BE$1,2)</f>
        <v>5.0000000000000017E-2</v>
      </c>
      <c r="BF27" s="54"/>
      <c r="BG27" s="54">
        <f>ROUND((T27*$BF$2)+$BE27-AZ27,2)</f>
        <v>0.01</v>
      </c>
      <c r="BH27" s="54"/>
      <c r="BI27" s="54"/>
      <c r="BJ27" s="54"/>
      <c r="BM27" s="279">
        <f t="shared" ref="BM27:BM54" si="68">AK27*$BM$1</f>
        <v>0</v>
      </c>
      <c r="BN27" s="279">
        <f t="shared" ref="BN27:BN54" si="69">AL27*$BM$1</f>
        <v>15.053932999999999</v>
      </c>
      <c r="BO27" s="279">
        <f t="shared" ref="BO27:BQ30" si="70">AM27*$BM$1</f>
        <v>0</v>
      </c>
      <c r="BP27" s="279">
        <f t="shared" si="70"/>
        <v>0</v>
      </c>
      <c r="BQ27" s="279">
        <f t="shared" si="70"/>
        <v>0</v>
      </c>
      <c r="BS27" s="54">
        <f t="shared" ref="BS27:BS135" si="71">BM27-AY27</f>
        <v>0</v>
      </c>
      <c r="BT27" s="54">
        <f t="shared" ref="BT27:BT135" si="72">BN27-AZ27</f>
        <v>1.0239329999999995</v>
      </c>
      <c r="BU27" s="54">
        <f t="shared" ref="BU27:BU135" si="73">BO27-BA27</f>
        <v>0</v>
      </c>
      <c r="BV27" s="54">
        <f t="shared" ref="BV27:BV135" si="74">BP27-BB27</f>
        <v>0</v>
      </c>
      <c r="BW27" s="54">
        <f t="shared" ref="BW27:BW135" si="75">BQ27-BC27</f>
        <v>0</v>
      </c>
      <c r="DC27" s="758"/>
      <c r="DD27" s="758"/>
      <c r="DE27" s="758"/>
      <c r="DF27" s="758"/>
      <c r="DG27" s="758"/>
      <c r="DH27" s="758"/>
      <c r="DI27" s="758"/>
      <c r="DJ27" s="758"/>
      <c r="DK27" s="758"/>
      <c r="DL27" s="758"/>
      <c r="DM27" s="758"/>
      <c r="DN27" s="758"/>
      <c r="DO27" s="758"/>
      <c r="DP27" s="758"/>
      <c r="DQ27" s="758"/>
      <c r="DR27" s="758"/>
      <c r="DS27" s="758"/>
    </row>
    <row r="28" spans="1:123">
      <c r="A28" s="647"/>
      <c r="B28" s="540">
        <v>2</v>
      </c>
      <c r="C28" s="72" t="s">
        <v>120</v>
      </c>
      <c r="D28" s="540" t="s">
        <v>595</v>
      </c>
      <c r="E28" s="563">
        <f>2575+5329</f>
        <v>7904</v>
      </c>
      <c r="F28" s="73"/>
      <c r="G28" s="73" t="str">
        <f t="shared" si="55"/>
        <v>042435L</v>
      </c>
      <c r="H28" s="46"/>
      <c r="I28" t="s">
        <v>130</v>
      </c>
      <c r="J28" t="s">
        <v>131</v>
      </c>
      <c r="K28" s="59" t="s">
        <v>132</v>
      </c>
      <c r="L28" s="97">
        <v>335</v>
      </c>
      <c r="M28" s="69">
        <f t="shared" si="58"/>
        <v>0</v>
      </c>
      <c r="N28" s="69">
        <f t="shared" si="58"/>
        <v>0</v>
      </c>
      <c r="O28" s="69">
        <f t="shared" si="58"/>
        <v>0</v>
      </c>
      <c r="P28" s="69">
        <f t="shared" si="58"/>
        <v>0</v>
      </c>
      <c r="Q28" s="69">
        <f t="shared" si="58"/>
        <v>8</v>
      </c>
      <c r="R28" s="580">
        <f t="shared" si="1"/>
        <v>0</v>
      </c>
      <c r="S28" s="618">
        <v>0</v>
      </c>
      <c r="T28" s="618">
        <v>0</v>
      </c>
      <c r="U28" s="618">
        <v>0</v>
      </c>
      <c r="V28" s="618">
        <v>0</v>
      </c>
      <c r="W28" s="618">
        <v>3.54</v>
      </c>
      <c r="Y28" s="70">
        <f t="shared" si="59"/>
        <v>0</v>
      </c>
      <c r="Z28" s="70">
        <f t="shared" si="60"/>
        <v>0</v>
      </c>
      <c r="AA28" s="70">
        <f t="shared" si="61"/>
        <v>0</v>
      </c>
      <c r="AB28" s="70">
        <f t="shared" si="62"/>
        <v>0</v>
      </c>
      <c r="AC28" s="70">
        <f t="shared" si="63"/>
        <v>28.32</v>
      </c>
      <c r="AE28" s="69">
        <f t="shared" si="64"/>
        <v>0</v>
      </c>
      <c r="AF28" s="69">
        <f t="shared" si="65"/>
        <v>0</v>
      </c>
      <c r="AG28" s="69">
        <f t="shared" si="65"/>
        <v>0</v>
      </c>
      <c r="AH28" s="69">
        <f t="shared" si="65"/>
        <v>0</v>
      </c>
      <c r="AI28" s="69">
        <f t="shared" si="65"/>
        <v>8</v>
      </c>
      <c r="AK28" s="435">
        <f t="shared" si="2"/>
        <v>0</v>
      </c>
      <c r="AL28" s="435">
        <f t="shared" si="2"/>
        <v>0</v>
      </c>
      <c r="AM28" s="435">
        <f t="shared" si="3"/>
        <v>0</v>
      </c>
      <c r="AN28" s="435">
        <f t="shared" si="4"/>
        <v>0</v>
      </c>
      <c r="AO28" s="435">
        <f t="shared" si="5"/>
        <v>3.83</v>
      </c>
      <c r="AQ28" s="70">
        <f t="shared" si="6"/>
        <v>0</v>
      </c>
      <c r="AR28" s="70">
        <f t="shared" si="7"/>
        <v>0</v>
      </c>
      <c r="AS28" s="70">
        <f t="shared" si="8"/>
        <v>0</v>
      </c>
      <c r="AT28" s="70">
        <f t="shared" si="9"/>
        <v>0</v>
      </c>
      <c r="AU28" s="70">
        <f t="shared" si="10"/>
        <v>30.64</v>
      </c>
      <c r="AV28" s="70">
        <f t="shared" si="66"/>
        <v>0</v>
      </c>
      <c r="AW28" s="456" t="e">
        <f>AV28/Z28</f>
        <v>#DIV/0!</v>
      </c>
      <c r="AX28" s="447">
        <v>25</v>
      </c>
      <c r="AY28" s="582"/>
      <c r="AZ28" s="582"/>
      <c r="BA28" s="582"/>
      <c r="BB28" s="582"/>
      <c r="BC28" s="582">
        <v>3.65</v>
      </c>
      <c r="BD28" s="140"/>
      <c r="BE28" s="588">
        <f t="shared" si="67"/>
        <v>0.06</v>
      </c>
      <c r="BF28" s="54"/>
      <c r="BG28" s="54"/>
      <c r="BH28" s="54"/>
      <c r="BI28" s="54"/>
      <c r="BJ28" s="54">
        <f>ROUND((W28*$BF$2)+$BE28-BC28,2)</f>
        <v>0</v>
      </c>
      <c r="BM28" s="279">
        <f t="shared" si="68"/>
        <v>0</v>
      </c>
      <c r="BN28" s="279">
        <f t="shared" si="69"/>
        <v>0</v>
      </c>
      <c r="BO28" s="279">
        <f t="shared" si="70"/>
        <v>0</v>
      </c>
      <c r="BP28" s="279">
        <f t="shared" si="70"/>
        <v>0</v>
      </c>
      <c r="BQ28" s="279">
        <f t="shared" si="70"/>
        <v>3.8878329999999997</v>
      </c>
      <c r="BS28" s="54">
        <f t="shared" si="71"/>
        <v>0</v>
      </c>
      <c r="BT28" s="54">
        <f t="shared" si="72"/>
        <v>0</v>
      </c>
      <c r="BU28" s="54">
        <f t="shared" si="73"/>
        <v>0</v>
      </c>
      <c r="BV28" s="54">
        <f t="shared" si="74"/>
        <v>0</v>
      </c>
      <c r="BW28" s="54">
        <f t="shared" si="75"/>
        <v>0.23783299999999974</v>
      </c>
    </row>
    <row r="29" spans="1:123">
      <c r="A29" s="612"/>
      <c r="B29" s="540">
        <v>2</v>
      </c>
      <c r="C29" s="72" t="s">
        <v>120</v>
      </c>
      <c r="D29" s="540" t="s">
        <v>707</v>
      </c>
      <c r="E29" s="563">
        <f>1854+1849</f>
        <v>3703</v>
      </c>
      <c r="F29" s="73"/>
      <c r="G29" s="73" t="str">
        <f t="shared" si="55"/>
        <v>042435T</v>
      </c>
      <c r="H29" s="46"/>
      <c r="I29" t="s">
        <v>124</v>
      </c>
      <c r="J29" t="s">
        <v>108</v>
      </c>
      <c r="K29" s="59">
        <v>7000</v>
      </c>
      <c r="L29" s="97">
        <v>411</v>
      </c>
      <c r="M29" s="69">
        <f t="shared" si="58"/>
        <v>1</v>
      </c>
      <c r="N29" s="69">
        <f t="shared" si="58"/>
        <v>0</v>
      </c>
      <c r="O29" s="69">
        <f t="shared" si="58"/>
        <v>0</v>
      </c>
      <c r="P29" s="69">
        <f t="shared" si="58"/>
        <v>0</v>
      </c>
      <c r="Q29" s="69">
        <f t="shared" si="58"/>
        <v>0</v>
      </c>
      <c r="R29" s="580">
        <f t="shared" si="1"/>
        <v>0</v>
      </c>
      <c r="S29" s="618">
        <v>15.91</v>
      </c>
      <c r="T29" s="618">
        <v>0</v>
      </c>
      <c r="U29" s="618">
        <v>0</v>
      </c>
      <c r="V29" s="618">
        <v>0</v>
      </c>
      <c r="W29" s="618">
        <v>0</v>
      </c>
      <c r="Y29" s="70">
        <f t="shared" si="59"/>
        <v>15.91</v>
      </c>
      <c r="Z29" s="70">
        <f t="shared" si="60"/>
        <v>0</v>
      </c>
      <c r="AA29" s="70">
        <f t="shared" si="61"/>
        <v>0</v>
      </c>
      <c r="AB29" s="70">
        <f t="shared" si="62"/>
        <v>0</v>
      </c>
      <c r="AC29" s="70">
        <f t="shared" si="63"/>
        <v>0</v>
      </c>
      <c r="AE29" s="69">
        <f t="shared" si="64"/>
        <v>1</v>
      </c>
      <c r="AF29" s="69">
        <f t="shared" si="65"/>
        <v>0</v>
      </c>
      <c r="AG29" s="69">
        <f t="shared" si="65"/>
        <v>0</v>
      </c>
      <c r="AH29" s="69">
        <f t="shared" si="65"/>
        <v>0</v>
      </c>
      <c r="AI29" s="69">
        <f t="shared" si="65"/>
        <v>0</v>
      </c>
      <c r="AK29" s="435">
        <f t="shared" si="2"/>
        <v>17.23</v>
      </c>
      <c r="AL29" s="435">
        <f t="shared" si="2"/>
        <v>0</v>
      </c>
      <c r="AM29" s="435">
        <f t="shared" si="3"/>
        <v>0</v>
      </c>
      <c r="AN29" s="435">
        <f t="shared" si="4"/>
        <v>0</v>
      </c>
      <c r="AO29" s="435">
        <f t="shared" si="5"/>
        <v>0</v>
      </c>
      <c r="AQ29" s="70">
        <f t="shared" si="6"/>
        <v>17.23</v>
      </c>
      <c r="AR29" s="70">
        <f t="shared" si="7"/>
        <v>0</v>
      </c>
      <c r="AS29" s="70">
        <f t="shared" si="8"/>
        <v>0</v>
      </c>
      <c r="AT29" s="70">
        <f t="shared" si="9"/>
        <v>0</v>
      </c>
      <c r="AU29" s="70">
        <f t="shared" si="10"/>
        <v>0</v>
      </c>
      <c r="AV29" s="70">
        <f t="shared" si="66"/>
        <v>0</v>
      </c>
      <c r="AW29" s="456" t="e">
        <f t="shared" ref="AW29:AW88" si="76">AV29/Z29</f>
        <v>#DIV/0!</v>
      </c>
      <c r="AX29" s="447">
        <v>80</v>
      </c>
      <c r="AY29" s="582">
        <v>16.329999999999998</v>
      </c>
      <c r="AZ29" s="582"/>
      <c r="BA29" s="582"/>
      <c r="BB29" s="582"/>
      <c r="BC29" s="582"/>
      <c r="BD29" s="140"/>
      <c r="BE29" s="588">
        <f t="shared" si="67"/>
        <v>0.18000000000000016</v>
      </c>
      <c r="BF29" s="54">
        <f>ROUND((S29*$BF$2)+$BE29-AY29,2)</f>
        <v>0</v>
      </c>
      <c r="BG29" s="54"/>
      <c r="BH29" s="54"/>
      <c r="BI29" s="54"/>
      <c r="BJ29" s="54"/>
      <c r="BM29" s="279">
        <f t="shared" si="68"/>
        <v>17.490172999999999</v>
      </c>
      <c r="BN29" s="279">
        <f t="shared" si="69"/>
        <v>0</v>
      </c>
      <c r="BO29" s="279">
        <f t="shared" si="70"/>
        <v>0</v>
      </c>
      <c r="BP29" s="279">
        <f t="shared" si="70"/>
        <v>0</v>
      </c>
      <c r="BQ29" s="279">
        <f t="shared" si="70"/>
        <v>0</v>
      </c>
      <c r="BS29" s="54">
        <f t="shared" si="71"/>
        <v>1.1601730000000003</v>
      </c>
      <c r="BT29" s="54">
        <f t="shared" si="72"/>
        <v>0</v>
      </c>
      <c r="BU29" s="54">
        <f t="shared" si="73"/>
        <v>0</v>
      </c>
      <c r="BV29" s="54">
        <f t="shared" si="74"/>
        <v>0</v>
      </c>
      <c r="BW29" s="54">
        <f t="shared" si="75"/>
        <v>0</v>
      </c>
    </row>
    <row r="30" spans="1:123">
      <c r="B30" s="35">
        <v>2</v>
      </c>
      <c r="C30" s="72" t="s">
        <v>120</v>
      </c>
      <c r="D30" s="35">
        <v>436</v>
      </c>
      <c r="E30" s="561">
        <v>22</v>
      </c>
      <c r="F30" s="73"/>
      <c r="G30" s="73" t="str">
        <f t="shared" si="55"/>
        <v>042436</v>
      </c>
      <c r="H30" s="46"/>
      <c r="I30" t="s">
        <v>133</v>
      </c>
      <c r="J30" t="s">
        <v>131</v>
      </c>
      <c r="K30" s="59">
        <v>7000</v>
      </c>
      <c r="L30" s="97">
        <v>415</v>
      </c>
      <c r="M30" s="69">
        <f t="shared" si="58"/>
        <v>0</v>
      </c>
      <c r="N30" s="69">
        <f t="shared" si="58"/>
        <v>0</v>
      </c>
      <c r="O30" s="69">
        <f t="shared" si="58"/>
        <v>0</v>
      </c>
      <c r="P30" s="69">
        <f t="shared" si="58"/>
        <v>61</v>
      </c>
      <c r="Q30" s="69">
        <f t="shared" si="58"/>
        <v>0</v>
      </c>
      <c r="R30" s="580">
        <f t="shared" si="1"/>
        <v>0</v>
      </c>
      <c r="S30" s="618">
        <v>0</v>
      </c>
      <c r="T30" s="618">
        <v>0</v>
      </c>
      <c r="U30" s="618">
        <v>0</v>
      </c>
      <c r="V30" s="618">
        <v>6.98</v>
      </c>
      <c r="W30" s="618">
        <v>0</v>
      </c>
      <c r="Y30" s="70">
        <f t="shared" si="59"/>
        <v>0</v>
      </c>
      <c r="Z30" s="70">
        <f t="shared" si="60"/>
        <v>0</v>
      </c>
      <c r="AA30" s="70">
        <f t="shared" si="61"/>
        <v>0</v>
      </c>
      <c r="AB30" s="70">
        <f t="shared" si="62"/>
        <v>425.78000000000003</v>
      </c>
      <c r="AC30" s="70">
        <f t="shared" si="63"/>
        <v>0</v>
      </c>
      <c r="AE30" s="69">
        <f t="shared" si="64"/>
        <v>0</v>
      </c>
      <c r="AF30" s="69">
        <f t="shared" si="65"/>
        <v>0</v>
      </c>
      <c r="AG30" s="69">
        <f t="shared" si="65"/>
        <v>0</v>
      </c>
      <c r="AH30" s="69">
        <f t="shared" si="65"/>
        <v>61</v>
      </c>
      <c r="AI30" s="69">
        <f t="shared" si="65"/>
        <v>0</v>
      </c>
      <c r="AK30" s="435">
        <f t="shared" si="2"/>
        <v>0</v>
      </c>
      <c r="AL30" s="435">
        <f t="shared" si="2"/>
        <v>0</v>
      </c>
      <c r="AM30" s="435">
        <f t="shared" si="3"/>
        <v>0</v>
      </c>
      <c r="AN30" s="435">
        <f t="shared" si="4"/>
        <v>7.56</v>
      </c>
      <c r="AO30" s="435">
        <f t="shared" si="5"/>
        <v>0</v>
      </c>
      <c r="AQ30" s="70">
        <f t="shared" si="6"/>
        <v>0</v>
      </c>
      <c r="AR30" s="70">
        <f t="shared" si="7"/>
        <v>0</v>
      </c>
      <c r="AS30" s="70">
        <f t="shared" si="8"/>
        <v>0</v>
      </c>
      <c r="AT30" s="70">
        <f t="shared" si="9"/>
        <v>461.15999999999997</v>
      </c>
      <c r="AU30" s="70">
        <f t="shared" si="10"/>
        <v>0</v>
      </c>
      <c r="AV30" s="70">
        <f t="shared" si="66"/>
        <v>0</v>
      </c>
      <c r="AW30" s="456" t="e">
        <f t="shared" si="76"/>
        <v>#DIV/0!</v>
      </c>
      <c r="AX30" s="447">
        <v>80</v>
      </c>
      <c r="AY30" s="582"/>
      <c r="AZ30" s="582"/>
      <c r="BA30" s="582"/>
      <c r="BB30" s="582">
        <v>7.27</v>
      </c>
      <c r="BC30" s="582"/>
      <c r="BD30" s="140"/>
      <c r="BE30" s="588">
        <f t="shared" si="67"/>
        <v>0.18000000000000016</v>
      </c>
      <c r="BF30" s="54"/>
      <c r="BG30" s="54"/>
      <c r="BH30" s="54"/>
      <c r="BI30" s="54">
        <f>ROUND((V30*$BF$2)+$BE30-BB30,2)</f>
        <v>0</v>
      </c>
      <c r="BJ30" s="54"/>
      <c r="BM30" s="279">
        <f t="shared" si="68"/>
        <v>0</v>
      </c>
      <c r="BN30" s="279">
        <f t="shared" si="69"/>
        <v>0</v>
      </c>
      <c r="BO30" s="279">
        <f t="shared" si="70"/>
        <v>0</v>
      </c>
      <c r="BP30" s="279">
        <f t="shared" si="70"/>
        <v>7.6741559999999991</v>
      </c>
      <c r="BQ30" s="279">
        <f t="shared" si="70"/>
        <v>0</v>
      </c>
      <c r="BS30" s="54">
        <f t="shared" si="71"/>
        <v>0</v>
      </c>
      <c r="BT30" s="54">
        <f t="shared" si="72"/>
        <v>0</v>
      </c>
      <c r="BU30" s="54">
        <f t="shared" si="73"/>
        <v>0</v>
      </c>
      <c r="BV30" s="54">
        <f t="shared" si="74"/>
        <v>0.40415599999999952</v>
      </c>
      <c r="BW30" s="54">
        <f t="shared" si="75"/>
        <v>0</v>
      </c>
    </row>
    <row r="31" spans="1:123">
      <c r="A31" s="647"/>
      <c r="B31" s="540">
        <v>2</v>
      </c>
      <c r="C31" s="72" t="s">
        <v>120</v>
      </c>
      <c r="D31" s="540" t="s">
        <v>596</v>
      </c>
      <c r="E31" s="563">
        <v>80</v>
      </c>
      <c r="F31" s="73"/>
      <c r="G31" s="73" t="str">
        <f t="shared" si="55"/>
        <v>042436L</v>
      </c>
      <c r="H31" s="46"/>
      <c r="I31" t="s">
        <v>133</v>
      </c>
      <c r="J31" t="s">
        <v>146</v>
      </c>
      <c r="K31" s="59">
        <v>7000</v>
      </c>
      <c r="L31" s="97">
        <v>419</v>
      </c>
      <c r="M31" s="69">
        <f t="shared" si="58"/>
        <v>0</v>
      </c>
      <c r="N31" s="69">
        <f t="shared" si="58"/>
        <v>0</v>
      </c>
      <c r="O31" s="69">
        <f t="shared" si="58"/>
        <v>0</v>
      </c>
      <c r="P31" s="69">
        <f t="shared" si="58"/>
        <v>16</v>
      </c>
      <c r="Q31" s="69">
        <f t="shared" si="58"/>
        <v>0</v>
      </c>
      <c r="R31" s="580">
        <f t="shared" si="1"/>
        <v>0</v>
      </c>
      <c r="S31" s="618">
        <v>0</v>
      </c>
      <c r="T31" s="618">
        <v>0</v>
      </c>
      <c r="U31" s="618">
        <v>0</v>
      </c>
      <c r="V31" s="618">
        <v>4.7300000000000004</v>
      </c>
      <c r="W31" s="618">
        <v>0</v>
      </c>
      <c r="Y31" s="70">
        <f t="shared" si="59"/>
        <v>0</v>
      </c>
      <c r="Z31" s="70">
        <f t="shared" si="60"/>
        <v>0</v>
      </c>
      <c r="AA31" s="70">
        <f t="shared" si="61"/>
        <v>0</v>
      </c>
      <c r="AB31" s="70">
        <f t="shared" si="62"/>
        <v>75.680000000000007</v>
      </c>
      <c r="AC31" s="70">
        <f t="shared" si="63"/>
        <v>0</v>
      </c>
      <c r="AE31" s="69">
        <f>M31</f>
        <v>0</v>
      </c>
      <c r="AF31" s="69">
        <f t="shared" si="65"/>
        <v>0</v>
      </c>
      <c r="AG31" s="69">
        <f t="shared" si="65"/>
        <v>0</v>
      </c>
      <c r="AH31" s="69">
        <f t="shared" si="65"/>
        <v>16</v>
      </c>
      <c r="AI31" s="69">
        <f t="shared" si="65"/>
        <v>0</v>
      </c>
      <c r="AK31" s="435">
        <f t="shared" si="2"/>
        <v>0</v>
      </c>
      <c r="AL31" s="435">
        <f t="shared" si="2"/>
        <v>0</v>
      </c>
      <c r="AM31" s="435">
        <f t="shared" si="3"/>
        <v>0</v>
      </c>
      <c r="AN31" s="435">
        <f t="shared" si="4"/>
        <v>5.12</v>
      </c>
      <c r="AO31" s="435">
        <f t="shared" si="5"/>
        <v>0</v>
      </c>
      <c r="AQ31" s="70">
        <f t="shared" si="6"/>
        <v>0</v>
      </c>
      <c r="AR31" s="70">
        <f t="shared" si="7"/>
        <v>0</v>
      </c>
      <c r="AS31" s="70">
        <f t="shared" si="8"/>
        <v>0</v>
      </c>
      <c r="AT31" s="70">
        <f t="shared" si="9"/>
        <v>81.92</v>
      </c>
      <c r="AU31" s="70">
        <f t="shared" si="10"/>
        <v>0</v>
      </c>
      <c r="AV31" s="70">
        <f t="shared" si="66"/>
        <v>0</v>
      </c>
      <c r="AW31" s="456" t="e">
        <f t="shared" si="76"/>
        <v>#DIV/0!</v>
      </c>
      <c r="AX31" s="447">
        <v>80</v>
      </c>
      <c r="AY31" s="582"/>
      <c r="AZ31" s="582"/>
      <c r="BA31" s="582"/>
      <c r="BB31" s="582">
        <v>4.9800000000000004</v>
      </c>
      <c r="BC31" s="582"/>
      <c r="BD31" s="140"/>
      <c r="BE31" s="588">
        <f t="shared" si="67"/>
        <v>0.18000000000000016</v>
      </c>
      <c r="BF31" s="54"/>
      <c r="BG31" s="54"/>
      <c r="BH31" s="54"/>
      <c r="BI31" s="54">
        <f>ROUND((V31*$BF$2)+$BE31-BB31,2)</f>
        <v>0</v>
      </c>
      <c r="BJ31" s="54"/>
      <c r="BM31" s="279">
        <f t="shared" si="68"/>
        <v>0</v>
      </c>
      <c r="BN31" s="279">
        <f t="shared" si="69"/>
        <v>0</v>
      </c>
      <c r="BO31" s="279">
        <f t="shared" ref="BO31:BO139" si="77">AM31*$BM$1</f>
        <v>0</v>
      </c>
      <c r="BP31" s="279">
        <f t="shared" ref="BP31:BP139" si="78">AN31*$BM$1</f>
        <v>5.1973119999999993</v>
      </c>
      <c r="BQ31" s="279">
        <f t="shared" ref="BQ31:BQ139" si="79">AO31*$BM$1</f>
        <v>0</v>
      </c>
      <c r="BS31" s="54">
        <f t="shared" si="71"/>
        <v>0</v>
      </c>
      <c r="BT31" s="54">
        <f t="shared" si="72"/>
        <v>0</v>
      </c>
      <c r="BU31" s="54">
        <f t="shared" si="73"/>
        <v>0</v>
      </c>
      <c r="BV31" s="54">
        <f t="shared" si="74"/>
        <v>0.21731199999999884</v>
      </c>
      <c r="BW31" s="54">
        <f t="shared" si="75"/>
        <v>0</v>
      </c>
    </row>
    <row r="32" spans="1:123">
      <c r="A32" s="646"/>
      <c r="B32" s="540">
        <v>2</v>
      </c>
      <c r="C32" s="72" t="s">
        <v>120</v>
      </c>
      <c r="D32" s="540" t="s">
        <v>708</v>
      </c>
      <c r="E32" s="563">
        <v>271</v>
      </c>
      <c r="F32" s="73"/>
      <c r="G32" s="73" t="str">
        <f t="shared" si="55"/>
        <v>042436T</v>
      </c>
      <c r="H32" s="46"/>
      <c r="I32" t="s">
        <v>128</v>
      </c>
      <c r="J32" t="s">
        <v>842</v>
      </c>
      <c r="K32" s="59" t="s">
        <v>134</v>
      </c>
      <c r="L32" s="97">
        <v>421</v>
      </c>
      <c r="M32" s="69">
        <f t="shared" si="58"/>
        <v>0</v>
      </c>
      <c r="N32" s="69">
        <f t="shared" si="58"/>
        <v>2</v>
      </c>
      <c r="O32" s="69">
        <f t="shared" si="58"/>
        <v>0</v>
      </c>
      <c r="P32" s="69">
        <f t="shared" si="58"/>
        <v>0</v>
      </c>
      <c r="Q32" s="69">
        <f t="shared" si="58"/>
        <v>0</v>
      </c>
      <c r="R32" s="580">
        <f t="shared" si="1"/>
        <v>0</v>
      </c>
      <c r="S32" s="618">
        <v>0</v>
      </c>
      <c r="T32" s="618">
        <v>24.26</v>
      </c>
      <c r="U32" s="618">
        <v>0</v>
      </c>
      <c r="V32" s="618">
        <v>0</v>
      </c>
      <c r="W32" s="618">
        <v>0</v>
      </c>
      <c r="Y32" s="70">
        <f t="shared" si="59"/>
        <v>0</v>
      </c>
      <c r="Z32" s="70">
        <f t="shared" si="60"/>
        <v>48.52</v>
      </c>
      <c r="AA32" s="70">
        <f t="shared" si="61"/>
        <v>0</v>
      </c>
      <c r="AB32" s="70">
        <f t="shared" si="62"/>
        <v>0</v>
      </c>
      <c r="AC32" s="70">
        <f t="shared" si="63"/>
        <v>0</v>
      </c>
      <c r="AE32" s="69">
        <f t="shared" si="64"/>
        <v>0</v>
      </c>
      <c r="AF32" s="69">
        <f t="shared" si="65"/>
        <v>2</v>
      </c>
      <c r="AG32" s="69">
        <f t="shared" si="65"/>
        <v>0</v>
      </c>
      <c r="AH32" s="69">
        <f t="shared" si="65"/>
        <v>0</v>
      </c>
      <c r="AI32" s="69">
        <f t="shared" si="65"/>
        <v>0</v>
      </c>
      <c r="AK32" s="435">
        <f t="shared" si="2"/>
        <v>0</v>
      </c>
      <c r="AL32" s="435">
        <f t="shared" si="2"/>
        <v>26.12</v>
      </c>
      <c r="AM32" s="435">
        <f t="shared" si="3"/>
        <v>0</v>
      </c>
      <c r="AN32" s="435">
        <f t="shared" si="4"/>
        <v>0</v>
      </c>
      <c r="AO32" s="435">
        <f t="shared" si="5"/>
        <v>0</v>
      </c>
      <c r="AQ32" s="70">
        <f t="shared" si="6"/>
        <v>0</v>
      </c>
      <c r="AR32" s="70">
        <f t="shared" si="7"/>
        <v>52.24</v>
      </c>
      <c r="AS32" s="70">
        <f t="shared" si="8"/>
        <v>0</v>
      </c>
      <c r="AT32" s="70">
        <f t="shared" si="9"/>
        <v>0</v>
      </c>
      <c r="AU32" s="70">
        <f t="shared" si="10"/>
        <v>0</v>
      </c>
      <c r="AV32" s="70">
        <f t="shared" si="66"/>
        <v>3.7199999999999989</v>
      </c>
      <c r="AW32" s="456">
        <f t="shared" si="76"/>
        <v>7.6669414674361058E-2</v>
      </c>
      <c r="AX32" s="447">
        <v>40</v>
      </c>
      <c r="AY32" s="582"/>
      <c r="AZ32" s="582">
        <v>24.71</v>
      </c>
      <c r="BA32" s="582"/>
      <c r="BB32" s="582"/>
      <c r="BC32" s="582"/>
      <c r="BD32" s="140"/>
      <c r="BE32" s="588">
        <f t="shared" si="67"/>
        <v>9.000000000000008E-2</v>
      </c>
      <c r="BF32" s="54"/>
      <c r="BG32" s="54">
        <f t="shared" ref="BG32:BG56" si="80">ROUND((T32*$BF$2)+$BE32-AZ32,2)</f>
        <v>0.01</v>
      </c>
      <c r="BH32" s="54"/>
      <c r="BI32" s="54"/>
      <c r="BJ32" s="54"/>
      <c r="BM32" s="279">
        <f t="shared" si="68"/>
        <v>0</v>
      </c>
      <c r="BN32" s="279">
        <f t="shared" si="69"/>
        <v>26.514411999999997</v>
      </c>
      <c r="BO32" s="279">
        <f t="shared" si="77"/>
        <v>0</v>
      </c>
      <c r="BP32" s="279">
        <f t="shared" si="78"/>
        <v>0</v>
      </c>
      <c r="BQ32" s="279">
        <f t="shared" si="79"/>
        <v>0</v>
      </c>
      <c r="BS32" s="54">
        <f t="shared" si="71"/>
        <v>0</v>
      </c>
      <c r="BT32" s="54">
        <f t="shared" si="72"/>
        <v>1.8044119999999957</v>
      </c>
      <c r="BU32" s="54">
        <f t="shared" si="73"/>
        <v>0</v>
      </c>
      <c r="BV32" s="54">
        <f t="shared" si="74"/>
        <v>0</v>
      </c>
      <c r="BW32" s="54">
        <f t="shared" si="75"/>
        <v>0</v>
      </c>
    </row>
    <row r="33" spans="1:106">
      <c r="B33" s="35">
        <v>2</v>
      </c>
      <c r="C33" s="72" t="s">
        <v>120</v>
      </c>
      <c r="D33" s="35">
        <v>438</v>
      </c>
      <c r="E33" s="561">
        <v>10</v>
      </c>
      <c r="F33" s="73"/>
      <c r="G33" s="73" t="str">
        <f t="shared" si="55"/>
        <v>042438</v>
      </c>
      <c r="H33" s="46"/>
      <c r="I33" s="434" t="s">
        <v>712</v>
      </c>
      <c r="J33" s="692" t="s">
        <v>842</v>
      </c>
      <c r="K33" s="579" t="s">
        <v>132</v>
      </c>
      <c r="L33" s="581" t="s">
        <v>590</v>
      </c>
      <c r="M33" s="69">
        <f t="shared" si="58"/>
        <v>0</v>
      </c>
      <c r="N33" s="69">
        <f t="shared" si="58"/>
        <v>1</v>
      </c>
      <c r="O33" s="69">
        <f t="shared" si="58"/>
        <v>0</v>
      </c>
      <c r="P33" s="69">
        <f t="shared" si="58"/>
        <v>0</v>
      </c>
      <c r="Q33" s="69">
        <f t="shared" si="58"/>
        <v>0</v>
      </c>
      <c r="R33" s="580">
        <f t="shared" si="1"/>
        <v>0</v>
      </c>
      <c r="S33" s="618">
        <v>0</v>
      </c>
      <c r="T33" s="648">
        <f>T32</f>
        <v>24.26</v>
      </c>
      <c r="U33" s="618"/>
      <c r="V33" s="618"/>
      <c r="W33" s="618"/>
      <c r="Y33" s="70">
        <f>IF(AND(M33&lt;&gt;0,S33=0),#VALUE!,M33*S33)</f>
        <v>0</v>
      </c>
      <c r="Z33" s="70">
        <f>IF(AND(N33&lt;&gt;0,T33=0),#VALUE!,N33*T33)</f>
        <v>24.26</v>
      </c>
      <c r="AA33" s="70">
        <f>IF(AND(O33&lt;&gt;0,U33=0),#VALUE!,O33*U33)</f>
        <v>0</v>
      </c>
      <c r="AB33" s="70">
        <f>IF(AND(P33&lt;&gt;0,V33=0),#VALUE!,P33*V33)</f>
        <v>0</v>
      </c>
      <c r="AC33" s="70">
        <f>IF(AND(Q33&lt;&gt;0,W33=0),#VALUE!,Q33*W33)</f>
        <v>0</v>
      </c>
      <c r="AE33" s="69">
        <f>SUMIF($G:$G,TEXT(AE$3,"000")&amp;TEXT($L33,"000"),$E:$E)</f>
        <v>0</v>
      </c>
      <c r="AF33" s="69">
        <f>SUMIF($G:$G,TEXT(AF$3,"000")&amp;TEXT($L33,"000"),$E:$E)</f>
        <v>1</v>
      </c>
      <c r="AG33" s="69">
        <f>SUMIF($G:$G,TEXT(AG$3,"000")&amp;TEXT($L33,"000"),$E:$E)</f>
        <v>0</v>
      </c>
      <c r="AH33" s="69">
        <f>SUMIF($G:$G,TEXT(AH$3,"000")&amp;TEXT($L33,"000"),$E:$E)</f>
        <v>0</v>
      </c>
      <c r="AI33" s="69">
        <f>SUMIF($G:$G,TEXT(AI$3,"000")&amp;TEXT($L33,"000"),$E:$E)</f>
        <v>0</v>
      </c>
      <c r="AK33" s="435">
        <f t="shared" ref="AK33:AL54" si="81">ROUND(S33*(1+AK$1),2)</f>
        <v>0</v>
      </c>
      <c r="AL33" s="435">
        <f>AL32</f>
        <v>26.12</v>
      </c>
      <c r="AM33" s="435">
        <f t="shared" si="3"/>
        <v>0</v>
      </c>
      <c r="AN33" s="435">
        <f t="shared" si="4"/>
        <v>0</v>
      </c>
      <c r="AO33" s="435">
        <f t="shared" si="5"/>
        <v>0</v>
      </c>
      <c r="AQ33" s="70">
        <f t="shared" si="6"/>
        <v>0</v>
      </c>
      <c r="AR33" s="70">
        <f t="shared" si="7"/>
        <v>26.12</v>
      </c>
      <c r="AS33" s="70">
        <f t="shared" si="8"/>
        <v>0</v>
      </c>
      <c r="AT33" s="70">
        <f t="shared" si="9"/>
        <v>0</v>
      </c>
      <c r="AU33" s="70">
        <f t="shared" si="10"/>
        <v>0</v>
      </c>
      <c r="AV33" s="70">
        <f t="shared" si="66"/>
        <v>1.8599999999999994</v>
      </c>
      <c r="AW33" s="456">
        <f t="shared" si="76"/>
        <v>7.6669414674361058E-2</v>
      </c>
      <c r="AX33" s="447">
        <v>26</v>
      </c>
      <c r="AY33" s="582"/>
      <c r="AZ33" s="582">
        <v>24.68</v>
      </c>
      <c r="BA33" s="582"/>
      <c r="BB33" s="582"/>
      <c r="BC33" s="582"/>
      <c r="BD33" s="140"/>
      <c r="BE33" s="588">
        <f>ROUND(AX33*$BE$2,2)+ROUND(AX33*$BE$1,2)</f>
        <v>0.06</v>
      </c>
      <c r="BF33" s="54"/>
      <c r="BG33" s="578">
        <f t="shared" si="80"/>
        <v>0.01</v>
      </c>
      <c r="BH33" s="54"/>
      <c r="BI33" s="54"/>
      <c r="BJ33" s="54"/>
      <c r="BM33" s="279">
        <f t="shared" si="68"/>
        <v>0</v>
      </c>
      <c r="BN33" s="279">
        <f t="shared" si="69"/>
        <v>26.514411999999997</v>
      </c>
      <c r="BO33" s="279">
        <f>AM33*$BM$1</f>
        <v>0</v>
      </c>
      <c r="BP33" s="279">
        <f>AN33*$BM$1</f>
        <v>0</v>
      </c>
      <c r="BQ33" s="279">
        <f>AO33*$BM$1</f>
        <v>0</v>
      </c>
      <c r="BS33" s="54">
        <f>BM33-AY33</f>
        <v>0</v>
      </c>
      <c r="BT33" s="54">
        <f>BN33-AZ33</f>
        <v>1.8344119999999968</v>
      </c>
      <c r="BU33" s="54">
        <f>BO33-BA33</f>
        <v>0</v>
      </c>
      <c r="BV33" s="54">
        <f>BP33-BB33</f>
        <v>0</v>
      </c>
      <c r="BW33" s="54">
        <f>BQ33-BC33</f>
        <v>0</v>
      </c>
      <c r="BX33" s="577"/>
      <c r="BY33" s="577"/>
      <c r="BZ33" s="577"/>
      <c r="CA33" s="577"/>
      <c r="CB33" s="577"/>
    </row>
    <row r="34" spans="1:106">
      <c r="A34" s="612"/>
      <c r="B34" s="540">
        <v>2</v>
      </c>
      <c r="C34" s="72" t="s">
        <v>120</v>
      </c>
      <c r="D34" s="540" t="s">
        <v>598</v>
      </c>
      <c r="E34" s="563">
        <v>14</v>
      </c>
      <c r="F34" s="73"/>
      <c r="G34" s="73" t="str">
        <f t="shared" si="55"/>
        <v>042441L</v>
      </c>
      <c r="H34" s="46"/>
      <c r="I34" t="s">
        <v>128</v>
      </c>
      <c r="J34" s="692" t="s">
        <v>842</v>
      </c>
      <c r="K34" s="59" t="s">
        <v>134</v>
      </c>
      <c r="L34" s="97">
        <v>431</v>
      </c>
      <c r="M34" s="69">
        <f t="shared" ref="M34:Q43" si="82">SUMIF($G:$G,TEXT(M$3,"000")&amp;TEXT($L34,"000"),$E:$E)</f>
        <v>0</v>
      </c>
      <c r="N34" s="69">
        <f t="shared" si="82"/>
        <v>0</v>
      </c>
      <c r="O34" s="69">
        <f t="shared" si="82"/>
        <v>2</v>
      </c>
      <c r="P34" s="69">
        <f t="shared" si="82"/>
        <v>0</v>
      </c>
      <c r="Q34" s="69">
        <f t="shared" si="82"/>
        <v>0</v>
      </c>
      <c r="R34" s="580">
        <f t="shared" si="1"/>
        <v>0</v>
      </c>
      <c r="S34" s="618">
        <v>0</v>
      </c>
      <c r="T34" s="618"/>
      <c r="U34" s="618">
        <v>7.5</v>
      </c>
      <c r="V34" s="618">
        <v>0</v>
      </c>
      <c r="W34" s="618">
        <v>0</v>
      </c>
      <c r="Y34" s="70">
        <f t="shared" si="59"/>
        <v>0</v>
      </c>
      <c r="Z34" s="70">
        <f>IF(AND(N34&lt;&gt;0,T34=0),#VALUE!,N34*T34)</f>
        <v>0</v>
      </c>
      <c r="AA34" s="70">
        <f t="shared" si="61"/>
        <v>15</v>
      </c>
      <c r="AB34" s="70">
        <f t="shared" si="62"/>
        <v>0</v>
      </c>
      <c r="AC34" s="70">
        <f t="shared" si="63"/>
        <v>0</v>
      </c>
      <c r="AE34" s="69">
        <f t="shared" si="64"/>
        <v>0</v>
      </c>
      <c r="AF34" s="69">
        <f t="shared" ref="AF34:AI35" si="83">N34</f>
        <v>0</v>
      </c>
      <c r="AG34" s="69">
        <f t="shared" si="83"/>
        <v>2</v>
      </c>
      <c r="AH34" s="69">
        <f t="shared" si="83"/>
        <v>0</v>
      </c>
      <c r="AI34" s="69">
        <f t="shared" si="83"/>
        <v>0</v>
      </c>
      <c r="AK34" s="435">
        <f t="shared" si="81"/>
        <v>0</v>
      </c>
      <c r="AL34" s="585"/>
      <c r="AM34" s="435">
        <f t="shared" si="3"/>
        <v>8.1199999999999992</v>
      </c>
      <c r="AN34" s="435">
        <f t="shared" si="4"/>
        <v>0</v>
      </c>
      <c r="AO34" s="435">
        <f t="shared" si="5"/>
        <v>0</v>
      </c>
      <c r="AQ34" s="70">
        <f t="shared" si="6"/>
        <v>0</v>
      </c>
      <c r="AR34" s="70">
        <f t="shared" si="7"/>
        <v>0</v>
      </c>
      <c r="AS34" s="70">
        <f t="shared" si="8"/>
        <v>16.239999999999998</v>
      </c>
      <c r="AT34" s="70">
        <f t="shared" si="9"/>
        <v>0</v>
      </c>
      <c r="AU34" s="70">
        <f t="shared" si="10"/>
        <v>0</v>
      </c>
      <c r="AV34" s="70">
        <f t="shared" si="66"/>
        <v>0</v>
      </c>
      <c r="AW34" s="456" t="e">
        <f t="shared" si="76"/>
        <v>#DIV/0!</v>
      </c>
      <c r="AX34" s="447">
        <v>40</v>
      </c>
      <c r="AY34" s="582"/>
      <c r="AZ34" s="582"/>
      <c r="BA34" s="582">
        <v>7.69</v>
      </c>
      <c r="BB34" s="582"/>
      <c r="BC34" s="582"/>
      <c r="BD34" s="140"/>
      <c r="BE34" s="588">
        <f t="shared" si="67"/>
        <v>9.000000000000008E-2</v>
      </c>
      <c r="BF34" s="54"/>
      <c r="BG34" s="54">
        <f t="shared" si="80"/>
        <v>0.09</v>
      </c>
      <c r="BH34" s="54">
        <f>ROUND((U34*$BF$2)+$BE34-BA34,2)</f>
        <v>0.01</v>
      </c>
      <c r="BI34" s="54"/>
      <c r="BJ34" s="54"/>
      <c r="BM34" s="279">
        <f t="shared" si="68"/>
        <v>0</v>
      </c>
      <c r="BN34" s="279">
        <f t="shared" si="69"/>
        <v>0</v>
      </c>
      <c r="BO34" s="279">
        <f t="shared" si="77"/>
        <v>8.2426119999999976</v>
      </c>
      <c r="BP34" s="279">
        <f t="shared" si="78"/>
        <v>0</v>
      </c>
      <c r="BQ34" s="279">
        <f t="shared" si="79"/>
        <v>0</v>
      </c>
      <c r="BS34" s="54">
        <f t="shared" si="71"/>
        <v>0</v>
      </c>
      <c r="BT34" s="54">
        <f t="shared" si="72"/>
        <v>0</v>
      </c>
      <c r="BU34" s="54">
        <f t="shared" si="73"/>
        <v>0.55261199999999722</v>
      </c>
      <c r="BV34" s="54">
        <f t="shared" si="74"/>
        <v>0</v>
      </c>
      <c r="BW34" s="54">
        <f t="shared" si="75"/>
        <v>0</v>
      </c>
    </row>
    <row r="35" spans="1:106">
      <c r="A35" s="647"/>
      <c r="B35" s="540">
        <v>2</v>
      </c>
      <c r="C35" s="72" t="s">
        <v>120</v>
      </c>
      <c r="D35" s="540" t="s">
        <v>720</v>
      </c>
      <c r="E35" s="563">
        <v>11</v>
      </c>
      <c r="F35" s="73"/>
      <c r="G35" s="73" t="str">
        <f t="shared" si="55"/>
        <v>042441T</v>
      </c>
      <c r="H35" s="46"/>
      <c r="I35" t="s">
        <v>128</v>
      </c>
      <c r="J35" t="s">
        <v>109</v>
      </c>
      <c r="K35" s="59" t="s">
        <v>134</v>
      </c>
      <c r="L35" s="97">
        <v>432</v>
      </c>
      <c r="M35" s="69">
        <f t="shared" si="82"/>
        <v>0</v>
      </c>
      <c r="N35" s="69">
        <f t="shared" si="82"/>
        <v>78</v>
      </c>
      <c r="O35" s="69">
        <f t="shared" si="82"/>
        <v>4</v>
      </c>
      <c r="P35" s="69">
        <f t="shared" si="82"/>
        <v>0</v>
      </c>
      <c r="Q35" s="69">
        <f t="shared" si="82"/>
        <v>0</v>
      </c>
      <c r="R35" s="580">
        <f t="shared" si="1"/>
        <v>0</v>
      </c>
      <c r="S35" s="618">
        <v>0</v>
      </c>
      <c r="T35" s="618">
        <v>26.14</v>
      </c>
      <c r="U35" s="618">
        <v>7.5</v>
      </c>
      <c r="V35" s="618">
        <v>0</v>
      </c>
      <c r="W35" s="618">
        <v>0</v>
      </c>
      <c r="Y35" s="70">
        <f t="shared" si="59"/>
        <v>0</v>
      </c>
      <c r="Z35" s="70">
        <f t="shared" si="60"/>
        <v>2038.92</v>
      </c>
      <c r="AA35" s="70">
        <f t="shared" si="61"/>
        <v>30</v>
      </c>
      <c r="AB35" s="70">
        <f t="shared" si="62"/>
        <v>0</v>
      </c>
      <c r="AC35" s="70">
        <f t="shared" si="63"/>
        <v>0</v>
      </c>
      <c r="AE35" s="69">
        <f t="shared" si="64"/>
        <v>0</v>
      </c>
      <c r="AF35" s="69">
        <f t="shared" si="83"/>
        <v>78</v>
      </c>
      <c r="AG35" s="69">
        <f t="shared" si="83"/>
        <v>4</v>
      </c>
      <c r="AH35" s="69">
        <f t="shared" si="83"/>
        <v>0</v>
      </c>
      <c r="AI35" s="69">
        <f t="shared" si="83"/>
        <v>0</v>
      </c>
      <c r="AK35" s="435">
        <f t="shared" si="81"/>
        <v>0</v>
      </c>
      <c r="AL35" s="435">
        <f t="shared" ref="AL35:AL43" si="84">ROUND(T35*(1+AL$1),2)</f>
        <v>28.14</v>
      </c>
      <c r="AM35" s="435">
        <f t="shared" si="3"/>
        <v>8.1199999999999992</v>
      </c>
      <c r="AN35" s="435">
        <f t="shared" si="4"/>
        <v>0</v>
      </c>
      <c r="AO35" s="435">
        <f t="shared" si="5"/>
        <v>0</v>
      </c>
      <c r="AQ35" s="70">
        <f t="shared" si="6"/>
        <v>0</v>
      </c>
      <c r="AR35" s="70">
        <f t="shared" si="7"/>
        <v>2194.92</v>
      </c>
      <c r="AS35" s="70">
        <f t="shared" si="8"/>
        <v>32.479999999999997</v>
      </c>
      <c r="AT35" s="70">
        <f t="shared" si="9"/>
        <v>0</v>
      </c>
      <c r="AU35" s="70">
        <f t="shared" si="10"/>
        <v>0</v>
      </c>
      <c r="AV35" s="70">
        <f t="shared" si="66"/>
        <v>156</v>
      </c>
      <c r="AW35" s="456">
        <f t="shared" si="76"/>
        <v>7.6511094108645747E-2</v>
      </c>
      <c r="AX35" s="447">
        <v>40</v>
      </c>
      <c r="AY35" s="582"/>
      <c r="AZ35" s="582">
        <v>26.61</v>
      </c>
      <c r="BA35" s="582">
        <v>7.69</v>
      </c>
      <c r="BB35" s="582"/>
      <c r="BC35" s="582"/>
      <c r="BD35" s="140"/>
      <c r="BE35" s="588">
        <f t="shared" si="67"/>
        <v>9.000000000000008E-2</v>
      </c>
      <c r="BF35" s="54"/>
      <c r="BG35" s="54">
        <f t="shared" si="80"/>
        <v>0.01</v>
      </c>
      <c r="BH35" s="54">
        <f>ROUND((U35*$BF$2)+$BE35-BA35,2)</f>
        <v>0.01</v>
      </c>
      <c r="BI35" s="54"/>
      <c r="BJ35" s="54"/>
      <c r="BM35" s="279">
        <f t="shared" si="68"/>
        <v>0</v>
      </c>
      <c r="BN35" s="279">
        <f t="shared" si="69"/>
        <v>28.564913999999998</v>
      </c>
      <c r="BO35" s="279">
        <f t="shared" si="77"/>
        <v>8.2426119999999976</v>
      </c>
      <c r="BP35" s="279">
        <f t="shared" si="78"/>
        <v>0</v>
      </c>
      <c r="BQ35" s="279">
        <f t="shared" si="79"/>
        <v>0</v>
      </c>
      <c r="BS35" s="54">
        <f t="shared" si="71"/>
        <v>0</v>
      </c>
      <c r="BT35" s="54">
        <f t="shared" si="72"/>
        <v>1.9549139999999987</v>
      </c>
      <c r="BU35" s="54">
        <f t="shared" si="73"/>
        <v>0.55261199999999722</v>
      </c>
      <c r="BV35" s="54">
        <f t="shared" si="74"/>
        <v>0</v>
      </c>
      <c r="BW35" s="54">
        <f t="shared" si="75"/>
        <v>0</v>
      </c>
    </row>
    <row r="36" spans="1:106">
      <c r="A36" s="330"/>
      <c r="B36" s="35">
        <v>2</v>
      </c>
      <c r="C36" s="72" t="s">
        <v>120</v>
      </c>
      <c r="D36" s="35">
        <v>474</v>
      </c>
      <c r="E36" s="561">
        <v>212</v>
      </c>
      <c r="F36" s="73"/>
      <c r="G36" s="73" t="str">
        <f t="shared" si="55"/>
        <v>042474</v>
      </c>
      <c r="H36" s="46"/>
      <c r="I36" s="434" t="s">
        <v>712</v>
      </c>
      <c r="J36" s="577" t="s">
        <v>109</v>
      </c>
      <c r="K36" s="579" t="s">
        <v>132</v>
      </c>
      <c r="L36" s="581" t="s">
        <v>592</v>
      </c>
      <c r="M36" s="580">
        <f t="shared" si="82"/>
        <v>0</v>
      </c>
      <c r="N36" s="580">
        <f t="shared" si="82"/>
        <v>141</v>
      </c>
      <c r="O36" s="580">
        <f t="shared" si="82"/>
        <v>0</v>
      </c>
      <c r="P36" s="580">
        <f t="shared" si="82"/>
        <v>0</v>
      </c>
      <c r="Q36" s="580">
        <f t="shared" si="82"/>
        <v>0</v>
      </c>
      <c r="R36" s="580">
        <f t="shared" si="1"/>
        <v>0</v>
      </c>
      <c r="S36" s="618">
        <v>0</v>
      </c>
      <c r="T36" s="648">
        <f>T35</f>
        <v>26.14</v>
      </c>
      <c r="U36" s="618">
        <v>0</v>
      </c>
      <c r="V36" s="618"/>
      <c r="W36" s="618"/>
      <c r="X36" s="577"/>
      <c r="Y36" s="70">
        <f t="shared" ref="Y36:AC37" si="85">IF(AND(M36&lt;&gt;0,S36=0),#VALUE!,M36*S36)</f>
        <v>0</v>
      </c>
      <c r="Z36" s="70">
        <f t="shared" si="85"/>
        <v>3685.7400000000002</v>
      </c>
      <c r="AA36" s="70">
        <f t="shared" si="85"/>
        <v>0</v>
      </c>
      <c r="AB36" s="70">
        <f t="shared" si="85"/>
        <v>0</v>
      </c>
      <c r="AC36" s="70">
        <f t="shared" si="85"/>
        <v>0</v>
      </c>
      <c r="AD36" s="577"/>
      <c r="AE36" s="580">
        <f>SUMIF($G:$G,TEXT(AE$3,"000")&amp;TEXT($L36,"000"),$E:$E)</f>
        <v>0</v>
      </c>
      <c r="AF36" s="580">
        <f>SUMIF($G:$G,TEXT(AF$3,"000")&amp;TEXT($L36,"000"),$E:$E)</f>
        <v>141</v>
      </c>
      <c r="AG36" s="580">
        <f>SUMIF($G:$G,TEXT(AG$3,"000")&amp;TEXT($L36,"000"),$E:$E)</f>
        <v>0</v>
      </c>
      <c r="AH36" s="580">
        <f>SUMIF($G:$G,TEXT(AH$3,"000")&amp;TEXT($L36,"000"),$E:$E)</f>
        <v>0</v>
      </c>
      <c r="AI36" s="580">
        <f>SUMIF($G:$G,TEXT(AI$3,"000")&amp;TEXT($L36,"000"),$E:$E)</f>
        <v>0</v>
      </c>
      <c r="AJ36" s="577"/>
      <c r="AK36" s="585">
        <f t="shared" si="81"/>
        <v>0</v>
      </c>
      <c r="AL36" s="585">
        <f>AL35</f>
        <v>28.14</v>
      </c>
      <c r="AM36" s="585">
        <f t="shared" si="3"/>
        <v>0</v>
      </c>
      <c r="AN36" s="585">
        <f t="shared" si="4"/>
        <v>0</v>
      </c>
      <c r="AO36" s="585">
        <f t="shared" si="5"/>
        <v>0</v>
      </c>
      <c r="AP36" s="577"/>
      <c r="AQ36" s="70">
        <f t="shared" si="6"/>
        <v>0</v>
      </c>
      <c r="AR36" s="70">
        <f t="shared" si="7"/>
        <v>3967.7400000000002</v>
      </c>
      <c r="AS36" s="70">
        <f t="shared" si="8"/>
        <v>0</v>
      </c>
      <c r="AT36" s="70">
        <f t="shared" si="9"/>
        <v>0</v>
      </c>
      <c r="AU36" s="70">
        <f t="shared" si="10"/>
        <v>0</v>
      </c>
      <c r="AV36" s="70">
        <f t="shared" si="66"/>
        <v>282</v>
      </c>
      <c r="AW36" s="456">
        <f t="shared" si="76"/>
        <v>7.6511094108645747E-2</v>
      </c>
      <c r="AX36" s="592">
        <v>26</v>
      </c>
      <c r="AY36" s="582"/>
      <c r="AZ36" s="582">
        <v>26.58</v>
      </c>
      <c r="BA36" s="582"/>
      <c r="BB36" s="582"/>
      <c r="BC36" s="582"/>
      <c r="BD36" s="582"/>
      <c r="BE36" s="588">
        <f>ROUND(AX36*$BE$2,2)+ROUND(AX36*$BE$1,2)</f>
        <v>0.06</v>
      </c>
      <c r="BF36" s="578"/>
      <c r="BG36" s="578">
        <f t="shared" si="80"/>
        <v>0.01</v>
      </c>
      <c r="BH36" s="578"/>
      <c r="BI36" s="578"/>
      <c r="BJ36" s="578"/>
      <c r="BK36" s="577"/>
      <c r="BL36" s="577"/>
      <c r="BM36" s="586">
        <f t="shared" si="68"/>
        <v>0</v>
      </c>
      <c r="BN36" s="586">
        <f t="shared" si="69"/>
        <v>28.564913999999998</v>
      </c>
      <c r="BO36" s="586">
        <f t="shared" ref="BO36:BQ37" si="86">AM36*$BM$1</f>
        <v>0</v>
      </c>
      <c r="BP36" s="586">
        <f t="shared" si="86"/>
        <v>0</v>
      </c>
      <c r="BQ36" s="586">
        <f t="shared" si="86"/>
        <v>0</v>
      </c>
      <c r="BR36" s="577"/>
      <c r="BS36" s="578">
        <f t="shared" ref="BS36:BW37" si="87">BM36-AY36</f>
        <v>0</v>
      </c>
      <c r="BT36" s="578">
        <f t="shared" si="87"/>
        <v>1.9849139999999998</v>
      </c>
      <c r="BU36" s="578">
        <f t="shared" si="87"/>
        <v>0</v>
      </c>
      <c r="BV36" s="578">
        <f t="shared" si="87"/>
        <v>0</v>
      </c>
      <c r="BW36" s="578">
        <f t="shared" si="87"/>
        <v>0</v>
      </c>
      <c r="BX36" s="577"/>
      <c r="BY36" s="577"/>
      <c r="BZ36" s="577"/>
      <c r="CA36" s="577"/>
      <c r="CB36" s="577"/>
      <c r="CM36" s="595"/>
      <c r="CN36" s="595"/>
      <c r="CO36" s="595"/>
      <c r="CP36" s="595"/>
      <c r="CQ36" s="595"/>
      <c r="CR36" s="595"/>
      <c r="CS36" s="595"/>
      <c r="CT36" s="595"/>
      <c r="CU36" s="595"/>
      <c r="CV36" s="595"/>
    </row>
    <row r="37" spans="1:106">
      <c r="A37" s="647"/>
      <c r="B37" s="540">
        <v>2</v>
      </c>
      <c r="C37" s="72" t="s">
        <v>120</v>
      </c>
      <c r="D37" s="540" t="s">
        <v>599</v>
      </c>
      <c r="E37" s="563">
        <v>106</v>
      </c>
      <c r="F37" s="73"/>
      <c r="G37" s="73" t="str">
        <f t="shared" si="55"/>
        <v>042474L</v>
      </c>
      <c r="H37" s="46"/>
      <c r="I37" s="646" t="s">
        <v>712</v>
      </c>
      <c r="J37" s="646" t="s">
        <v>109</v>
      </c>
      <c r="K37" s="579" t="s">
        <v>132</v>
      </c>
      <c r="L37" s="581" t="s">
        <v>705</v>
      </c>
      <c r="M37" s="580">
        <f t="shared" si="82"/>
        <v>0</v>
      </c>
      <c r="N37" s="580">
        <f t="shared" si="82"/>
        <v>28</v>
      </c>
      <c r="O37" s="580">
        <f t="shared" si="82"/>
        <v>0</v>
      </c>
      <c r="P37" s="580">
        <f t="shared" si="82"/>
        <v>0</v>
      </c>
      <c r="Q37" s="580">
        <f t="shared" si="82"/>
        <v>0</v>
      </c>
      <c r="R37" s="580">
        <f t="shared" si="1"/>
        <v>0</v>
      </c>
      <c r="S37" s="618">
        <v>0</v>
      </c>
      <c r="T37" s="648">
        <f>T35-T98</f>
        <v>20.91</v>
      </c>
      <c r="U37" s="618"/>
      <c r="V37" s="618">
        <v>0</v>
      </c>
      <c r="W37" s="618">
        <v>0</v>
      </c>
      <c r="X37" s="646"/>
      <c r="Y37" s="70">
        <f t="shared" si="85"/>
        <v>0</v>
      </c>
      <c r="Z37" s="70">
        <f t="shared" si="85"/>
        <v>585.48</v>
      </c>
      <c r="AA37" s="70">
        <f t="shared" si="85"/>
        <v>0</v>
      </c>
      <c r="AB37" s="70">
        <f t="shared" si="85"/>
        <v>0</v>
      </c>
      <c r="AC37" s="70">
        <f t="shared" si="85"/>
        <v>0</v>
      </c>
      <c r="AD37" s="646"/>
      <c r="AE37" s="580">
        <f>M37</f>
        <v>0</v>
      </c>
      <c r="AF37" s="580">
        <f>N37</f>
        <v>28</v>
      </c>
      <c r="AG37" s="580">
        <f>O37</f>
        <v>0</v>
      </c>
      <c r="AH37" s="580">
        <f>P37</f>
        <v>0</v>
      </c>
      <c r="AI37" s="580">
        <f>Q37</f>
        <v>0</v>
      </c>
      <c r="AJ37" s="646"/>
      <c r="AK37" s="585">
        <f t="shared" si="81"/>
        <v>0</v>
      </c>
      <c r="AL37" s="585">
        <f>AL36-AL98</f>
        <v>22.91</v>
      </c>
      <c r="AM37" s="585">
        <f t="shared" si="3"/>
        <v>0</v>
      </c>
      <c r="AN37" s="585">
        <f t="shared" si="4"/>
        <v>0</v>
      </c>
      <c r="AO37" s="585">
        <f t="shared" si="5"/>
        <v>0</v>
      </c>
      <c r="AP37" s="646"/>
      <c r="AQ37" s="70">
        <f t="shared" si="6"/>
        <v>0</v>
      </c>
      <c r="AR37" s="70">
        <f t="shared" si="7"/>
        <v>641.48</v>
      </c>
      <c r="AS37" s="70">
        <f t="shared" si="8"/>
        <v>0</v>
      </c>
      <c r="AT37" s="70">
        <f t="shared" si="9"/>
        <v>0</v>
      </c>
      <c r="AU37" s="70">
        <f t="shared" si="10"/>
        <v>0</v>
      </c>
      <c r="AV37" s="70">
        <f t="shared" si="66"/>
        <v>56</v>
      </c>
      <c r="AW37" s="456">
        <f t="shared" si="76"/>
        <v>9.5648015303682443E-2</v>
      </c>
      <c r="AX37" s="592">
        <v>26</v>
      </c>
      <c r="AY37" s="582"/>
      <c r="AZ37" s="582">
        <v>21.28</v>
      </c>
      <c r="BA37" s="582"/>
      <c r="BB37" s="582"/>
      <c r="BC37" s="582"/>
      <c r="BD37" s="582"/>
      <c r="BE37" s="588">
        <f>ROUND(AX37*$BE$2,2)+ROUND(AX37*$BE$1,2)</f>
        <v>0.06</v>
      </c>
      <c r="BF37" s="578"/>
      <c r="BG37" s="578">
        <f t="shared" si="80"/>
        <v>0.01</v>
      </c>
      <c r="BH37" s="578"/>
      <c r="BI37" s="578"/>
      <c r="BJ37" s="578"/>
      <c r="BK37" s="646"/>
      <c r="BL37" s="646"/>
      <c r="BM37" s="586">
        <f t="shared" si="68"/>
        <v>0</v>
      </c>
      <c r="BN37" s="586">
        <f t="shared" si="69"/>
        <v>23.255940999999996</v>
      </c>
      <c r="BO37" s="586">
        <f t="shared" si="86"/>
        <v>0</v>
      </c>
      <c r="BP37" s="586">
        <f t="shared" si="86"/>
        <v>0</v>
      </c>
      <c r="BQ37" s="586">
        <f t="shared" si="86"/>
        <v>0</v>
      </c>
      <c r="BR37" s="646"/>
      <c r="BS37" s="578">
        <f t="shared" si="87"/>
        <v>0</v>
      </c>
      <c r="BT37" s="578">
        <f t="shared" si="87"/>
        <v>1.9759409999999953</v>
      </c>
      <c r="BU37" s="578">
        <f t="shared" si="87"/>
        <v>0</v>
      </c>
      <c r="BV37" s="578">
        <f t="shared" si="87"/>
        <v>0</v>
      </c>
      <c r="BW37" s="578">
        <f t="shared" si="87"/>
        <v>0</v>
      </c>
      <c r="BX37" s="646"/>
      <c r="BY37" s="646"/>
      <c r="BZ37" s="646"/>
      <c r="CA37" s="646"/>
      <c r="CB37" s="646"/>
      <c r="CC37" s="646"/>
      <c r="CD37" s="646"/>
      <c r="CE37" s="646"/>
      <c r="CF37" s="646"/>
      <c r="CG37" s="646"/>
      <c r="CH37" s="646"/>
      <c r="CI37" s="646"/>
      <c r="CJ37" s="646"/>
    </row>
    <row r="38" spans="1:106">
      <c r="A38" s="595"/>
      <c r="B38" s="540">
        <v>2</v>
      </c>
      <c r="C38" s="72" t="s">
        <v>120</v>
      </c>
      <c r="D38" s="540">
        <v>475</v>
      </c>
      <c r="E38" s="563">
        <v>0</v>
      </c>
      <c r="F38" s="73"/>
      <c r="G38" s="73" t="str">
        <f t="shared" si="55"/>
        <v>042475</v>
      </c>
      <c r="H38" s="46"/>
      <c r="I38" t="s">
        <v>128</v>
      </c>
      <c r="J38" t="s">
        <v>110</v>
      </c>
      <c r="K38" s="59" t="s">
        <v>134</v>
      </c>
      <c r="L38" s="97">
        <v>433</v>
      </c>
      <c r="M38" s="69">
        <f t="shared" si="82"/>
        <v>0</v>
      </c>
      <c r="N38" s="69">
        <f t="shared" si="82"/>
        <v>6</v>
      </c>
      <c r="O38" s="69">
        <f t="shared" si="82"/>
        <v>6</v>
      </c>
      <c r="P38" s="69">
        <f t="shared" si="82"/>
        <v>0</v>
      </c>
      <c r="Q38" s="69">
        <f t="shared" si="82"/>
        <v>0</v>
      </c>
      <c r="R38" s="580">
        <f t="shared" si="1"/>
        <v>0</v>
      </c>
      <c r="S38" s="618">
        <v>0</v>
      </c>
      <c r="T38" s="618">
        <v>26.14</v>
      </c>
      <c r="U38" s="618">
        <v>7.5</v>
      </c>
      <c r="V38" s="618">
        <v>0</v>
      </c>
      <c r="W38" s="618">
        <v>0</v>
      </c>
      <c r="Y38" s="70">
        <f t="shared" si="59"/>
        <v>0</v>
      </c>
      <c r="Z38" s="70">
        <f t="shared" si="60"/>
        <v>156.84</v>
      </c>
      <c r="AA38" s="70">
        <f t="shared" si="61"/>
        <v>45</v>
      </c>
      <c r="AB38" s="70">
        <f t="shared" si="62"/>
        <v>0</v>
      </c>
      <c r="AC38" s="70">
        <f t="shared" si="63"/>
        <v>0</v>
      </c>
      <c r="AE38" s="69">
        <f t="shared" si="64"/>
        <v>0</v>
      </c>
      <c r="AF38" s="69">
        <f>N38</f>
        <v>6</v>
      </c>
      <c r="AG38" s="69">
        <f>O38</f>
        <v>6</v>
      </c>
      <c r="AH38" s="69">
        <f>P38</f>
        <v>0</v>
      </c>
      <c r="AI38" s="69">
        <f>Q38</f>
        <v>0</v>
      </c>
      <c r="AK38" s="435">
        <f t="shared" si="81"/>
        <v>0</v>
      </c>
      <c r="AL38" s="435">
        <f>ROUND(T38*(1+AL$1),2)</f>
        <v>28.14</v>
      </c>
      <c r="AM38" s="435">
        <f t="shared" si="3"/>
        <v>8.1199999999999992</v>
      </c>
      <c r="AN38" s="435">
        <f t="shared" si="4"/>
        <v>0</v>
      </c>
      <c r="AO38" s="435">
        <f t="shared" si="5"/>
        <v>0</v>
      </c>
      <c r="AQ38" s="70">
        <f t="shared" si="6"/>
        <v>0</v>
      </c>
      <c r="AR38" s="70">
        <f t="shared" si="7"/>
        <v>168.84</v>
      </c>
      <c r="AS38" s="70">
        <f t="shared" si="8"/>
        <v>48.72</v>
      </c>
      <c r="AT38" s="70">
        <f t="shared" si="9"/>
        <v>0</v>
      </c>
      <c r="AU38" s="70">
        <f t="shared" si="10"/>
        <v>0</v>
      </c>
      <c r="AV38" s="70">
        <f t="shared" si="66"/>
        <v>12</v>
      </c>
      <c r="AW38" s="456">
        <f t="shared" si="76"/>
        <v>7.6511094108645747E-2</v>
      </c>
      <c r="AX38" s="447">
        <v>40</v>
      </c>
      <c r="AY38" s="582"/>
      <c r="AZ38" s="582">
        <v>26.61</v>
      </c>
      <c r="BA38" s="582">
        <v>7.69</v>
      </c>
      <c r="BB38" s="582"/>
      <c r="BC38" s="582"/>
      <c r="BD38" s="140"/>
      <c r="BE38" s="588">
        <f t="shared" si="67"/>
        <v>9.000000000000008E-2</v>
      </c>
      <c r="BF38" s="54"/>
      <c r="BG38" s="54">
        <f t="shared" si="80"/>
        <v>0.01</v>
      </c>
      <c r="BH38" s="54">
        <f>ROUND((U38*$BF$2)+$BE38-BA38,2)</f>
        <v>0.01</v>
      </c>
      <c r="BI38" s="54"/>
      <c r="BJ38" s="54"/>
      <c r="BM38" s="279">
        <f t="shared" si="68"/>
        <v>0</v>
      </c>
      <c r="BN38" s="279">
        <f t="shared" si="69"/>
        <v>28.564913999999998</v>
      </c>
      <c r="BO38" s="279">
        <f t="shared" si="77"/>
        <v>8.2426119999999976</v>
      </c>
      <c r="BP38" s="279">
        <f t="shared" si="78"/>
        <v>0</v>
      </c>
      <c r="BQ38" s="279">
        <f t="shared" si="79"/>
        <v>0</v>
      </c>
      <c r="BS38" s="54">
        <f t="shared" si="71"/>
        <v>0</v>
      </c>
      <c r="BT38" s="54">
        <f t="shared" si="72"/>
        <v>1.9549139999999987</v>
      </c>
      <c r="BU38" s="54">
        <f t="shared" si="73"/>
        <v>0.55261199999999722</v>
      </c>
      <c r="BV38" s="54">
        <f t="shared" si="74"/>
        <v>0</v>
      </c>
      <c r="BW38" s="54">
        <f t="shared" si="75"/>
        <v>0</v>
      </c>
    </row>
    <row r="39" spans="1:106">
      <c r="B39" s="35">
        <v>3</v>
      </c>
      <c r="C39" s="72" t="s">
        <v>120</v>
      </c>
      <c r="D39" s="332">
        <v>478</v>
      </c>
      <c r="E39" s="557">
        <v>0</v>
      </c>
      <c r="F39" s="73"/>
      <c r="G39" s="73" t="str">
        <f t="shared" si="55"/>
        <v>042478</v>
      </c>
      <c r="H39" s="46"/>
      <c r="I39" s="434" t="s">
        <v>712</v>
      </c>
      <c r="J39" s="577" t="s">
        <v>110</v>
      </c>
      <c r="K39" s="579" t="s">
        <v>132</v>
      </c>
      <c r="L39" s="581" t="s">
        <v>593</v>
      </c>
      <c r="M39" s="580">
        <f t="shared" si="82"/>
        <v>0</v>
      </c>
      <c r="N39" s="580">
        <f t="shared" si="82"/>
        <v>49</v>
      </c>
      <c r="O39" s="580">
        <f t="shared" si="82"/>
        <v>0</v>
      </c>
      <c r="P39" s="580">
        <f t="shared" si="82"/>
        <v>0</v>
      </c>
      <c r="Q39" s="580">
        <f t="shared" si="82"/>
        <v>0</v>
      </c>
      <c r="R39" s="580">
        <f t="shared" si="1"/>
        <v>0</v>
      </c>
      <c r="S39" s="618">
        <v>0</v>
      </c>
      <c r="T39" s="648">
        <f>T38</f>
        <v>26.14</v>
      </c>
      <c r="U39" s="618">
        <v>0</v>
      </c>
      <c r="V39" s="618"/>
      <c r="W39" s="618"/>
      <c r="X39" s="577"/>
      <c r="Y39" s="70">
        <f t="shared" ref="Y39:AC40" si="88">IF(AND(M39&lt;&gt;0,S39=0),#VALUE!,M39*S39)</f>
        <v>0</v>
      </c>
      <c r="Z39" s="70">
        <f t="shared" si="88"/>
        <v>1280.8600000000001</v>
      </c>
      <c r="AA39" s="70">
        <f t="shared" si="88"/>
        <v>0</v>
      </c>
      <c r="AB39" s="70">
        <f t="shared" si="88"/>
        <v>0</v>
      </c>
      <c r="AC39" s="70">
        <f t="shared" si="88"/>
        <v>0</v>
      </c>
      <c r="AD39" s="577"/>
      <c r="AE39" s="580">
        <f>SUMIF($G:$G,TEXT(AE$3,"000")&amp;TEXT($L39,"000"),$E:$E)</f>
        <v>0</v>
      </c>
      <c r="AF39" s="580">
        <f>SUMIF($G:$G,TEXT(AF$3,"000")&amp;TEXT($L39,"000"),$E:$E)</f>
        <v>49</v>
      </c>
      <c r="AG39" s="580">
        <f>SUMIF($G:$G,TEXT(AG$3,"000")&amp;TEXT($L39,"000"),$E:$E)</f>
        <v>0</v>
      </c>
      <c r="AH39" s="580">
        <f>SUMIF($G:$G,TEXT(AH$3,"000")&amp;TEXT($L39,"000"),$E:$E)</f>
        <v>0</v>
      </c>
      <c r="AI39" s="580">
        <f>SUMIF($G:$G,TEXT(AI$3,"000")&amp;TEXT($L39,"000"),$E:$E)</f>
        <v>0</v>
      </c>
      <c r="AJ39" s="577"/>
      <c r="AK39" s="585">
        <f t="shared" si="81"/>
        <v>0</v>
      </c>
      <c r="AL39" s="585">
        <f>AL38</f>
        <v>28.14</v>
      </c>
      <c r="AM39" s="585">
        <f t="shared" si="3"/>
        <v>0</v>
      </c>
      <c r="AN39" s="585">
        <f t="shared" si="4"/>
        <v>0</v>
      </c>
      <c r="AO39" s="585">
        <f t="shared" si="5"/>
        <v>0</v>
      </c>
      <c r="AP39" s="577"/>
      <c r="AQ39" s="70">
        <f t="shared" si="6"/>
        <v>0</v>
      </c>
      <c r="AR39" s="70">
        <f t="shared" si="7"/>
        <v>1378.8600000000001</v>
      </c>
      <c r="AS39" s="70">
        <f t="shared" si="8"/>
        <v>0</v>
      </c>
      <c r="AT39" s="70">
        <f t="shared" si="9"/>
        <v>0</v>
      </c>
      <c r="AU39" s="70">
        <f t="shared" si="10"/>
        <v>0</v>
      </c>
      <c r="AV39" s="70">
        <f t="shared" si="66"/>
        <v>98</v>
      </c>
      <c r="AW39" s="456">
        <f t="shared" si="76"/>
        <v>7.6511094108645747E-2</v>
      </c>
      <c r="AX39" s="592">
        <v>26</v>
      </c>
      <c r="AY39" s="582"/>
      <c r="AZ39" s="582">
        <v>26.58</v>
      </c>
      <c r="BA39" s="582"/>
      <c r="BB39" s="582"/>
      <c r="BC39" s="582"/>
      <c r="BD39" s="582"/>
      <c r="BE39" s="588">
        <f>ROUND(AX39*$BE$2,2)+ROUND(AX39*$BE$1,2)</f>
        <v>0.06</v>
      </c>
      <c r="BF39" s="578"/>
      <c r="BG39" s="578">
        <f t="shared" si="80"/>
        <v>0.01</v>
      </c>
      <c r="BH39" s="578"/>
      <c r="BI39" s="578"/>
      <c r="BJ39" s="578"/>
      <c r="BK39" s="577"/>
      <c r="BL39" s="577"/>
      <c r="BM39" s="586">
        <f t="shared" si="68"/>
        <v>0</v>
      </c>
      <c r="BN39" s="586">
        <f t="shared" si="69"/>
        <v>28.564913999999998</v>
      </c>
      <c r="BO39" s="586">
        <f t="shared" ref="BO39:BQ40" si="89">AM39*$BM$1</f>
        <v>0</v>
      </c>
      <c r="BP39" s="586">
        <f t="shared" si="89"/>
        <v>0</v>
      </c>
      <c r="BQ39" s="586">
        <f t="shared" si="89"/>
        <v>0</v>
      </c>
      <c r="BR39" s="577"/>
      <c r="BS39" s="578">
        <f t="shared" ref="BS39:BW40" si="90">BM39-AY39</f>
        <v>0</v>
      </c>
      <c r="BT39" s="578">
        <f t="shared" si="90"/>
        <v>1.9849139999999998</v>
      </c>
      <c r="BU39" s="578">
        <f t="shared" si="90"/>
        <v>0</v>
      </c>
      <c r="BV39" s="578">
        <f t="shared" si="90"/>
        <v>0</v>
      </c>
      <c r="BW39" s="578">
        <f t="shared" si="90"/>
        <v>0</v>
      </c>
      <c r="BX39" s="577"/>
      <c r="BY39" s="577"/>
      <c r="BZ39" s="577"/>
      <c r="CA39" s="577"/>
      <c r="CB39" s="577"/>
      <c r="CL39" s="595"/>
      <c r="CZ39" s="647"/>
      <c r="DA39" s="647"/>
      <c r="DB39" s="647"/>
    </row>
    <row r="40" spans="1:106">
      <c r="B40" s="35">
        <v>2</v>
      </c>
      <c r="C40" s="72" t="s">
        <v>120</v>
      </c>
      <c r="D40" s="35">
        <v>484</v>
      </c>
      <c r="E40" s="561">
        <v>99</v>
      </c>
      <c r="F40" s="73"/>
      <c r="G40" s="73" t="str">
        <f t="shared" si="55"/>
        <v>042484</v>
      </c>
      <c r="H40" s="46"/>
      <c r="I40" s="646" t="s">
        <v>712</v>
      </c>
      <c r="J40" s="646" t="s">
        <v>110</v>
      </c>
      <c r="K40" s="579" t="s">
        <v>132</v>
      </c>
      <c r="L40" s="581" t="s">
        <v>706</v>
      </c>
      <c r="M40" s="580">
        <f t="shared" si="82"/>
        <v>0</v>
      </c>
      <c r="N40" s="580">
        <f t="shared" si="82"/>
        <v>65</v>
      </c>
      <c r="O40" s="580">
        <f t="shared" si="82"/>
        <v>0</v>
      </c>
      <c r="P40" s="580">
        <f t="shared" si="82"/>
        <v>0</v>
      </c>
      <c r="Q40" s="580">
        <f t="shared" si="82"/>
        <v>0</v>
      </c>
      <c r="R40" s="580">
        <f t="shared" si="1"/>
        <v>0</v>
      </c>
      <c r="S40" s="618">
        <v>0</v>
      </c>
      <c r="T40" s="648">
        <f>T38-T98</f>
        <v>20.91</v>
      </c>
      <c r="U40" s="618"/>
      <c r="V40" s="618">
        <v>0</v>
      </c>
      <c r="W40" s="618">
        <v>0</v>
      </c>
      <c r="X40" s="646"/>
      <c r="Y40" s="70">
        <f t="shared" si="88"/>
        <v>0</v>
      </c>
      <c r="Z40" s="70">
        <f t="shared" si="88"/>
        <v>1359.15</v>
      </c>
      <c r="AA40" s="70">
        <f t="shared" si="88"/>
        <v>0</v>
      </c>
      <c r="AB40" s="70">
        <f t="shared" si="88"/>
        <v>0</v>
      </c>
      <c r="AC40" s="70">
        <f t="shared" si="88"/>
        <v>0</v>
      </c>
      <c r="AD40" s="646"/>
      <c r="AE40" s="580">
        <f>M40</f>
        <v>0</v>
      </c>
      <c r="AF40" s="580">
        <f>N40</f>
        <v>65</v>
      </c>
      <c r="AG40" s="580">
        <f>O40</f>
        <v>0</v>
      </c>
      <c r="AH40" s="580">
        <f>P40</f>
        <v>0</v>
      </c>
      <c r="AI40" s="580">
        <f>Q40</f>
        <v>0</v>
      </c>
      <c r="AJ40" s="646"/>
      <c r="AK40" s="585">
        <f t="shared" si="81"/>
        <v>0</v>
      </c>
      <c r="AL40" s="585">
        <f>AL39-AL98</f>
        <v>22.91</v>
      </c>
      <c r="AM40" s="585">
        <f t="shared" si="3"/>
        <v>0</v>
      </c>
      <c r="AN40" s="585">
        <f t="shared" si="4"/>
        <v>0</v>
      </c>
      <c r="AO40" s="585">
        <f t="shared" si="5"/>
        <v>0</v>
      </c>
      <c r="AP40" s="646"/>
      <c r="AQ40" s="70">
        <f t="shared" si="6"/>
        <v>0</v>
      </c>
      <c r="AR40" s="70">
        <f>IF(AND(AF40&lt;&gt;0,AL40=0),#VALUE!,AF40*AL40)</f>
        <v>1489.15</v>
      </c>
      <c r="AS40" s="70">
        <f t="shared" si="8"/>
        <v>0</v>
      </c>
      <c r="AT40" s="70">
        <f t="shared" si="9"/>
        <v>0</v>
      </c>
      <c r="AU40" s="70">
        <f t="shared" si="10"/>
        <v>0</v>
      </c>
      <c r="AV40" s="70">
        <f>SUM(AR40)-SUM(Z40)</f>
        <v>130</v>
      </c>
      <c r="AW40" s="456">
        <f t="shared" si="76"/>
        <v>9.5648015303682443E-2</v>
      </c>
      <c r="AX40" s="592">
        <v>26</v>
      </c>
      <c r="AY40" s="582"/>
      <c r="AZ40" s="582">
        <v>21.28</v>
      </c>
      <c r="BA40" s="582"/>
      <c r="BB40" s="582"/>
      <c r="BC40" s="582"/>
      <c r="BD40" s="582"/>
      <c r="BE40" s="588">
        <f>ROUND(AX40*$BE$2,2)+ROUND(AX40*$BE$1,2)</f>
        <v>0.06</v>
      </c>
      <c r="BF40" s="578"/>
      <c r="BG40" s="578">
        <f t="shared" si="80"/>
        <v>0.01</v>
      </c>
      <c r="BH40" s="578"/>
      <c r="BI40" s="578"/>
      <c r="BJ40" s="578"/>
      <c r="BK40" s="646"/>
      <c r="BL40" s="646"/>
      <c r="BM40" s="586">
        <f t="shared" si="68"/>
        <v>0</v>
      </c>
      <c r="BN40" s="586">
        <f t="shared" si="69"/>
        <v>23.255940999999996</v>
      </c>
      <c r="BO40" s="586">
        <f t="shared" si="89"/>
        <v>0</v>
      </c>
      <c r="BP40" s="586">
        <f t="shared" si="89"/>
        <v>0</v>
      </c>
      <c r="BQ40" s="586">
        <f t="shared" si="89"/>
        <v>0</v>
      </c>
      <c r="BR40" s="646"/>
      <c r="BS40" s="578">
        <f t="shared" si="90"/>
        <v>0</v>
      </c>
      <c r="BT40" s="578">
        <f t="shared" si="90"/>
        <v>1.9759409999999953</v>
      </c>
      <c r="BU40" s="578">
        <f t="shared" si="90"/>
        <v>0</v>
      </c>
      <c r="BV40" s="578">
        <f t="shared" si="90"/>
        <v>0</v>
      </c>
      <c r="BW40" s="578">
        <f t="shared" si="90"/>
        <v>0</v>
      </c>
      <c r="BX40" s="646"/>
      <c r="BY40" s="646"/>
      <c r="BZ40" s="646"/>
      <c r="CA40" s="646"/>
      <c r="CB40" s="646"/>
      <c r="CC40" s="646"/>
      <c r="CD40" s="646"/>
      <c r="CE40" s="646"/>
      <c r="CF40" s="646"/>
      <c r="CG40" s="646"/>
      <c r="CH40" s="646"/>
      <c r="CI40" s="646"/>
      <c r="CJ40" s="646"/>
      <c r="CK40" s="646"/>
    </row>
    <row r="41" spans="1:106">
      <c r="A41" s="647"/>
      <c r="B41" s="540">
        <v>2</v>
      </c>
      <c r="C41" s="72" t="s">
        <v>120</v>
      </c>
      <c r="D41" s="540" t="s">
        <v>600</v>
      </c>
      <c r="E41" s="563">
        <v>64</v>
      </c>
      <c r="F41" s="73"/>
      <c r="G41" s="73" t="str">
        <f t="shared" si="55"/>
        <v>042484L</v>
      </c>
      <c r="H41" s="46"/>
      <c r="I41" t="s">
        <v>128</v>
      </c>
      <c r="J41" t="s">
        <v>110</v>
      </c>
      <c r="K41" s="59" t="s">
        <v>134</v>
      </c>
      <c r="L41" s="97">
        <v>434</v>
      </c>
      <c r="M41" s="69">
        <f t="shared" si="82"/>
        <v>0</v>
      </c>
      <c r="N41" s="69">
        <f t="shared" si="82"/>
        <v>2197</v>
      </c>
      <c r="O41" s="69">
        <f t="shared" si="82"/>
        <v>0</v>
      </c>
      <c r="P41" s="69">
        <f t="shared" si="82"/>
        <v>0</v>
      </c>
      <c r="Q41" s="69">
        <f t="shared" si="82"/>
        <v>0</v>
      </c>
      <c r="R41" s="580">
        <f t="shared" si="1"/>
        <v>0</v>
      </c>
      <c r="S41" s="618">
        <v>0</v>
      </c>
      <c r="T41" s="618">
        <v>14.74</v>
      </c>
      <c r="U41" s="618">
        <v>0</v>
      </c>
      <c r="V41" s="618">
        <v>0</v>
      </c>
      <c r="W41" s="618">
        <v>0</v>
      </c>
      <c r="Y41" s="70">
        <f t="shared" si="59"/>
        <v>0</v>
      </c>
      <c r="Z41" s="70">
        <f t="shared" si="60"/>
        <v>32383.78</v>
      </c>
      <c r="AA41" s="70">
        <f t="shared" si="61"/>
        <v>0</v>
      </c>
      <c r="AB41" s="70">
        <f t="shared" si="62"/>
        <v>0</v>
      </c>
      <c r="AC41" s="70">
        <f t="shared" si="63"/>
        <v>0</v>
      </c>
      <c r="AE41" s="69">
        <f t="shared" si="64"/>
        <v>0</v>
      </c>
      <c r="AF41" s="69">
        <f>N41</f>
        <v>2197</v>
      </c>
      <c r="AG41" s="69">
        <f>O41</f>
        <v>0</v>
      </c>
      <c r="AH41" s="69">
        <f>P41</f>
        <v>0</v>
      </c>
      <c r="AI41" s="69">
        <f>Q41</f>
        <v>0</v>
      </c>
      <c r="AK41" s="435">
        <f t="shared" si="81"/>
        <v>0</v>
      </c>
      <c r="AL41" s="435">
        <f t="shared" si="84"/>
        <v>15.87</v>
      </c>
      <c r="AM41" s="435">
        <f t="shared" si="3"/>
        <v>0</v>
      </c>
      <c r="AN41" s="435">
        <f t="shared" si="4"/>
        <v>0</v>
      </c>
      <c r="AO41" s="435">
        <f t="shared" si="5"/>
        <v>0</v>
      </c>
      <c r="AQ41" s="70">
        <f t="shared" si="6"/>
        <v>0</v>
      </c>
      <c r="AR41" s="70">
        <f t="shared" si="7"/>
        <v>34866.39</v>
      </c>
      <c r="AS41" s="70">
        <f t="shared" si="8"/>
        <v>0</v>
      </c>
      <c r="AT41" s="70">
        <f t="shared" si="9"/>
        <v>0</v>
      </c>
      <c r="AU41" s="70">
        <f t="shared" si="10"/>
        <v>0</v>
      </c>
      <c r="AV41" s="70">
        <f t="shared" si="66"/>
        <v>2482.6100000000006</v>
      </c>
      <c r="AW41" s="456">
        <f t="shared" si="76"/>
        <v>7.6662143826322957E-2</v>
      </c>
      <c r="AX41" s="447">
        <v>40</v>
      </c>
      <c r="AY41" s="582"/>
      <c r="AZ41" s="582">
        <v>15.04</v>
      </c>
      <c r="BA41" s="582"/>
      <c r="BB41" s="582"/>
      <c r="BC41" s="582"/>
      <c r="BD41" s="140"/>
      <c r="BE41" s="588">
        <f t="shared" si="67"/>
        <v>9.000000000000008E-2</v>
      </c>
      <c r="BF41" s="54"/>
      <c r="BG41" s="54">
        <f t="shared" si="80"/>
        <v>0.01</v>
      </c>
      <c r="BH41" s="54"/>
      <c r="BI41" s="54"/>
      <c r="BJ41" s="54"/>
      <c r="BM41" s="279">
        <f t="shared" si="68"/>
        <v>0</v>
      </c>
      <c r="BN41" s="279">
        <f t="shared" si="69"/>
        <v>16.109636999999996</v>
      </c>
      <c r="BO41" s="279">
        <f t="shared" si="77"/>
        <v>0</v>
      </c>
      <c r="BP41" s="279">
        <f t="shared" si="78"/>
        <v>0</v>
      </c>
      <c r="BQ41" s="279">
        <f t="shared" si="79"/>
        <v>0</v>
      </c>
      <c r="BS41" s="54">
        <f t="shared" si="71"/>
        <v>0</v>
      </c>
      <c r="BT41" s="54">
        <f t="shared" si="72"/>
        <v>1.0696369999999966</v>
      </c>
      <c r="BU41" s="54">
        <f t="shared" si="73"/>
        <v>0</v>
      </c>
      <c r="BV41" s="54">
        <f t="shared" si="74"/>
        <v>0</v>
      </c>
      <c r="BW41" s="54">
        <f t="shared" si="75"/>
        <v>0</v>
      </c>
    </row>
    <row r="42" spans="1:106">
      <c r="B42" s="35">
        <v>2</v>
      </c>
      <c r="C42" s="72" t="s">
        <v>120</v>
      </c>
      <c r="D42" s="35">
        <v>531</v>
      </c>
      <c r="E42" s="561">
        <v>0</v>
      </c>
      <c r="F42" s="73"/>
      <c r="G42" s="73" t="str">
        <f t="shared" ref="G42:G69" si="91">IF(OR(ISBLANK(C42),ISBLANK(D42)),"",TEXT(C42,"000")&amp;TEXT(D42,"000"))</f>
        <v>042531</v>
      </c>
      <c r="H42" s="46"/>
      <c r="I42" s="434" t="s">
        <v>712</v>
      </c>
      <c r="J42" s="577" t="s">
        <v>110</v>
      </c>
      <c r="K42" s="579" t="s">
        <v>132</v>
      </c>
      <c r="L42" s="581" t="s">
        <v>594</v>
      </c>
      <c r="M42" s="580">
        <f t="shared" si="82"/>
        <v>0</v>
      </c>
      <c r="N42" s="580">
        <f t="shared" si="82"/>
        <v>1100</v>
      </c>
      <c r="O42" s="580">
        <f t="shared" si="82"/>
        <v>0</v>
      </c>
      <c r="P42" s="580">
        <f t="shared" si="82"/>
        <v>0</v>
      </c>
      <c r="Q42" s="580">
        <f t="shared" si="82"/>
        <v>0</v>
      </c>
      <c r="R42" s="580">
        <f t="shared" si="1"/>
        <v>0</v>
      </c>
      <c r="S42" s="618">
        <v>0</v>
      </c>
      <c r="T42" s="648">
        <f>T41</f>
        <v>14.74</v>
      </c>
      <c r="U42" s="618">
        <v>0</v>
      </c>
      <c r="V42" s="618"/>
      <c r="W42" s="618"/>
      <c r="X42" s="577"/>
      <c r="Y42" s="70">
        <f>IF(AND(M42&lt;&gt;0,S42=0),#VALUE!,M42*S42)</f>
        <v>0</v>
      </c>
      <c r="Z42" s="70">
        <f>IF(AND(N42&lt;&gt;0,T42=0),#VALUE!,N42*T42)</f>
        <v>16214</v>
      </c>
      <c r="AA42" s="70">
        <f>IF(AND(O42&lt;&gt;0,U42=0),#VALUE!,O42*U42)</f>
        <v>0</v>
      </c>
      <c r="AB42" s="70">
        <f>IF(AND(P42&lt;&gt;0,V42=0),#VALUE!,P42*V42)</f>
        <v>0</v>
      </c>
      <c r="AC42" s="70">
        <f>IF(AND(Q42&lt;&gt;0,W42=0),#VALUE!,Q42*W42)</f>
        <v>0</v>
      </c>
      <c r="AD42" s="577"/>
      <c r="AE42" s="580">
        <f>SUMIF($G:$G,TEXT(AE$3,"000")&amp;TEXT($L42,"000"),$E:$E)</f>
        <v>0</v>
      </c>
      <c r="AF42" s="580">
        <f>SUMIF($G:$G,TEXT(AF$3,"000")&amp;TEXT($L42,"000"),$E:$E)</f>
        <v>1100</v>
      </c>
      <c r="AG42" s="580">
        <f>SUMIF($G:$G,TEXT(AG$3,"000")&amp;TEXT($L42,"000"),$E:$E)</f>
        <v>0</v>
      </c>
      <c r="AH42" s="580">
        <f>SUMIF($G:$G,TEXT(AH$3,"000")&amp;TEXT($L42,"000"),$E:$E)</f>
        <v>0</v>
      </c>
      <c r="AI42" s="580">
        <f>SUMIF($G:$G,TEXT(AI$3,"000")&amp;TEXT($L42,"000"),$E:$E)</f>
        <v>0</v>
      </c>
      <c r="AJ42" s="577"/>
      <c r="AK42" s="585">
        <f t="shared" si="81"/>
        <v>0</v>
      </c>
      <c r="AL42" s="585">
        <f>AL41</f>
        <v>15.87</v>
      </c>
      <c r="AM42" s="585">
        <f t="shared" si="3"/>
        <v>0</v>
      </c>
      <c r="AN42" s="585">
        <f t="shared" si="4"/>
        <v>0</v>
      </c>
      <c r="AO42" s="585">
        <f t="shared" si="5"/>
        <v>0</v>
      </c>
      <c r="AP42" s="577"/>
      <c r="AQ42" s="70">
        <f t="shared" si="6"/>
        <v>0</v>
      </c>
      <c r="AR42" s="70">
        <f t="shared" si="7"/>
        <v>17457</v>
      </c>
      <c r="AS42" s="70">
        <f t="shared" si="8"/>
        <v>0</v>
      </c>
      <c r="AT42" s="70">
        <f t="shared" si="9"/>
        <v>0</v>
      </c>
      <c r="AU42" s="70">
        <f t="shared" si="10"/>
        <v>0</v>
      </c>
      <c r="AV42" s="70">
        <f t="shared" si="66"/>
        <v>1243</v>
      </c>
      <c r="AW42" s="456">
        <f t="shared" si="76"/>
        <v>7.6662143826322929E-2</v>
      </c>
      <c r="AX42" s="592">
        <v>26</v>
      </c>
      <c r="AY42" s="582"/>
      <c r="AZ42" s="582">
        <v>15.01</v>
      </c>
      <c r="BA42" s="582"/>
      <c r="BB42" s="582"/>
      <c r="BC42" s="582"/>
      <c r="BD42" s="582"/>
      <c r="BE42" s="588">
        <f>ROUND(AX42*$BE$2,2)+ROUND(AX42*$BE$1,2)</f>
        <v>0.06</v>
      </c>
      <c r="BF42" s="578"/>
      <c r="BG42" s="578">
        <f t="shared" si="80"/>
        <v>0.01</v>
      </c>
      <c r="BH42" s="578"/>
      <c r="BI42" s="578"/>
      <c r="BJ42" s="578"/>
      <c r="BK42" s="577"/>
      <c r="BL42" s="577"/>
      <c r="BM42" s="586">
        <f t="shared" si="68"/>
        <v>0</v>
      </c>
      <c r="BN42" s="586">
        <f t="shared" si="69"/>
        <v>16.109636999999996</v>
      </c>
      <c r="BO42" s="586">
        <f>AM42*$BM$1</f>
        <v>0</v>
      </c>
      <c r="BP42" s="586">
        <f>AN42*$BM$1</f>
        <v>0</v>
      </c>
      <c r="BQ42" s="586">
        <f>AO42*$BM$1</f>
        <v>0</v>
      </c>
      <c r="BR42" s="577"/>
      <c r="BS42" s="578">
        <f>BM42-AY42</f>
        <v>0</v>
      </c>
      <c r="BT42" s="578">
        <f>BN42-AZ42</f>
        <v>1.099636999999996</v>
      </c>
      <c r="BU42" s="578">
        <f>BO42-BA42</f>
        <v>0</v>
      </c>
      <c r="BV42" s="578">
        <f>BP42-BB42</f>
        <v>0</v>
      </c>
      <c r="BW42" s="578">
        <f>BQ42-BC42</f>
        <v>0</v>
      </c>
      <c r="BX42" s="577"/>
      <c r="BY42" s="577"/>
      <c r="BZ42" s="577"/>
      <c r="CA42" s="577"/>
      <c r="CB42" s="577"/>
      <c r="CL42" s="595"/>
    </row>
    <row r="43" spans="1:106">
      <c r="A43" s="647"/>
      <c r="B43" s="540">
        <v>2</v>
      </c>
      <c r="C43" s="72" t="s">
        <v>120</v>
      </c>
      <c r="D43" s="540" t="s">
        <v>605</v>
      </c>
      <c r="E43" s="563">
        <v>0</v>
      </c>
      <c r="F43" s="73"/>
      <c r="G43" s="73" t="str">
        <f t="shared" si="91"/>
        <v>042531L</v>
      </c>
      <c r="H43" s="46"/>
      <c r="I43" t="s">
        <v>128</v>
      </c>
      <c r="J43" t="s">
        <v>840</v>
      </c>
      <c r="K43" s="59" t="s">
        <v>134</v>
      </c>
      <c r="L43" s="97">
        <v>435</v>
      </c>
      <c r="M43" s="69">
        <f t="shared" si="82"/>
        <v>0</v>
      </c>
      <c r="N43" s="69">
        <f t="shared" si="82"/>
        <v>795</v>
      </c>
      <c r="O43" s="69">
        <f t="shared" si="82"/>
        <v>17</v>
      </c>
      <c r="P43" s="69">
        <f t="shared" si="82"/>
        <v>0</v>
      </c>
      <c r="Q43" s="69">
        <f t="shared" si="82"/>
        <v>17</v>
      </c>
      <c r="R43" s="580">
        <f t="shared" si="1"/>
        <v>0</v>
      </c>
      <c r="S43" s="618">
        <v>0</v>
      </c>
      <c r="T43" s="618">
        <v>13.99</v>
      </c>
      <c r="U43" s="618">
        <v>7.5</v>
      </c>
      <c r="V43" s="618">
        <v>0</v>
      </c>
      <c r="W43" s="618">
        <v>5.01</v>
      </c>
      <c r="Y43" s="70">
        <f t="shared" si="59"/>
        <v>0</v>
      </c>
      <c r="Z43" s="70">
        <f t="shared" si="60"/>
        <v>11122.05</v>
      </c>
      <c r="AA43" s="70">
        <f t="shared" si="61"/>
        <v>127.5</v>
      </c>
      <c r="AB43" s="70">
        <f t="shared" si="62"/>
        <v>0</v>
      </c>
      <c r="AC43" s="70">
        <f t="shared" si="63"/>
        <v>85.17</v>
      </c>
      <c r="AE43" s="69">
        <f t="shared" si="64"/>
        <v>0</v>
      </c>
      <c r="AF43" s="69">
        <f>N43</f>
        <v>795</v>
      </c>
      <c r="AG43" s="69">
        <f>O43</f>
        <v>17</v>
      </c>
      <c r="AH43" s="69">
        <f>P43</f>
        <v>0</v>
      </c>
      <c r="AI43" s="69">
        <f>Q43</f>
        <v>17</v>
      </c>
      <c r="AK43" s="435">
        <f t="shared" si="81"/>
        <v>0</v>
      </c>
      <c r="AL43" s="435">
        <f t="shared" si="84"/>
        <v>15.06</v>
      </c>
      <c r="AM43" s="435">
        <f t="shared" si="3"/>
        <v>8.1199999999999992</v>
      </c>
      <c r="AN43" s="435">
        <f t="shared" si="4"/>
        <v>0</v>
      </c>
      <c r="AO43" s="435">
        <f t="shared" si="5"/>
        <v>5.43</v>
      </c>
      <c r="AQ43" s="70">
        <f t="shared" si="6"/>
        <v>0</v>
      </c>
      <c r="AR43" s="70">
        <f t="shared" si="7"/>
        <v>11972.7</v>
      </c>
      <c r="AS43" s="70">
        <f t="shared" si="8"/>
        <v>138.04</v>
      </c>
      <c r="AT43" s="70">
        <f t="shared" si="9"/>
        <v>0</v>
      </c>
      <c r="AU43" s="70">
        <f t="shared" si="10"/>
        <v>92.31</v>
      </c>
      <c r="AV43" s="70">
        <f t="shared" si="66"/>
        <v>850.65000000000146</v>
      </c>
      <c r="AW43" s="456">
        <f t="shared" si="76"/>
        <v>7.6483202287348243E-2</v>
      </c>
      <c r="AX43" s="447">
        <v>40</v>
      </c>
      <c r="AY43" s="582"/>
      <c r="AZ43" s="582">
        <v>14.28</v>
      </c>
      <c r="BA43" s="582">
        <v>7.69</v>
      </c>
      <c r="BB43" s="582"/>
      <c r="BC43" s="582">
        <v>5.17</v>
      </c>
      <c r="BD43" s="140"/>
      <c r="BE43" s="588">
        <f t="shared" si="67"/>
        <v>9.000000000000008E-2</v>
      </c>
      <c r="BF43" s="54"/>
      <c r="BG43" s="54">
        <f t="shared" si="80"/>
        <v>0.01</v>
      </c>
      <c r="BH43" s="54">
        <f>ROUND((U43*$BF$2)+$BE43-BA43,2)</f>
        <v>0.01</v>
      </c>
      <c r="BI43" s="54"/>
      <c r="BJ43" s="54">
        <f>ROUND((W43*$BF$2)+$BE43-BC43,2)</f>
        <v>0.01</v>
      </c>
      <c r="BM43" s="279">
        <f t="shared" si="68"/>
        <v>0</v>
      </c>
      <c r="BN43" s="279">
        <f t="shared" si="69"/>
        <v>15.287405999999999</v>
      </c>
      <c r="BO43" s="279">
        <f t="shared" si="77"/>
        <v>8.2426119999999976</v>
      </c>
      <c r="BP43" s="279">
        <f t="shared" si="78"/>
        <v>0</v>
      </c>
      <c r="BQ43" s="279">
        <f t="shared" si="79"/>
        <v>5.5119929999999995</v>
      </c>
      <c r="BS43" s="54">
        <f t="shared" si="71"/>
        <v>0</v>
      </c>
      <c r="BT43" s="54">
        <f t="shared" si="72"/>
        <v>1.0074059999999996</v>
      </c>
      <c r="BU43" s="54">
        <f t="shared" si="73"/>
        <v>0.55261199999999722</v>
      </c>
      <c r="BV43" s="54">
        <f t="shared" si="74"/>
        <v>0</v>
      </c>
      <c r="BW43" s="54">
        <f t="shared" si="75"/>
        <v>0.34199299999999955</v>
      </c>
    </row>
    <row r="44" spans="1:106">
      <c r="A44" s="612"/>
      <c r="B44" s="540">
        <v>2</v>
      </c>
      <c r="C44" s="72" t="s">
        <v>120</v>
      </c>
      <c r="D44" s="540" t="s">
        <v>709</v>
      </c>
      <c r="E44" s="563">
        <v>0</v>
      </c>
      <c r="F44" s="73"/>
      <c r="G44" s="73" t="str">
        <f t="shared" si="91"/>
        <v>042531T</v>
      </c>
      <c r="H44" s="46"/>
      <c r="I44" s="434" t="s">
        <v>712</v>
      </c>
      <c r="J44" s="692" t="s">
        <v>840</v>
      </c>
      <c r="K44" s="579" t="s">
        <v>132</v>
      </c>
      <c r="L44" s="581" t="s">
        <v>595</v>
      </c>
      <c r="M44" s="580">
        <f t="shared" ref="M44:Q53" si="92">SUMIF($G:$G,TEXT(M$3,"000")&amp;TEXT($L44,"000"),$E:$E)</f>
        <v>0</v>
      </c>
      <c r="N44" s="580">
        <f t="shared" si="92"/>
        <v>7904</v>
      </c>
      <c r="O44" s="580">
        <f t="shared" si="92"/>
        <v>0</v>
      </c>
      <c r="P44" s="580">
        <f t="shared" si="92"/>
        <v>0</v>
      </c>
      <c r="Q44" s="580">
        <f t="shared" si="92"/>
        <v>0</v>
      </c>
      <c r="R44" s="580">
        <f t="shared" si="1"/>
        <v>0</v>
      </c>
      <c r="S44" s="618">
        <v>0</v>
      </c>
      <c r="T44" s="648">
        <f>T43</f>
        <v>13.99</v>
      </c>
      <c r="U44" s="618">
        <v>0</v>
      </c>
      <c r="V44" s="618"/>
      <c r="W44" s="618"/>
      <c r="X44" s="577"/>
      <c r="Y44" s="70">
        <f t="shared" ref="Y44:AC45" si="93">IF(AND(M44&lt;&gt;0,S44=0),#VALUE!,M44*S44)</f>
        <v>0</v>
      </c>
      <c r="Z44" s="70">
        <f t="shared" si="93"/>
        <v>110576.96000000001</v>
      </c>
      <c r="AA44" s="70">
        <f t="shared" si="93"/>
        <v>0</v>
      </c>
      <c r="AB44" s="70">
        <f t="shared" si="93"/>
        <v>0</v>
      </c>
      <c r="AC44" s="70">
        <f t="shared" si="93"/>
        <v>0</v>
      </c>
      <c r="AD44" s="577"/>
      <c r="AE44" s="580">
        <f>SUMIF($G:$G,TEXT(AE$3,"000")&amp;TEXT($L44,"000"),$E:$E)</f>
        <v>0</v>
      </c>
      <c r="AF44" s="580">
        <f>SUMIF($G:$G,TEXT(AF$3,"000")&amp;TEXT($L44,"000"),$E:$E)</f>
        <v>7904</v>
      </c>
      <c r="AG44" s="580">
        <f>SUMIF($G:$G,TEXT(AG$3,"000")&amp;TEXT($L44,"000"),$E:$E)</f>
        <v>0</v>
      </c>
      <c r="AH44" s="580">
        <f>SUMIF($G:$G,TEXT(AH$3,"000")&amp;TEXT($L44,"000"),$E:$E)</f>
        <v>0</v>
      </c>
      <c r="AI44" s="580">
        <f>SUMIF($G:$G,TEXT(AI$3,"000")&amp;TEXT($L44,"000"),$E:$E)</f>
        <v>0</v>
      </c>
      <c r="AJ44" s="577"/>
      <c r="AK44" s="585">
        <f t="shared" si="81"/>
        <v>0</v>
      </c>
      <c r="AL44" s="585">
        <f>AL43</f>
        <v>15.06</v>
      </c>
      <c r="AM44" s="585">
        <f t="shared" si="3"/>
        <v>0</v>
      </c>
      <c r="AN44" s="585">
        <f t="shared" si="4"/>
        <v>0</v>
      </c>
      <c r="AO44" s="585">
        <f t="shared" si="5"/>
        <v>0</v>
      </c>
      <c r="AP44" s="577"/>
      <c r="AQ44" s="70">
        <f t="shared" si="6"/>
        <v>0</v>
      </c>
      <c r="AR44" s="70">
        <f t="shared" si="7"/>
        <v>119034.24000000001</v>
      </c>
      <c r="AS44" s="70">
        <f t="shared" si="8"/>
        <v>0</v>
      </c>
      <c r="AT44" s="70">
        <f t="shared" si="9"/>
        <v>0</v>
      </c>
      <c r="AU44" s="70">
        <f t="shared" si="10"/>
        <v>0</v>
      </c>
      <c r="AV44" s="70">
        <f t="shared" si="66"/>
        <v>8457.2799999999988</v>
      </c>
      <c r="AW44" s="456">
        <f t="shared" si="76"/>
        <v>7.648320228734809E-2</v>
      </c>
      <c r="AX44" s="592">
        <v>26</v>
      </c>
      <c r="AY44" s="582"/>
      <c r="AZ44" s="582">
        <v>14.25</v>
      </c>
      <c r="BA44" s="582"/>
      <c r="BB44" s="582"/>
      <c r="BC44" s="582"/>
      <c r="BD44" s="582"/>
      <c r="BE44" s="588">
        <f>ROUND(AX44*$BE$2,2)+ROUND(AX44*$BE$1,2)</f>
        <v>0.06</v>
      </c>
      <c r="BF44" s="578"/>
      <c r="BG44" s="578">
        <f t="shared" si="80"/>
        <v>0.01</v>
      </c>
      <c r="BH44" s="578"/>
      <c r="BI44" s="578"/>
      <c r="BJ44" s="578"/>
      <c r="BK44" s="577"/>
      <c r="BL44" s="577"/>
      <c r="BM44" s="586">
        <f t="shared" si="68"/>
        <v>0</v>
      </c>
      <c r="BN44" s="586">
        <f t="shared" si="69"/>
        <v>15.287405999999999</v>
      </c>
      <c r="BO44" s="586">
        <f t="shared" ref="BO44:BQ45" si="94">AM44*$BM$1</f>
        <v>0</v>
      </c>
      <c r="BP44" s="586">
        <f t="shared" si="94"/>
        <v>0</v>
      </c>
      <c r="BQ44" s="586">
        <f t="shared" si="94"/>
        <v>0</v>
      </c>
      <c r="BR44" s="577"/>
      <c r="BS44" s="578">
        <f t="shared" ref="BS44:BW45" si="95">BM44-AY44</f>
        <v>0</v>
      </c>
      <c r="BT44" s="578">
        <f t="shared" si="95"/>
        <v>1.0374059999999989</v>
      </c>
      <c r="BU44" s="578">
        <f t="shared" si="95"/>
        <v>0</v>
      </c>
      <c r="BV44" s="578">
        <f t="shared" si="95"/>
        <v>0</v>
      </c>
      <c r="BW44" s="578">
        <f t="shared" si="95"/>
        <v>0</v>
      </c>
      <c r="BX44" s="577"/>
      <c r="BY44" s="577"/>
      <c r="BZ44" s="577"/>
      <c r="CA44" s="577"/>
      <c r="CB44" s="577"/>
    </row>
    <row r="45" spans="1:106">
      <c r="B45" s="35">
        <v>2</v>
      </c>
      <c r="C45" s="72" t="s">
        <v>120</v>
      </c>
      <c r="D45" s="35">
        <v>532</v>
      </c>
      <c r="E45" s="561">
        <v>109</v>
      </c>
      <c r="F45" s="73"/>
      <c r="G45" s="73" t="str">
        <f t="shared" si="91"/>
        <v>042532</v>
      </c>
      <c r="H45" s="46"/>
      <c r="I45" s="646" t="s">
        <v>712</v>
      </c>
      <c r="J45" s="692" t="s">
        <v>840</v>
      </c>
      <c r="K45" s="579" t="s">
        <v>132</v>
      </c>
      <c r="L45" s="581" t="s">
        <v>707</v>
      </c>
      <c r="M45" s="580">
        <f t="shared" si="92"/>
        <v>0</v>
      </c>
      <c r="N45" s="580">
        <f t="shared" si="92"/>
        <v>3703</v>
      </c>
      <c r="O45" s="580">
        <f t="shared" si="92"/>
        <v>0</v>
      </c>
      <c r="P45" s="580">
        <f t="shared" si="92"/>
        <v>0</v>
      </c>
      <c r="Q45" s="580">
        <f t="shared" si="92"/>
        <v>0</v>
      </c>
      <c r="R45" s="580">
        <f t="shared" si="1"/>
        <v>0</v>
      </c>
      <c r="S45" s="618">
        <v>0</v>
      </c>
      <c r="T45" s="648">
        <f>T43-T98</f>
        <v>8.76</v>
      </c>
      <c r="U45" s="618"/>
      <c r="V45" s="618">
        <v>0</v>
      </c>
      <c r="W45" s="618"/>
      <c r="X45" s="646"/>
      <c r="Y45" s="70">
        <f t="shared" si="93"/>
        <v>0</v>
      </c>
      <c r="Z45" s="70">
        <f t="shared" si="93"/>
        <v>32438.28</v>
      </c>
      <c r="AA45" s="70">
        <f t="shared" si="93"/>
        <v>0</v>
      </c>
      <c r="AB45" s="70">
        <f t="shared" si="93"/>
        <v>0</v>
      </c>
      <c r="AC45" s="70">
        <f t="shared" si="93"/>
        <v>0</v>
      </c>
      <c r="AD45" s="646"/>
      <c r="AE45" s="580">
        <f>M45</f>
        <v>0</v>
      </c>
      <c r="AF45" s="580">
        <f>N45</f>
        <v>3703</v>
      </c>
      <c r="AG45" s="580">
        <f>O45</f>
        <v>0</v>
      </c>
      <c r="AH45" s="580">
        <f>P45</f>
        <v>0</v>
      </c>
      <c r="AI45" s="580">
        <f>Q45</f>
        <v>0</v>
      </c>
      <c r="AJ45" s="646"/>
      <c r="AK45" s="585">
        <f t="shared" si="81"/>
        <v>0</v>
      </c>
      <c r="AL45" s="585">
        <f>AL44-AL98</f>
        <v>9.83</v>
      </c>
      <c r="AM45" s="585">
        <f t="shared" si="3"/>
        <v>0</v>
      </c>
      <c r="AN45" s="585">
        <f t="shared" si="4"/>
        <v>0</v>
      </c>
      <c r="AO45" s="585">
        <f t="shared" si="5"/>
        <v>0</v>
      </c>
      <c r="AP45" s="646"/>
      <c r="AQ45" s="70">
        <f t="shared" si="6"/>
        <v>0</v>
      </c>
      <c r="AR45" s="70">
        <f t="shared" si="7"/>
        <v>36400.49</v>
      </c>
      <c r="AS45" s="70">
        <f t="shared" si="8"/>
        <v>0</v>
      </c>
      <c r="AT45" s="70">
        <f t="shared" si="9"/>
        <v>0</v>
      </c>
      <c r="AU45" s="70">
        <f t="shared" si="10"/>
        <v>0</v>
      </c>
      <c r="AV45" s="70">
        <f t="shared" si="66"/>
        <v>3962.2099999999991</v>
      </c>
      <c r="AW45" s="456">
        <f t="shared" si="76"/>
        <v>0.12214611872146117</v>
      </c>
      <c r="AX45" s="592">
        <v>26</v>
      </c>
      <c r="AY45" s="582"/>
      <c r="AZ45" s="582">
        <v>8.94</v>
      </c>
      <c r="BA45" s="582"/>
      <c r="BB45" s="582"/>
      <c r="BC45" s="582"/>
      <c r="BD45" s="582"/>
      <c r="BE45" s="588">
        <f>ROUND(AX45*$BE$2,2)+ROUND(AX45*$BE$1,2)</f>
        <v>0.06</v>
      </c>
      <c r="BF45" s="578"/>
      <c r="BG45" s="578">
        <f t="shared" si="80"/>
        <v>0.01</v>
      </c>
      <c r="BH45" s="578"/>
      <c r="BI45" s="578"/>
      <c r="BJ45" s="578"/>
      <c r="BK45" s="646"/>
      <c r="BL45" s="646"/>
      <c r="BM45" s="586">
        <f t="shared" si="68"/>
        <v>0</v>
      </c>
      <c r="BN45" s="586">
        <f t="shared" si="69"/>
        <v>9.978432999999999</v>
      </c>
      <c r="BO45" s="586">
        <f t="shared" si="94"/>
        <v>0</v>
      </c>
      <c r="BP45" s="586">
        <f t="shared" si="94"/>
        <v>0</v>
      </c>
      <c r="BQ45" s="586">
        <f t="shared" si="94"/>
        <v>0</v>
      </c>
      <c r="BR45" s="646"/>
      <c r="BS45" s="578">
        <f t="shared" si="95"/>
        <v>0</v>
      </c>
      <c r="BT45" s="578">
        <f t="shared" si="95"/>
        <v>1.0384329999999995</v>
      </c>
      <c r="BU45" s="578">
        <f t="shared" si="95"/>
        <v>0</v>
      </c>
      <c r="BV45" s="578">
        <f t="shared" si="95"/>
        <v>0</v>
      </c>
      <c r="BW45" s="578">
        <f t="shared" si="95"/>
        <v>0</v>
      </c>
      <c r="BX45" s="646"/>
      <c r="BY45" s="646"/>
      <c r="BZ45" s="646"/>
      <c r="CA45" s="646"/>
      <c r="CB45" s="646"/>
      <c r="CC45" s="646"/>
      <c r="CD45" s="646"/>
      <c r="CE45" s="646"/>
      <c r="CF45" s="646"/>
      <c r="CG45" s="646"/>
      <c r="CH45" s="646"/>
    </row>
    <row r="46" spans="1:106">
      <c r="A46" s="647"/>
      <c r="B46" s="540">
        <v>2</v>
      </c>
      <c r="C46" s="72" t="s">
        <v>120</v>
      </c>
      <c r="D46" s="540" t="s">
        <v>606</v>
      </c>
      <c r="E46" s="563">
        <v>705</v>
      </c>
      <c r="F46" s="73"/>
      <c r="G46" s="73" t="str">
        <f t="shared" si="91"/>
        <v>042532L</v>
      </c>
      <c r="H46" s="46"/>
      <c r="I46" t="s">
        <v>128</v>
      </c>
      <c r="J46" t="s">
        <v>136</v>
      </c>
      <c r="K46" s="59" t="s">
        <v>134</v>
      </c>
      <c r="L46" s="97">
        <v>436</v>
      </c>
      <c r="M46" s="69">
        <f t="shared" si="92"/>
        <v>0</v>
      </c>
      <c r="N46" s="69">
        <f t="shared" si="92"/>
        <v>22</v>
      </c>
      <c r="O46" s="69">
        <f t="shared" si="92"/>
        <v>0</v>
      </c>
      <c r="P46" s="69">
        <f t="shared" si="92"/>
        <v>0</v>
      </c>
      <c r="Q46" s="69">
        <f t="shared" si="92"/>
        <v>0</v>
      </c>
      <c r="R46" s="580">
        <f t="shared" si="1"/>
        <v>0</v>
      </c>
      <c r="S46" s="618">
        <v>0</v>
      </c>
      <c r="T46" s="618">
        <v>15.86</v>
      </c>
      <c r="U46" s="618">
        <v>0</v>
      </c>
      <c r="V46" s="618">
        <v>0</v>
      </c>
      <c r="W46" s="618">
        <v>0</v>
      </c>
      <c r="Y46" s="70">
        <f t="shared" si="59"/>
        <v>0</v>
      </c>
      <c r="Z46" s="70">
        <f t="shared" si="60"/>
        <v>348.91999999999996</v>
      </c>
      <c r="AA46" s="70">
        <f t="shared" si="61"/>
        <v>0</v>
      </c>
      <c r="AB46" s="70">
        <f t="shared" si="62"/>
        <v>0</v>
      </c>
      <c r="AC46" s="70">
        <f t="shared" si="63"/>
        <v>0</v>
      </c>
      <c r="AE46" s="69">
        <f t="shared" si="64"/>
        <v>0</v>
      </c>
      <c r="AF46" s="69">
        <f>N46</f>
        <v>22</v>
      </c>
      <c r="AG46" s="69">
        <f>O46</f>
        <v>0</v>
      </c>
      <c r="AH46" s="69">
        <f>P46</f>
        <v>0</v>
      </c>
      <c r="AI46" s="69">
        <f>Q46</f>
        <v>0</v>
      </c>
      <c r="AK46" s="435">
        <f t="shared" si="81"/>
        <v>0</v>
      </c>
      <c r="AL46" s="585">
        <f t="shared" si="81"/>
        <v>17.07</v>
      </c>
      <c r="AM46" s="435">
        <f t="shared" si="3"/>
        <v>0</v>
      </c>
      <c r="AN46" s="435">
        <f t="shared" si="4"/>
        <v>0</v>
      </c>
      <c r="AO46" s="435">
        <f t="shared" si="5"/>
        <v>0</v>
      </c>
      <c r="AQ46" s="70">
        <f t="shared" si="6"/>
        <v>0</v>
      </c>
      <c r="AR46" s="70">
        <f t="shared" si="7"/>
        <v>375.54</v>
      </c>
      <c r="AS46" s="70">
        <f t="shared" si="8"/>
        <v>0</v>
      </c>
      <c r="AT46" s="70">
        <f t="shared" si="9"/>
        <v>0</v>
      </c>
      <c r="AU46" s="70">
        <f t="shared" si="10"/>
        <v>0</v>
      </c>
      <c r="AV46" s="70">
        <f t="shared" si="66"/>
        <v>26.620000000000061</v>
      </c>
      <c r="AW46" s="456">
        <f t="shared" si="76"/>
        <v>7.6292559899117457E-2</v>
      </c>
      <c r="AX46" s="447">
        <v>40</v>
      </c>
      <c r="AY46" s="582"/>
      <c r="AZ46" s="582">
        <v>16.18</v>
      </c>
      <c r="BA46" s="582"/>
      <c r="BB46" s="582"/>
      <c r="BC46" s="582"/>
      <c r="BD46" s="140"/>
      <c r="BE46" s="588">
        <f t="shared" si="67"/>
        <v>9.000000000000008E-2</v>
      </c>
      <c r="BF46" s="54"/>
      <c r="BG46" s="54">
        <f t="shared" si="80"/>
        <v>0.01</v>
      </c>
      <c r="BH46" s="54"/>
      <c r="BI46" s="54"/>
      <c r="BJ46" s="54"/>
      <c r="BM46" s="279">
        <f t="shared" si="68"/>
        <v>0</v>
      </c>
      <c r="BN46" s="279">
        <f t="shared" si="69"/>
        <v>17.327756999999998</v>
      </c>
      <c r="BO46" s="279">
        <f t="shared" si="77"/>
        <v>0</v>
      </c>
      <c r="BP46" s="279">
        <f t="shared" si="78"/>
        <v>0</v>
      </c>
      <c r="BQ46" s="279">
        <f t="shared" si="79"/>
        <v>0</v>
      </c>
      <c r="BS46" s="54">
        <f t="shared" si="71"/>
        <v>0</v>
      </c>
      <c r="BT46" s="54">
        <f t="shared" si="72"/>
        <v>1.1477569999999986</v>
      </c>
      <c r="BU46" s="54">
        <f t="shared" si="73"/>
        <v>0</v>
      </c>
      <c r="BV46" s="54">
        <f t="shared" si="74"/>
        <v>0</v>
      </c>
      <c r="BW46" s="54">
        <f t="shared" si="75"/>
        <v>0</v>
      </c>
    </row>
    <row r="47" spans="1:106">
      <c r="A47" s="612"/>
      <c r="B47" s="540">
        <v>2</v>
      </c>
      <c r="C47" s="72" t="s">
        <v>120</v>
      </c>
      <c r="D47" s="540" t="s">
        <v>710</v>
      </c>
      <c r="E47" s="563">
        <v>152</v>
      </c>
      <c r="F47" s="73"/>
      <c r="G47" s="73" t="str">
        <f t="shared" si="91"/>
        <v>042532T</v>
      </c>
      <c r="H47" s="46"/>
      <c r="I47" s="434" t="s">
        <v>712</v>
      </c>
      <c r="J47" s="577" t="s">
        <v>136</v>
      </c>
      <c r="K47" s="579" t="s">
        <v>132</v>
      </c>
      <c r="L47" s="581" t="s">
        <v>596</v>
      </c>
      <c r="M47" s="580">
        <f t="shared" si="92"/>
        <v>0</v>
      </c>
      <c r="N47" s="580">
        <f t="shared" si="92"/>
        <v>80</v>
      </c>
      <c r="O47" s="580">
        <f t="shared" si="92"/>
        <v>0</v>
      </c>
      <c r="P47" s="580">
        <f t="shared" si="92"/>
        <v>0</v>
      </c>
      <c r="Q47" s="580">
        <f t="shared" si="92"/>
        <v>0</v>
      </c>
      <c r="R47" s="580">
        <f t="shared" si="1"/>
        <v>0</v>
      </c>
      <c r="S47" s="618">
        <v>0</v>
      </c>
      <c r="T47" s="648">
        <f>T46</f>
        <v>15.86</v>
      </c>
      <c r="U47" s="618">
        <v>0</v>
      </c>
      <c r="V47" s="618"/>
      <c r="W47" s="618"/>
      <c r="X47" s="577"/>
      <c r="Y47" s="70">
        <f t="shared" ref="Y47:AC48" si="96">IF(AND(M47&lt;&gt;0,S47=0),#VALUE!,M47*S47)</f>
        <v>0</v>
      </c>
      <c r="Z47" s="70">
        <f t="shared" si="96"/>
        <v>1268.8</v>
      </c>
      <c r="AA47" s="70">
        <f t="shared" si="96"/>
        <v>0</v>
      </c>
      <c r="AB47" s="70">
        <f t="shared" si="96"/>
        <v>0</v>
      </c>
      <c r="AC47" s="70">
        <f t="shared" si="96"/>
        <v>0</v>
      </c>
      <c r="AD47" s="577"/>
      <c r="AE47" s="580">
        <f>SUMIF($G:$G,TEXT(AE$3,"000")&amp;TEXT($L47,"000"),$E:$E)</f>
        <v>0</v>
      </c>
      <c r="AF47" s="580">
        <f>SUMIF($G:$G,TEXT(AF$3,"000")&amp;TEXT($L47,"000"),$E:$E)</f>
        <v>80</v>
      </c>
      <c r="AG47" s="580">
        <f>SUMIF($G:$G,TEXT(AG$3,"000")&amp;TEXT($L47,"000"),$E:$E)</f>
        <v>0</v>
      </c>
      <c r="AH47" s="580">
        <f>SUMIF($G:$G,TEXT(AH$3,"000")&amp;TEXT($L47,"000"),$E:$E)</f>
        <v>0</v>
      </c>
      <c r="AI47" s="580">
        <f>SUMIF($G:$G,TEXT(AI$3,"000")&amp;TEXT($L47,"000"),$E:$E)</f>
        <v>0</v>
      </c>
      <c r="AJ47" s="577"/>
      <c r="AK47" s="585">
        <f t="shared" si="81"/>
        <v>0</v>
      </c>
      <c r="AL47" s="585">
        <f>AL46</f>
        <v>17.07</v>
      </c>
      <c r="AM47" s="585">
        <f t="shared" si="3"/>
        <v>0</v>
      </c>
      <c r="AN47" s="585">
        <f t="shared" si="4"/>
        <v>0</v>
      </c>
      <c r="AO47" s="585">
        <f t="shared" si="5"/>
        <v>0</v>
      </c>
      <c r="AP47" s="577"/>
      <c r="AQ47" s="70">
        <f t="shared" si="6"/>
        <v>0</v>
      </c>
      <c r="AR47" s="70">
        <f t="shared" si="7"/>
        <v>1365.6</v>
      </c>
      <c r="AS47" s="70">
        <f t="shared" si="8"/>
        <v>0</v>
      </c>
      <c r="AT47" s="70">
        <f t="shared" si="9"/>
        <v>0</v>
      </c>
      <c r="AU47" s="70">
        <f t="shared" si="10"/>
        <v>0</v>
      </c>
      <c r="AV47" s="70">
        <f t="shared" si="66"/>
        <v>96.799999999999955</v>
      </c>
      <c r="AW47" s="456">
        <f t="shared" si="76"/>
        <v>7.6292559899117249E-2</v>
      </c>
      <c r="AX47" s="592">
        <v>26</v>
      </c>
      <c r="AY47" s="582"/>
      <c r="AZ47" s="582">
        <v>16.149999999999999</v>
      </c>
      <c r="BA47" s="582"/>
      <c r="BB47" s="582"/>
      <c r="BC47" s="582"/>
      <c r="BD47" s="582"/>
      <c r="BE47" s="588">
        <f>ROUND(AX47*$BE$2,2)+ROUND(AX47*$BE$1,2)</f>
        <v>0.06</v>
      </c>
      <c r="BF47" s="578"/>
      <c r="BG47" s="578">
        <f t="shared" si="80"/>
        <v>0.01</v>
      </c>
      <c r="BH47" s="578"/>
      <c r="BI47" s="578"/>
      <c r="BJ47" s="578"/>
      <c r="BK47" s="577"/>
      <c r="BL47" s="577"/>
      <c r="BM47" s="586">
        <f t="shared" si="68"/>
        <v>0</v>
      </c>
      <c r="BN47" s="586">
        <f t="shared" si="69"/>
        <v>17.327756999999998</v>
      </c>
      <c r="BO47" s="586">
        <f t="shared" ref="BO47:BQ48" si="97">AM47*$BM$1</f>
        <v>0</v>
      </c>
      <c r="BP47" s="586">
        <f t="shared" si="97"/>
        <v>0</v>
      </c>
      <c r="BQ47" s="586">
        <f t="shared" si="97"/>
        <v>0</v>
      </c>
      <c r="BR47" s="577"/>
      <c r="BS47" s="578">
        <f t="shared" ref="BS47:BW48" si="98">BM47-AY47</f>
        <v>0</v>
      </c>
      <c r="BT47" s="578">
        <f t="shared" si="98"/>
        <v>1.1777569999999997</v>
      </c>
      <c r="BU47" s="578">
        <f t="shared" si="98"/>
        <v>0</v>
      </c>
      <c r="BV47" s="578">
        <f t="shared" si="98"/>
        <v>0</v>
      </c>
      <c r="BW47" s="578">
        <f t="shared" si="98"/>
        <v>0</v>
      </c>
      <c r="BX47" s="577"/>
      <c r="BY47" s="577"/>
      <c r="BZ47" s="577"/>
      <c r="CA47" s="577"/>
      <c r="CB47" s="577"/>
      <c r="CK47" s="595"/>
      <c r="CX47" s="647"/>
      <c r="CY47" s="647"/>
      <c r="CZ47" s="647"/>
      <c r="DA47" s="647"/>
      <c r="DB47" s="647"/>
    </row>
    <row r="48" spans="1:106">
      <c r="B48" s="35">
        <v>2</v>
      </c>
      <c r="C48" s="72" t="s">
        <v>120</v>
      </c>
      <c r="D48" s="35">
        <v>533</v>
      </c>
      <c r="E48" s="561">
        <v>21</v>
      </c>
      <c r="F48" s="73"/>
      <c r="G48" s="73" t="str">
        <f t="shared" si="91"/>
        <v>042533</v>
      </c>
      <c r="H48" s="46"/>
      <c r="I48" s="646" t="s">
        <v>712</v>
      </c>
      <c r="J48" s="646" t="s">
        <v>136</v>
      </c>
      <c r="K48" s="579" t="s">
        <v>132</v>
      </c>
      <c r="L48" s="581" t="s">
        <v>708</v>
      </c>
      <c r="M48" s="580">
        <f t="shared" si="92"/>
        <v>0</v>
      </c>
      <c r="N48" s="580">
        <f t="shared" si="92"/>
        <v>271</v>
      </c>
      <c r="O48" s="580">
        <f t="shared" si="92"/>
        <v>0</v>
      </c>
      <c r="P48" s="580">
        <f t="shared" si="92"/>
        <v>0</v>
      </c>
      <c r="Q48" s="580">
        <f t="shared" si="92"/>
        <v>0</v>
      </c>
      <c r="R48" s="580">
        <f t="shared" si="1"/>
        <v>0</v>
      </c>
      <c r="S48" s="618">
        <v>0</v>
      </c>
      <c r="T48" s="648">
        <f>T46-T98</f>
        <v>10.629999999999999</v>
      </c>
      <c r="U48" s="618">
        <v>0</v>
      </c>
      <c r="V48" s="618">
        <v>0</v>
      </c>
      <c r="W48" s="618">
        <v>0</v>
      </c>
      <c r="X48" s="646"/>
      <c r="Y48" s="70">
        <f t="shared" si="96"/>
        <v>0</v>
      </c>
      <c r="Z48" s="70">
        <f t="shared" si="96"/>
        <v>2880.7299999999996</v>
      </c>
      <c r="AA48" s="70">
        <f t="shared" si="96"/>
        <v>0</v>
      </c>
      <c r="AB48" s="70">
        <f t="shared" si="96"/>
        <v>0</v>
      </c>
      <c r="AC48" s="70">
        <f t="shared" si="96"/>
        <v>0</v>
      </c>
      <c r="AD48" s="646"/>
      <c r="AE48" s="580">
        <f>M48</f>
        <v>0</v>
      </c>
      <c r="AF48" s="580">
        <f>N48</f>
        <v>271</v>
      </c>
      <c r="AG48" s="580">
        <f>O48</f>
        <v>0</v>
      </c>
      <c r="AH48" s="580">
        <f>P48</f>
        <v>0</v>
      </c>
      <c r="AI48" s="580">
        <f>Q48</f>
        <v>0</v>
      </c>
      <c r="AJ48" s="646"/>
      <c r="AK48" s="585">
        <f t="shared" si="81"/>
        <v>0</v>
      </c>
      <c r="AL48" s="585">
        <f>AL47-AL98</f>
        <v>11.84</v>
      </c>
      <c r="AM48" s="585">
        <f t="shared" si="3"/>
        <v>0</v>
      </c>
      <c r="AN48" s="585">
        <f t="shared" si="4"/>
        <v>0</v>
      </c>
      <c r="AO48" s="585">
        <f t="shared" si="5"/>
        <v>0</v>
      </c>
      <c r="AP48" s="646"/>
      <c r="AQ48" s="70">
        <f t="shared" si="6"/>
        <v>0</v>
      </c>
      <c r="AR48" s="70">
        <f t="shared" si="7"/>
        <v>3208.64</v>
      </c>
      <c r="AS48" s="70">
        <f t="shared" si="8"/>
        <v>0</v>
      </c>
      <c r="AT48" s="70">
        <f t="shared" si="9"/>
        <v>0</v>
      </c>
      <c r="AU48" s="70">
        <f t="shared" si="10"/>
        <v>0</v>
      </c>
      <c r="AV48" s="70">
        <f t="shared" si="66"/>
        <v>327.91000000000031</v>
      </c>
      <c r="AW48" s="456">
        <f t="shared" si="76"/>
        <v>0.11382878645343381</v>
      </c>
      <c r="AX48" s="592">
        <v>26</v>
      </c>
      <c r="AY48" s="582"/>
      <c r="AZ48" s="582">
        <v>10.84</v>
      </c>
      <c r="BA48" s="582"/>
      <c r="BB48" s="582"/>
      <c r="BC48" s="582"/>
      <c r="BD48" s="582"/>
      <c r="BE48" s="588">
        <f>ROUND(AX48*$BE$2,2)+ROUND(AX48*$BE$1,2)</f>
        <v>0.06</v>
      </c>
      <c r="BF48" s="578"/>
      <c r="BG48" s="578">
        <f t="shared" si="80"/>
        <v>0.01</v>
      </c>
      <c r="BH48" s="578"/>
      <c r="BI48" s="578"/>
      <c r="BJ48" s="578"/>
      <c r="BK48" s="646"/>
      <c r="BL48" s="646"/>
      <c r="BM48" s="586">
        <f t="shared" si="68"/>
        <v>0</v>
      </c>
      <c r="BN48" s="586">
        <f t="shared" si="69"/>
        <v>12.018783999999998</v>
      </c>
      <c r="BO48" s="586">
        <f t="shared" si="97"/>
        <v>0</v>
      </c>
      <c r="BP48" s="586">
        <f t="shared" si="97"/>
        <v>0</v>
      </c>
      <c r="BQ48" s="586">
        <f t="shared" si="97"/>
        <v>0</v>
      </c>
      <c r="BR48" s="646"/>
      <c r="BS48" s="578">
        <f t="shared" si="98"/>
        <v>0</v>
      </c>
      <c r="BT48" s="578">
        <f t="shared" si="98"/>
        <v>1.1787839999999985</v>
      </c>
      <c r="BU48" s="578">
        <f t="shared" si="98"/>
        <v>0</v>
      </c>
      <c r="BV48" s="578">
        <f t="shared" si="98"/>
        <v>0</v>
      </c>
      <c r="BW48" s="578">
        <f t="shared" si="98"/>
        <v>0</v>
      </c>
      <c r="BX48" s="646"/>
      <c r="BY48" s="646"/>
      <c r="BZ48" s="646"/>
      <c r="CA48" s="646"/>
      <c r="CB48" s="646"/>
      <c r="CC48" s="646"/>
      <c r="CD48" s="646"/>
      <c r="CE48" s="646"/>
      <c r="CF48" s="646"/>
      <c r="CG48" s="646"/>
      <c r="CH48" s="646"/>
      <c r="CI48" s="646"/>
      <c r="CJ48" s="646"/>
    </row>
    <row r="49" spans="1:120">
      <c r="A49" s="647"/>
      <c r="B49" s="540">
        <v>2</v>
      </c>
      <c r="C49" s="72" t="s">
        <v>120</v>
      </c>
      <c r="D49" s="540" t="s">
        <v>607</v>
      </c>
      <c r="E49" s="563">
        <v>53</v>
      </c>
      <c r="F49" s="73"/>
      <c r="G49" s="73" t="str">
        <f t="shared" si="91"/>
        <v>042533L</v>
      </c>
      <c r="H49" s="46"/>
      <c r="I49" t="s">
        <v>137</v>
      </c>
      <c r="J49" t="s">
        <v>107</v>
      </c>
      <c r="K49" s="59" t="s">
        <v>138</v>
      </c>
      <c r="L49" s="97">
        <v>438</v>
      </c>
      <c r="M49" s="69">
        <f t="shared" si="92"/>
        <v>0</v>
      </c>
      <c r="N49" s="69">
        <f t="shared" si="92"/>
        <v>10</v>
      </c>
      <c r="O49" s="69">
        <f t="shared" si="92"/>
        <v>0</v>
      </c>
      <c r="P49" s="69">
        <f t="shared" si="92"/>
        <v>0</v>
      </c>
      <c r="Q49" s="69">
        <f t="shared" si="92"/>
        <v>0</v>
      </c>
      <c r="R49" s="580">
        <f t="shared" ref="R49:R95" si="99">IF(SUM(M49:Q49)&gt;0,0,1)</f>
        <v>0</v>
      </c>
      <c r="S49" s="618">
        <v>0</v>
      </c>
      <c r="T49" s="618">
        <v>14.74</v>
      </c>
      <c r="U49" s="618">
        <v>0</v>
      </c>
      <c r="V49" s="618">
        <v>0</v>
      </c>
      <c r="W49" s="618">
        <v>0</v>
      </c>
      <c r="Y49" s="70">
        <f t="shared" si="59"/>
        <v>0</v>
      </c>
      <c r="Z49" s="70">
        <f t="shared" si="60"/>
        <v>147.4</v>
      </c>
      <c r="AA49" s="70">
        <f t="shared" si="61"/>
        <v>0</v>
      </c>
      <c r="AB49" s="70">
        <f t="shared" si="62"/>
        <v>0</v>
      </c>
      <c r="AC49" s="70">
        <f t="shared" si="63"/>
        <v>0</v>
      </c>
      <c r="AE49" s="69">
        <f t="shared" si="64"/>
        <v>0</v>
      </c>
      <c r="AF49" s="69">
        <f t="shared" ref="AF49:AI49" si="100">N49</f>
        <v>10</v>
      </c>
      <c r="AG49" s="69">
        <f t="shared" si="100"/>
        <v>0</v>
      </c>
      <c r="AH49" s="69">
        <f t="shared" si="100"/>
        <v>0</v>
      </c>
      <c r="AI49" s="69">
        <f t="shared" si="100"/>
        <v>0</v>
      </c>
      <c r="AK49" s="435">
        <f t="shared" si="81"/>
        <v>0</v>
      </c>
      <c r="AL49" s="435">
        <f t="shared" ref="AL49:AL66" si="101">ROUND(T49*(1+AL$1),2)</f>
        <v>15.87</v>
      </c>
      <c r="AM49" s="435">
        <f t="shared" si="3"/>
        <v>0</v>
      </c>
      <c r="AN49" s="435">
        <f t="shared" si="4"/>
        <v>0</v>
      </c>
      <c r="AO49" s="435">
        <f t="shared" si="5"/>
        <v>0</v>
      </c>
      <c r="AQ49" s="70">
        <f t="shared" si="6"/>
        <v>0</v>
      </c>
      <c r="AR49" s="70">
        <f t="shared" si="7"/>
        <v>158.69999999999999</v>
      </c>
      <c r="AS49" s="70">
        <f t="shared" si="8"/>
        <v>0</v>
      </c>
      <c r="AT49" s="70">
        <f t="shared" si="9"/>
        <v>0</v>
      </c>
      <c r="AU49" s="70">
        <f t="shared" si="10"/>
        <v>0</v>
      </c>
      <c r="AV49" s="70">
        <f t="shared" si="66"/>
        <v>11.299999999999983</v>
      </c>
      <c r="AW49" s="456">
        <f t="shared" si="76"/>
        <v>7.6662143826322818E-2</v>
      </c>
      <c r="AX49" s="447">
        <v>40</v>
      </c>
      <c r="AY49" s="582"/>
      <c r="AZ49" s="582">
        <v>15.04</v>
      </c>
      <c r="BA49" s="582"/>
      <c r="BB49" s="582"/>
      <c r="BC49" s="582"/>
      <c r="BD49" s="140"/>
      <c r="BE49" s="588">
        <f t="shared" si="67"/>
        <v>9.000000000000008E-2</v>
      </c>
      <c r="BF49" s="54"/>
      <c r="BG49" s="54">
        <f t="shared" si="80"/>
        <v>0.01</v>
      </c>
      <c r="BH49" s="54"/>
      <c r="BI49" s="54"/>
      <c r="BJ49" s="54"/>
      <c r="BM49" s="279">
        <f t="shared" si="68"/>
        <v>0</v>
      </c>
      <c r="BN49" s="279">
        <f t="shared" si="69"/>
        <v>16.109636999999996</v>
      </c>
      <c r="BO49" s="279">
        <f t="shared" si="77"/>
        <v>0</v>
      </c>
      <c r="BP49" s="279">
        <f t="shared" si="78"/>
        <v>0</v>
      </c>
      <c r="BQ49" s="279">
        <f t="shared" si="79"/>
        <v>0</v>
      </c>
      <c r="BS49" s="54">
        <f t="shared" si="71"/>
        <v>0</v>
      </c>
      <c r="BT49" s="54">
        <f t="shared" si="72"/>
        <v>1.0696369999999966</v>
      </c>
      <c r="BU49" s="54">
        <f t="shared" si="73"/>
        <v>0</v>
      </c>
      <c r="BV49" s="54">
        <f t="shared" si="74"/>
        <v>0</v>
      </c>
      <c r="BW49" s="54">
        <f t="shared" si="75"/>
        <v>0</v>
      </c>
    </row>
    <row r="50" spans="1:120">
      <c r="A50" s="612"/>
      <c r="B50" s="540">
        <v>2</v>
      </c>
      <c r="C50" s="72" t="s">
        <v>120</v>
      </c>
      <c r="D50" s="540" t="s">
        <v>711</v>
      </c>
      <c r="E50" s="563">
        <v>47</v>
      </c>
      <c r="F50" s="73"/>
      <c r="G50" s="73" t="str">
        <f t="shared" si="91"/>
        <v>042533T</v>
      </c>
      <c r="H50" s="46"/>
      <c r="I50" s="434" t="s">
        <v>716</v>
      </c>
      <c r="J50" s="434" t="s">
        <v>842</v>
      </c>
      <c r="K50" s="579" t="s">
        <v>132</v>
      </c>
      <c r="L50" s="581" t="s">
        <v>598</v>
      </c>
      <c r="M50" s="580">
        <f t="shared" si="92"/>
        <v>0</v>
      </c>
      <c r="N50" s="580">
        <f t="shared" si="92"/>
        <v>14</v>
      </c>
      <c r="O50" s="580">
        <f t="shared" si="92"/>
        <v>0</v>
      </c>
      <c r="P50" s="580">
        <f t="shared" si="92"/>
        <v>0</v>
      </c>
      <c r="Q50" s="580">
        <f t="shared" si="92"/>
        <v>0</v>
      </c>
      <c r="R50" s="580">
        <f t="shared" si="99"/>
        <v>0</v>
      </c>
      <c r="S50" s="618">
        <v>0</v>
      </c>
      <c r="T50" s="618">
        <v>26.85</v>
      </c>
      <c r="U50" s="618">
        <v>0</v>
      </c>
      <c r="V50" s="618"/>
      <c r="W50" s="618"/>
      <c r="X50" s="577"/>
      <c r="Y50" s="70">
        <f t="shared" ref="Y50:AC51" si="102">IF(AND(M50&lt;&gt;0,S50=0),#VALUE!,M50*S50)</f>
        <v>0</v>
      </c>
      <c r="Z50" s="70">
        <f t="shared" si="102"/>
        <v>375.90000000000003</v>
      </c>
      <c r="AA50" s="70">
        <f t="shared" si="102"/>
        <v>0</v>
      </c>
      <c r="AB50" s="70">
        <f t="shared" si="102"/>
        <v>0</v>
      </c>
      <c r="AC50" s="70">
        <f t="shared" si="102"/>
        <v>0</v>
      </c>
      <c r="AD50" s="577"/>
      <c r="AE50" s="580">
        <f t="shared" ref="AE50:AI51" si="103">SUMIF($G:$G,TEXT(AE$3,"000")&amp;TEXT($L50,"000"),$E:$E)</f>
        <v>0</v>
      </c>
      <c r="AF50" s="580">
        <f t="shared" si="103"/>
        <v>14</v>
      </c>
      <c r="AG50" s="580">
        <f t="shared" si="103"/>
        <v>0</v>
      </c>
      <c r="AH50" s="580">
        <f t="shared" si="103"/>
        <v>0</v>
      </c>
      <c r="AI50" s="580">
        <f t="shared" si="103"/>
        <v>0</v>
      </c>
      <c r="AJ50" s="577"/>
      <c r="AK50" s="585">
        <f t="shared" si="81"/>
        <v>0</v>
      </c>
      <c r="AL50" s="585">
        <f t="shared" si="101"/>
        <v>28.9</v>
      </c>
      <c r="AM50" s="585">
        <f t="shared" si="3"/>
        <v>0</v>
      </c>
      <c r="AN50" s="585">
        <f t="shared" si="4"/>
        <v>0</v>
      </c>
      <c r="AO50" s="585">
        <f t="shared" si="5"/>
        <v>0</v>
      </c>
      <c r="AP50" s="577"/>
      <c r="AQ50" s="70">
        <f t="shared" si="6"/>
        <v>0</v>
      </c>
      <c r="AR50" s="70">
        <f>IF(AND(AF50&lt;&gt;0,AL50=0),#VALUE!,AF50*AL50)</f>
        <v>404.59999999999997</v>
      </c>
      <c r="AS50" s="70">
        <f t="shared" si="8"/>
        <v>0</v>
      </c>
      <c r="AT50" s="70">
        <f t="shared" si="9"/>
        <v>0</v>
      </c>
      <c r="AU50" s="70">
        <f t="shared" si="10"/>
        <v>0</v>
      </c>
      <c r="AV50" s="70">
        <f t="shared" si="66"/>
        <v>28.699999999999932</v>
      </c>
      <c r="AW50" s="456">
        <f t="shared" si="76"/>
        <v>7.6350093109869455E-2</v>
      </c>
      <c r="AX50" s="592">
        <v>52</v>
      </c>
      <c r="AY50" s="582"/>
      <c r="AZ50" s="582">
        <v>27.37</v>
      </c>
      <c r="BA50" s="582"/>
      <c r="BB50" s="582"/>
      <c r="BC50" s="582"/>
      <c r="BD50" s="582"/>
      <c r="BE50" s="588">
        <f>ROUND(AX50*$BE$2,2)+ROUND(AX50*$BE$1,2)</f>
        <v>0.10999999999999999</v>
      </c>
      <c r="BF50" s="578"/>
      <c r="BG50" s="578">
        <f t="shared" si="80"/>
        <v>0</v>
      </c>
      <c r="BH50" s="578"/>
      <c r="BI50" s="578"/>
      <c r="BJ50" s="578"/>
      <c r="BK50" s="577"/>
      <c r="BL50" s="577"/>
      <c r="BM50" s="586">
        <f t="shared" si="68"/>
        <v>0</v>
      </c>
      <c r="BN50" s="586">
        <f t="shared" si="69"/>
        <v>29.336389999999994</v>
      </c>
      <c r="BO50" s="586">
        <f t="shared" ref="BO50:BQ51" si="104">AM50*$BM$1</f>
        <v>0</v>
      </c>
      <c r="BP50" s="586">
        <f t="shared" si="104"/>
        <v>0</v>
      </c>
      <c r="BQ50" s="586">
        <f t="shared" si="104"/>
        <v>0</v>
      </c>
      <c r="BR50" s="577"/>
      <c r="BS50" s="578">
        <f t="shared" ref="BS50:BW51" si="105">BM50-AY50</f>
        <v>0</v>
      </c>
      <c r="BT50" s="578">
        <f t="shared" si="105"/>
        <v>1.9663899999999934</v>
      </c>
      <c r="BU50" s="578">
        <f t="shared" si="105"/>
        <v>0</v>
      </c>
      <c r="BV50" s="578">
        <f t="shared" si="105"/>
        <v>0</v>
      </c>
      <c r="BW50" s="578">
        <f t="shared" si="105"/>
        <v>0</v>
      </c>
      <c r="BX50" s="577"/>
      <c r="BY50" s="577"/>
      <c r="BZ50" s="577"/>
      <c r="CA50" s="577"/>
      <c r="CB50" s="577"/>
      <c r="CI50" s="595"/>
      <c r="CJ50" s="595"/>
    </row>
    <row r="51" spans="1:120">
      <c r="B51" s="35">
        <v>2</v>
      </c>
      <c r="C51" s="72" t="s">
        <v>120</v>
      </c>
      <c r="D51" s="35">
        <v>535</v>
      </c>
      <c r="E51" s="561">
        <f>205+109</f>
        <v>314</v>
      </c>
      <c r="F51" s="73"/>
      <c r="G51" s="73" t="str">
        <f t="shared" si="91"/>
        <v>042535</v>
      </c>
      <c r="H51" s="46"/>
      <c r="I51" s="434" t="s">
        <v>716</v>
      </c>
      <c r="J51" s="434" t="s">
        <v>842</v>
      </c>
      <c r="K51" s="579" t="s">
        <v>132</v>
      </c>
      <c r="L51" s="581" t="s">
        <v>720</v>
      </c>
      <c r="M51" s="580">
        <f t="shared" si="92"/>
        <v>0</v>
      </c>
      <c r="N51" s="580">
        <f t="shared" si="92"/>
        <v>11</v>
      </c>
      <c r="O51" s="580">
        <f t="shared" si="92"/>
        <v>0</v>
      </c>
      <c r="P51" s="580">
        <f t="shared" si="92"/>
        <v>0</v>
      </c>
      <c r="Q51" s="580">
        <f t="shared" si="92"/>
        <v>0</v>
      </c>
      <c r="R51" s="580">
        <f t="shared" si="99"/>
        <v>0</v>
      </c>
      <c r="S51" s="618"/>
      <c r="T51" s="648">
        <f>T50-T98-T98</f>
        <v>16.39</v>
      </c>
      <c r="U51" s="618"/>
      <c r="V51" s="618"/>
      <c r="W51" s="618"/>
      <c r="X51" s="647"/>
      <c r="Y51" s="70">
        <f t="shared" si="102"/>
        <v>0</v>
      </c>
      <c r="Z51" s="70">
        <f t="shared" si="102"/>
        <v>180.29000000000002</v>
      </c>
      <c r="AA51" s="70">
        <f t="shared" si="102"/>
        <v>0</v>
      </c>
      <c r="AB51" s="70">
        <f t="shared" si="102"/>
        <v>0</v>
      </c>
      <c r="AC51" s="70">
        <f t="shared" si="102"/>
        <v>0</v>
      </c>
      <c r="AD51" s="647"/>
      <c r="AE51" s="580">
        <f t="shared" si="103"/>
        <v>0</v>
      </c>
      <c r="AF51" s="580">
        <f t="shared" si="103"/>
        <v>11</v>
      </c>
      <c r="AG51" s="580">
        <f t="shared" si="103"/>
        <v>0</v>
      </c>
      <c r="AH51" s="580">
        <f t="shared" si="103"/>
        <v>0</v>
      </c>
      <c r="AI51" s="580">
        <f t="shared" si="103"/>
        <v>0</v>
      </c>
      <c r="AJ51" s="647"/>
      <c r="AK51" s="585">
        <f t="shared" si="81"/>
        <v>0</v>
      </c>
      <c r="AL51" s="585">
        <f>AL50-AL98-AL98</f>
        <v>18.439999999999998</v>
      </c>
      <c r="AM51" s="585">
        <f t="shared" si="3"/>
        <v>0</v>
      </c>
      <c r="AN51" s="585">
        <f t="shared" si="4"/>
        <v>0</v>
      </c>
      <c r="AO51" s="585">
        <f t="shared" si="5"/>
        <v>0</v>
      </c>
      <c r="AP51" s="647"/>
      <c r="AQ51" s="70">
        <f t="shared" si="6"/>
        <v>0</v>
      </c>
      <c r="AR51" s="70">
        <f t="shared" si="7"/>
        <v>202.83999999999997</v>
      </c>
      <c r="AS51" s="70">
        <f t="shared" si="8"/>
        <v>0</v>
      </c>
      <c r="AT51" s="70">
        <f t="shared" si="9"/>
        <v>0</v>
      </c>
      <c r="AU51" s="70">
        <f t="shared" si="10"/>
        <v>0</v>
      </c>
      <c r="AV51" s="70">
        <f t="shared" si="66"/>
        <v>22.549999999999955</v>
      </c>
      <c r="AW51" s="456">
        <f t="shared" si="76"/>
        <v>0.12507626601586305</v>
      </c>
      <c r="AX51" s="592">
        <v>52</v>
      </c>
      <c r="AY51" s="582"/>
      <c r="AZ51" s="582">
        <v>16.75</v>
      </c>
      <c r="BA51" s="582"/>
      <c r="BB51" s="582"/>
      <c r="BC51" s="582"/>
      <c r="BD51" s="582"/>
      <c r="BE51" s="588">
        <f>ROUND(AX51*$BE$2,2)+ROUND(AX51*$BE$1,2)</f>
        <v>0.10999999999999999</v>
      </c>
      <c r="BF51" s="578"/>
      <c r="BG51" s="578">
        <f t="shared" si="80"/>
        <v>0</v>
      </c>
      <c r="BH51" s="578"/>
      <c r="BI51" s="578"/>
      <c r="BJ51" s="578"/>
      <c r="BK51" s="647"/>
      <c r="BL51" s="647"/>
      <c r="BM51" s="586">
        <f t="shared" si="68"/>
        <v>0</v>
      </c>
      <c r="BN51" s="586">
        <f t="shared" si="69"/>
        <v>18.718443999999995</v>
      </c>
      <c r="BO51" s="586">
        <f t="shared" si="104"/>
        <v>0</v>
      </c>
      <c r="BP51" s="586">
        <f t="shared" si="104"/>
        <v>0</v>
      </c>
      <c r="BQ51" s="586">
        <f t="shared" si="104"/>
        <v>0</v>
      </c>
      <c r="BR51" s="647"/>
      <c r="BS51" s="578">
        <f t="shared" si="105"/>
        <v>0</v>
      </c>
      <c r="BT51" s="578">
        <f t="shared" si="105"/>
        <v>1.9684439999999945</v>
      </c>
      <c r="BU51" s="578">
        <f t="shared" si="105"/>
        <v>0</v>
      </c>
      <c r="BV51" s="578">
        <f t="shared" si="105"/>
        <v>0</v>
      </c>
      <c r="BW51" s="578">
        <f t="shared" si="105"/>
        <v>0</v>
      </c>
      <c r="BX51" s="647"/>
      <c r="BY51" s="647"/>
      <c r="BZ51" s="647"/>
      <c r="CA51" s="647"/>
      <c r="CB51" s="647"/>
      <c r="CC51" s="647"/>
      <c r="CD51" s="647"/>
      <c r="CE51" s="647"/>
      <c r="CF51" s="647"/>
      <c r="CG51" s="647"/>
      <c r="CH51" s="647"/>
      <c r="CI51" s="647"/>
      <c r="CJ51" s="647"/>
      <c r="CK51" s="647"/>
      <c r="CL51" s="647"/>
      <c r="CM51" s="647"/>
      <c r="CN51" s="647"/>
      <c r="CO51" s="647"/>
      <c r="CP51" s="647"/>
      <c r="CQ51" s="647"/>
      <c r="CR51" s="647"/>
      <c r="CS51" s="647"/>
      <c r="CT51" s="647"/>
      <c r="CU51" s="647"/>
      <c r="CV51" s="647"/>
      <c r="CW51" s="647"/>
      <c r="CX51" s="647"/>
      <c r="CY51" s="647"/>
      <c r="CZ51" s="647"/>
      <c r="DA51" s="647"/>
      <c r="DB51" s="647"/>
    </row>
    <row r="52" spans="1:120">
      <c r="A52" s="647"/>
      <c r="B52" s="540">
        <v>2</v>
      </c>
      <c r="C52" s="72" t="s">
        <v>120</v>
      </c>
      <c r="D52" s="540" t="s">
        <v>608</v>
      </c>
      <c r="E52" s="563">
        <f>1320+814</f>
        <v>2134</v>
      </c>
      <c r="F52" s="73"/>
      <c r="G52" s="73" t="str">
        <f t="shared" si="91"/>
        <v>042535L</v>
      </c>
      <c r="H52" s="46"/>
      <c r="I52" t="s">
        <v>137</v>
      </c>
      <c r="J52" t="s">
        <v>110</v>
      </c>
      <c r="K52" s="59" t="s">
        <v>140</v>
      </c>
      <c r="L52" s="97">
        <v>474</v>
      </c>
      <c r="M52" s="69">
        <f t="shared" si="92"/>
        <v>0</v>
      </c>
      <c r="N52" s="69">
        <f t="shared" si="92"/>
        <v>212</v>
      </c>
      <c r="O52" s="69">
        <f t="shared" si="92"/>
        <v>0</v>
      </c>
      <c r="P52" s="69">
        <f t="shared" si="92"/>
        <v>0</v>
      </c>
      <c r="Q52" s="69">
        <f t="shared" si="92"/>
        <v>0</v>
      </c>
      <c r="R52" s="580">
        <f t="shared" si="99"/>
        <v>0</v>
      </c>
      <c r="S52" s="618">
        <v>0</v>
      </c>
      <c r="T52" s="618">
        <v>25.68</v>
      </c>
      <c r="U52" s="618">
        <v>0</v>
      </c>
      <c r="V52" s="618">
        <v>0</v>
      </c>
      <c r="W52" s="618">
        <v>0</v>
      </c>
      <c r="Y52" s="70">
        <f t="shared" si="59"/>
        <v>0</v>
      </c>
      <c r="Z52" s="70">
        <f t="shared" si="60"/>
        <v>5444.16</v>
      </c>
      <c r="AA52" s="70">
        <f t="shared" si="61"/>
        <v>0</v>
      </c>
      <c r="AB52" s="70">
        <f t="shared" si="62"/>
        <v>0</v>
      </c>
      <c r="AC52" s="70">
        <f t="shared" si="63"/>
        <v>0</v>
      </c>
      <c r="AE52" s="69">
        <f t="shared" si="64"/>
        <v>0</v>
      </c>
      <c r="AF52" s="69">
        <f>N52</f>
        <v>212</v>
      </c>
      <c r="AG52" s="69">
        <f>O52</f>
        <v>0</v>
      </c>
      <c r="AH52" s="69">
        <f>P52</f>
        <v>0</v>
      </c>
      <c r="AI52" s="69">
        <f>Q52</f>
        <v>0</v>
      </c>
      <c r="AK52" s="435">
        <f t="shared" si="81"/>
        <v>0</v>
      </c>
      <c r="AL52" s="435">
        <f t="shared" si="101"/>
        <v>27.64</v>
      </c>
      <c r="AM52" s="435">
        <f t="shared" si="3"/>
        <v>0</v>
      </c>
      <c r="AN52" s="435">
        <f t="shared" si="4"/>
        <v>0</v>
      </c>
      <c r="AO52" s="435">
        <f t="shared" si="5"/>
        <v>0</v>
      </c>
      <c r="AQ52" s="70">
        <f>IF(AND(AE52&lt;&gt;0,AK52=0),#VALUE!,AE52*AK52)</f>
        <v>0</v>
      </c>
      <c r="AR52" s="70">
        <f t="shared" ref="AR52:AR73" si="106">IF(AND(AF52&lt;&gt;0,AL52=0),#VALUE!,AF52*AL52)</f>
        <v>5859.68</v>
      </c>
      <c r="AS52" s="70">
        <f t="shared" ref="AS52:AU53" si="107">IF(AND(AG52&lt;&gt;0,AM52=0),#VALUE!,AG52*AM52)</f>
        <v>0</v>
      </c>
      <c r="AT52" s="70">
        <f t="shared" si="107"/>
        <v>0</v>
      </c>
      <c r="AU52" s="70">
        <f t="shared" si="107"/>
        <v>0</v>
      </c>
      <c r="AV52" s="70">
        <f t="shared" si="66"/>
        <v>415.52000000000044</v>
      </c>
      <c r="AW52" s="456">
        <f t="shared" si="76"/>
        <v>7.6323987538940888E-2</v>
      </c>
      <c r="AX52" s="447">
        <v>40</v>
      </c>
      <c r="AY52" s="582"/>
      <c r="AZ52" s="582">
        <v>26.15</v>
      </c>
      <c r="BA52" s="582"/>
      <c r="BB52" s="582"/>
      <c r="BC52" s="582"/>
      <c r="BD52" s="140"/>
      <c r="BE52" s="588">
        <f t="shared" si="67"/>
        <v>9.000000000000008E-2</v>
      </c>
      <c r="BF52" s="54"/>
      <c r="BG52" s="54">
        <f t="shared" si="80"/>
        <v>0.01</v>
      </c>
      <c r="BH52" s="54"/>
      <c r="BI52" s="54"/>
      <c r="BJ52" s="54"/>
      <c r="BM52" s="279">
        <f t="shared" si="68"/>
        <v>0</v>
      </c>
      <c r="BN52" s="279">
        <f t="shared" si="69"/>
        <v>28.057363999999996</v>
      </c>
      <c r="BO52" s="279">
        <f t="shared" si="77"/>
        <v>0</v>
      </c>
      <c r="BP52" s="279">
        <f t="shared" si="78"/>
        <v>0</v>
      </c>
      <c r="BQ52" s="279">
        <f t="shared" si="79"/>
        <v>0</v>
      </c>
      <c r="BS52" s="54">
        <f t="shared" si="71"/>
        <v>0</v>
      </c>
      <c r="BT52" s="54">
        <f t="shared" si="72"/>
        <v>1.9073639999999976</v>
      </c>
      <c r="BU52" s="54">
        <f t="shared" si="73"/>
        <v>0</v>
      </c>
      <c r="BV52" s="54">
        <f t="shared" si="74"/>
        <v>0</v>
      </c>
      <c r="BW52" s="54">
        <f t="shared" si="75"/>
        <v>0</v>
      </c>
      <c r="DC52" s="647"/>
      <c r="DD52" s="647"/>
    </row>
    <row r="53" spans="1:120">
      <c r="A53" s="612"/>
      <c r="B53" s="540">
        <v>2</v>
      </c>
      <c r="C53" s="72" t="s">
        <v>120</v>
      </c>
      <c r="D53" s="540" t="s">
        <v>713</v>
      </c>
      <c r="E53" s="563">
        <f>474+393</f>
        <v>867</v>
      </c>
      <c r="F53" s="73"/>
      <c r="G53" s="73" t="str">
        <f t="shared" si="91"/>
        <v>042535T</v>
      </c>
      <c r="H53" s="46"/>
      <c r="I53" s="434" t="s">
        <v>719</v>
      </c>
      <c r="J53" s="577" t="s">
        <v>110</v>
      </c>
      <c r="K53" s="579" t="s">
        <v>602</v>
      </c>
      <c r="L53" s="581" t="s">
        <v>599</v>
      </c>
      <c r="M53" s="580">
        <f t="shared" si="92"/>
        <v>0</v>
      </c>
      <c r="N53" s="580">
        <f t="shared" si="92"/>
        <v>106</v>
      </c>
      <c r="O53" s="580">
        <f t="shared" si="92"/>
        <v>0</v>
      </c>
      <c r="P53" s="580">
        <f t="shared" si="92"/>
        <v>0</v>
      </c>
      <c r="Q53" s="580">
        <f t="shared" si="92"/>
        <v>0</v>
      </c>
      <c r="R53" s="580">
        <f t="shared" si="99"/>
        <v>0</v>
      </c>
      <c r="S53" s="618">
        <v>0</v>
      </c>
      <c r="T53" s="648">
        <f>T52</f>
        <v>25.68</v>
      </c>
      <c r="U53" s="618">
        <v>0</v>
      </c>
      <c r="V53" s="618"/>
      <c r="W53" s="618"/>
      <c r="X53" s="577"/>
      <c r="Y53" s="70">
        <f>IF(AND(M53&lt;&gt;0,S53=0),#VALUE!,M53*S53)</f>
        <v>0</v>
      </c>
      <c r="Z53" s="70">
        <f>IF(AND(N53&lt;&gt;0,T53=0),#VALUE!,N53*T53)</f>
        <v>2722.08</v>
      </c>
      <c r="AA53" s="70">
        <f>IF(AND(O53&lt;&gt;0,U53=0),#VALUE!,O53*U53)</f>
        <v>0</v>
      </c>
      <c r="AB53" s="70">
        <f>IF(AND(P53&lt;&gt;0,V53=0),#VALUE!,P53*V53)</f>
        <v>0</v>
      </c>
      <c r="AC53" s="70">
        <f>IF(AND(Q53&lt;&gt;0,W53=0),#VALUE!,Q53*W53)</f>
        <v>0</v>
      </c>
      <c r="AD53" s="577"/>
      <c r="AE53" s="580">
        <f t="shared" ref="AE53:AI54" si="108">SUMIF($G:$G,TEXT(AE$3,"000")&amp;TEXT($L53,"000"),$E:$E)</f>
        <v>0</v>
      </c>
      <c r="AF53" s="580">
        <f t="shared" si="108"/>
        <v>106</v>
      </c>
      <c r="AG53" s="580">
        <f t="shared" si="108"/>
        <v>0</v>
      </c>
      <c r="AH53" s="580">
        <f t="shared" si="108"/>
        <v>0</v>
      </c>
      <c r="AI53" s="580">
        <f t="shared" si="108"/>
        <v>0</v>
      </c>
      <c r="AJ53" s="577"/>
      <c r="AK53" s="585">
        <f t="shared" si="81"/>
        <v>0</v>
      </c>
      <c r="AL53" s="585">
        <f>AL52</f>
        <v>27.64</v>
      </c>
      <c r="AM53" s="585">
        <f t="shared" si="3"/>
        <v>0</v>
      </c>
      <c r="AN53" s="585">
        <f t="shared" si="4"/>
        <v>0</v>
      </c>
      <c r="AO53" s="585">
        <f t="shared" si="5"/>
        <v>0</v>
      </c>
      <c r="AP53" s="577"/>
      <c r="AQ53" s="70">
        <f>IF(AND(AE53&lt;&gt;0,AK53=0),#VALUE!,AE53*AK53)</f>
        <v>0</v>
      </c>
      <c r="AR53" s="70">
        <f t="shared" si="106"/>
        <v>2929.84</v>
      </c>
      <c r="AS53" s="70">
        <f t="shared" si="107"/>
        <v>0</v>
      </c>
      <c r="AT53" s="70">
        <f t="shared" si="107"/>
        <v>0</v>
      </c>
      <c r="AU53" s="70">
        <f t="shared" si="107"/>
        <v>0</v>
      </c>
      <c r="AV53" s="70">
        <f t="shared" si="66"/>
        <v>207.76000000000022</v>
      </c>
      <c r="AW53" s="456">
        <f t="shared" si="76"/>
        <v>7.6323987538940888E-2</v>
      </c>
      <c r="AX53" s="592">
        <v>26</v>
      </c>
      <c r="AY53" s="582"/>
      <c r="AZ53" s="582">
        <v>26.12</v>
      </c>
      <c r="BA53" s="582"/>
      <c r="BB53" s="582"/>
      <c r="BC53" s="582"/>
      <c r="BD53" s="582"/>
      <c r="BE53" s="588">
        <f>ROUND(AX53*$BE$2,2)+ROUND(AX53*$BE$1,2)</f>
        <v>0.06</v>
      </c>
      <c r="BF53" s="578"/>
      <c r="BG53" s="578">
        <f t="shared" si="80"/>
        <v>0.01</v>
      </c>
      <c r="BH53" s="578"/>
      <c r="BI53" s="578"/>
      <c r="BJ53" s="578"/>
      <c r="BK53" s="577"/>
      <c r="BL53" s="577"/>
      <c r="BM53" s="586">
        <f t="shared" si="68"/>
        <v>0</v>
      </c>
      <c r="BN53" s="586">
        <f t="shared" si="69"/>
        <v>28.057363999999996</v>
      </c>
      <c r="BO53" s="586">
        <f t="shared" ref="BO53:BQ54" si="109">AM53*$BM$1</f>
        <v>0</v>
      </c>
      <c r="BP53" s="586">
        <f t="shared" si="109"/>
        <v>0</v>
      </c>
      <c r="BQ53" s="586">
        <f t="shared" si="109"/>
        <v>0</v>
      </c>
      <c r="BR53" s="577"/>
      <c r="BS53" s="578">
        <f t="shared" ref="BS53:BW54" si="110">BM53-AY53</f>
        <v>0</v>
      </c>
      <c r="BT53" s="578">
        <f t="shared" si="110"/>
        <v>1.9373639999999952</v>
      </c>
      <c r="BU53" s="578">
        <f t="shared" si="110"/>
        <v>0</v>
      </c>
      <c r="BV53" s="578">
        <f t="shared" si="110"/>
        <v>0</v>
      </c>
      <c r="BW53" s="578">
        <f t="shared" si="110"/>
        <v>0</v>
      </c>
      <c r="BX53" s="577"/>
      <c r="BY53" s="577"/>
      <c r="BZ53" s="577"/>
      <c r="CA53" s="577"/>
      <c r="CB53" s="577"/>
      <c r="CQ53" s="647"/>
      <c r="CR53" s="647"/>
    </row>
    <row r="54" spans="1:120">
      <c r="A54" s="330"/>
      <c r="B54" s="35">
        <v>2</v>
      </c>
      <c r="C54" s="72" t="s">
        <v>120</v>
      </c>
      <c r="D54" s="35">
        <v>536</v>
      </c>
      <c r="E54" s="561">
        <v>155</v>
      </c>
      <c r="F54" s="73"/>
      <c r="G54" s="73" t="str">
        <f t="shared" si="91"/>
        <v>042536</v>
      </c>
      <c r="H54" s="46"/>
      <c r="I54" s="706" t="s">
        <v>137</v>
      </c>
      <c r="J54" s="706" t="s">
        <v>107</v>
      </c>
      <c r="K54" s="707" t="s">
        <v>140</v>
      </c>
      <c r="L54" s="704">
        <v>475</v>
      </c>
      <c r="M54" s="705">
        <f t="shared" ref="M54:Q60" si="111">SUMIF($G:$G,TEXT(M$3,"000")&amp;TEXT($L54,"000"),$E:$E)</f>
        <v>0</v>
      </c>
      <c r="N54" s="705">
        <f t="shared" si="111"/>
        <v>0</v>
      </c>
      <c r="O54" s="636">
        <f t="shared" si="111"/>
        <v>0</v>
      </c>
      <c r="P54" s="636">
        <f t="shared" si="111"/>
        <v>0</v>
      </c>
      <c r="Q54" s="636">
        <f t="shared" si="111"/>
        <v>0</v>
      </c>
      <c r="R54" s="636">
        <f t="shared" si="99"/>
        <v>1</v>
      </c>
      <c r="S54" s="637">
        <v>0</v>
      </c>
      <c r="T54" s="637">
        <v>19.71</v>
      </c>
      <c r="U54" s="637">
        <v>0</v>
      </c>
      <c r="V54" s="637">
        <v>0</v>
      </c>
      <c r="W54" s="637">
        <v>0</v>
      </c>
      <c r="X54" s="614"/>
      <c r="Y54" s="614"/>
      <c r="Z54" s="694">
        <f t="shared" si="60"/>
        <v>0</v>
      </c>
      <c r="AA54" s="614"/>
      <c r="AB54" s="614"/>
      <c r="AC54" s="614"/>
      <c r="AD54" s="614"/>
      <c r="AE54" s="636">
        <f t="shared" si="108"/>
        <v>0</v>
      </c>
      <c r="AF54" s="636">
        <f t="shared" si="108"/>
        <v>0</v>
      </c>
      <c r="AG54" s="636">
        <f t="shared" si="108"/>
        <v>0</v>
      </c>
      <c r="AH54" s="636">
        <f t="shared" si="108"/>
        <v>0</v>
      </c>
      <c r="AI54" s="636">
        <f t="shared" si="108"/>
        <v>0</v>
      </c>
      <c r="AJ54" s="614"/>
      <c r="AK54" s="638">
        <f t="shared" si="81"/>
        <v>0</v>
      </c>
      <c r="AL54" s="638">
        <f>ROUND(T54*(1+AL$1),2)</f>
        <v>21.22</v>
      </c>
      <c r="AM54" s="638">
        <f t="shared" ref="AM54:AM76" si="112">ROUND(U54*(1+AM$1),2)</f>
        <v>0</v>
      </c>
      <c r="AN54" s="638">
        <f t="shared" ref="AN54:AN76" si="113">ROUND(V54*(1+AN$1),2)</f>
        <v>0</v>
      </c>
      <c r="AO54" s="638">
        <f t="shared" ref="AO54:AO76" si="114">ROUND(W54*(1+AO$1),2)</f>
        <v>0</v>
      </c>
      <c r="AP54" s="614"/>
      <c r="AQ54" s="614"/>
      <c r="AR54" s="694">
        <f t="shared" si="106"/>
        <v>0</v>
      </c>
      <c r="AS54" s="614"/>
      <c r="AT54" s="614"/>
      <c r="AU54" s="614"/>
      <c r="AV54" s="694">
        <f t="shared" si="66"/>
        <v>0</v>
      </c>
      <c r="AW54" s="456" t="e">
        <f t="shared" si="76"/>
        <v>#DIV/0!</v>
      </c>
      <c r="AX54" s="447">
        <v>40</v>
      </c>
      <c r="AY54" s="582"/>
      <c r="AZ54" s="582">
        <v>20.09</v>
      </c>
      <c r="BA54" s="582"/>
      <c r="BB54" s="582"/>
      <c r="BC54" s="582"/>
      <c r="BD54" s="140"/>
      <c r="BE54" s="588">
        <f>ROUND(AX54*$BE$2,2)+ROUND(AX54*$BE$1,2)</f>
        <v>9.000000000000008E-2</v>
      </c>
      <c r="BF54" s="54"/>
      <c r="BG54" s="54">
        <f t="shared" si="80"/>
        <v>0.01</v>
      </c>
      <c r="BH54" s="54"/>
      <c r="BI54" s="54"/>
      <c r="BJ54" s="54"/>
      <c r="BM54" s="279">
        <f t="shared" si="68"/>
        <v>0</v>
      </c>
      <c r="BN54" s="279">
        <f t="shared" si="69"/>
        <v>21.540421999999996</v>
      </c>
      <c r="BO54" s="279">
        <f t="shared" si="109"/>
        <v>0</v>
      </c>
      <c r="BP54" s="279">
        <f t="shared" si="109"/>
        <v>0</v>
      </c>
      <c r="BQ54" s="279">
        <f t="shared" si="109"/>
        <v>0</v>
      </c>
      <c r="BS54" s="54">
        <f t="shared" si="110"/>
        <v>0</v>
      </c>
      <c r="BT54" s="54">
        <f t="shared" si="110"/>
        <v>1.4504219999999961</v>
      </c>
      <c r="BU54" s="54">
        <f t="shared" si="110"/>
        <v>0</v>
      </c>
      <c r="BV54" s="54">
        <f t="shared" si="110"/>
        <v>0</v>
      </c>
      <c r="BW54" s="54">
        <f t="shared" si="110"/>
        <v>0</v>
      </c>
      <c r="CK54" s="443"/>
    </row>
    <row r="55" spans="1:120">
      <c r="A55" s="647"/>
      <c r="B55" s="540">
        <v>2</v>
      </c>
      <c r="C55" s="72" t="s">
        <v>120</v>
      </c>
      <c r="D55" s="540" t="s">
        <v>609</v>
      </c>
      <c r="E55" s="563">
        <v>241</v>
      </c>
      <c r="F55" s="73"/>
      <c r="G55" s="73" t="str">
        <f t="shared" si="91"/>
        <v>042536L</v>
      </c>
      <c r="H55" s="46"/>
      <c r="I55" t="s">
        <v>137</v>
      </c>
      <c r="J55" t="s">
        <v>110</v>
      </c>
      <c r="K55" s="59" t="s">
        <v>141</v>
      </c>
      <c r="L55" s="97">
        <v>484</v>
      </c>
      <c r="M55" s="69">
        <f t="shared" si="111"/>
        <v>0</v>
      </c>
      <c r="N55" s="69">
        <f t="shared" si="111"/>
        <v>99</v>
      </c>
      <c r="O55" s="69">
        <f t="shared" si="111"/>
        <v>0</v>
      </c>
      <c r="P55" s="69">
        <f t="shared" si="111"/>
        <v>0</v>
      </c>
      <c r="Q55" s="69">
        <f t="shared" si="111"/>
        <v>0</v>
      </c>
      <c r="R55" s="580">
        <f t="shared" si="99"/>
        <v>0</v>
      </c>
      <c r="S55" s="618">
        <v>0</v>
      </c>
      <c r="T55" s="618">
        <v>24.45</v>
      </c>
      <c r="U55" s="618">
        <v>0</v>
      </c>
      <c r="V55" s="618">
        <v>0</v>
      </c>
      <c r="W55" s="618">
        <v>0</v>
      </c>
      <c r="Y55" s="70">
        <f t="shared" si="59"/>
        <v>0</v>
      </c>
      <c r="Z55" s="70">
        <f t="shared" si="60"/>
        <v>2420.5499999999997</v>
      </c>
      <c r="AA55" s="70">
        <f t="shared" si="61"/>
        <v>0</v>
      </c>
      <c r="AB55" s="70">
        <f t="shared" si="62"/>
        <v>0</v>
      </c>
      <c r="AC55" s="70">
        <f t="shared" si="63"/>
        <v>0</v>
      </c>
      <c r="AE55" s="69">
        <f t="shared" si="64"/>
        <v>0</v>
      </c>
      <c r="AF55" s="69">
        <f t="shared" ref="AF55:AI55" si="115">N55</f>
        <v>99</v>
      </c>
      <c r="AG55" s="69">
        <f t="shared" si="115"/>
        <v>0</v>
      </c>
      <c r="AH55" s="69">
        <f t="shared" si="115"/>
        <v>0</v>
      </c>
      <c r="AI55" s="69">
        <f t="shared" si="115"/>
        <v>0</v>
      </c>
      <c r="AK55" s="435">
        <f t="shared" ref="AK55:AL96" si="116">ROUND(S55*(1+AK$1),2)</f>
        <v>0</v>
      </c>
      <c r="AL55" s="435">
        <f t="shared" si="101"/>
        <v>26.32</v>
      </c>
      <c r="AM55" s="435">
        <f t="shared" si="112"/>
        <v>0</v>
      </c>
      <c r="AN55" s="435">
        <f t="shared" si="113"/>
        <v>0</v>
      </c>
      <c r="AO55" s="435">
        <f t="shared" si="114"/>
        <v>0</v>
      </c>
      <c r="AQ55" s="70">
        <f t="shared" ref="AQ55:AQ77" si="117">IF(AND(AE55&lt;&gt;0,AK55=0),#VALUE!,AE55*AK55)</f>
        <v>0</v>
      </c>
      <c r="AR55" s="70">
        <f t="shared" si="106"/>
        <v>2605.6799999999998</v>
      </c>
      <c r="AS55" s="70">
        <f t="shared" ref="AS55:AS77" si="118">IF(AND(AG55&lt;&gt;0,AM55=0),#VALUE!,AG55*AM55)</f>
        <v>0</v>
      </c>
      <c r="AT55" s="70">
        <f t="shared" ref="AT55:AT77" si="119">IF(AND(AH55&lt;&gt;0,AN55=0),#VALUE!,AH55*AN55)</f>
        <v>0</v>
      </c>
      <c r="AU55" s="70">
        <f t="shared" ref="AU55:AU77" si="120">IF(AND(AI55&lt;&gt;0,AO55=0),#VALUE!,AI55*AO55)</f>
        <v>0</v>
      </c>
      <c r="AV55" s="70">
        <f t="shared" si="66"/>
        <v>185.13000000000011</v>
      </c>
      <c r="AW55" s="456">
        <f t="shared" si="76"/>
        <v>7.6482617586912119E-2</v>
      </c>
      <c r="AX55" s="447">
        <v>40</v>
      </c>
      <c r="AY55" s="582"/>
      <c r="AZ55" s="582">
        <v>24.9</v>
      </c>
      <c r="BA55" s="582"/>
      <c r="BB55" s="582"/>
      <c r="BC55" s="582"/>
      <c r="BD55" s="140"/>
      <c r="BE55" s="588">
        <f t="shared" si="67"/>
        <v>9.000000000000008E-2</v>
      </c>
      <c r="BF55" s="54"/>
      <c r="BG55" s="54">
        <f t="shared" si="80"/>
        <v>0.01</v>
      </c>
      <c r="BH55" s="54"/>
      <c r="BI55" s="54"/>
      <c r="BJ55" s="54"/>
      <c r="BM55" s="279">
        <f t="shared" ref="BM55:BM77" si="121">AK55*$BM$1</f>
        <v>0</v>
      </c>
      <c r="BN55" s="279">
        <f t="shared" ref="BN55:BN77" si="122">AL55*$BM$1</f>
        <v>26.717431999999999</v>
      </c>
      <c r="BO55" s="279">
        <f t="shared" si="77"/>
        <v>0</v>
      </c>
      <c r="BP55" s="279">
        <f t="shared" si="78"/>
        <v>0</v>
      </c>
      <c r="BQ55" s="279">
        <f t="shared" si="79"/>
        <v>0</v>
      </c>
      <c r="BS55" s="54">
        <f t="shared" si="71"/>
        <v>0</v>
      </c>
      <c r="BT55" s="54">
        <f t="shared" si="72"/>
        <v>1.8174320000000002</v>
      </c>
      <c r="BU55" s="54">
        <f t="shared" si="73"/>
        <v>0</v>
      </c>
      <c r="BV55" s="54">
        <f t="shared" si="74"/>
        <v>0</v>
      </c>
      <c r="BW55" s="54">
        <f t="shared" si="75"/>
        <v>0</v>
      </c>
    </row>
    <row r="56" spans="1:120">
      <c r="A56" s="612"/>
      <c r="B56" s="540">
        <v>2</v>
      </c>
      <c r="C56" s="72" t="s">
        <v>120</v>
      </c>
      <c r="D56" s="540" t="s">
        <v>714</v>
      </c>
      <c r="E56" s="563">
        <v>337</v>
      </c>
      <c r="F56" s="73"/>
      <c r="G56" s="73" t="str">
        <f t="shared" si="91"/>
        <v>042536T</v>
      </c>
      <c r="H56" s="46"/>
      <c r="I56" s="434" t="s">
        <v>719</v>
      </c>
      <c r="J56" s="577" t="s">
        <v>110</v>
      </c>
      <c r="K56" s="579" t="s">
        <v>603</v>
      </c>
      <c r="L56" s="581" t="s">
        <v>600</v>
      </c>
      <c r="M56" s="580">
        <f t="shared" si="111"/>
        <v>0</v>
      </c>
      <c r="N56" s="580">
        <f t="shared" si="111"/>
        <v>64</v>
      </c>
      <c r="O56" s="580">
        <f t="shared" si="111"/>
        <v>0</v>
      </c>
      <c r="P56" s="580">
        <f t="shared" si="111"/>
        <v>0</v>
      </c>
      <c r="Q56" s="580">
        <f t="shared" si="111"/>
        <v>0</v>
      </c>
      <c r="R56" s="580">
        <f t="shared" si="99"/>
        <v>0</v>
      </c>
      <c r="S56" s="618">
        <v>0</v>
      </c>
      <c r="T56" s="648">
        <f>T55</f>
        <v>24.45</v>
      </c>
      <c r="U56" s="618">
        <v>0</v>
      </c>
      <c r="V56" s="618"/>
      <c r="W56" s="618"/>
      <c r="X56" s="577"/>
      <c r="Y56" s="70">
        <f>IF(AND(M56&lt;&gt;0,S56=0),#VALUE!,M56*S56)</f>
        <v>0</v>
      </c>
      <c r="Z56" s="70">
        <f>IF(AND(N56&lt;&gt;0,T56=0),#VALUE!,N56*T56)</f>
        <v>1564.8</v>
      </c>
      <c r="AA56" s="70">
        <f>IF(AND(O56&lt;&gt;0,U56=0),#VALUE!,O56*U56)</f>
        <v>0</v>
      </c>
      <c r="AB56" s="70">
        <f>IF(AND(P56&lt;&gt;0,V56=0),#VALUE!,P56*V56)</f>
        <v>0</v>
      </c>
      <c r="AC56" s="70">
        <f>IF(AND(Q56&lt;&gt;0,W56=0),#VALUE!,Q56*W56)</f>
        <v>0</v>
      </c>
      <c r="AD56" s="577"/>
      <c r="AE56" s="580">
        <f t="shared" ref="AE56:AI58" si="123">SUMIF($G:$G,TEXT(AE$3,"000")&amp;TEXT($L56,"000"),$E:$E)</f>
        <v>0</v>
      </c>
      <c r="AF56" s="580">
        <f t="shared" si="123"/>
        <v>64</v>
      </c>
      <c r="AG56" s="580">
        <f t="shared" si="123"/>
        <v>0</v>
      </c>
      <c r="AH56" s="580">
        <f t="shared" si="123"/>
        <v>0</v>
      </c>
      <c r="AI56" s="580">
        <f t="shared" si="123"/>
        <v>0</v>
      </c>
      <c r="AJ56" s="577"/>
      <c r="AK56" s="585">
        <f>ROUND(S56*(1+AK$1),2)</f>
        <v>0</v>
      </c>
      <c r="AL56" s="585">
        <f>AL55</f>
        <v>26.32</v>
      </c>
      <c r="AM56" s="585">
        <f t="shared" si="112"/>
        <v>0</v>
      </c>
      <c r="AN56" s="585">
        <f t="shared" si="113"/>
        <v>0</v>
      </c>
      <c r="AO56" s="585">
        <f t="shared" si="114"/>
        <v>0</v>
      </c>
      <c r="AP56" s="577"/>
      <c r="AQ56" s="70">
        <f t="shared" si="117"/>
        <v>0</v>
      </c>
      <c r="AR56" s="70">
        <f t="shared" si="106"/>
        <v>1684.48</v>
      </c>
      <c r="AS56" s="70">
        <f t="shared" si="118"/>
        <v>0</v>
      </c>
      <c r="AT56" s="70">
        <f t="shared" si="119"/>
        <v>0</v>
      </c>
      <c r="AU56" s="70">
        <f t="shared" si="120"/>
        <v>0</v>
      </c>
      <c r="AV56" s="70">
        <f t="shared" si="66"/>
        <v>119.68000000000006</v>
      </c>
      <c r="AW56" s="456">
        <f t="shared" si="76"/>
        <v>7.6482617586912105E-2</v>
      </c>
      <c r="AX56" s="592">
        <v>26</v>
      </c>
      <c r="AY56" s="582"/>
      <c r="AZ56" s="582">
        <v>24.87</v>
      </c>
      <c r="BA56" s="582"/>
      <c r="BB56" s="582"/>
      <c r="BC56" s="582"/>
      <c r="BD56" s="582"/>
      <c r="BE56" s="588">
        <f>ROUND(AX56*$BE$2,2)+ROUND(AX56*$BE$1,2)</f>
        <v>0.06</v>
      </c>
      <c r="BF56" s="578"/>
      <c r="BG56" s="578">
        <f t="shared" si="80"/>
        <v>0.01</v>
      </c>
      <c r="BH56" s="578"/>
      <c r="BI56" s="578"/>
      <c r="BJ56" s="578"/>
      <c r="BK56" s="577"/>
      <c r="BL56" s="577"/>
      <c r="BM56" s="586">
        <f t="shared" si="121"/>
        <v>0</v>
      </c>
      <c r="BN56" s="586">
        <f t="shared" si="122"/>
        <v>26.717431999999999</v>
      </c>
      <c r="BO56" s="586">
        <f t="shared" ref="BO56:BQ57" si="124">AM56*$BM$1</f>
        <v>0</v>
      </c>
      <c r="BP56" s="586">
        <f t="shared" si="124"/>
        <v>0</v>
      </c>
      <c r="BQ56" s="586">
        <f t="shared" si="124"/>
        <v>0</v>
      </c>
      <c r="BR56" s="577"/>
      <c r="BS56" s="578">
        <f>BM56-AY56</f>
        <v>0</v>
      </c>
      <c r="BT56" s="578">
        <f>BN56-AZ56</f>
        <v>1.8474319999999977</v>
      </c>
      <c r="BU56" s="578">
        <f>BO56-BA56</f>
        <v>0</v>
      </c>
      <c r="BV56" s="578">
        <f>BP56-BB56</f>
        <v>0</v>
      </c>
      <c r="BW56" s="578">
        <f>BQ56-BC56</f>
        <v>0</v>
      </c>
      <c r="BX56" s="577"/>
      <c r="BY56" s="577"/>
      <c r="BZ56" s="577"/>
      <c r="CA56" s="577"/>
      <c r="CB56" s="577"/>
    </row>
    <row r="57" spans="1:120">
      <c r="B57" s="35">
        <v>2</v>
      </c>
      <c r="C57" s="72" t="s">
        <v>120</v>
      </c>
      <c r="D57" s="35">
        <v>541</v>
      </c>
      <c r="E57" s="561">
        <v>4</v>
      </c>
      <c r="F57" s="73"/>
      <c r="G57" s="73" t="str">
        <f t="shared" si="91"/>
        <v>042541</v>
      </c>
      <c r="H57" s="46"/>
      <c r="I57" s="392" t="s">
        <v>454</v>
      </c>
      <c r="J57" s="533" t="s">
        <v>562</v>
      </c>
      <c r="K57" s="59" t="s">
        <v>134</v>
      </c>
      <c r="L57" s="97">
        <v>499</v>
      </c>
      <c r="M57" s="69">
        <f t="shared" si="111"/>
        <v>0</v>
      </c>
      <c r="N57" s="69">
        <f t="shared" si="111"/>
        <v>0</v>
      </c>
      <c r="O57" s="69">
        <f t="shared" si="111"/>
        <v>0</v>
      </c>
      <c r="P57" s="69">
        <f t="shared" si="111"/>
        <v>0</v>
      </c>
      <c r="Q57" s="69">
        <f t="shared" si="111"/>
        <v>41</v>
      </c>
      <c r="R57" s="580">
        <f t="shared" si="99"/>
        <v>0</v>
      </c>
      <c r="S57" s="618">
        <v>0</v>
      </c>
      <c r="T57" s="618">
        <v>0</v>
      </c>
      <c r="U57" s="618">
        <v>0</v>
      </c>
      <c r="V57" s="618">
        <v>0</v>
      </c>
      <c r="W57" s="618">
        <v>2.78</v>
      </c>
      <c r="X57" s="392"/>
      <c r="Y57" s="70">
        <f t="shared" si="59"/>
        <v>0</v>
      </c>
      <c r="Z57" s="70">
        <f t="shared" si="60"/>
        <v>0</v>
      </c>
      <c r="AA57" s="70">
        <f t="shared" si="61"/>
        <v>0</v>
      </c>
      <c r="AB57" s="70">
        <f t="shared" si="62"/>
        <v>0</v>
      </c>
      <c r="AC57" s="70">
        <f t="shared" si="63"/>
        <v>113.97999999999999</v>
      </c>
      <c r="AD57" s="392"/>
      <c r="AE57" s="69">
        <f t="shared" si="123"/>
        <v>0</v>
      </c>
      <c r="AF57" s="69">
        <f t="shared" si="123"/>
        <v>0</v>
      </c>
      <c r="AG57" s="69">
        <f t="shared" si="123"/>
        <v>0</v>
      </c>
      <c r="AH57" s="69">
        <f t="shared" si="123"/>
        <v>0</v>
      </c>
      <c r="AI57" s="69">
        <f t="shared" si="123"/>
        <v>41</v>
      </c>
      <c r="AJ57" s="392"/>
      <c r="AK57" s="435">
        <f t="shared" si="116"/>
        <v>0</v>
      </c>
      <c r="AL57" s="435">
        <f t="shared" si="101"/>
        <v>0</v>
      </c>
      <c r="AM57" s="435">
        <f t="shared" si="112"/>
        <v>0</v>
      </c>
      <c r="AN57" s="435">
        <f t="shared" si="113"/>
        <v>0</v>
      </c>
      <c r="AO57" s="435">
        <f t="shared" si="114"/>
        <v>3.01</v>
      </c>
      <c r="AP57" s="392"/>
      <c r="AQ57" s="70">
        <f t="shared" si="117"/>
        <v>0</v>
      </c>
      <c r="AR57" s="70">
        <f t="shared" si="106"/>
        <v>0</v>
      </c>
      <c r="AS57" s="70">
        <f t="shared" si="118"/>
        <v>0</v>
      </c>
      <c r="AT57" s="70">
        <f t="shared" si="119"/>
        <v>0</v>
      </c>
      <c r="AU57" s="70">
        <f t="shared" si="120"/>
        <v>123.41</v>
      </c>
      <c r="AV57" s="70">
        <f t="shared" si="66"/>
        <v>0</v>
      </c>
      <c r="AW57" s="456" t="e">
        <f t="shared" si="76"/>
        <v>#DIV/0!</v>
      </c>
      <c r="AX57" s="447">
        <v>21</v>
      </c>
      <c r="AY57" s="582"/>
      <c r="AZ57" s="582"/>
      <c r="BA57" s="582"/>
      <c r="BB57" s="582"/>
      <c r="BC57" s="582">
        <v>2.86</v>
      </c>
      <c r="BD57" s="140"/>
      <c r="BE57" s="588">
        <f t="shared" si="67"/>
        <v>3.999999999999998E-2</v>
      </c>
      <c r="BF57" s="54"/>
      <c r="BG57" s="54"/>
      <c r="BH57" s="54"/>
      <c r="BI57" s="54"/>
      <c r="BJ57" s="54">
        <f>ROUND((W57*$BF$2)+$BE57-BC57,2)</f>
        <v>0</v>
      </c>
      <c r="BK57" s="392"/>
      <c r="BL57" s="392"/>
      <c r="BM57" s="279">
        <f t="shared" si="121"/>
        <v>0</v>
      </c>
      <c r="BN57" s="279">
        <f t="shared" si="122"/>
        <v>0</v>
      </c>
      <c r="BO57" s="279">
        <f t="shared" si="124"/>
        <v>0</v>
      </c>
      <c r="BP57" s="279">
        <f t="shared" si="124"/>
        <v>0</v>
      </c>
      <c r="BQ57" s="279">
        <f t="shared" si="124"/>
        <v>3.0554509999999993</v>
      </c>
      <c r="BR57" s="392"/>
      <c r="BS57" s="54">
        <f t="shared" ref="BS57:BW57" si="125">BM57-AY57</f>
        <v>0</v>
      </c>
      <c r="BT57" s="54">
        <f t="shared" si="125"/>
        <v>0</v>
      </c>
      <c r="BU57" s="54">
        <f t="shared" si="125"/>
        <v>0</v>
      </c>
      <c r="BV57" s="54">
        <f t="shared" si="125"/>
        <v>0</v>
      </c>
      <c r="BW57" s="54">
        <f t="shared" si="125"/>
        <v>0.19545099999999938</v>
      </c>
    </row>
    <row r="58" spans="1:120">
      <c r="A58" s="647"/>
      <c r="B58" s="540">
        <v>2</v>
      </c>
      <c r="C58" s="72" t="s">
        <v>120</v>
      </c>
      <c r="D58" s="540" t="s">
        <v>610</v>
      </c>
      <c r="E58" s="563">
        <v>1</v>
      </c>
      <c r="F58" s="73"/>
      <c r="G58" s="73" t="str">
        <f t="shared" si="91"/>
        <v>042541L</v>
      </c>
      <c r="H58" s="46"/>
      <c r="I58" t="s">
        <v>133</v>
      </c>
      <c r="J58" t="s">
        <v>131</v>
      </c>
      <c r="K58" s="59">
        <v>10000</v>
      </c>
      <c r="L58" s="97">
        <v>515</v>
      </c>
      <c r="M58" s="69">
        <f t="shared" si="111"/>
        <v>0</v>
      </c>
      <c r="N58" s="69">
        <f t="shared" si="111"/>
        <v>0</v>
      </c>
      <c r="O58" s="69">
        <f t="shared" si="111"/>
        <v>0</v>
      </c>
      <c r="P58" s="69">
        <f t="shared" si="111"/>
        <v>1</v>
      </c>
      <c r="Q58" s="69">
        <f t="shared" si="111"/>
        <v>0</v>
      </c>
      <c r="R58" s="580">
        <f t="shared" si="99"/>
        <v>0</v>
      </c>
      <c r="S58" s="618">
        <v>0</v>
      </c>
      <c r="T58" s="618">
        <v>0</v>
      </c>
      <c r="U58" s="618">
        <v>0</v>
      </c>
      <c r="V58" s="618">
        <v>9.65</v>
      </c>
      <c r="W58" s="618">
        <v>0</v>
      </c>
      <c r="Y58" s="70">
        <f t="shared" si="59"/>
        <v>0</v>
      </c>
      <c r="Z58" s="70">
        <f t="shared" si="60"/>
        <v>0</v>
      </c>
      <c r="AA58" s="70">
        <f t="shared" si="61"/>
        <v>0</v>
      </c>
      <c r="AB58" s="70">
        <f t="shared" si="62"/>
        <v>9.65</v>
      </c>
      <c r="AC58" s="70">
        <f t="shared" si="63"/>
        <v>0</v>
      </c>
      <c r="AE58" s="69">
        <f t="shared" si="123"/>
        <v>0</v>
      </c>
      <c r="AF58" s="69">
        <f t="shared" si="123"/>
        <v>0</v>
      </c>
      <c r="AG58" s="69">
        <f t="shared" si="123"/>
        <v>0</v>
      </c>
      <c r="AH58" s="69">
        <f t="shared" si="123"/>
        <v>1</v>
      </c>
      <c r="AI58" s="69">
        <f t="shared" si="123"/>
        <v>0</v>
      </c>
      <c r="AK58" s="435">
        <f t="shared" si="116"/>
        <v>0</v>
      </c>
      <c r="AL58" s="435">
        <f t="shared" si="101"/>
        <v>0</v>
      </c>
      <c r="AM58" s="435">
        <f t="shared" si="112"/>
        <v>0</v>
      </c>
      <c r="AN58" s="435">
        <f t="shared" si="113"/>
        <v>10.45</v>
      </c>
      <c r="AO58" s="435">
        <f t="shared" si="114"/>
        <v>0</v>
      </c>
      <c r="AQ58" s="70">
        <f t="shared" si="117"/>
        <v>0</v>
      </c>
      <c r="AR58" s="70">
        <f t="shared" si="106"/>
        <v>0</v>
      </c>
      <c r="AS58" s="70">
        <f t="shared" si="118"/>
        <v>0</v>
      </c>
      <c r="AT58" s="70">
        <f t="shared" si="119"/>
        <v>10.45</v>
      </c>
      <c r="AU58" s="70">
        <f t="shared" si="120"/>
        <v>0</v>
      </c>
      <c r="AV58" s="70">
        <f t="shared" si="66"/>
        <v>0</v>
      </c>
      <c r="AW58" s="456" t="e">
        <f t="shared" si="76"/>
        <v>#DIV/0!</v>
      </c>
      <c r="AX58" s="447">
        <v>111</v>
      </c>
      <c r="AY58" s="582"/>
      <c r="AZ58" s="582"/>
      <c r="BA58" s="582"/>
      <c r="BB58" s="582">
        <v>10.039999999999999</v>
      </c>
      <c r="BC58" s="582"/>
      <c r="BD58" s="140"/>
      <c r="BE58" s="588">
        <f t="shared" si="67"/>
        <v>0.25</v>
      </c>
      <c r="BF58" s="54"/>
      <c r="BG58" s="54"/>
      <c r="BH58" s="54"/>
      <c r="BI58" s="54">
        <f>ROUND((V58*$BF$2)+$BE58-BB58,2)</f>
        <v>0.01</v>
      </c>
      <c r="BJ58" s="54"/>
      <c r="BM58" s="279">
        <f t="shared" si="121"/>
        <v>0</v>
      </c>
      <c r="BN58" s="279">
        <f t="shared" si="122"/>
        <v>0</v>
      </c>
      <c r="BO58" s="279">
        <f t="shared" si="77"/>
        <v>0</v>
      </c>
      <c r="BP58" s="279">
        <f t="shared" si="78"/>
        <v>10.607794999999998</v>
      </c>
      <c r="BQ58" s="279">
        <f t="shared" si="79"/>
        <v>0</v>
      </c>
      <c r="BS58" s="54">
        <f t="shared" si="71"/>
        <v>0</v>
      </c>
      <c r="BT58" s="54">
        <f t="shared" si="72"/>
        <v>0</v>
      </c>
      <c r="BU58" s="54">
        <f t="shared" si="73"/>
        <v>0</v>
      </c>
      <c r="BV58" s="54">
        <f t="shared" si="74"/>
        <v>0.5677949999999985</v>
      </c>
      <c r="BW58" s="54">
        <f t="shared" si="75"/>
        <v>0</v>
      </c>
      <c r="CU58" s="689"/>
      <c r="CV58" s="689"/>
      <c r="CW58" s="689"/>
      <c r="CX58" s="689"/>
      <c r="CY58" s="689"/>
      <c r="CZ58" s="689"/>
      <c r="DA58" s="689"/>
      <c r="DB58" s="689"/>
    </row>
    <row r="59" spans="1:120">
      <c r="A59" s="646"/>
      <c r="B59" s="540">
        <v>2</v>
      </c>
      <c r="C59" s="72" t="s">
        <v>120</v>
      </c>
      <c r="D59" s="540" t="s">
        <v>715</v>
      </c>
      <c r="E59" s="557">
        <v>0</v>
      </c>
      <c r="F59" s="73"/>
      <c r="G59" s="73" t="str">
        <f t="shared" si="91"/>
        <v>042541T</v>
      </c>
      <c r="H59" s="46"/>
      <c r="I59" t="s">
        <v>128</v>
      </c>
      <c r="J59" s="692" t="s">
        <v>841</v>
      </c>
      <c r="K59" s="59" t="s">
        <v>142</v>
      </c>
      <c r="L59" s="97">
        <v>531</v>
      </c>
      <c r="M59" s="69">
        <f t="shared" si="111"/>
        <v>0</v>
      </c>
      <c r="N59" s="69">
        <f t="shared" si="111"/>
        <v>0</v>
      </c>
      <c r="O59" s="69">
        <f t="shared" si="111"/>
        <v>1</v>
      </c>
      <c r="P59" s="69">
        <f t="shared" si="111"/>
        <v>0</v>
      </c>
      <c r="Q59" s="69">
        <f t="shared" si="111"/>
        <v>0</v>
      </c>
      <c r="R59" s="580">
        <f t="shared" si="99"/>
        <v>0</v>
      </c>
      <c r="S59" s="618">
        <v>0</v>
      </c>
      <c r="T59" s="618"/>
      <c r="U59" s="618">
        <v>11.68</v>
      </c>
      <c r="V59" s="618">
        <v>0</v>
      </c>
      <c r="W59" s="618">
        <v>0</v>
      </c>
      <c r="Y59" s="70">
        <f t="shared" si="59"/>
        <v>0</v>
      </c>
      <c r="Z59" s="70">
        <f t="shared" si="60"/>
        <v>0</v>
      </c>
      <c r="AA59" s="70">
        <f t="shared" si="61"/>
        <v>11.68</v>
      </c>
      <c r="AB59" s="70">
        <f t="shared" si="62"/>
        <v>0</v>
      </c>
      <c r="AC59" s="70">
        <f t="shared" si="63"/>
        <v>0</v>
      </c>
      <c r="AE59" s="69">
        <f t="shared" si="64"/>
        <v>0</v>
      </c>
      <c r="AF59" s="69">
        <f t="shared" ref="AF59:AF97" si="126">N59</f>
        <v>0</v>
      </c>
      <c r="AG59" s="69">
        <f t="shared" ref="AG59:AG97" si="127">O59</f>
        <v>1</v>
      </c>
      <c r="AH59" s="69">
        <f t="shared" ref="AH59:AH97" si="128">P59</f>
        <v>0</v>
      </c>
      <c r="AI59" s="69">
        <f t="shared" ref="AI59:AI97" si="129">Q59</f>
        <v>0</v>
      </c>
      <c r="AK59" s="435">
        <f t="shared" si="116"/>
        <v>0</v>
      </c>
      <c r="AL59" s="585">
        <f t="shared" si="101"/>
        <v>0</v>
      </c>
      <c r="AM59" s="435">
        <f t="shared" si="112"/>
        <v>12.65</v>
      </c>
      <c r="AN59" s="435">
        <f t="shared" si="113"/>
        <v>0</v>
      </c>
      <c r="AO59" s="435">
        <f t="shared" si="114"/>
        <v>0</v>
      </c>
      <c r="AQ59" s="70">
        <f t="shared" si="117"/>
        <v>0</v>
      </c>
      <c r="AR59" s="70">
        <f t="shared" si="106"/>
        <v>0</v>
      </c>
      <c r="AS59" s="70">
        <f t="shared" si="118"/>
        <v>12.65</v>
      </c>
      <c r="AT59" s="70">
        <f t="shared" si="119"/>
        <v>0</v>
      </c>
      <c r="AU59" s="70">
        <f t="shared" si="120"/>
        <v>0</v>
      </c>
      <c r="AV59" s="70">
        <f t="shared" si="66"/>
        <v>0</v>
      </c>
      <c r="AW59" s="456" t="e">
        <f t="shared" si="76"/>
        <v>#DIV/0!</v>
      </c>
      <c r="AX59" s="447">
        <v>85</v>
      </c>
      <c r="AY59" s="582"/>
      <c r="AZ59" s="582"/>
      <c r="BA59" s="582">
        <v>12.04</v>
      </c>
      <c r="BB59" s="582"/>
      <c r="BC59" s="582"/>
      <c r="BD59" s="140"/>
      <c r="BE59" s="588">
        <f t="shared" si="67"/>
        <v>0.17999999999999994</v>
      </c>
      <c r="BF59" s="54"/>
      <c r="BG59" s="54"/>
      <c r="BH59" s="54">
        <f>ROUND((U59*$BF$2)+$BE59-BA59,2)</f>
        <v>0</v>
      </c>
      <c r="BI59" s="54"/>
      <c r="BJ59" s="54"/>
      <c r="BM59" s="279">
        <f t="shared" si="121"/>
        <v>0</v>
      </c>
      <c r="BN59" s="279">
        <f t="shared" si="122"/>
        <v>0</v>
      </c>
      <c r="BO59" s="279">
        <f t="shared" si="77"/>
        <v>12.841014999999999</v>
      </c>
      <c r="BP59" s="279">
        <f t="shared" si="78"/>
        <v>0</v>
      </c>
      <c r="BQ59" s="279">
        <f t="shared" si="79"/>
        <v>0</v>
      </c>
      <c r="BS59" s="54">
        <f t="shared" si="71"/>
        <v>0</v>
      </c>
      <c r="BT59" s="54">
        <f t="shared" si="72"/>
        <v>0</v>
      </c>
      <c r="BU59" s="54">
        <f t="shared" si="73"/>
        <v>0.80101499999999959</v>
      </c>
      <c r="BV59" s="54">
        <f t="shared" si="74"/>
        <v>0</v>
      </c>
      <c r="BW59" s="54">
        <f t="shared" si="75"/>
        <v>0</v>
      </c>
      <c r="CU59" s="689"/>
      <c r="CV59" s="689"/>
      <c r="CW59" s="689"/>
      <c r="CX59" s="689"/>
      <c r="CY59" s="689"/>
      <c r="CZ59" s="689"/>
      <c r="DA59" s="689"/>
      <c r="DB59" s="689"/>
    </row>
    <row r="60" spans="1:120">
      <c r="A60" s="647"/>
      <c r="B60" s="540">
        <v>2</v>
      </c>
      <c r="C60" s="72" t="s">
        <v>120</v>
      </c>
      <c r="D60" s="540" t="s">
        <v>611</v>
      </c>
      <c r="E60" s="563">
        <v>15</v>
      </c>
      <c r="F60" s="73"/>
      <c r="G60" s="73" t="str">
        <f t="shared" si="91"/>
        <v>042542L</v>
      </c>
      <c r="H60" s="46"/>
      <c r="I60" t="s">
        <v>128</v>
      </c>
      <c r="J60" t="s">
        <v>109</v>
      </c>
      <c r="K60" s="59" t="s">
        <v>142</v>
      </c>
      <c r="L60" s="97">
        <v>532</v>
      </c>
      <c r="M60" s="69">
        <f t="shared" si="111"/>
        <v>0</v>
      </c>
      <c r="N60" s="69">
        <f t="shared" si="111"/>
        <v>109</v>
      </c>
      <c r="O60" s="69">
        <f t="shared" si="111"/>
        <v>89</v>
      </c>
      <c r="P60" s="69">
        <f t="shared" si="111"/>
        <v>0</v>
      </c>
      <c r="Q60" s="69">
        <f t="shared" si="111"/>
        <v>0</v>
      </c>
      <c r="R60" s="580">
        <f t="shared" si="99"/>
        <v>0</v>
      </c>
      <c r="S60" s="618">
        <v>0</v>
      </c>
      <c r="T60" s="618">
        <v>34.979999999999997</v>
      </c>
      <c r="U60" s="618">
        <v>11.68</v>
      </c>
      <c r="V60" s="618">
        <v>0</v>
      </c>
      <c r="W60" s="618">
        <v>0</v>
      </c>
      <c r="Y60" s="70">
        <f t="shared" si="59"/>
        <v>0</v>
      </c>
      <c r="Z60" s="70">
        <f>IF(AND(N60&lt;&gt;0,T60=0),#VALUE!,N60*T60)</f>
        <v>3812.8199999999997</v>
      </c>
      <c r="AA60" s="70">
        <f t="shared" si="61"/>
        <v>1039.52</v>
      </c>
      <c r="AB60" s="70">
        <f t="shared" si="62"/>
        <v>0</v>
      </c>
      <c r="AC60" s="70">
        <f t="shared" si="63"/>
        <v>0</v>
      </c>
      <c r="AE60" s="69">
        <f t="shared" si="64"/>
        <v>0</v>
      </c>
      <c r="AF60" s="69">
        <f t="shared" si="126"/>
        <v>109</v>
      </c>
      <c r="AG60" s="69">
        <f t="shared" si="127"/>
        <v>89</v>
      </c>
      <c r="AH60" s="69">
        <f t="shared" si="128"/>
        <v>0</v>
      </c>
      <c r="AI60" s="69">
        <f t="shared" si="129"/>
        <v>0</v>
      </c>
      <c r="AK60" s="435">
        <f t="shared" si="116"/>
        <v>0</v>
      </c>
      <c r="AL60" s="435">
        <f t="shared" si="101"/>
        <v>37.659999999999997</v>
      </c>
      <c r="AM60" s="435">
        <f t="shared" si="112"/>
        <v>12.65</v>
      </c>
      <c r="AN60" s="435">
        <f t="shared" si="113"/>
        <v>0</v>
      </c>
      <c r="AO60" s="435">
        <f t="shared" si="114"/>
        <v>0</v>
      </c>
      <c r="AQ60" s="70">
        <f t="shared" si="117"/>
        <v>0</v>
      </c>
      <c r="AR60" s="70">
        <f t="shared" si="106"/>
        <v>4104.9399999999996</v>
      </c>
      <c r="AS60" s="70">
        <f t="shared" si="118"/>
        <v>1125.8500000000001</v>
      </c>
      <c r="AT60" s="70">
        <f t="shared" si="119"/>
        <v>0</v>
      </c>
      <c r="AU60" s="70">
        <f t="shared" si="120"/>
        <v>0</v>
      </c>
      <c r="AV60" s="70">
        <f t="shared" si="66"/>
        <v>292.11999999999989</v>
      </c>
      <c r="AW60" s="456">
        <f t="shared" si="76"/>
        <v>7.6615208690680364E-2</v>
      </c>
      <c r="AX60" s="447">
        <v>85</v>
      </c>
      <c r="AY60" s="582"/>
      <c r="AZ60" s="582">
        <v>35.69</v>
      </c>
      <c r="BA60" s="582">
        <v>12.04</v>
      </c>
      <c r="BB60" s="582"/>
      <c r="BC60" s="582"/>
      <c r="BD60" s="140"/>
      <c r="BE60" s="588">
        <f t="shared" si="67"/>
        <v>0.17999999999999994</v>
      </c>
      <c r="BF60" s="54"/>
      <c r="BG60" s="54">
        <f t="shared" ref="BG60:BG76" si="130">ROUND((T60*$BF$2)+$BE60-AZ60,2)</f>
        <v>0</v>
      </c>
      <c r="BH60" s="54">
        <f>ROUND((U60*$BF$2)+$BE60-BA60,2)</f>
        <v>0</v>
      </c>
      <c r="BI60" s="54"/>
      <c r="BJ60" s="54"/>
      <c r="BM60" s="279">
        <f t="shared" si="121"/>
        <v>0</v>
      </c>
      <c r="BN60" s="279">
        <f t="shared" si="122"/>
        <v>38.22866599999999</v>
      </c>
      <c r="BO60" s="279">
        <f t="shared" si="77"/>
        <v>12.841014999999999</v>
      </c>
      <c r="BP60" s="279">
        <f t="shared" si="78"/>
        <v>0</v>
      </c>
      <c r="BQ60" s="279">
        <f t="shared" si="79"/>
        <v>0</v>
      </c>
      <c r="BS60" s="54">
        <f t="shared" si="71"/>
        <v>0</v>
      </c>
      <c r="BT60" s="54">
        <f t="shared" si="72"/>
        <v>2.5386659999999921</v>
      </c>
      <c r="BU60" s="54">
        <f t="shared" si="73"/>
        <v>0.80101499999999959</v>
      </c>
      <c r="BV60" s="54">
        <f t="shared" si="74"/>
        <v>0</v>
      </c>
      <c r="BW60" s="54">
        <f t="shared" si="75"/>
        <v>0</v>
      </c>
      <c r="DC60" s="689"/>
      <c r="DD60" s="689"/>
      <c r="DE60" s="689"/>
      <c r="DF60" s="689"/>
      <c r="DG60" s="689"/>
      <c r="DH60" s="689"/>
      <c r="DI60" s="689"/>
      <c r="DJ60" s="689"/>
      <c r="DK60" s="689"/>
      <c r="DL60" s="689"/>
      <c r="DM60" s="689"/>
      <c r="DN60" s="689"/>
      <c r="DO60" s="689"/>
      <c r="DP60" s="689"/>
    </row>
    <row r="61" spans="1:120">
      <c r="A61" s="612"/>
      <c r="B61" s="540">
        <v>2</v>
      </c>
      <c r="C61" s="72" t="s">
        <v>120</v>
      </c>
      <c r="D61" s="540" t="s">
        <v>717</v>
      </c>
      <c r="E61" s="563">
        <v>9</v>
      </c>
      <c r="F61" s="73"/>
      <c r="G61" s="73" t="str">
        <f t="shared" si="91"/>
        <v>042542T</v>
      </c>
      <c r="H61" s="46"/>
      <c r="I61" s="434" t="s">
        <v>712</v>
      </c>
      <c r="J61" s="577" t="s">
        <v>109</v>
      </c>
      <c r="K61" s="579" t="s">
        <v>614</v>
      </c>
      <c r="L61" s="581" t="s">
        <v>606</v>
      </c>
      <c r="M61" s="580">
        <f t="shared" ref="M61:Q70" si="131">SUMIF($G:$G,TEXT(M$3,"000")&amp;TEXT($L61,"000"),$E:$E)</f>
        <v>0</v>
      </c>
      <c r="N61" s="580">
        <f t="shared" si="131"/>
        <v>705</v>
      </c>
      <c r="O61" s="580">
        <f t="shared" si="131"/>
        <v>0</v>
      </c>
      <c r="P61" s="580">
        <f t="shared" si="131"/>
        <v>0</v>
      </c>
      <c r="Q61" s="580">
        <f t="shared" si="131"/>
        <v>0</v>
      </c>
      <c r="R61" s="580">
        <f t="shared" si="99"/>
        <v>0</v>
      </c>
      <c r="S61" s="618">
        <v>0</v>
      </c>
      <c r="T61" s="648">
        <f>T60</f>
        <v>34.979999999999997</v>
      </c>
      <c r="U61" s="618">
        <v>0</v>
      </c>
      <c r="V61" s="618">
        <v>0</v>
      </c>
      <c r="W61" s="618"/>
      <c r="X61" s="577"/>
      <c r="Y61" s="70">
        <f t="shared" ref="Y61:AC62" si="132">IF(AND(M61&lt;&gt;0,S61=0),#VALUE!,M61*S61)</f>
        <v>0</v>
      </c>
      <c r="Z61" s="70">
        <f t="shared" si="132"/>
        <v>24660.899999999998</v>
      </c>
      <c r="AA61" s="70">
        <f t="shared" si="132"/>
        <v>0</v>
      </c>
      <c r="AB61" s="70">
        <f t="shared" si="132"/>
        <v>0</v>
      </c>
      <c r="AC61" s="70">
        <f t="shared" si="132"/>
        <v>0</v>
      </c>
      <c r="AD61" s="577"/>
      <c r="AE61" s="580">
        <f>SUMIF($G:$G,TEXT(AE$3,"000")&amp;TEXT($L61,"000"),$E:$E)</f>
        <v>0</v>
      </c>
      <c r="AF61" s="580">
        <f>SUMIF($G:$G,TEXT(AF$3,"000")&amp;TEXT($L61,"000"),$E:$E)</f>
        <v>705</v>
      </c>
      <c r="AG61" s="580">
        <f>SUMIF($G:$G,TEXT(AG$3,"000")&amp;TEXT($L61,"000"),$E:$E)</f>
        <v>0</v>
      </c>
      <c r="AH61" s="580">
        <f>SUMIF($G:$G,TEXT(AH$3,"000")&amp;TEXT($L61,"000"),$E:$E)</f>
        <v>0</v>
      </c>
      <c r="AI61" s="580">
        <f>SUMIF($G:$G,TEXT(AI$3,"000")&amp;TEXT($L61,"000"),$E:$E)</f>
        <v>0</v>
      </c>
      <c r="AJ61" s="577"/>
      <c r="AK61" s="585">
        <f>ROUND(S61*(1+AK$1),2)</f>
        <v>0</v>
      </c>
      <c r="AL61" s="585">
        <f>AL60</f>
        <v>37.659999999999997</v>
      </c>
      <c r="AM61" s="585">
        <f t="shared" si="112"/>
        <v>0</v>
      </c>
      <c r="AN61" s="585">
        <f t="shared" si="113"/>
        <v>0</v>
      </c>
      <c r="AO61" s="585">
        <f t="shared" si="114"/>
        <v>0</v>
      </c>
      <c r="AP61" s="577"/>
      <c r="AQ61" s="70">
        <f t="shared" si="117"/>
        <v>0</v>
      </c>
      <c r="AR61" s="70">
        <f t="shared" si="106"/>
        <v>26550.3</v>
      </c>
      <c r="AS61" s="70">
        <f t="shared" si="118"/>
        <v>0</v>
      </c>
      <c r="AT61" s="70">
        <f t="shared" si="119"/>
        <v>0</v>
      </c>
      <c r="AU61" s="70">
        <f t="shared" si="120"/>
        <v>0</v>
      </c>
      <c r="AV61" s="70">
        <f t="shared" si="66"/>
        <v>1889.4000000000015</v>
      </c>
      <c r="AW61" s="456">
        <f t="shared" si="76"/>
        <v>7.6615208690680461E-2</v>
      </c>
      <c r="AX61" s="592">
        <v>39</v>
      </c>
      <c r="AY61" s="582"/>
      <c r="AZ61" s="582">
        <v>35.590000000000003</v>
      </c>
      <c r="BA61" s="582"/>
      <c r="BB61" s="582"/>
      <c r="BC61" s="582"/>
      <c r="BD61" s="582"/>
      <c r="BE61" s="588">
        <f>ROUND(AX61*$BE$2,2)+ROUND(AX61*$BE$1,2)</f>
        <v>8.0000000000000016E-2</v>
      </c>
      <c r="BF61" s="578"/>
      <c r="BG61" s="578">
        <f t="shared" si="130"/>
        <v>0</v>
      </c>
      <c r="BH61" s="578"/>
      <c r="BI61" s="578"/>
      <c r="BJ61" s="578"/>
      <c r="BK61" s="577"/>
      <c r="BL61" s="577"/>
      <c r="BM61" s="586">
        <f t="shared" si="121"/>
        <v>0</v>
      </c>
      <c r="BN61" s="586">
        <f t="shared" si="122"/>
        <v>38.22866599999999</v>
      </c>
      <c r="BO61" s="586">
        <f t="shared" ref="BO61:BQ62" si="133">AM61*$BM$1</f>
        <v>0</v>
      </c>
      <c r="BP61" s="586">
        <f t="shared" si="133"/>
        <v>0</v>
      </c>
      <c r="BQ61" s="586">
        <f t="shared" si="133"/>
        <v>0</v>
      </c>
      <c r="BR61" s="577"/>
      <c r="BS61" s="578">
        <f t="shared" ref="BS61:BW62" si="134">BM61-AY61</f>
        <v>0</v>
      </c>
      <c r="BT61" s="578">
        <f t="shared" si="134"/>
        <v>2.6386659999999864</v>
      </c>
      <c r="BU61" s="578">
        <f t="shared" si="134"/>
        <v>0</v>
      </c>
      <c r="BV61" s="578">
        <f t="shared" si="134"/>
        <v>0</v>
      </c>
      <c r="BW61" s="578">
        <f t="shared" si="134"/>
        <v>0</v>
      </c>
      <c r="BX61" s="577"/>
      <c r="BY61" s="577"/>
      <c r="BZ61" s="577"/>
      <c r="CA61" s="577"/>
      <c r="CB61" s="577"/>
      <c r="CG61" s="595"/>
      <c r="DC61" s="689"/>
      <c r="DD61" s="689"/>
      <c r="DE61" s="689"/>
      <c r="DF61" s="689"/>
      <c r="DG61" s="689"/>
      <c r="DH61" s="689"/>
      <c r="DI61" s="689"/>
      <c r="DJ61" s="689"/>
      <c r="DK61" s="689"/>
      <c r="DL61" s="689"/>
      <c r="DM61" s="689"/>
      <c r="DN61" s="689"/>
      <c r="DO61" s="689"/>
      <c r="DP61" s="689"/>
    </row>
    <row r="62" spans="1:120">
      <c r="A62" s="647"/>
      <c r="B62" s="540">
        <v>2</v>
      </c>
      <c r="C62" s="72" t="s">
        <v>120</v>
      </c>
      <c r="D62" s="540" t="s">
        <v>726</v>
      </c>
      <c r="E62" s="563">
        <v>8</v>
      </c>
      <c r="F62" s="73"/>
      <c r="G62" s="73" t="str">
        <f t="shared" si="91"/>
        <v>042546T</v>
      </c>
      <c r="H62" s="46"/>
      <c r="I62" s="646" t="s">
        <v>712</v>
      </c>
      <c r="J62" s="646" t="s">
        <v>109</v>
      </c>
      <c r="K62" s="579" t="s">
        <v>614</v>
      </c>
      <c r="L62" s="581" t="s">
        <v>710</v>
      </c>
      <c r="M62" s="580">
        <f t="shared" si="131"/>
        <v>0</v>
      </c>
      <c r="N62" s="580">
        <f t="shared" si="131"/>
        <v>152</v>
      </c>
      <c r="O62" s="580">
        <f t="shared" si="131"/>
        <v>0</v>
      </c>
      <c r="P62" s="580">
        <f t="shared" si="131"/>
        <v>0</v>
      </c>
      <c r="Q62" s="580">
        <f t="shared" si="131"/>
        <v>0</v>
      </c>
      <c r="R62" s="580">
        <f t="shared" si="99"/>
        <v>0</v>
      </c>
      <c r="S62" s="618">
        <v>0</v>
      </c>
      <c r="T62" s="648">
        <f>T60-T99</f>
        <v>29.449999999999996</v>
      </c>
      <c r="U62" s="618"/>
      <c r="V62" s="618">
        <v>0</v>
      </c>
      <c r="W62" s="618">
        <v>0</v>
      </c>
      <c r="X62" s="646"/>
      <c r="Y62" s="70">
        <f t="shared" si="132"/>
        <v>0</v>
      </c>
      <c r="Z62" s="70">
        <f t="shared" si="132"/>
        <v>4476.3999999999996</v>
      </c>
      <c r="AA62" s="70">
        <f t="shared" si="132"/>
        <v>0</v>
      </c>
      <c r="AB62" s="70">
        <f t="shared" si="132"/>
        <v>0</v>
      </c>
      <c r="AC62" s="70">
        <f t="shared" si="132"/>
        <v>0</v>
      </c>
      <c r="AD62" s="646"/>
      <c r="AE62" s="580">
        <f>M62</f>
        <v>0</v>
      </c>
      <c r="AF62" s="580">
        <f>N62</f>
        <v>152</v>
      </c>
      <c r="AG62" s="580">
        <f>O62</f>
        <v>0</v>
      </c>
      <c r="AH62" s="580">
        <f>P62</f>
        <v>0</v>
      </c>
      <c r="AI62" s="580">
        <f>Q62</f>
        <v>0</v>
      </c>
      <c r="AJ62" s="646"/>
      <c r="AK62" s="585">
        <f>ROUND(S62*(1+AK$1),2)</f>
        <v>0</v>
      </c>
      <c r="AL62" s="585">
        <f>AL61-AL99</f>
        <v>32.129999999999995</v>
      </c>
      <c r="AM62" s="585">
        <f t="shared" si="112"/>
        <v>0</v>
      </c>
      <c r="AN62" s="585">
        <f t="shared" si="113"/>
        <v>0</v>
      </c>
      <c r="AO62" s="585">
        <f t="shared" si="114"/>
        <v>0</v>
      </c>
      <c r="AP62" s="646"/>
      <c r="AQ62" s="70">
        <f t="shared" si="117"/>
        <v>0</v>
      </c>
      <c r="AR62" s="70">
        <f t="shared" si="106"/>
        <v>4883.7599999999993</v>
      </c>
      <c r="AS62" s="70">
        <f t="shared" si="118"/>
        <v>0</v>
      </c>
      <c r="AT62" s="70">
        <f t="shared" si="119"/>
        <v>0</v>
      </c>
      <c r="AU62" s="70">
        <f t="shared" si="120"/>
        <v>0</v>
      </c>
      <c r="AV62" s="70">
        <f t="shared" si="66"/>
        <v>407.35999999999967</v>
      </c>
      <c r="AW62" s="456">
        <f t="shared" si="76"/>
        <v>9.1001697792869207E-2</v>
      </c>
      <c r="AX62" s="592">
        <v>39</v>
      </c>
      <c r="AY62" s="582"/>
      <c r="AZ62" s="582">
        <v>29.97</v>
      </c>
      <c r="BA62" s="582"/>
      <c r="BB62" s="582"/>
      <c r="BC62" s="582"/>
      <c r="BD62" s="582"/>
      <c r="BE62" s="588">
        <f>ROUND(AX62*$BE$2,2)+ROUND(AX62*$BE$1,2)</f>
        <v>8.0000000000000016E-2</v>
      </c>
      <c r="BF62" s="578"/>
      <c r="BG62" s="578">
        <f t="shared" si="130"/>
        <v>0</v>
      </c>
      <c r="BH62" s="578"/>
      <c r="BI62" s="578"/>
      <c r="BJ62" s="578"/>
      <c r="BK62" s="646"/>
      <c r="BL62" s="646"/>
      <c r="BM62" s="586">
        <f t="shared" si="121"/>
        <v>0</v>
      </c>
      <c r="BN62" s="586">
        <f t="shared" si="122"/>
        <v>32.615162999999988</v>
      </c>
      <c r="BO62" s="586">
        <f t="shared" si="133"/>
        <v>0</v>
      </c>
      <c r="BP62" s="586">
        <f t="shared" si="133"/>
        <v>0</v>
      </c>
      <c r="BQ62" s="586">
        <f t="shared" si="133"/>
        <v>0</v>
      </c>
      <c r="BR62" s="646"/>
      <c r="BS62" s="578">
        <f t="shared" si="134"/>
        <v>0</v>
      </c>
      <c r="BT62" s="578">
        <f t="shared" si="134"/>
        <v>2.6451629999999895</v>
      </c>
      <c r="BU62" s="578">
        <f t="shared" si="134"/>
        <v>0</v>
      </c>
      <c r="BV62" s="578">
        <f t="shared" si="134"/>
        <v>0</v>
      </c>
      <c r="BW62" s="578">
        <f t="shared" si="134"/>
        <v>0</v>
      </c>
      <c r="BX62" s="646"/>
      <c r="BY62" s="646"/>
      <c r="BZ62" s="646"/>
      <c r="CA62" s="646"/>
      <c r="CB62" s="646"/>
      <c r="CC62" s="646"/>
      <c r="CD62" s="646"/>
      <c r="CE62" s="646"/>
      <c r="CF62" s="646"/>
    </row>
    <row r="63" spans="1:120">
      <c r="B63" s="35">
        <v>2</v>
      </c>
      <c r="C63" s="72" t="s">
        <v>120</v>
      </c>
      <c r="D63" s="35">
        <v>631</v>
      </c>
      <c r="E63" s="561">
        <v>38</v>
      </c>
      <c r="F63" s="73"/>
      <c r="G63" s="73" t="str">
        <f t="shared" si="91"/>
        <v>042631</v>
      </c>
      <c r="H63" s="46"/>
      <c r="I63" t="s">
        <v>128</v>
      </c>
      <c r="J63" t="s">
        <v>110</v>
      </c>
      <c r="K63" s="59" t="s">
        <v>142</v>
      </c>
      <c r="L63" s="97">
        <v>533</v>
      </c>
      <c r="M63" s="69">
        <f t="shared" si="131"/>
        <v>0</v>
      </c>
      <c r="N63" s="69">
        <f t="shared" si="131"/>
        <v>21</v>
      </c>
      <c r="O63" s="69">
        <f t="shared" si="131"/>
        <v>3</v>
      </c>
      <c r="P63" s="69">
        <f t="shared" si="131"/>
        <v>0</v>
      </c>
      <c r="Q63" s="69">
        <f t="shared" si="131"/>
        <v>0</v>
      </c>
      <c r="R63" s="580">
        <f t="shared" si="99"/>
        <v>0</v>
      </c>
      <c r="S63" s="618">
        <v>0</v>
      </c>
      <c r="T63" s="618">
        <v>34.979999999999997</v>
      </c>
      <c r="U63" s="618">
        <v>11.68</v>
      </c>
      <c r="V63" s="618">
        <v>0</v>
      </c>
      <c r="W63" s="618">
        <v>0</v>
      </c>
      <c r="Y63" s="70">
        <f t="shared" si="59"/>
        <v>0</v>
      </c>
      <c r="Z63" s="70">
        <f t="shared" si="60"/>
        <v>734.57999999999993</v>
      </c>
      <c r="AA63" s="70">
        <f t="shared" si="61"/>
        <v>35.04</v>
      </c>
      <c r="AB63" s="70">
        <f t="shared" si="62"/>
        <v>0</v>
      </c>
      <c r="AC63" s="70">
        <f t="shared" si="63"/>
        <v>0</v>
      </c>
      <c r="AE63" s="69">
        <f t="shared" si="64"/>
        <v>0</v>
      </c>
      <c r="AF63" s="69">
        <f t="shared" si="126"/>
        <v>21</v>
      </c>
      <c r="AG63" s="69">
        <f t="shared" si="127"/>
        <v>3</v>
      </c>
      <c r="AH63" s="69">
        <f t="shared" si="128"/>
        <v>0</v>
      </c>
      <c r="AI63" s="69">
        <f t="shared" si="129"/>
        <v>0</v>
      </c>
      <c r="AK63" s="435">
        <f t="shared" si="116"/>
        <v>0</v>
      </c>
      <c r="AL63" s="435">
        <f t="shared" si="101"/>
        <v>37.659999999999997</v>
      </c>
      <c r="AM63" s="435">
        <f t="shared" si="112"/>
        <v>12.65</v>
      </c>
      <c r="AN63" s="435">
        <f t="shared" si="113"/>
        <v>0</v>
      </c>
      <c r="AO63" s="435">
        <f t="shared" si="114"/>
        <v>0</v>
      </c>
      <c r="AQ63" s="70">
        <f t="shared" si="117"/>
        <v>0</v>
      </c>
      <c r="AR63" s="70">
        <f t="shared" si="106"/>
        <v>790.8599999999999</v>
      </c>
      <c r="AS63" s="70">
        <f t="shared" si="118"/>
        <v>37.950000000000003</v>
      </c>
      <c r="AT63" s="70">
        <f t="shared" si="119"/>
        <v>0</v>
      </c>
      <c r="AU63" s="70">
        <f t="shared" si="120"/>
        <v>0</v>
      </c>
      <c r="AV63" s="70">
        <f t="shared" si="66"/>
        <v>56.279999999999973</v>
      </c>
      <c r="AW63" s="456">
        <f t="shared" si="76"/>
        <v>7.6615208690680364E-2</v>
      </c>
      <c r="AX63" s="447">
        <v>85</v>
      </c>
      <c r="AY63" s="582"/>
      <c r="AZ63" s="582">
        <v>35.69</v>
      </c>
      <c r="BA63" s="582">
        <v>12.04</v>
      </c>
      <c r="BB63" s="582"/>
      <c r="BC63" s="582"/>
      <c r="BD63" s="140"/>
      <c r="BE63" s="588">
        <f t="shared" si="67"/>
        <v>0.17999999999999994</v>
      </c>
      <c r="BF63" s="54"/>
      <c r="BG63" s="54">
        <f t="shared" si="130"/>
        <v>0</v>
      </c>
      <c r="BH63" s="54">
        <f>ROUND((U63*$BF$2)+$BE63-BA63,2)</f>
        <v>0</v>
      </c>
      <c r="BI63" s="54"/>
      <c r="BJ63" s="54"/>
      <c r="BM63" s="279">
        <f t="shared" si="121"/>
        <v>0</v>
      </c>
      <c r="BN63" s="279">
        <f t="shared" si="122"/>
        <v>38.22866599999999</v>
      </c>
      <c r="BO63" s="279">
        <f t="shared" si="77"/>
        <v>12.841014999999999</v>
      </c>
      <c r="BP63" s="279">
        <f t="shared" si="78"/>
        <v>0</v>
      </c>
      <c r="BQ63" s="279">
        <f t="shared" si="79"/>
        <v>0</v>
      </c>
      <c r="BS63" s="54">
        <f t="shared" si="71"/>
        <v>0</v>
      </c>
      <c r="BT63" s="54">
        <f t="shared" si="72"/>
        <v>2.5386659999999921</v>
      </c>
      <c r="BU63" s="54">
        <f t="shared" si="73"/>
        <v>0.80101499999999959</v>
      </c>
      <c r="BV63" s="54">
        <f t="shared" si="74"/>
        <v>0</v>
      </c>
      <c r="BW63" s="54">
        <f t="shared" si="75"/>
        <v>0</v>
      </c>
    </row>
    <row r="64" spans="1:120">
      <c r="B64" s="35">
        <v>2</v>
      </c>
      <c r="C64" s="72" t="s">
        <v>120</v>
      </c>
      <c r="D64" s="35">
        <v>633</v>
      </c>
      <c r="E64" s="561">
        <v>34</v>
      </c>
      <c r="F64" s="73"/>
      <c r="G64" s="73" t="str">
        <f t="shared" si="91"/>
        <v>042633</v>
      </c>
      <c r="H64" s="46"/>
      <c r="I64" s="434" t="s">
        <v>712</v>
      </c>
      <c r="J64" s="577" t="s">
        <v>110</v>
      </c>
      <c r="K64" s="579" t="s">
        <v>614</v>
      </c>
      <c r="L64" s="581" t="s">
        <v>607</v>
      </c>
      <c r="M64" s="580">
        <f t="shared" si="131"/>
        <v>0</v>
      </c>
      <c r="N64" s="580">
        <f t="shared" si="131"/>
        <v>53</v>
      </c>
      <c r="O64" s="580">
        <f t="shared" si="131"/>
        <v>0</v>
      </c>
      <c r="P64" s="580">
        <f t="shared" si="131"/>
        <v>0</v>
      </c>
      <c r="Q64" s="580">
        <f t="shared" si="131"/>
        <v>0</v>
      </c>
      <c r="R64" s="580">
        <f t="shared" si="99"/>
        <v>0</v>
      </c>
      <c r="S64" s="618">
        <v>0</v>
      </c>
      <c r="T64" s="648">
        <f>T63</f>
        <v>34.979999999999997</v>
      </c>
      <c r="U64" s="618">
        <v>0</v>
      </c>
      <c r="V64" s="618">
        <v>0</v>
      </c>
      <c r="W64" s="618"/>
      <c r="X64" s="577"/>
      <c r="Y64" s="70">
        <f t="shared" ref="Y64:AC65" si="135">IF(AND(M64&lt;&gt;0,S64=0),#VALUE!,M64*S64)</f>
        <v>0</v>
      </c>
      <c r="Z64" s="70">
        <f t="shared" si="135"/>
        <v>1853.9399999999998</v>
      </c>
      <c r="AA64" s="70">
        <f t="shared" si="135"/>
        <v>0</v>
      </c>
      <c r="AB64" s="70">
        <f t="shared" si="135"/>
        <v>0</v>
      </c>
      <c r="AC64" s="70">
        <f t="shared" si="135"/>
        <v>0</v>
      </c>
      <c r="AD64" s="577"/>
      <c r="AE64" s="580">
        <f>SUMIF($G:$G,TEXT(AE$3,"000")&amp;TEXT($L64,"000"),$E:$E)</f>
        <v>0</v>
      </c>
      <c r="AF64" s="580">
        <f>SUMIF($G:$G,TEXT(AF$3,"000")&amp;TEXT($L64,"000"),$E:$E)</f>
        <v>53</v>
      </c>
      <c r="AG64" s="580">
        <f>SUMIF($G:$G,TEXT(AG$3,"000")&amp;TEXT($L64,"000"),$E:$E)</f>
        <v>0</v>
      </c>
      <c r="AH64" s="580">
        <f>SUMIF($G:$G,TEXT(AH$3,"000")&amp;TEXT($L64,"000"),$E:$E)</f>
        <v>0</v>
      </c>
      <c r="AI64" s="580">
        <f>SUMIF($G:$G,TEXT(AI$3,"000")&amp;TEXT($L64,"000"),$E:$E)</f>
        <v>0</v>
      </c>
      <c r="AJ64" s="577"/>
      <c r="AK64" s="585">
        <f>ROUND(S64*(1+AK$1),2)</f>
        <v>0</v>
      </c>
      <c r="AL64" s="585">
        <f>AL63</f>
        <v>37.659999999999997</v>
      </c>
      <c r="AM64" s="585">
        <f t="shared" si="112"/>
        <v>0</v>
      </c>
      <c r="AN64" s="585">
        <f t="shared" si="113"/>
        <v>0</v>
      </c>
      <c r="AO64" s="585">
        <f t="shared" si="114"/>
        <v>0</v>
      </c>
      <c r="AP64" s="577"/>
      <c r="AQ64" s="70">
        <f t="shared" si="117"/>
        <v>0</v>
      </c>
      <c r="AR64" s="70">
        <f t="shared" si="106"/>
        <v>1995.9799999999998</v>
      </c>
      <c r="AS64" s="70">
        <f t="shared" si="118"/>
        <v>0</v>
      </c>
      <c r="AT64" s="70">
        <f t="shared" si="119"/>
        <v>0</v>
      </c>
      <c r="AU64" s="70">
        <f t="shared" si="120"/>
        <v>0</v>
      </c>
      <c r="AV64" s="70">
        <f t="shared" si="66"/>
        <v>142.03999999999996</v>
      </c>
      <c r="AW64" s="456">
        <f t="shared" si="76"/>
        <v>7.6615208690680378E-2</v>
      </c>
      <c r="AX64" s="592">
        <v>39</v>
      </c>
      <c r="AY64" s="582"/>
      <c r="AZ64" s="582">
        <v>35.590000000000003</v>
      </c>
      <c r="BA64" s="582"/>
      <c r="BB64" s="582"/>
      <c r="BC64" s="582"/>
      <c r="BD64" s="582"/>
      <c r="BE64" s="588">
        <f>ROUND(AX64*$BE$2,2)+ROUND(AX64*$BE$1,2)</f>
        <v>8.0000000000000016E-2</v>
      </c>
      <c r="BF64" s="578"/>
      <c r="BG64" s="578">
        <f t="shared" si="130"/>
        <v>0</v>
      </c>
      <c r="BH64" s="578"/>
      <c r="BI64" s="578"/>
      <c r="BJ64" s="578"/>
      <c r="BK64" s="577"/>
      <c r="BL64" s="577"/>
      <c r="BM64" s="586">
        <f t="shared" si="121"/>
        <v>0</v>
      </c>
      <c r="BN64" s="586">
        <f t="shared" si="122"/>
        <v>38.22866599999999</v>
      </c>
      <c r="BO64" s="586">
        <f t="shared" ref="BO64:BQ65" si="136">AM64*$BM$1</f>
        <v>0</v>
      </c>
      <c r="BP64" s="586">
        <f t="shared" si="136"/>
        <v>0</v>
      </c>
      <c r="BQ64" s="586">
        <f t="shared" si="136"/>
        <v>0</v>
      </c>
      <c r="BR64" s="577"/>
      <c r="BS64" s="578">
        <f t="shared" ref="BS64:BW65" si="137">BM64-AY64</f>
        <v>0</v>
      </c>
      <c r="BT64" s="578">
        <f t="shared" si="137"/>
        <v>2.6386659999999864</v>
      </c>
      <c r="BU64" s="578">
        <f t="shared" si="137"/>
        <v>0</v>
      </c>
      <c r="BV64" s="578">
        <f t="shared" si="137"/>
        <v>0</v>
      </c>
      <c r="BW64" s="578">
        <f t="shared" si="137"/>
        <v>0</v>
      </c>
      <c r="BX64" s="577"/>
      <c r="BY64" s="577"/>
      <c r="BZ64" s="577"/>
      <c r="CA64" s="577"/>
      <c r="CB64" s="577"/>
    </row>
    <row r="65" spans="1:124">
      <c r="B65" s="35">
        <v>2</v>
      </c>
      <c r="C65" s="72" t="s">
        <v>120</v>
      </c>
      <c r="D65" s="35">
        <v>636</v>
      </c>
      <c r="E65" s="561">
        <v>2</v>
      </c>
      <c r="F65" s="73"/>
      <c r="G65" s="73" t="str">
        <f t="shared" si="91"/>
        <v>042636</v>
      </c>
      <c r="H65" s="46"/>
      <c r="I65" s="646" t="s">
        <v>712</v>
      </c>
      <c r="J65" s="646" t="s">
        <v>110</v>
      </c>
      <c r="K65" s="579" t="s">
        <v>614</v>
      </c>
      <c r="L65" s="581" t="s">
        <v>711</v>
      </c>
      <c r="M65" s="580">
        <f t="shared" si="131"/>
        <v>0</v>
      </c>
      <c r="N65" s="580">
        <f t="shared" si="131"/>
        <v>47</v>
      </c>
      <c r="O65" s="580">
        <f t="shared" si="131"/>
        <v>0</v>
      </c>
      <c r="P65" s="580">
        <f t="shared" si="131"/>
        <v>0</v>
      </c>
      <c r="Q65" s="580">
        <f t="shared" si="131"/>
        <v>0</v>
      </c>
      <c r="R65" s="580">
        <f t="shared" si="99"/>
        <v>0</v>
      </c>
      <c r="S65" s="618">
        <v>0</v>
      </c>
      <c r="T65" s="648">
        <f>T63-T99</f>
        <v>29.449999999999996</v>
      </c>
      <c r="U65" s="618"/>
      <c r="V65" s="618">
        <v>0</v>
      </c>
      <c r="W65" s="618">
        <v>0</v>
      </c>
      <c r="X65" s="646"/>
      <c r="Y65" s="70">
        <f t="shared" si="135"/>
        <v>0</v>
      </c>
      <c r="Z65" s="70">
        <f t="shared" si="135"/>
        <v>1384.1499999999999</v>
      </c>
      <c r="AA65" s="70">
        <f t="shared" si="135"/>
        <v>0</v>
      </c>
      <c r="AB65" s="70">
        <f t="shared" si="135"/>
        <v>0</v>
      </c>
      <c r="AC65" s="70">
        <f t="shared" si="135"/>
        <v>0</v>
      </c>
      <c r="AD65" s="646"/>
      <c r="AE65" s="580">
        <f>M65</f>
        <v>0</v>
      </c>
      <c r="AF65" s="580">
        <f>N65</f>
        <v>47</v>
      </c>
      <c r="AG65" s="580">
        <f>O65</f>
        <v>0</v>
      </c>
      <c r="AH65" s="580">
        <f>P65</f>
        <v>0</v>
      </c>
      <c r="AI65" s="580">
        <f>Q65</f>
        <v>0</v>
      </c>
      <c r="AJ65" s="646"/>
      <c r="AK65" s="585">
        <f>ROUND(S65*(1+AK$1),2)</f>
        <v>0</v>
      </c>
      <c r="AL65" s="585">
        <f>AL64-AL99</f>
        <v>32.129999999999995</v>
      </c>
      <c r="AM65" s="585">
        <f t="shared" si="112"/>
        <v>0</v>
      </c>
      <c r="AN65" s="585">
        <f t="shared" si="113"/>
        <v>0</v>
      </c>
      <c r="AO65" s="585">
        <f t="shared" si="114"/>
        <v>0</v>
      </c>
      <c r="AP65" s="646"/>
      <c r="AQ65" s="70">
        <f t="shared" si="117"/>
        <v>0</v>
      </c>
      <c r="AR65" s="70">
        <f t="shared" si="106"/>
        <v>1510.1099999999997</v>
      </c>
      <c r="AS65" s="70">
        <f t="shared" si="118"/>
        <v>0</v>
      </c>
      <c r="AT65" s="70">
        <f t="shared" si="119"/>
        <v>0</v>
      </c>
      <c r="AU65" s="70">
        <f t="shared" si="120"/>
        <v>0</v>
      </c>
      <c r="AV65" s="70">
        <f t="shared" si="66"/>
        <v>125.95999999999981</v>
      </c>
      <c r="AW65" s="456">
        <f t="shared" si="76"/>
        <v>9.1001697792869138E-2</v>
      </c>
      <c r="AX65" s="592">
        <v>39</v>
      </c>
      <c r="AY65" s="582"/>
      <c r="AZ65" s="582">
        <v>29.97</v>
      </c>
      <c r="BA65" s="582"/>
      <c r="BB65" s="582"/>
      <c r="BC65" s="582"/>
      <c r="BD65" s="582"/>
      <c r="BE65" s="588">
        <f>ROUND(AX65*$BE$2,2)+ROUND(AX65*$BE$1,2)</f>
        <v>8.0000000000000016E-2</v>
      </c>
      <c r="BF65" s="578"/>
      <c r="BG65" s="578">
        <f t="shared" si="130"/>
        <v>0</v>
      </c>
      <c r="BH65" s="578"/>
      <c r="BI65" s="578"/>
      <c r="BJ65" s="578"/>
      <c r="BK65" s="646"/>
      <c r="BL65" s="646"/>
      <c r="BM65" s="586">
        <f t="shared" si="121"/>
        <v>0</v>
      </c>
      <c r="BN65" s="586">
        <f t="shared" si="122"/>
        <v>32.615162999999988</v>
      </c>
      <c r="BO65" s="586">
        <f t="shared" si="136"/>
        <v>0</v>
      </c>
      <c r="BP65" s="586">
        <f t="shared" si="136"/>
        <v>0</v>
      </c>
      <c r="BQ65" s="586">
        <f t="shared" si="136"/>
        <v>0</v>
      </c>
      <c r="BR65" s="646"/>
      <c r="BS65" s="578">
        <f t="shared" si="137"/>
        <v>0</v>
      </c>
      <c r="BT65" s="578">
        <f t="shared" si="137"/>
        <v>2.6451629999999895</v>
      </c>
      <c r="BU65" s="578">
        <f t="shared" si="137"/>
        <v>0</v>
      </c>
      <c r="BV65" s="578">
        <f t="shared" si="137"/>
        <v>0</v>
      </c>
      <c r="BW65" s="578">
        <f t="shared" si="137"/>
        <v>0</v>
      </c>
      <c r="BX65" s="646"/>
      <c r="BY65" s="646"/>
      <c r="BZ65" s="646"/>
      <c r="CA65" s="646"/>
      <c r="CB65" s="646"/>
      <c r="CC65" s="646"/>
      <c r="CD65" s="646"/>
      <c r="CE65" s="646"/>
      <c r="CF65" s="646"/>
    </row>
    <row r="66" spans="1:124">
      <c r="B66" s="35">
        <v>2</v>
      </c>
      <c r="C66" s="72" t="s">
        <v>120</v>
      </c>
      <c r="D66" s="35">
        <v>831</v>
      </c>
      <c r="E66" s="561">
        <v>0</v>
      </c>
      <c r="F66" s="73"/>
      <c r="G66" s="73" t="str">
        <f t="shared" si="91"/>
        <v>042831</v>
      </c>
      <c r="H66" s="46"/>
      <c r="I66" t="s">
        <v>128</v>
      </c>
      <c r="J66" t="s">
        <v>840</v>
      </c>
      <c r="K66" s="59" t="s">
        <v>142</v>
      </c>
      <c r="L66" s="97">
        <v>535</v>
      </c>
      <c r="M66" s="69">
        <f t="shared" si="131"/>
        <v>0</v>
      </c>
      <c r="N66" s="69">
        <f t="shared" si="131"/>
        <v>314</v>
      </c>
      <c r="O66" s="69">
        <f t="shared" si="131"/>
        <v>9</v>
      </c>
      <c r="P66" s="69">
        <f t="shared" si="131"/>
        <v>0</v>
      </c>
      <c r="Q66" s="69">
        <f t="shared" si="131"/>
        <v>49</v>
      </c>
      <c r="R66" s="580">
        <f t="shared" si="99"/>
        <v>0</v>
      </c>
      <c r="S66" s="618">
        <v>0</v>
      </c>
      <c r="T66" s="618">
        <v>19.45</v>
      </c>
      <c r="U66" s="618">
        <v>11.68</v>
      </c>
      <c r="V66" s="618">
        <v>0</v>
      </c>
      <c r="W66" s="618">
        <v>9.23</v>
      </c>
      <c r="Y66" s="70">
        <f t="shared" si="59"/>
        <v>0</v>
      </c>
      <c r="Z66" s="70">
        <f t="shared" si="60"/>
        <v>6107.3</v>
      </c>
      <c r="AA66" s="70">
        <f t="shared" si="61"/>
        <v>105.12</v>
      </c>
      <c r="AB66" s="70">
        <f t="shared" si="62"/>
        <v>0</v>
      </c>
      <c r="AC66" s="70">
        <f t="shared" si="63"/>
        <v>452.27000000000004</v>
      </c>
      <c r="AE66" s="69">
        <f t="shared" si="64"/>
        <v>0</v>
      </c>
      <c r="AF66" s="69">
        <f t="shared" si="126"/>
        <v>314</v>
      </c>
      <c r="AG66" s="69">
        <f t="shared" si="127"/>
        <v>9</v>
      </c>
      <c r="AH66" s="69">
        <f t="shared" si="128"/>
        <v>0</v>
      </c>
      <c r="AI66" s="69">
        <f t="shared" si="129"/>
        <v>49</v>
      </c>
      <c r="AK66" s="435">
        <f t="shared" si="116"/>
        <v>0</v>
      </c>
      <c r="AL66" s="435">
        <f t="shared" si="101"/>
        <v>20.94</v>
      </c>
      <c r="AM66" s="435">
        <f t="shared" si="112"/>
        <v>12.65</v>
      </c>
      <c r="AN66" s="435">
        <f t="shared" si="113"/>
        <v>0</v>
      </c>
      <c r="AO66" s="435">
        <f t="shared" si="114"/>
        <v>10</v>
      </c>
      <c r="AQ66" s="70">
        <f t="shared" si="117"/>
        <v>0</v>
      </c>
      <c r="AR66" s="70">
        <f t="shared" si="106"/>
        <v>6575.1600000000008</v>
      </c>
      <c r="AS66" s="70">
        <f t="shared" si="118"/>
        <v>113.85000000000001</v>
      </c>
      <c r="AT66" s="70">
        <f t="shared" si="119"/>
        <v>0</v>
      </c>
      <c r="AU66" s="70">
        <f t="shared" si="120"/>
        <v>490</v>
      </c>
      <c r="AV66" s="70">
        <f t="shared" si="66"/>
        <v>467.86000000000058</v>
      </c>
      <c r="AW66" s="456">
        <f t="shared" si="76"/>
        <v>7.6606683804627346E-2</v>
      </c>
      <c r="AX66" s="447">
        <v>85</v>
      </c>
      <c r="AY66" s="582"/>
      <c r="AZ66" s="582">
        <v>19.920000000000002</v>
      </c>
      <c r="BA66" s="582">
        <v>12.04</v>
      </c>
      <c r="BB66" s="582"/>
      <c r="BC66" s="582">
        <v>9.5500000000000007</v>
      </c>
      <c r="BD66" s="140"/>
      <c r="BE66" s="588">
        <f t="shared" si="67"/>
        <v>0.17999999999999994</v>
      </c>
      <c r="BF66" s="54"/>
      <c r="BG66" s="54">
        <f t="shared" si="130"/>
        <v>0</v>
      </c>
      <c r="BH66" s="54">
        <f>ROUND((U66*$BF$2)+$BE66-BA66,2)</f>
        <v>0</v>
      </c>
      <c r="BI66" s="54"/>
      <c r="BJ66" s="54">
        <f>ROUND((W66*$BF$2)+$BE66-BC66,2)</f>
        <v>0</v>
      </c>
      <c r="BM66" s="279">
        <f t="shared" si="121"/>
        <v>0</v>
      </c>
      <c r="BN66" s="279">
        <f t="shared" si="122"/>
        <v>21.256194000000001</v>
      </c>
      <c r="BO66" s="279">
        <f t="shared" si="77"/>
        <v>12.841014999999999</v>
      </c>
      <c r="BP66" s="279">
        <f t="shared" si="78"/>
        <v>0</v>
      </c>
      <c r="BQ66" s="279">
        <f t="shared" si="79"/>
        <v>10.151</v>
      </c>
      <c r="BS66" s="54">
        <f t="shared" si="71"/>
        <v>0</v>
      </c>
      <c r="BT66" s="54">
        <f t="shared" si="72"/>
        <v>1.336193999999999</v>
      </c>
      <c r="BU66" s="54">
        <f t="shared" si="73"/>
        <v>0.80101499999999959</v>
      </c>
      <c r="BV66" s="54">
        <f t="shared" si="74"/>
        <v>0</v>
      </c>
      <c r="BW66" s="54">
        <f t="shared" si="75"/>
        <v>0.60099999999999909</v>
      </c>
    </row>
    <row r="67" spans="1:124">
      <c r="A67" s="646"/>
      <c r="B67" s="540">
        <v>2</v>
      </c>
      <c r="C67" s="72" t="s">
        <v>120</v>
      </c>
      <c r="D67" s="540" t="s">
        <v>718</v>
      </c>
      <c r="E67" s="563">
        <v>0</v>
      </c>
      <c r="F67" s="73"/>
      <c r="G67" s="73" t="str">
        <f t="shared" si="91"/>
        <v>042831T</v>
      </c>
      <c r="H67" s="46"/>
      <c r="I67" s="434" t="s">
        <v>712</v>
      </c>
      <c r="J67" s="692" t="s">
        <v>840</v>
      </c>
      <c r="K67" s="579" t="s">
        <v>614</v>
      </c>
      <c r="L67" s="581" t="s">
        <v>608</v>
      </c>
      <c r="M67" s="580">
        <f t="shared" si="131"/>
        <v>0</v>
      </c>
      <c r="N67" s="580">
        <f t="shared" si="131"/>
        <v>2134</v>
      </c>
      <c r="O67" s="580">
        <f t="shared" si="131"/>
        <v>0</v>
      </c>
      <c r="P67" s="580">
        <f t="shared" si="131"/>
        <v>0</v>
      </c>
      <c r="Q67" s="580">
        <f t="shared" si="131"/>
        <v>0</v>
      </c>
      <c r="R67" s="580">
        <f t="shared" si="99"/>
        <v>0</v>
      </c>
      <c r="S67" s="618">
        <v>0</v>
      </c>
      <c r="T67" s="648">
        <f>T66</f>
        <v>19.45</v>
      </c>
      <c r="U67" s="618">
        <v>0</v>
      </c>
      <c r="V67" s="618">
        <v>0</v>
      </c>
      <c r="W67" s="618"/>
      <c r="X67" s="577"/>
      <c r="Y67" s="70">
        <f t="shared" ref="Y67:AC68" si="138">IF(AND(M67&lt;&gt;0,S67=0),#VALUE!,M67*S67)</f>
        <v>0</v>
      </c>
      <c r="Z67" s="70">
        <f t="shared" si="138"/>
        <v>41506.299999999996</v>
      </c>
      <c r="AA67" s="70">
        <f t="shared" si="138"/>
        <v>0</v>
      </c>
      <c r="AB67" s="70">
        <f t="shared" si="138"/>
        <v>0</v>
      </c>
      <c r="AC67" s="70">
        <f t="shared" si="138"/>
        <v>0</v>
      </c>
      <c r="AD67" s="577"/>
      <c r="AE67" s="580">
        <f>SUMIF($G:$G,TEXT(AE$3,"000")&amp;TEXT($L67,"000"),$E:$E)</f>
        <v>0</v>
      </c>
      <c r="AF67" s="580">
        <f>SUMIF($G:$G,TEXT(AF$3,"000")&amp;TEXT($L67,"000"),$E:$E)</f>
        <v>2134</v>
      </c>
      <c r="AG67" s="580">
        <f>SUMIF($G:$G,TEXT(AG$3,"000")&amp;TEXT($L67,"000"),$E:$E)</f>
        <v>0</v>
      </c>
      <c r="AH67" s="580">
        <f>SUMIF($G:$G,TEXT(AH$3,"000")&amp;TEXT($L67,"000"),$E:$E)</f>
        <v>0</v>
      </c>
      <c r="AI67" s="580">
        <f>SUMIF($G:$G,TEXT(AI$3,"000")&amp;TEXT($L67,"000"),$E:$E)</f>
        <v>0</v>
      </c>
      <c r="AJ67" s="577"/>
      <c r="AK67" s="585">
        <f>ROUND(S67*(1+AK$1),2)</f>
        <v>0</v>
      </c>
      <c r="AL67" s="585">
        <f>AL66</f>
        <v>20.94</v>
      </c>
      <c r="AM67" s="585">
        <f t="shared" si="112"/>
        <v>0</v>
      </c>
      <c r="AN67" s="585">
        <f t="shared" si="113"/>
        <v>0</v>
      </c>
      <c r="AO67" s="585">
        <f t="shared" si="114"/>
        <v>0</v>
      </c>
      <c r="AP67" s="577"/>
      <c r="AQ67" s="70">
        <f t="shared" si="117"/>
        <v>0</v>
      </c>
      <c r="AR67" s="70">
        <f t="shared" si="106"/>
        <v>44685.96</v>
      </c>
      <c r="AS67" s="70">
        <f t="shared" si="118"/>
        <v>0</v>
      </c>
      <c r="AT67" s="70">
        <f t="shared" si="119"/>
        <v>0</v>
      </c>
      <c r="AU67" s="70">
        <f t="shared" si="120"/>
        <v>0</v>
      </c>
      <c r="AV67" s="70">
        <f t="shared" si="66"/>
        <v>3179.6600000000035</v>
      </c>
      <c r="AW67" s="456">
        <f t="shared" si="76"/>
        <v>7.6606683804627346E-2</v>
      </c>
      <c r="AX67" s="592">
        <v>39</v>
      </c>
      <c r="AY67" s="582"/>
      <c r="AZ67" s="582">
        <v>19.82</v>
      </c>
      <c r="BA67" s="582"/>
      <c r="BB67" s="582"/>
      <c r="BC67" s="582"/>
      <c r="BD67" s="582"/>
      <c r="BE67" s="588">
        <f>ROUND(AX67*$BE$2,2)+ROUND(AX67*$BE$1,2)</f>
        <v>8.0000000000000016E-2</v>
      </c>
      <c r="BF67" s="578"/>
      <c r="BG67" s="578">
        <f t="shared" si="130"/>
        <v>0</v>
      </c>
      <c r="BH67" s="578"/>
      <c r="BI67" s="578"/>
      <c r="BJ67" s="578"/>
      <c r="BK67" s="577"/>
      <c r="BL67" s="577"/>
      <c r="BM67" s="586">
        <f t="shared" si="121"/>
        <v>0</v>
      </c>
      <c r="BN67" s="586">
        <f t="shared" si="122"/>
        <v>21.256194000000001</v>
      </c>
      <c r="BO67" s="586">
        <f t="shared" ref="BO67:BQ68" si="139">AM67*$BM$1</f>
        <v>0</v>
      </c>
      <c r="BP67" s="586">
        <f t="shared" si="139"/>
        <v>0</v>
      </c>
      <c r="BQ67" s="586">
        <f t="shared" si="139"/>
        <v>0</v>
      </c>
      <c r="BR67" s="577"/>
      <c r="BS67" s="578">
        <f t="shared" ref="BS67:BW68" si="140">BM67-AY67</f>
        <v>0</v>
      </c>
      <c r="BT67" s="578">
        <f t="shared" si="140"/>
        <v>1.4361940000000004</v>
      </c>
      <c r="BU67" s="578">
        <f t="shared" si="140"/>
        <v>0</v>
      </c>
      <c r="BV67" s="578">
        <f t="shared" si="140"/>
        <v>0</v>
      </c>
      <c r="BW67" s="578">
        <f t="shared" si="140"/>
        <v>0</v>
      </c>
      <c r="BX67" s="577"/>
      <c r="BY67" s="577"/>
      <c r="BZ67" s="577"/>
      <c r="CA67" s="577"/>
      <c r="CB67" s="577"/>
      <c r="CE67" s="595"/>
      <c r="CF67" s="595"/>
    </row>
    <row r="68" spans="1:124">
      <c r="A68" s="684"/>
      <c r="B68" s="540">
        <v>2</v>
      </c>
      <c r="C68" s="72" t="s">
        <v>120</v>
      </c>
      <c r="D68" s="540" t="s">
        <v>640</v>
      </c>
      <c r="E68" s="563">
        <v>0</v>
      </c>
      <c r="F68" s="73"/>
      <c r="G68" s="73" t="str">
        <f t="shared" ref="G68" si="141">IF(OR(ISBLANK(C68),ISBLANK(D68)),"",TEXT(C68,"000")&amp;TEXT(D68,"000"))</f>
        <v>042831L</v>
      </c>
      <c r="H68" s="46"/>
      <c r="I68" s="646" t="s">
        <v>712</v>
      </c>
      <c r="J68" s="692" t="s">
        <v>840</v>
      </c>
      <c r="K68" s="579" t="s">
        <v>614</v>
      </c>
      <c r="L68" s="581" t="s">
        <v>713</v>
      </c>
      <c r="M68" s="580">
        <f t="shared" si="131"/>
        <v>0</v>
      </c>
      <c r="N68" s="580">
        <f t="shared" si="131"/>
        <v>867</v>
      </c>
      <c r="O68" s="580">
        <f t="shared" si="131"/>
        <v>0</v>
      </c>
      <c r="P68" s="580">
        <f t="shared" si="131"/>
        <v>0</v>
      </c>
      <c r="Q68" s="580">
        <f t="shared" si="131"/>
        <v>0</v>
      </c>
      <c r="R68" s="580">
        <f t="shared" si="99"/>
        <v>0</v>
      </c>
      <c r="S68" s="618">
        <v>0</v>
      </c>
      <c r="T68" s="648">
        <f>T66-T99</f>
        <v>13.919999999999998</v>
      </c>
      <c r="U68" s="618"/>
      <c r="V68" s="618">
        <v>0</v>
      </c>
      <c r="W68" s="618"/>
      <c r="X68" s="646"/>
      <c r="Y68" s="70">
        <f t="shared" si="138"/>
        <v>0</v>
      </c>
      <c r="Z68" s="70">
        <f t="shared" si="138"/>
        <v>12068.639999999998</v>
      </c>
      <c r="AA68" s="70">
        <f t="shared" si="138"/>
        <v>0</v>
      </c>
      <c r="AB68" s="70">
        <f t="shared" si="138"/>
        <v>0</v>
      </c>
      <c r="AC68" s="70">
        <f t="shared" si="138"/>
        <v>0</v>
      </c>
      <c r="AD68" s="646"/>
      <c r="AE68" s="580">
        <f>M68</f>
        <v>0</v>
      </c>
      <c r="AF68" s="580">
        <f>N68</f>
        <v>867</v>
      </c>
      <c r="AG68" s="580">
        <f>O68</f>
        <v>0</v>
      </c>
      <c r="AH68" s="580">
        <f>P68</f>
        <v>0</v>
      </c>
      <c r="AI68" s="580">
        <f>Q68</f>
        <v>0</v>
      </c>
      <c r="AJ68" s="646"/>
      <c r="AK68" s="585">
        <f>ROUND(S68*(1+AK$1),2)</f>
        <v>0</v>
      </c>
      <c r="AL68" s="585">
        <f>AL67-AL99</f>
        <v>15.41</v>
      </c>
      <c r="AM68" s="585">
        <f t="shared" si="112"/>
        <v>0</v>
      </c>
      <c r="AN68" s="585">
        <f t="shared" si="113"/>
        <v>0</v>
      </c>
      <c r="AO68" s="585">
        <f t="shared" si="114"/>
        <v>0</v>
      </c>
      <c r="AP68" s="646"/>
      <c r="AQ68" s="70">
        <f t="shared" si="117"/>
        <v>0</v>
      </c>
      <c r="AR68" s="70">
        <f t="shared" si="106"/>
        <v>13360.47</v>
      </c>
      <c r="AS68" s="70">
        <f t="shared" si="118"/>
        <v>0</v>
      </c>
      <c r="AT68" s="70">
        <f t="shared" si="119"/>
        <v>0</v>
      </c>
      <c r="AU68" s="70">
        <f t="shared" si="120"/>
        <v>0</v>
      </c>
      <c r="AV68" s="70">
        <f t="shared" si="66"/>
        <v>1291.8300000000017</v>
      </c>
      <c r="AW68" s="456">
        <f t="shared" si="76"/>
        <v>0.10704022988505764</v>
      </c>
      <c r="AX68" s="592">
        <v>39</v>
      </c>
      <c r="AY68" s="582"/>
      <c r="AZ68" s="582">
        <v>14.21</v>
      </c>
      <c r="BA68" s="582"/>
      <c r="BB68" s="582"/>
      <c r="BC68" s="582"/>
      <c r="BD68" s="582"/>
      <c r="BE68" s="588">
        <f>ROUND(AX68*$BE$2,2)+ROUND(AX68*$BE$1,2)</f>
        <v>8.0000000000000016E-2</v>
      </c>
      <c r="BF68" s="578"/>
      <c r="BG68" s="578">
        <f t="shared" si="130"/>
        <v>0</v>
      </c>
      <c r="BH68" s="578"/>
      <c r="BI68" s="578"/>
      <c r="BJ68" s="578"/>
      <c r="BK68" s="646"/>
      <c r="BL68" s="646"/>
      <c r="BM68" s="586">
        <f t="shared" si="121"/>
        <v>0</v>
      </c>
      <c r="BN68" s="586">
        <f t="shared" si="122"/>
        <v>15.642690999999999</v>
      </c>
      <c r="BO68" s="586">
        <f t="shared" si="139"/>
        <v>0</v>
      </c>
      <c r="BP68" s="586">
        <f t="shared" si="139"/>
        <v>0</v>
      </c>
      <c r="BQ68" s="586">
        <f t="shared" si="139"/>
        <v>0</v>
      </c>
      <c r="BR68" s="646"/>
      <c r="BS68" s="578">
        <f t="shared" si="140"/>
        <v>0</v>
      </c>
      <c r="BT68" s="578">
        <f t="shared" si="140"/>
        <v>1.4326909999999984</v>
      </c>
      <c r="BU68" s="578">
        <f t="shared" si="140"/>
        <v>0</v>
      </c>
      <c r="BV68" s="578">
        <f t="shared" si="140"/>
        <v>0</v>
      </c>
      <c r="BW68" s="578">
        <f t="shared" si="140"/>
        <v>0</v>
      </c>
      <c r="BX68" s="646"/>
      <c r="BY68" s="646"/>
      <c r="BZ68" s="646"/>
      <c r="CA68" s="646"/>
      <c r="CB68" s="646"/>
      <c r="CC68" s="646"/>
      <c r="CD68" s="646"/>
      <c r="CE68" s="646"/>
      <c r="CF68" s="646"/>
    </row>
    <row r="69" spans="1:124">
      <c r="B69" s="35">
        <v>2</v>
      </c>
      <c r="C69" s="72" t="s">
        <v>120</v>
      </c>
      <c r="D69" s="35">
        <v>832</v>
      </c>
      <c r="E69" s="561">
        <v>0</v>
      </c>
      <c r="F69" s="73"/>
      <c r="G69" s="73" t="str">
        <f t="shared" si="91"/>
        <v>042832</v>
      </c>
      <c r="H69" s="46"/>
      <c r="I69" t="s">
        <v>128</v>
      </c>
      <c r="J69" t="s">
        <v>136</v>
      </c>
      <c r="K69" s="59" t="s">
        <v>142</v>
      </c>
      <c r="L69" s="97">
        <v>536</v>
      </c>
      <c r="M69" s="69">
        <f t="shared" si="131"/>
        <v>0</v>
      </c>
      <c r="N69" s="69">
        <f t="shared" si="131"/>
        <v>155</v>
      </c>
      <c r="O69" s="69">
        <f t="shared" si="131"/>
        <v>0</v>
      </c>
      <c r="P69" s="69">
        <f t="shared" si="131"/>
        <v>0</v>
      </c>
      <c r="Q69" s="69">
        <f t="shared" si="131"/>
        <v>0</v>
      </c>
      <c r="R69" s="580">
        <f t="shared" si="99"/>
        <v>0</v>
      </c>
      <c r="S69" s="618">
        <v>0</v>
      </c>
      <c r="T69" s="618">
        <v>23.62</v>
      </c>
      <c r="U69" s="618">
        <v>0</v>
      </c>
      <c r="V69" s="618">
        <v>0</v>
      </c>
      <c r="W69" s="618">
        <v>0</v>
      </c>
      <c r="Y69" s="70">
        <f t="shared" si="59"/>
        <v>0</v>
      </c>
      <c r="Z69" s="70">
        <f t="shared" si="60"/>
        <v>3661.1000000000004</v>
      </c>
      <c r="AA69" s="70">
        <f t="shared" si="61"/>
        <v>0</v>
      </c>
      <c r="AB69" s="70">
        <f t="shared" si="62"/>
        <v>0</v>
      </c>
      <c r="AC69" s="70">
        <f t="shared" si="63"/>
        <v>0</v>
      </c>
      <c r="AE69" s="69">
        <f t="shared" si="64"/>
        <v>0</v>
      </c>
      <c r="AF69" s="69">
        <f t="shared" si="126"/>
        <v>155</v>
      </c>
      <c r="AG69" s="69">
        <f t="shared" si="127"/>
        <v>0</v>
      </c>
      <c r="AH69" s="69">
        <f t="shared" si="128"/>
        <v>0</v>
      </c>
      <c r="AI69" s="69">
        <f t="shared" si="129"/>
        <v>0</v>
      </c>
      <c r="AK69" s="435">
        <f t="shared" si="116"/>
        <v>0</v>
      </c>
      <c r="AL69" s="585">
        <f t="shared" si="116"/>
        <v>25.43</v>
      </c>
      <c r="AM69" s="435">
        <f t="shared" si="112"/>
        <v>0</v>
      </c>
      <c r="AN69" s="435">
        <f t="shared" si="113"/>
        <v>0</v>
      </c>
      <c r="AO69" s="435">
        <f t="shared" si="114"/>
        <v>0</v>
      </c>
      <c r="AQ69" s="70">
        <f t="shared" si="117"/>
        <v>0</v>
      </c>
      <c r="AR69" s="70">
        <f t="shared" si="106"/>
        <v>3941.65</v>
      </c>
      <c r="AS69" s="70">
        <f t="shared" si="118"/>
        <v>0</v>
      </c>
      <c r="AT69" s="70">
        <f t="shared" si="119"/>
        <v>0</v>
      </c>
      <c r="AU69" s="70">
        <f t="shared" si="120"/>
        <v>0</v>
      </c>
      <c r="AV69" s="70">
        <f t="shared" si="66"/>
        <v>280.54999999999973</v>
      </c>
      <c r="AW69" s="456">
        <f t="shared" si="76"/>
        <v>7.6629974597798398E-2</v>
      </c>
      <c r="AX69" s="447">
        <v>85</v>
      </c>
      <c r="AY69" s="582"/>
      <c r="AZ69" s="582">
        <v>24.16</v>
      </c>
      <c r="BA69" s="582"/>
      <c r="BB69" s="582"/>
      <c r="BC69" s="582"/>
      <c r="BD69" s="140"/>
      <c r="BE69" s="588">
        <f t="shared" si="67"/>
        <v>0.17999999999999994</v>
      </c>
      <c r="BF69" s="54"/>
      <c r="BG69" s="54">
        <f t="shared" si="130"/>
        <v>0</v>
      </c>
      <c r="BH69" s="54"/>
      <c r="BI69" s="54"/>
      <c r="BJ69" s="54"/>
      <c r="BM69" s="279">
        <f t="shared" si="121"/>
        <v>0</v>
      </c>
      <c r="BN69" s="279">
        <f t="shared" si="122"/>
        <v>25.813992999999996</v>
      </c>
      <c r="BO69" s="279">
        <f t="shared" si="77"/>
        <v>0</v>
      </c>
      <c r="BP69" s="279">
        <f t="shared" si="78"/>
        <v>0</v>
      </c>
      <c r="BQ69" s="279">
        <f t="shared" si="79"/>
        <v>0</v>
      </c>
      <c r="BS69" s="54">
        <f t="shared" si="71"/>
        <v>0</v>
      </c>
      <c r="BT69" s="54">
        <f t="shared" si="72"/>
        <v>1.6539929999999963</v>
      </c>
      <c r="BU69" s="54">
        <f t="shared" si="73"/>
        <v>0</v>
      </c>
      <c r="BV69" s="54">
        <f t="shared" si="74"/>
        <v>0</v>
      </c>
      <c r="BW69" s="54">
        <f t="shared" si="75"/>
        <v>0</v>
      </c>
      <c r="CH69" s="646"/>
    </row>
    <row r="70" spans="1:124">
      <c r="A70" s="684"/>
      <c r="B70" s="540">
        <v>2</v>
      </c>
      <c r="C70" s="72" t="s">
        <v>120</v>
      </c>
      <c r="D70" s="540" t="s">
        <v>818</v>
      </c>
      <c r="E70" s="563">
        <v>19</v>
      </c>
      <c r="F70" s="73"/>
      <c r="G70" s="73" t="str">
        <f t="shared" ref="G70:G71" si="142">IF(OR(ISBLANK(C70),ISBLANK(D70)),"",TEXT(C70,"000")&amp;TEXT(D70,"000"))</f>
        <v>042832T</v>
      </c>
      <c r="H70" s="46"/>
      <c r="I70" s="434" t="s">
        <v>712</v>
      </c>
      <c r="J70" s="577" t="s">
        <v>136</v>
      </c>
      <c r="K70" s="579" t="s">
        <v>614</v>
      </c>
      <c r="L70" s="581" t="s">
        <v>609</v>
      </c>
      <c r="M70" s="580">
        <f t="shared" si="131"/>
        <v>0</v>
      </c>
      <c r="N70" s="580">
        <f t="shared" si="131"/>
        <v>241</v>
      </c>
      <c r="O70" s="580">
        <f t="shared" si="131"/>
        <v>0</v>
      </c>
      <c r="P70" s="580">
        <f t="shared" si="131"/>
        <v>0</v>
      </c>
      <c r="Q70" s="580">
        <f t="shared" si="131"/>
        <v>0</v>
      </c>
      <c r="R70" s="580">
        <f t="shared" si="99"/>
        <v>0</v>
      </c>
      <c r="S70" s="618">
        <v>0</v>
      </c>
      <c r="T70" s="648">
        <f>T69</f>
        <v>23.62</v>
      </c>
      <c r="U70" s="618">
        <v>0</v>
      </c>
      <c r="V70" s="618">
        <v>0</v>
      </c>
      <c r="W70" s="618"/>
      <c r="X70" s="577"/>
      <c r="Y70" s="70">
        <f t="shared" ref="Y70:AC71" si="143">IF(AND(M70&lt;&gt;0,S70=0),#VALUE!,M70*S70)</f>
        <v>0</v>
      </c>
      <c r="Z70" s="70">
        <f t="shared" si="143"/>
        <v>5692.42</v>
      </c>
      <c r="AA70" s="70">
        <f t="shared" si="143"/>
        <v>0</v>
      </c>
      <c r="AB70" s="70">
        <f t="shared" si="143"/>
        <v>0</v>
      </c>
      <c r="AC70" s="70">
        <f t="shared" si="143"/>
        <v>0</v>
      </c>
      <c r="AD70" s="577"/>
      <c r="AE70" s="580">
        <f>SUMIF($G:$G,TEXT(AE$3,"000")&amp;TEXT($L70,"000"),$E:$E)</f>
        <v>0</v>
      </c>
      <c r="AF70" s="580">
        <f>SUMIF($G:$G,TEXT(AF$3,"000")&amp;TEXT($L70,"000"),$E:$E)</f>
        <v>241</v>
      </c>
      <c r="AG70" s="580">
        <f>SUMIF($G:$G,TEXT(AG$3,"000")&amp;TEXT($L70,"000"),$E:$E)</f>
        <v>0</v>
      </c>
      <c r="AH70" s="580">
        <f>SUMIF($G:$G,TEXT(AH$3,"000")&amp;TEXT($L70,"000"),$E:$E)</f>
        <v>0</v>
      </c>
      <c r="AI70" s="580">
        <f>SUMIF($G:$G,TEXT(AI$3,"000")&amp;TEXT($L70,"000"),$E:$E)</f>
        <v>0</v>
      </c>
      <c r="AJ70" s="577"/>
      <c r="AK70" s="585">
        <f>ROUND(S70*(1+AK$1),2)</f>
        <v>0</v>
      </c>
      <c r="AL70" s="585">
        <f>AL69</f>
        <v>25.43</v>
      </c>
      <c r="AM70" s="585">
        <f t="shared" si="112"/>
        <v>0</v>
      </c>
      <c r="AN70" s="585">
        <f t="shared" si="113"/>
        <v>0</v>
      </c>
      <c r="AO70" s="585">
        <f t="shared" si="114"/>
        <v>0</v>
      </c>
      <c r="AP70" s="577"/>
      <c r="AQ70" s="70">
        <f t="shared" si="117"/>
        <v>0</v>
      </c>
      <c r="AR70" s="70">
        <f t="shared" si="106"/>
        <v>6128.63</v>
      </c>
      <c r="AS70" s="70">
        <f t="shared" si="118"/>
        <v>0</v>
      </c>
      <c r="AT70" s="70">
        <f t="shared" si="119"/>
        <v>0</v>
      </c>
      <c r="AU70" s="70">
        <f t="shared" si="120"/>
        <v>0</v>
      </c>
      <c r="AV70" s="70">
        <f t="shared" si="66"/>
        <v>436.21000000000004</v>
      </c>
      <c r="AW70" s="456">
        <f t="shared" si="76"/>
        <v>7.6629974597798481E-2</v>
      </c>
      <c r="AX70" s="592">
        <v>39</v>
      </c>
      <c r="AY70" s="582"/>
      <c r="AZ70" s="582">
        <v>24.06</v>
      </c>
      <c r="BA70" s="582"/>
      <c r="BB70" s="582"/>
      <c r="BC70" s="582"/>
      <c r="BD70" s="582"/>
      <c r="BE70" s="588">
        <f>ROUND(AX70*$BE$2,2)+ROUND(AX70*$BE$1,2)</f>
        <v>8.0000000000000016E-2</v>
      </c>
      <c r="BF70" s="578"/>
      <c r="BG70" s="578">
        <f t="shared" si="130"/>
        <v>0</v>
      </c>
      <c r="BH70" s="578"/>
      <c r="BI70" s="578"/>
      <c r="BJ70" s="578"/>
      <c r="BK70" s="577"/>
      <c r="BL70" s="577"/>
      <c r="BM70" s="586">
        <f t="shared" si="121"/>
        <v>0</v>
      </c>
      <c r="BN70" s="586">
        <f t="shared" si="122"/>
        <v>25.813992999999996</v>
      </c>
      <c r="BO70" s="586">
        <f t="shared" ref="BO70:BQ71" si="144">AM70*$BM$1</f>
        <v>0</v>
      </c>
      <c r="BP70" s="586">
        <f t="shared" si="144"/>
        <v>0</v>
      </c>
      <c r="BQ70" s="586">
        <f t="shared" si="144"/>
        <v>0</v>
      </c>
      <c r="BR70" s="577"/>
      <c r="BS70" s="578">
        <f t="shared" ref="BS70:BW71" si="145">BM70-AY70</f>
        <v>0</v>
      </c>
      <c r="BT70" s="578">
        <f t="shared" si="145"/>
        <v>1.7539929999999977</v>
      </c>
      <c r="BU70" s="578">
        <f t="shared" si="145"/>
        <v>0</v>
      </c>
      <c r="BV70" s="578">
        <f t="shared" si="145"/>
        <v>0</v>
      </c>
      <c r="BW70" s="578">
        <f t="shared" si="145"/>
        <v>0</v>
      </c>
      <c r="BX70" s="577"/>
      <c r="BY70" s="577"/>
      <c r="BZ70" s="577"/>
      <c r="CA70" s="595"/>
      <c r="CB70" s="595"/>
      <c r="CC70" s="595"/>
      <c r="CD70" s="595"/>
      <c r="CE70" s="595"/>
      <c r="CF70" s="595"/>
    </row>
    <row r="71" spans="1:124">
      <c r="A71" s="684"/>
      <c r="B71" s="540">
        <v>2</v>
      </c>
      <c r="C71" s="72" t="s">
        <v>120</v>
      </c>
      <c r="D71" s="540" t="s">
        <v>641</v>
      </c>
      <c r="E71" s="563">
        <v>1</v>
      </c>
      <c r="F71" s="73"/>
      <c r="G71" s="73" t="str">
        <f t="shared" si="142"/>
        <v>042832L</v>
      </c>
      <c r="H71" s="46"/>
      <c r="I71" s="646" t="s">
        <v>712</v>
      </c>
      <c r="J71" s="646" t="s">
        <v>136</v>
      </c>
      <c r="K71" s="579" t="s">
        <v>614</v>
      </c>
      <c r="L71" s="581" t="s">
        <v>714</v>
      </c>
      <c r="M71" s="580">
        <f t="shared" ref="M71:Q80" si="146">SUMIF($G:$G,TEXT(M$3,"000")&amp;TEXT($L71,"000"),$E:$E)</f>
        <v>0</v>
      </c>
      <c r="N71" s="580">
        <f t="shared" si="146"/>
        <v>337</v>
      </c>
      <c r="O71" s="580">
        <f t="shared" si="146"/>
        <v>0</v>
      </c>
      <c r="P71" s="580">
        <f t="shared" si="146"/>
        <v>0</v>
      </c>
      <c r="Q71" s="580">
        <f t="shared" si="146"/>
        <v>0</v>
      </c>
      <c r="R71" s="580">
        <f t="shared" si="99"/>
        <v>0</v>
      </c>
      <c r="S71" s="618">
        <v>0</v>
      </c>
      <c r="T71" s="648">
        <f>T69-T99</f>
        <v>18.09</v>
      </c>
      <c r="U71" s="618">
        <v>0</v>
      </c>
      <c r="V71" s="618">
        <v>0</v>
      </c>
      <c r="W71" s="618">
        <v>0</v>
      </c>
      <c r="X71" s="646"/>
      <c r="Y71" s="70">
        <f t="shared" si="143"/>
        <v>0</v>
      </c>
      <c r="Z71" s="70">
        <f t="shared" si="143"/>
        <v>6096.33</v>
      </c>
      <c r="AA71" s="70">
        <f t="shared" si="143"/>
        <v>0</v>
      </c>
      <c r="AB71" s="70">
        <f t="shared" si="143"/>
        <v>0</v>
      </c>
      <c r="AC71" s="70">
        <f t="shared" si="143"/>
        <v>0</v>
      </c>
      <c r="AD71" s="646"/>
      <c r="AE71" s="580">
        <f>M71</f>
        <v>0</v>
      </c>
      <c r="AF71" s="580">
        <f>N71</f>
        <v>337</v>
      </c>
      <c r="AG71" s="580">
        <f>O71</f>
        <v>0</v>
      </c>
      <c r="AH71" s="580">
        <f>P71</f>
        <v>0</v>
      </c>
      <c r="AI71" s="580">
        <f>Q71</f>
        <v>0</v>
      </c>
      <c r="AJ71" s="646"/>
      <c r="AK71" s="585">
        <f>ROUND(S71*(1+AK$1),2)</f>
        <v>0</v>
      </c>
      <c r="AL71" s="585">
        <f>AL70-AL99</f>
        <v>19.899999999999999</v>
      </c>
      <c r="AM71" s="585">
        <f t="shared" si="112"/>
        <v>0</v>
      </c>
      <c r="AN71" s="585">
        <f t="shared" si="113"/>
        <v>0</v>
      </c>
      <c r="AO71" s="585">
        <f t="shared" si="114"/>
        <v>0</v>
      </c>
      <c r="AP71" s="646"/>
      <c r="AQ71" s="70">
        <f t="shared" si="117"/>
        <v>0</v>
      </c>
      <c r="AR71" s="70">
        <f t="shared" si="106"/>
        <v>6706.2999999999993</v>
      </c>
      <c r="AS71" s="70">
        <f t="shared" si="118"/>
        <v>0</v>
      </c>
      <c r="AT71" s="70">
        <f t="shared" si="119"/>
        <v>0</v>
      </c>
      <c r="AU71" s="70">
        <f t="shared" si="120"/>
        <v>0</v>
      </c>
      <c r="AV71" s="70">
        <f t="shared" si="66"/>
        <v>609.96999999999935</v>
      </c>
      <c r="AW71" s="456">
        <f t="shared" si="76"/>
        <v>0.10005527915975666</v>
      </c>
      <c r="AX71" s="592">
        <v>39</v>
      </c>
      <c r="AY71" s="582"/>
      <c r="AZ71" s="582">
        <v>18.440000000000001</v>
      </c>
      <c r="BA71" s="582"/>
      <c r="BB71" s="582"/>
      <c r="BC71" s="582"/>
      <c r="BD71" s="582"/>
      <c r="BE71" s="588">
        <f>ROUND(AX71*$BE$2,2)+ROUND(AX71*$BE$1,2)</f>
        <v>8.0000000000000016E-2</v>
      </c>
      <c r="BF71" s="578"/>
      <c r="BG71" s="578">
        <f t="shared" si="130"/>
        <v>0</v>
      </c>
      <c r="BH71" s="578"/>
      <c r="BI71" s="578"/>
      <c r="BJ71" s="578"/>
      <c r="BK71" s="646"/>
      <c r="BL71" s="646"/>
      <c r="BM71" s="586">
        <f t="shared" si="121"/>
        <v>0</v>
      </c>
      <c r="BN71" s="586">
        <f t="shared" si="122"/>
        <v>20.200489999999995</v>
      </c>
      <c r="BO71" s="586">
        <f t="shared" si="144"/>
        <v>0</v>
      </c>
      <c r="BP71" s="586">
        <f t="shared" si="144"/>
        <v>0</v>
      </c>
      <c r="BQ71" s="586">
        <f t="shared" si="144"/>
        <v>0</v>
      </c>
      <c r="BR71" s="646"/>
      <c r="BS71" s="578">
        <f t="shared" si="145"/>
        <v>0</v>
      </c>
      <c r="BT71" s="578">
        <f t="shared" si="145"/>
        <v>1.7604899999999937</v>
      </c>
      <c r="BU71" s="578">
        <f t="shared" si="145"/>
        <v>0</v>
      </c>
      <c r="BV71" s="578">
        <f t="shared" si="145"/>
        <v>0</v>
      </c>
      <c r="BW71" s="578">
        <f t="shared" si="145"/>
        <v>0</v>
      </c>
      <c r="BX71" s="646"/>
      <c r="BY71" s="646"/>
      <c r="BZ71" s="646"/>
      <c r="CA71" s="646"/>
      <c r="CB71" s="646"/>
      <c r="CC71" s="646"/>
      <c r="CD71" s="646"/>
      <c r="CE71" s="646"/>
      <c r="CF71" s="646"/>
      <c r="CG71" s="646"/>
    </row>
    <row r="72" spans="1:124">
      <c r="B72" s="35">
        <v>2</v>
      </c>
      <c r="C72" s="72" t="s">
        <v>120</v>
      </c>
      <c r="D72" s="35">
        <v>835</v>
      </c>
      <c r="E72" s="561">
        <f>8+36</f>
        <v>44</v>
      </c>
      <c r="F72" s="73"/>
      <c r="G72" s="73" t="str">
        <f t="shared" ref="G72:G137" si="147">IF(OR(ISBLANK(C72),ISBLANK(D72)),"",TEXT(C72,"000")&amp;TEXT(D72,"000"))</f>
        <v>042835</v>
      </c>
      <c r="H72" s="46"/>
      <c r="I72" t="s">
        <v>139</v>
      </c>
      <c r="J72" t="s">
        <v>842</v>
      </c>
      <c r="K72" s="59" t="s">
        <v>142</v>
      </c>
      <c r="L72" s="97">
        <v>541</v>
      </c>
      <c r="M72" s="69">
        <f t="shared" si="146"/>
        <v>0</v>
      </c>
      <c r="N72" s="69">
        <f t="shared" si="146"/>
        <v>4</v>
      </c>
      <c r="O72" s="69">
        <f t="shared" si="146"/>
        <v>0</v>
      </c>
      <c r="P72" s="69">
        <f t="shared" si="146"/>
        <v>0</v>
      </c>
      <c r="Q72" s="69">
        <f t="shared" si="146"/>
        <v>0</v>
      </c>
      <c r="R72" s="580">
        <f t="shared" si="99"/>
        <v>0</v>
      </c>
      <c r="S72" s="618">
        <v>0</v>
      </c>
      <c r="T72" s="618">
        <v>43.09</v>
      </c>
      <c r="U72" s="618">
        <v>0</v>
      </c>
      <c r="V72" s="618">
        <v>0</v>
      </c>
      <c r="W72" s="618">
        <v>0</v>
      </c>
      <c r="Y72" s="70">
        <f t="shared" si="59"/>
        <v>0</v>
      </c>
      <c r="Z72" s="70">
        <f t="shared" si="60"/>
        <v>172.36</v>
      </c>
      <c r="AA72" s="70">
        <f t="shared" si="61"/>
        <v>0</v>
      </c>
      <c r="AB72" s="70">
        <f t="shared" si="62"/>
        <v>0</v>
      </c>
      <c r="AC72" s="70">
        <f t="shared" si="63"/>
        <v>0</v>
      </c>
      <c r="AE72" s="69">
        <f t="shared" si="64"/>
        <v>0</v>
      </c>
      <c r="AF72" s="69">
        <f t="shared" si="126"/>
        <v>4</v>
      </c>
      <c r="AG72" s="69">
        <f t="shared" si="127"/>
        <v>0</v>
      </c>
      <c r="AH72" s="69">
        <f t="shared" si="128"/>
        <v>0</v>
      </c>
      <c r="AI72" s="69">
        <f t="shared" si="129"/>
        <v>0</v>
      </c>
      <c r="AK72" s="435">
        <f t="shared" si="116"/>
        <v>0</v>
      </c>
      <c r="AL72" s="435">
        <f t="shared" ref="AL72:AL84" si="148">ROUND(T72*(1+AL$1),2)</f>
        <v>46.39</v>
      </c>
      <c r="AM72" s="435">
        <f t="shared" si="112"/>
        <v>0</v>
      </c>
      <c r="AN72" s="435">
        <f t="shared" si="113"/>
        <v>0</v>
      </c>
      <c r="AO72" s="435">
        <f t="shared" si="114"/>
        <v>0</v>
      </c>
      <c r="AQ72" s="70">
        <f t="shared" si="117"/>
        <v>0</v>
      </c>
      <c r="AR72" s="70">
        <f t="shared" si="106"/>
        <v>185.56</v>
      </c>
      <c r="AS72" s="70">
        <f t="shared" si="118"/>
        <v>0</v>
      </c>
      <c r="AT72" s="70">
        <f t="shared" si="119"/>
        <v>0</v>
      </c>
      <c r="AU72" s="70">
        <f t="shared" si="120"/>
        <v>0</v>
      </c>
      <c r="AV72" s="70">
        <f t="shared" si="66"/>
        <v>13.199999999999989</v>
      </c>
      <c r="AW72" s="456">
        <f t="shared" si="76"/>
        <v>7.6583894174982528E-2</v>
      </c>
      <c r="AX72" s="447">
        <v>170</v>
      </c>
      <c r="AY72" s="582"/>
      <c r="AZ72" s="582">
        <v>44.11</v>
      </c>
      <c r="BA72" s="582"/>
      <c r="BB72" s="582"/>
      <c r="BC72" s="582"/>
      <c r="BD72" s="140"/>
      <c r="BE72" s="588">
        <f t="shared" si="67"/>
        <v>0.38000000000000012</v>
      </c>
      <c r="BF72" s="54"/>
      <c r="BG72" s="54">
        <f t="shared" si="130"/>
        <v>0.01</v>
      </c>
      <c r="BH72" s="54"/>
      <c r="BI72" s="54"/>
      <c r="BJ72" s="54"/>
      <c r="BM72" s="279">
        <f t="shared" si="121"/>
        <v>0</v>
      </c>
      <c r="BN72" s="279">
        <f t="shared" si="122"/>
        <v>47.090488999999998</v>
      </c>
      <c r="BO72" s="279">
        <f t="shared" si="77"/>
        <v>0</v>
      </c>
      <c r="BP72" s="279">
        <f t="shared" si="78"/>
        <v>0</v>
      </c>
      <c r="BQ72" s="279">
        <f t="shared" si="79"/>
        <v>0</v>
      </c>
      <c r="BS72" s="54">
        <f t="shared" si="71"/>
        <v>0</v>
      </c>
      <c r="BT72" s="54">
        <f t="shared" si="72"/>
        <v>2.9804889999999986</v>
      </c>
      <c r="BU72" s="54">
        <f t="shared" si="73"/>
        <v>0</v>
      </c>
      <c r="BV72" s="54">
        <f t="shared" si="74"/>
        <v>0</v>
      </c>
      <c r="BW72" s="54">
        <f t="shared" si="75"/>
        <v>0</v>
      </c>
      <c r="CH72" s="646"/>
    </row>
    <row r="73" spans="1:124">
      <c r="A73" s="654"/>
      <c r="B73" s="540">
        <v>2</v>
      </c>
      <c r="C73" s="72" t="s">
        <v>120</v>
      </c>
      <c r="D73" s="540" t="s">
        <v>727</v>
      </c>
      <c r="E73" s="563">
        <f>19+26</f>
        <v>45</v>
      </c>
      <c r="F73" s="73"/>
      <c r="G73" s="73" t="str">
        <f>IF(OR(ISBLANK(C73),ISBLANK(D73)),"",TEXT(C73,"000")&amp;TEXT(D73,"000"))</f>
        <v>042835T</v>
      </c>
      <c r="H73" s="46"/>
      <c r="I73" s="434" t="s">
        <v>716</v>
      </c>
      <c r="J73" s="692" t="s">
        <v>842</v>
      </c>
      <c r="K73" s="579" t="s">
        <v>614</v>
      </c>
      <c r="L73" s="581" t="s">
        <v>610</v>
      </c>
      <c r="M73" s="580">
        <f t="shared" si="146"/>
        <v>0</v>
      </c>
      <c r="N73" s="580">
        <f t="shared" si="146"/>
        <v>1</v>
      </c>
      <c r="O73" s="580">
        <f t="shared" si="146"/>
        <v>0</v>
      </c>
      <c r="P73" s="580">
        <f t="shared" si="146"/>
        <v>0</v>
      </c>
      <c r="Q73" s="580">
        <f t="shared" si="146"/>
        <v>0</v>
      </c>
      <c r="R73" s="580">
        <f t="shared" si="99"/>
        <v>0</v>
      </c>
      <c r="S73" s="618">
        <v>0</v>
      </c>
      <c r="T73" s="648">
        <f>T72</f>
        <v>43.09</v>
      </c>
      <c r="U73" s="618">
        <v>0</v>
      </c>
      <c r="V73" s="618">
        <v>0</v>
      </c>
      <c r="W73" s="618"/>
      <c r="X73" s="577"/>
      <c r="Y73" s="70">
        <f t="shared" ref="Y73:AC73" si="149">IF(AND(M73&lt;&gt;0,S73=0),#VALUE!,M73*S73)</f>
        <v>0</v>
      </c>
      <c r="Z73" s="70">
        <f t="shared" si="149"/>
        <v>43.09</v>
      </c>
      <c r="AA73" s="70">
        <f t="shared" si="149"/>
        <v>0</v>
      </c>
      <c r="AB73" s="70">
        <f t="shared" si="149"/>
        <v>0</v>
      </c>
      <c r="AC73" s="70">
        <f t="shared" si="149"/>
        <v>0</v>
      </c>
      <c r="AD73" s="577"/>
      <c r="AE73" s="580">
        <f t="shared" ref="AE73:AI74" si="150">SUMIF($G:$G,TEXT(AE$3,"000")&amp;TEXT($L73,"000"),$E:$E)</f>
        <v>0</v>
      </c>
      <c r="AF73" s="580">
        <f t="shared" si="150"/>
        <v>1</v>
      </c>
      <c r="AG73" s="580">
        <f t="shared" si="150"/>
        <v>0</v>
      </c>
      <c r="AH73" s="580">
        <f t="shared" si="150"/>
        <v>0</v>
      </c>
      <c r="AI73" s="580">
        <f t="shared" si="150"/>
        <v>0</v>
      </c>
      <c r="AJ73" s="577"/>
      <c r="AK73" s="585">
        <f>ROUND(S73*(1+AK$1),2)</f>
        <v>0</v>
      </c>
      <c r="AL73" s="585">
        <f>AL72</f>
        <v>46.39</v>
      </c>
      <c r="AM73" s="585">
        <f t="shared" si="112"/>
        <v>0</v>
      </c>
      <c r="AN73" s="585">
        <f t="shared" si="113"/>
        <v>0</v>
      </c>
      <c r="AO73" s="585">
        <f t="shared" si="114"/>
        <v>0</v>
      </c>
      <c r="AP73" s="577"/>
      <c r="AQ73" s="70">
        <f t="shared" si="117"/>
        <v>0</v>
      </c>
      <c r="AR73" s="70">
        <f t="shared" si="106"/>
        <v>46.39</v>
      </c>
      <c r="AS73" s="70">
        <f t="shared" si="118"/>
        <v>0</v>
      </c>
      <c r="AT73" s="70">
        <f t="shared" si="119"/>
        <v>0</v>
      </c>
      <c r="AU73" s="70">
        <f t="shared" si="120"/>
        <v>0</v>
      </c>
      <c r="AV73" s="70">
        <f t="shared" si="66"/>
        <v>3.2999999999999972</v>
      </c>
      <c r="AW73" s="456">
        <f t="shared" si="76"/>
        <v>7.6583894174982528E-2</v>
      </c>
      <c r="AX73" s="592">
        <v>78</v>
      </c>
      <c r="AY73" s="582"/>
      <c r="AZ73" s="582">
        <v>43.91</v>
      </c>
      <c r="BA73" s="582"/>
      <c r="BB73" s="582"/>
      <c r="BC73" s="582"/>
      <c r="BD73" s="582"/>
      <c r="BE73" s="588">
        <f>ROUND(AX73*$BE$2,2)+ROUND(AX73*$BE$1,2)</f>
        <v>0.18000000000000005</v>
      </c>
      <c r="BF73" s="578"/>
      <c r="BG73" s="578">
        <f t="shared" si="130"/>
        <v>0.01</v>
      </c>
      <c r="BH73" s="578"/>
      <c r="BI73" s="578"/>
      <c r="BJ73" s="578"/>
      <c r="BK73" s="577"/>
      <c r="BL73" s="577"/>
      <c r="BM73" s="586">
        <f t="shared" si="121"/>
        <v>0</v>
      </c>
      <c r="BN73" s="586">
        <f t="shared" si="122"/>
        <v>47.090488999999998</v>
      </c>
      <c r="BO73" s="586">
        <f>AM73*$BM$1</f>
        <v>0</v>
      </c>
      <c r="BP73" s="586">
        <f>AN73*$BM$1</f>
        <v>0</v>
      </c>
      <c r="BQ73" s="586">
        <f>AO73*$BM$1</f>
        <v>0</v>
      </c>
      <c r="BR73" s="577"/>
      <c r="BS73" s="578">
        <f t="shared" ref="BS73:BW73" si="151">BM73-AY73</f>
        <v>0</v>
      </c>
      <c r="BT73" s="578">
        <f t="shared" si="151"/>
        <v>3.1804890000000015</v>
      </c>
      <c r="BU73" s="578">
        <f t="shared" si="151"/>
        <v>0</v>
      </c>
      <c r="BV73" s="578">
        <f t="shared" si="151"/>
        <v>0</v>
      </c>
      <c r="BW73" s="578">
        <f t="shared" si="151"/>
        <v>0</v>
      </c>
      <c r="BX73" s="595"/>
      <c r="BY73" s="595"/>
      <c r="BZ73" s="595"/>
      <c r="CA73" s="595"/>
      <c r="CB73" s="595"/>
      <c r="CC73" s="595"/>
      <c r="CD73" s="595"/>
    </row>
    <row r="74" spans="1:124">
      <c r="A74" s="684"/>
      <c r="B74" s="540">
        <v>2</v>
      </c>
      <c r="C74" s="72" t="s">
        <v>120</v>
      </c>
      <c r="D74" s="540" t="s">
        <v>642</v>
      </c>
      <c r="E74" s="563">
        <f>9+13</f>
        <v>22</v>
      </c>
      <c r="F74" s="73"/>
      <c r="G74" s="73" t="str">
        <f>IF(OR(ISBLANK(C74),ISBLANK(D74)),"",TEXT(C74,"000")&amp;TEXT(D74,"000"))</f>
        <v>042835L</v>
      </c>
      <c r="H74" s="46"/>
      <c r="I74" s="434" t="s">
        <v>716</v>
      </c>
      <c r="J74" s="647" t="s">
        <v>109</v>
      </c>
      <c r="K74" s="579" t="s">
        <v>614</v>
      </c>
      <c r="L74" s="581" t="s">
        <v>611</v>
      </c>
      <c r="M74" s="580">
        <f t="shared" si="146"/>
        <v>0</v>
      </c>
      <c r="N74" s="580">
        <f t="shared" si="146"/>
        <v>15</v>
      </c>
      <c r="O74" s="580">
        <f t="shared" si="146"/>
        <v>0</v>
      </c>
      <c r="P74" s="580">
        <f t="shared" si="146"/>
        <v>0</v>
      </c>
      <c r="Q74" s="580">
        <f t="shared" si="146"/>
        <v>0</v>
      </c>
      <c r="R74" s="580">
        <f t="shared" si="99"/>
        <v>0</v>
      </c>
      <c r="S74" s="618">
        <v>0</v>
      </c>
      <c r="T74" s="618">
        <v>59.28</v>
      </c>
      <c r="U74" s="618">
        <v>0</v>
      </c>
      <c r="V74" s="618">
        <v>0</v>
      </c>
      <c r="W74" s="618"/>
      <c r="X74" s="647"/>
      <c r="Y74" s="70">
        <f t="shared" ref="Y74:AC76" si="152">IF(AND(M74&lt;&gt;0,S74=0),#VALUE!,M74*S74)</f>
        <v>0</v>
      </c>
      <c r="Z74" s="70">
        <f t="shared" si="152"/>
        <v>889.2</v>
      </c>
      <c r="AA74" s="70">
        <f t="shared" si="152"/>
        <v>0</v>
      </c>
      <c r="AB74" s="70">
        <f t="shared" si="152"/>
        <v>0</v>
      </c>
      <c r="AC74" s="70">
        <f t="shared" si="152"/>
        <v>0</v>
      </c>
      <c r="AD74" s="647"/>
      <c r="AE74" s="580">
        <f t="shared" si="150"/>
        <v>0</v>
      </c>
      <c r="AF74" s="580">
        <f t="shared" si="150"/>
        <v>15</v>
      </c>
      <c r="AG74" s="580">
        <f t="shared" si="150"/>
        <v>0</v>
      </c>
      <c r="AH74" s="580">
        <f t="shared" si="150"/>
        <v>0</v>
      </c>
      <c r="AI74" s="580">
        <f t="shared" si="150"/>
        <v>0</v>
      </c>
      <c r="AJ74" s="647"/>
      <c r="AK74" s="585">
        <f t="shared" si="116"/>
        <v>0</v>
      </c>
      <c r="AL74" s="585">
        <f t="shared" si="116"/>
        <v>63.81</v>
      </c>
      <c r="AM74" s="585">
        <f t="shared" si="112"/>
        <v>0</v>
      </c>
      <c r="AN74" s="585">
        <f t="shared" si="113"/>
        <v>0</v>
      </c>
      <c r="AO74" s="585">
        <f t="shared" si="114"/>
        <v>0</v>
      </c>
      <c r="AP74" s="647"/>
      <c r="AQ74" s="70">
        <f t="shared" si="117"/>
        <v>0</v>
      </c>
      <c r="AR74" s="70">
        <f t="shared" ref="AR74:AR97" si="153">IF(AND(AF74&lt;&gt;0,AL74=0),#VALUE!,AF74*AL74)</f>
        <v>957.15000000000009</v>
      </c>
      <c r="AS74" s="70">
        <f t="shared" si="118"/>
        <v>0</v>
      </c>
      <c r="AT74" s="70">
        <f t="shared" si="119"/>
        <v>0</v>
      </c>
      <c r="AU74" s="70">
        <f t="shared" si="120"/>
        <v>0</v>
      </c>
      <c r="AV74" s="70">
        <f t="shared" si="66"/>
        <v>67.950000000000045</v>
      </c>
      <c r="AW74" s="456">
        <f t="shared" si="76"/>
        <v>7.6417004048583037E-2</v>
      </c>
      <c r="AX74" s="592">
        <v>78</v>
      </c>
      <c r="AY74" s="582"/>
      <c r="AZ74" s="582">
        <v>60.35</v>
      </c>
      <c r="BA74" s="582"/>
      <c r="BB74" s="582"/>
      <c r="BC74" s="582"/>
      <c r="BD74" s="582"/>
      <c r="BE74" s="588">
        <f t="shared" si="67"/>
        <v>0.18000000000000005</v>
      </c>
      <c r="BF74" s="578"/>
      <c r="BG74" s="578">
        <f t="shared" si="130"/>
        <v>0.01</v>
      </c>
      <c r="BH74" s="578"/>
      <c r="BI74" s="578"/>
      <c r="BJ74" s="578"/>
      <c r="BK74" s="647"/>
      <c r="BL74" s="647"/>
      <c r="BM74" s="586">
        <f t="shared" si="121"/>
        <v>0</v>
      </c>
      <c r="BN74" s="586">
        <f t="shared" si="122"/>
        <v>64.773530999999991</v>
      </c>
      <c r="BO74" s="586">
        <f t="shared" si="77"/>
        <v>0</v>
      </c>
      <c r="BP74" s="586">
        <f t="shared" si="78"/>
        <v>0</v>
      </c>
      <c r="BQ74" s="586">
        <f t="shared" si="79"/>
        <v>0</v>
      </c>
      <c r="BR74" s="647"/>
      <c r="BS74" s="578">
        <f t="shared" si="71"/>
        <v>0</v>
      </c>
      <c r="BT74" s="578">
        <f t="shared" si="72"/>
        <v>4.4235309999999899</v>
      </c>
      <c r="BU74" s="578">
        <f t="shared" si="73"/>
        <v>0</v>
      </c>
      <c r="BV74" s="578">
        <f t="shared" si="74"/>
        <v>0</v>
      </c>
      <c r="BW74" s="578">
        <f t="shared" si="75"/>
        <v>0</v>
      </c>
      <c r="BX74" s="647"/>
      <c r="BY74" s="647"/>
      <c r="BZ74" s="647"/>
      <c r="CA74" s="647"/>
      <c r="CB74" s="647"/>
      <c r="CC74" s="647"/>
      <c r="CD74" s="647"/>
      <c r="CE74" s="647"/>
      <c r="CF74" s="647"/>
      <c r="CG74" s="647"/>
      <c r="CH74" s="647"/>
      <c r="CI74" s="647"/>
      <c r="CJ74" s="647"/>
      <c r="CK74" s="647"/>
      <c r="CL74" s="647"/>
      <c r="CM74" s="647"/>
      <c r="CN74" s="647"/>
      <c r="CO74" s="647"/>
      <c r="CP74" s="647"/>
      <c r="CQ74" s="647"/>
      <c r="CR74" s="647"/>
      <c r="CS74" s="647"/>
      <c r="CT74" s="647"/>
    </row>
    <row r="75" spans="1:124">
      <c r="A75" s="684"/>
      <c r="B75" s="540">
        <v>2</v>
      </c>
      <c r="C75" s="72" t="s">
        <v>120</v>
      </c>
      <c r="D75" s="540" t="s">
        <v>819</v>
      </c>
      <c r="E75" s="557">
        <v>3</v>
      </c>
      <c r="F75" s="73"/>
      <c r="G75" s="73" t="str">
        <f t="shared" ref="G75" si="154">IF(OR(ISBLANK(C75),ISBLANK(D75)),"",TEXT(C75,"000")&amp;TEXT(D75,"000"))</f>
        <v>042836T</v>
      </c>
      <c r="H75" s="46"/>
      <c r="I75" s="646" t="s">
        <v>716</v>
      </c>
      <c r="J75" s="646" t="s">
        <v>109</v>
      </c>
      <c r="K75" s="579" t="s">
        <v>614</v>
      </c>
      <c r="L75" s="581" t="s">
        <v>717</v>
      </c>
      <c r="M75" s="580">
        <f t="shared" si="146"/>
        <v>0</v>
      </c>
      <c r="N75" s="580">
        <f t="shared" si="146"/>
        <v>9</v>
      </c>
      <c r="O75" s="580">
        <f t="shared" si="146"/>
        <v>0</v>
      </c>
      <c r="P75" s="580">
        <f t="shared" si="146"/>
        <v>0</v>
      </c>
      <c r="Q75" s="580">
        <f t="shared" si="146"/>
        <v>0</v>
      </c>
      <c r="R75" s="580">
        <f t="shared" si="99"/>
        <v>0</v>
      </c>
      <c r="S75" s="618">
        <v>0</v>
      </c>
      <c r="T75" s="648">
        <f>T74-T99-T99</f>
        <v>48.22</v>
      </c>
      <c r="U75" s="618"/>
      <c r="V75" s="618">
        <v>0</v>
      </c>
      <c r="W75" s="618">
        <v>0</v>
      </c>
      <c r="X75" s="646"/>
      <c r="Y75" s="70">
        <f t="shared" si="152"/>
        <v>0</v>
      </c>
      <c r="Z75" s="70">
        <f t="shared" si="152"/>
        <v>433.98</v>
      </c>
      <c r="AA75" s="70">
        <f t="shared" si="152"/>
        <v>0</v>
      </c>
      <c r="AB75" s="70">
        <f t="shared" si="152"/>
        <v>0</v>
      </c>
      <c r="AC75" s="70">
        <f t="shared" si="152"/>
        <v>0</v>
      </c>
      <c r="AD75" s="646"/>
      <c r="AE75" s="580">
        <f t="shared" ref="AE75:AI76" si="155">M75</f>
        <v>0</v>
      </c>
      <c r="AF75" s="580">
        <f t="shared" si="155"/>
        <v>9</v>
      </c>
      <c r="AG75" s="580">
        <f t="shared" si="155"/>
        <v>0</v>
      </c>
      <c r="AH75" s="580">
        <f t="shared" si="155"/>
        <v>0</v>
      </c>
      <c r="AI75" s="580">
        <f t="shared" si="155"/>
        <v>0</v>
      </c>
      <c r="AJ75" s="646"/>
      <c r="AK75" s="585">
        <f>ROUND(S75*(1+AK$1),2)</f>
        <v>0</v>
      </c>
      <c r="AL75" s="585">
        <f>AL74-AL99-AL99</f>
        <v>52.75</v>
      </c>
      <c r="AM75" s="585">
        <f t="shared" si="112"/>
        <v>0</v>
      </c>
      <c r="AN75" s="585">
        <f t="shared" si="113"/>
        <v>0</v>
      </c>
      <c r="AO75" s="585">
        <f t="shared" si="114"/>
        <v>0</v>
      </c>
      <c r="AP75" s="646"/>
      <c r="AQ75" s="70">
        <f t="shared" si="117"/>
        <v>0</v>
      </c>
      <c r="AR75" s="70">
        <f t="shared" si="153"/>
        <v>474.75</v>
      </c>
      <c r="AS75" s="70">
        <f t="shared" si="118"/>
        <v>0</v>
      </c>
      <c r="AT75" s="70">
        <f t="shared" si="119"/>
        <v>0</v>
      </c>
      <c r="AU75" s="70">
        <f t="shared" si="120"/>
        <v>0</v>
      </c>
      <c r="AV75" s="70">
        <f t="shared" si="66"/>
        <v>40.769999999999982</v>
      </c>
      <c r="AW75" s="456">
        <f t="shared" si="76"/>
        <v>9.3944421401907882E-2</v>
      </c>
      <c r="AX75" s="592">
        <v>78</v>
      </c>
      <c r="AY75" s="582"/>
      <c r="AZ75" s="582">
        <v>49.12</v>
      </c>
      <c r="BA75" s="582"/>
      <c r="BB75" s="582"/>
      <c r="BC75" s="582"/>
      <c r="BD75" s="582"/>
      <c r="BE75" s="588">
        <f>ROUND(AX75*$BE$2,2)+ROUND(AX75*$BE$1,2)</f>
        <v>0.18000000000000005</v>
      </c>
      <c r="BF75" s="578"/>
      <c r="BG75" s="578">
        <f>ROUND((T75*$BF$2)+$BE75-AZ75,2)</f>
        <v>0.01</v>
      </c>
      <c r="BH75" s="578"/>
      <c r="BI75" s="578"/>
      <c r="BJ75" s="578"/>
      <c r="BK75" s="646"/>
      <c r="BL75" s="646"/>
      <c r="BM75" s="586">
        <f t="shared" si="121"/>
        <v>0</v>
      </c>
      <c r="BN75" s="586">
        <f t="shared" si="122"/>
        <v>53.546524999999995</v>
      </c>
      <c r="BO75" s="586">
        <f t="shared" ref="BO75:BQ76" si="156">AM75*$BM$1</f>
        <v>0</v>
      </c>
      <c r="BP75" s="586">
        <f t="shared" si="156"/>
        <v>0</v>
      </c>
      <c r="BQ75" s="586">
        <f t="shared" si="156"/>
        <v>0</v>
      </c>
      <c r="BR75" s="646"/>
      <c r="BS75" s="578">
        <f t="shared" ref="BS75:BW76" si="157">BM75-AY75</f>
        <v>0</v>
      </c>
      <c r="BT75" s="578">
        <f t="shared" si="157"/>
        <v>4.426524999999998</v>
      </c>
      <c r="BU75" s="578">
        <f t="shared" si="157"/>
        <v>0</v>
      </c>
      <c r="BV75" s="578">
        <f t="shared" si="157"/>
        <v>0</v>
      </c>
      <c r="BW75" s="578">
        <f t="shared" si="157"/>
        <v>0</v>
      </c>
      <c r="BX75" s="646"/>
      <c r="BY75" s="646"/>
      <c r="BZ75" s="646"/>
      <c r="CA75" s="646"/>
      <c r="CB75" s="646"/>
      <c r="CC75" s="646"/>
      <c r="CD75" s="646"/>
      <c r="CE75" s="646"/>
      <c r="CF75" s="646"/>
      <c r="CG75" s="646"/>
    </row>
    <row r="76" spans="1:124">
      <c r="B76" s="35">
        <v>2</v>
      </c>
      <c r="C76" s="72" t="s">
        <v>120</v>
      </c>
      <c r="D76" s="35">
        <v>842</v>
      </c>
      <c r="E76" s="561">
        <v>2</v>
      </c>
      <c r="F76" s="73"/>
      <c r="G76" s="73" t="str">
        <f t="shared" si="147"/>
        <v>042842</v>
      </c>
      <c r="I76" s="19" t="s">
        <v>716</v>
      </c>
      <c r="J76" s="19" t="s">
        <v>136</v>
      </c>
      <c r="K76" s="86" t="s">
        <v>614</v>
      </c>
      <c r="L76" s="321" t="s">
        <v>726</v>
      </c>
      <c r="M76" s="580">
        <f t="shared" si="146"/>
        <v>0</v>
      </c>
      <c r="N76" s="580">
        <f t="shared" si="146"/>
        <v>8</v>
      </c>
      <c r="O76" s="580">
        <f t="shared" si="146"/>
        <v>0</v>
      </c>
      <c r="P76" s="580">
        <f t="shared" si="146"/>
        <v>0</v>
      </c>
      <c r="Q76" s="580">
        <f t="shared" si="146"/>
        <v>0</v>
      </c>
      <c r="R76" s="580">
        <f t="shared" si="99"/>
        <v>0</v>
      </c>
      <c r="S76" s="618">
        <v>0</v>
      </c>
      <c r="T76" s="648">
        <f>T141-T99-T99</f>
        <v>36.199999999999996</v>
      </c>
      <c r="U76" s="618"/>
      <c r="V76" s="618">
        <v>0</v>
      </c>
      <c r="W76" s="618">
        <v>0</v>
      </c>
      <c r="X76" s="647"/>
      <c r="Y76" s="70">
        <f t="shared" si="152"/>
        <v>0</v>
      </c>
      <c r="Z76" s="70">
        <f t="shared" si="152"/>
        <v>289.59999999999997</v>
      </c>
      <c r="AA76" s="70">
        <f t="shared" si="152"/>
        <v>0</v>
      </c>
      <c r="AB76" s="70">
        <f t="shared" si="152"/>
        <v>0</v>
      </c>
      <c r="AC76" s="70">
        <f t="shared" si="152"/>
        <v>0</v>
      </c>
      <c r="AD76" s="647"/>
      <c r="AE76" s="580">
        <f t="shared" si="155"/>
        <v>0</v>
      </c>
      <c r="AF76" s="580">
        <f t="shared" si="155"/>
        <v>8</v>
      </c>
      <c r="AG76" s="580">
        <f t="shared" si="155"/>
        <v>0</v>
      </c>
      <c r="AH76" s="580">
        <f t="shared" si="155"/>
        <v>0</v>
      </c>
      <c r="AI76" s="580">
        <f t="shared" si="155"/>
        <v>0</v>
      </c>
      <c r="AJ76" s="647"/>
      <c r="AK76" s="585">
        <f>ROUND(S76*(1+AK$1),2)</f>
        <v>0</v>
      </c>
      <c r="AL76" s="585">
        <f>AL141-AL99-AL99</f>
        <v>39.82</v>
      </c>
      <c r="AM76" s="585">
        <f t="shared" si="112"/>
        <v>0</v>
      </c>
      <c r="AN76" s="585">
        <f t="shared" si="113"/>
        <v>0</v>
      </c>
      <c r="AO76" s="585">
        <f t="shared" si="114"/>
        <v>0</v>
      </c>
      <c r="AP76" s="647"/>
      <c r="AQ76" s="70">
        <f t="shared" si="117"/>
        <v>0</v>
      </c>
      <c r="AR76" s="70">
        <f t="shared" si="153"/>
        <v>318.56</v>
      </c>
      <c r="AS76" s="70">
        <f t="shared" si="118"/>
        <v>0</v>
      </c>
      <c r="AT76" s="70">
        <f t="shared" si="119"/>
        <v>0</v>
      </c>
      <c r="AU76" s="70">
        <f t="shared" si="120"/>
        <v>0</v>
      </c>
      <c r="AV76" s="70">
        <f t="shared" si="66"/>
        <v>28.960000000000036</v>
      </c>
      <c r="AW76" s="456">
        <f t="shared" si="76"/>
        <v>0.10000000000000014</v>
      </c>
      <c r="AX76" s="592">
        <v>78</v>
      </c>
      <c r="AY76" s="582"/>
      <c r="AZ76" s="582">
        <v>36.92</v>
      </c>
      <c r="BA76" s="582"/>
      <c r="BB76" s="582"/>
      <c r="BC76" s="582"/>
      <c r="BD76" s="582"/>
      <c r="BE76" s="588">
        <f>ROUND(AX76*$BE$2,2)+ROUND(AX76*$BE$1,2)</f>
        <v>0.18000000000000005</v>
      </c>
      <c r="BF76" s="578"/>
      <c r="BG76" s="578">
        <f t="shared" si="130"/>
        <v>0.01</v>
      </c>
      <c r="BH76" s="578"/>
      <c r="BI76" s="578"/>
      <c r="BJ76" s="578"/>
      <c r="BK76" s="647"/>
      <c r="BL76" s="647"/>
      <c r="BM76" s="586">
        <f t="shared" si="121"/>
        <v>0</v>
      </c>
      <c r="BN76" s="586">
        <f t="shared" si="122"/>
        <v>40.421281999999998</v>
      </c>
      <c r="BO76" s="586">
        <f t="shared" si="156"/>
        <v>0</v>
      </c>
      <c r="BP76" s="586">
        <f t="shared" si="156"/>
        <v>0</v>
      </c>
      <c r="BQ76" s="586">
        <f t="shared" si="156"/>
        <v>0</v>
      </c>
      <c r="BR76" s="647"/>
      <c r="BS76" s="578">
        <f t="shared" si="157"/>
        <v>0</v>
      </c>
      <c r="BT76" s="578">
        <f t="shared" si="157"/>
        <v>3.5012819999999962</v>
      </c>
      <c r="BU76" s="578">
        <f t="shared" si="157"/>
        <v>0</v>
      </c>
      <c r="BV76" s="578">
        <f t="shared" si="157"/>
        <v>0</v>
      </c>
      <c r="BW76" s="578">
        <f t="shared" si="157"/>
        <v>0</v>
      </c>
      <c r="BX76" s="647"/>
      <c r="BY76" s="647"/>
      <c r="BZ76" s="647"/>
      <c r="CA76" s="647"/>
      <c r="CB76" s="647"/>
      <c r="CC76" s="647"/>
      <c r="CD76" s="647"/>
      <c r="CE76" s="647"/>
      <c r="CF76" s="647"/>
      <c r="CG76" s="647"/>
      <c r="CH76" s="647"/>
      <c r="CI76" s="647"/>
      <c r="CJ76" s="647"/>
      <c r="CK76" s="647"/>
      <c r="CL76" s="647"/>
      <c r="CM76" s="647"/>
      <c r="CN76" s="647"/>
      <c r="CO76" s="647"/>
      <c r="CP76" s="647"/>
      <c r="CQ76" s="647"/>
      <c r="CR76" s="647"/>
      <c r="CS76" s="647"/>
      <c r="CT76" s="647"/>
      <c r="CU76" s="647"/>
      <c r="CV76" s="647"/>
      <c r="CW76" s="647"/>
      <c r="CX76" s="647"/>
      <c r="CY76" s="647"/>
      <c r="CZ76" s="647"/>
      <c r="DA76" s="647"/>
      <c r="DB76" s="647"/>
    </row>
    <row r="77" spans="1:124">
      <c r="E77" s="74">
        <f>SUM(E13:E76)</f>
        <v>22436</v>
      </c>
      <c r="F77" s="75"/>
      <c r="G77" s="73" t="str">
        <f t="shared" si="147"/>
        <v/>
      </c>
      <c r="H77" s="46"/>
      <c r="I77" t="s">
        <v>124</v>
      </c>
      <c r="J77" t="s">
        <v>108</v>
      </c>
      <c r="K77" s="59">
        <v>20000</v>
      </c>
      <c r="L77" s="97">
        <v>611</v>
      </c>
      <c r="M77" s="69">
        <f t="shared" si="146"/>
        <v>6</v>
      </c>
      <c r="N77" s="69">
        <f t="shared" si="146"/>
        <v>0</v>
      </c>
      <c r="O77" s="69">
        <f t="shared" si="146"/>
        <v>0</v>
      </c>
      <c r="P77" s="69">
        <f t="shared" si="146"/>
        <v>0</v>
      </c>
      <c r="Q77" s="69">
        <f t="shared" si="146"/>
        <v>0</v>
      </c>
      <c r="R77" s="580">
        <f t="shared" si="99"/>
        <v>0</v>
      </c>
      <c r="S77" s="618">
        <v>27.56</v>
      </c>
      <c r="T77" s="618">
        <v>0</v>
      </c>
      <c r="U77" s="618">
        <v>0</v>
      </c>
      <c r="V77" s="618">
        <v>0</v>
      </c>
      <c r="W77" s="618">
        <v>0</v>
      </c>
      <c r="Y77" s="70">
        <f>IF(AND(M77&lt;&gt;0,S77=0),#VALUE!,M77*S77)</f>
        <v>165.35999999999999</v>
      </c>
      <c r="Z77" s="70">
        <f t="shared" si="60"/>
        <v>0</v>
      </c>
      <c r="AA77" s="70">
        <f t="shared" si="61"/>
        <v>0</v>
      </c>
      <c r="AB77" s="70">
        <f t="shared" si="62"/>
        <v>0</v>
      </c>
      <c r="AC77" s="70">
        <f t="shared" si="63"/>
        <v>0</v>
      </c>
      <c r="AE77" s="69">
        <f t="shared" si="64"/>
        <v>6</v>
      </c>
      <c r="AF77" s="69">
        <f t="shared" si="126"/>
        <v>0</v>
      </c>
      <c r="AG77" s="69">
        <f t="shared" si="127"/>
        <v>0</v>
      </c>
      <c r="AH77" s="69">
        <f t="shared" si="128"/>
        <v>0</v>
      </c>
      <c r="AI77" s="69">
        <f t="shared" si="129"/>
        <v>0</v>
      </c>
      <c r="AK77" s="435">
        <f t="shared" si="116"/>
        <v>29.85</v>
      </c>
      <c r="AL77" s="435">
        <f t="shared" si="148"/>
        <v>0</v>
      </c>
      <c r="AM77" s="435">
        <f t="shared" ref="AM77:AM97" si="158">ROUND(U77*(1+AM$1),2)</f>
        <v>0</v>
      </c>
      <c r="AN77" s="435">
        <f t="shared" ref="AN77:AN97" si="159">ROUND(V77*(1+AN$1),2)</f>
        <v>0</v>
      </c>
      <c r="AO77" s="435">
        <f t="shared" ref="AO77:AO97" si="160">ROUND(W77*(1+AO$1),2)</f>
        <v>0</v>
      </c>
      <c r="AQ77" s="70">
        <f t="shared" si="117"/>
        <v>179.10000000000002</v>
      </c>
      <c r="AR77" s="70">
        <f t="shared" si="153"/>
        <v>0</v>
      </c>
      <c r="AS77" s="70">
        <f t="shared" si="118"/>
        <v>0</v>
      </c>
      <c r="AT77" s="70">
        <f t="shared" si="119"/>
        <v>0</v>
      </c>
      <c r="AU77" s="70">
        <f t="shared" si="120"/>
        <v>0</v>
      </c>
      <c r="AV77" s="70">
        <f t="shared" si="66"/>
        <v>0</v>
      </c>
      <c r="AW77" s="456" t="e">
        <f t="shared" si="76"/>
        <v>#DIV/0!</v>
      </c>
      <c r="AX77" s="447">
        <v>182</v>
      </c>
      <c r="AY77" s="582">
        <v>28.38</v>
      </c>
      <c r="AZ77" s="582"/>
      <c r="BA77" s="582"/>
      <c r="BB77" s="582"/>
      <c r="BC77" s="582"/>
      <c r="BD77" s="140"/>
      <c r="BE77" s="588">
        <f t="shared" si="67"/>
        <v>0.41000000000000014</v>
      </c>
      <c r="BF77" s="54">
        <f>ROUND((S77*$BF$2)+$BE77-AY77,2)</f>
        <v>0.01</v>
      </c>
      <c r="BG77" s="54"/>
      <c r="BH77" s="54"/>
      <c r="BI77" s="54"/>
      <c r="BJ77" s="54"/>
      <c r="BM77" s="279">
        <f t="shared" si="121"/>
        <v>30.300735</v>
      </c>
      <c r="BN77" s="279">
        <f t="shared" si="122"/>
        <v>0</v>
      </c>
      <c r="BO77" s="279">
        <f t="shared" si="77"/>
        <v>0</v>
      </c>
      <c r="BP77" s="279">
        <f t="shared" si="78"/>
        <v>0</v>
      </c>
      <c r="BQ77" s="279">
        <f t="shared" si="79"/>
        <v>0</v>
      </c>
      <c r="BS77" s="54">
        <f t="shared" si="71"/>
        <v>1.9207350000000005</v>
      </c>
      <c r="BT77" s="54">
        <f t="shared" si="72"/>
        <v>0</v>
      </c>
      <c r="BU77" s="54">
        <f t="shared" si="73"/>
        <v>0</v>
      </c>
      <c r="BV77" s="54">
        <f t="shared" si="74"/>
        <v>0</v>
      </c>
      <c r="BW77" s="54">
        <f t="shared" si="75"/>
        <v>0</v>
      </c>
      <c r="DT77" s="684"/>
    </row>
    <row r="78" spans="1:124">
      <c r="A78" s="443"/>
      <c r="E78" s="73"/>
      <c r="F78" s="73"/>
      <c r="G78" s="73" t="str">
        <f t="shared" si="147"/>
        <v/>
      </c>
      <c r="H78" s="46"/>
      <c r="I78" t="s">
        <v>133</v>
      </c>
      <c r="J78" t="s">
        <v>131</v>
      </c>
      <c r="K78" s="59">
        <v>20000</v>
      </c>
      <c r="L78" s="97">
        <v>615</v>
      </c>
      <c r="M78" s="69">
        <f t="shared" si="146"/>
        <v>0</v>
      </c>
      <c r="N78" s="69">
        <f t="shared" si="146"/>
        <v>0</v>
      </c>
      <c r="O78" s="69">
        <f t="shared" si="146"/>
        <v>0</v>
      </c>
      <c r="P78" s="69">
        <f t="shared" si="146"/>
        <v>87</v>
      </c>
      <c r="Q78" s="69">
        <f t="shared" si="146"/>
        <v>0</v>
      </c>
      <c r="R78" s="580">
        <f t="shared" si="99"/>
        <v>0</v>
      </c>
      <c r="S78" s="618">
        <v>0</v>
      </c>
      <c r="T78" s="618">
        <v>0</v>
      </c>
      <c r="U78" s="618">
        <v>0</v>
      </c>
      <c r="V78" s="618">
        <v>14.91</v>
      </c>
      <c r="W78" s="618">
        <v>0</v>
      </c>
      <c r="Y78" s="70">
        <f t="shared" si="59"/>
        <v>0</v>
      </c>
      <c r="Z78" s="70">
        <f t="shared" si="60"/>
        <v>0</v>
      </c>
      <c r="AA78" s="70">
        <f t="shared" si="61"/>
        <v>0</v>
      </c>
      <c r="AB78" s="70">
        <f t="shared" si="62"/>
        <v>1297.17</v>
      </c>
      <c r="AC78" s="70">
        <f t="shared" si="63"/>
        <v>0</v>
      </c>
      <c r="AE78" s="69">
        <f t="shared" si="64"/>
        <v>0</v>
      </c>
      <c r="AF78" s="69">
        <f t="shared" si="126"/>
        <v>0</v>
      </c>
      <c r="AG78" s="69">
        <f t="shared" si="127"/>
        <v>0</v>
      </c>
      <c r="AH78" s="69">
        <f t="shared" si="128"/>
        <v>87</v>
      </c>
      <c r="AI78" s="69">
        <f t="shared" si="129"/>
        <v>0</v>
      </c>
      <c r="AK78" s="435">
        <f t="shared" si="116"/>
        <v>0</v>
      </c>
      <c r="AL78" s="435">
        <f t="shared" si="148"/>
        <v>0</v>
      </c>
      <c r="AM78" s="435">
        <f t="shared" si="158"/>
        <v>0</v>
      </c>
      <c r="AN78" s="435">
        <f t="shared" si="159"/>
        <v>16.149999999999999</v>
      </c>
      <c r="AO78" s="435">
        <f t="shared" si="160"/>
        <v>0</v>
      </c>
      <c r="AQ78" s="70">
        <f t="shared" ref="AQ78:AQ99" si="161">IF(AND(AE78&lt;&gt;0,AK78=0),#VALUE!,AE78*AK78)</f>
        <v>0</v>
      </c>
      <c r="AR78" s="70">
        <f t="shared" si="153"/>
        <v>0</v>
      </c>
      <c r="AS78" s="70">
        <f t="shared" ref="AS78:AS97" si="162">IF(AND(AG78&lt;&gt;0,AM78=0),#VALUE!,AG78*AM78)</f>
        <v>0</v>
      </c>
      <c r="AT78" s="70">
        <f t="shared" ref="AT78:AT97" si="163">IF(AND(AH78&lt;&gt;0,AN78=0),#VALUE!,AH78*AN78)</f>
        <v>1405.05</v>
      </c>
      <c r="AU78" s="70">
        <f t="shared" ref="AU78:AU97" si="164">IF(AND(AI78&lt;&gt;0,AO78=0),#VALUE!,AI78*AO78)</f>
        <v>0</v>
      </c>
      <c r="AV78" s="70">
        <f t="shared" si="66"/>
        <v>0</v>
      </c>
      <c r="AW78" s="456" t="e">
        <f t="shared" si="76"/>
        <v>#DIV/0!</v>
      </c>
      <c r="AX78" s="447">
        <v>182</v>
      </c>
      <c r="AY78" s="582"/>
      <c r="AZ78" s="582"/>
      <c r="BA78" s="582"/>
      <c r="BB78" s="582">
        <v>15.54</v>
      </c>
      <c r="BC78" s="582"/>
      <c r="BD78" s="140"/>
      <c r="BE78" s="588">
        <f t="shared" ref="BE78:BE97" si="165">ROUND(AX78*$BE$2,2)+ROUND(AX78*$BE$1,2)</f>
        <v>0.41000000000000014</v>
      </c>
      <c r="BF78" s="54"/>
      <c r="BG78" s="54"/>
      <c r="BH78" s="54"/>
      <c r="BI78" s="54">
        <f>ROUND((V78*$BF$2)+$BE78-BB78,2)</f>
        <v>0.01</v>
      </c>
      <c r="BJ78" s="54"/>
      <c r="BM78" s="279">
        <f t="shared" ref="BM78:BM97" si="166">AK78*$BM$1</f>
        <v>0</v>
      </c>
      <c r="BN78" s="279">
        <f t="shared" ref="BN78:BN97" si="167">AL78*$BM$1</f>
        <v>0</v>
      </c>
      <c r="BO78" s="279">
        <f t="shared" si="77"/>
        <v>0</v>
      </c>
      <c r="BP78" s="279">
        <f t="shared" si="78"/>
        <v>16.393864999999998</v>
      </c>
      <c r="BQ78" s="279">
        <f t="shared" si="79"/>
        <v>0</v>
      </c>
      <c r="BS78" s="54">
        <f t="shared" si="71"/>
        <v>0</v>
      </c>
      <c r="BT78" s="54">
        <f t="shared" si="72"/>
        <v>0</v>
      </c>
      <c r="BU78" s="54">
        <f t="shared" si="73"/>
        <v>0</v>
      </c>
      <c r="BV78" s="54">
        <f t="shared" si="74"/>
        <v>0.85386499999999899</v>
      </c>
      <c r="BW78" s="54">
        <f t="shared" si="75"/>
        <v>0</v>
      </c>
      <c r="CU78" s="647"/>
      <c r="CV78" s="647"/>
      <c r="CW78" s="647"/>
      <c r="CX78" s="647"/>
      <c r="CY78" s="647"/>
      <c r="CZ78" s="647"/>
      <c r="DA78" s="647"/>
      <c r="DB78" s="647"/>
      <c r="DC78" s="647"/>
      <c r="DD78" s="647"/>
      <c r="DH78" s="647"/>
      <c r="DI78" s="647"/>
      <c r="DJ78" s="647"/>
      <c r="DK78" s="647"/>
      <c r="DL78" s="647"/>
    </row>
    <row r="79" spans="1:124">
      <c r="B79" s="35">
        <v>2</v>
      </c>
      <c r="C79" s="72" t="s">
        <v>121</v>
      </c>
      <c r="D79" s="35">
        <v>431</v>
      </c>
      <c r="E79" s="560">
        <v>2</v>
      </c>
      <c r="F79" s="73"/>
      <c r="G79" s="73" t="str">
        <f>IF(OR(ISBLANK(C79),ISBLANK(D79)),"",TEXT(C79,"000")&amp;TEXT(D79,"000"))</f>
        <v>044431</v>
      </c>
      <c r="H79" s="46"/>
      <c r="I79" s="758" t="s">
        <v>133</v>
      </c>
      <c r="J79" s="434" t="s">
        <v>937</v>
      </c>
      <c r="K79" s="579">
        <v>20000</v>
      </c>
      <c r="L79" s="581">
        <v>618</v>
      </c>
      <c r="M79" s="580">
        <f t="shared" si="146"/>
        <v>0</v>
      </c>
      <c r="N79" s="580">
        <f t="shared" si="146"/>
        <v>0</v>
      </c>
      <c r="O79" s="580">
        <f t="shared" si="146"/>
        <v>0</v>
      </c>
      <c r="P79" s="580">
        <f t="shared" si="146"/>
        <v>87</v>
      </c>
      <c r="Q79" s="580">
        <f t="shared" si="146"/>
        <v>0</v>
      </c>
      <c r="R79" s="580">
        <f t="shared" ref="R79" si="168">IF(SUM(M79:Q79)&gt;0,0,1)</f>
        <v>0</v>
      </c>
      <c r="S79" s="618">
        <v>0</v>
      </c>
      <c r="T79" s="618">
        <v>0</v>
      </c>
      <c r="U79" s="618">
        <v>0</v>
      </c>
      <c r="V79" s="648">
        <f>V78-((182-124)*0.105)</f>
        <v>8.82</v>
      </c>
      <c r="W79" s="618">
        <v>0</v>
      </c>
      <c r="X79" s="758"/>
      <c r="Y79" s="70">
        <f t="shared" ref="Y79" si="169">IF(AND(M79&lt;&gt;0,S79=0),#VALUE!,M79*S79)</f>
        <v>0</v>
      </c>
      <c r="Z79" s="70">
        <f t="shared" ref="Z79" si="170">IF(AND(N79&lt;&gt;0,T79=0),#VALUE!,N79*T79)</f>
        <v>0</v>
      </c>
      <c r="AA79" s="70">
        <f t="shared" ref="AA79" si="171">IF(AND(O79&lt;&gt;0,U79=0),#VALUE!,O79*U79)</f>
        <v>0</v>
      </c>
      <c r="AB79" s="70">
        <f t="shared" ref="AB79" si="172">IF(AND(P79&lt;&gt;0,V79=0),#VALUE!,P79*V79)</f>
        <v>767.34</v>
      </c>
      <c r="AC79" s="70">
        <f t="shared" ref="AC79" si="173">IF(AND(Q79&lt;&gt;0,W79=0),#VALUE!,Q79*W79)</f>
        <v>0</v>
      </c>
      <c r="AD79" s="758"/>
      <c r="AE79" s="580">
        <f t="shared" ref="AE79" si="174">M79</f>
        <v>0</v>
      </c>
      <c r="AF79" s="580">
        <f t="shared" ref="AF79" si="175">N79</f>
        <v>0</v>
      </c>
      <c r="AG79" s="580">
        <f t="shared" ref="AG79" si="176">O79</f>
        <v>0</v>
      </c>
      <c r="AH79" s="580">
        <f t="shared" ref="AH79" si="177">P79</f>
        <v>87</v>
      </c>
      <c r="AI79" s="580">
        <f t="shared" ref="AI79" si="178">Q79</f>
        <v>0</v>
      </c>
      <c r="AJ79" s="758"/>
      <c r="AK79" s="585">
        <f t="shared" ref="AK79" si="179">ROUND(S79*(1+AK$1),2)</f>
        <v>0</v>
      </c>
      <c r="AL79" s="585">
        <f t="shared" ref="AL79" si="180">ROUND(T79*(1+AL$1),2)</f>
        <v>0</v>
      </c>
      <c r="AM79" s="585">
        <f t="shared" ref="AM79" si="181">ROUND(U79*(1+AM$1),2)</f>
        <v>0</v>
      </c>
      <c r="AN79" s="585">
        <f t="shared" ref="AN79" si="182">ROUND(V79*(1+AN$1),2)</f>
        <v>9.5500000000000007</v>
      </c>
      <c r="AO79" s="585">
        <f t="shared" ref="AO79" si="183">ROUND(W79*(1+AO$1),2)</f>
        <v>0</v>
      </c>
      <c r="AP79" s="758"/>
      <c r="AQ79" s="70">
        <f t="shared" ref="AQ79" si="184">IF(AND(AE79&lt;&gt;0,AK79=0),#VALUE!,AE79*AK79)</f>
        <v>0</v>
      </c>
      <c r="AR79" s="70">
        <f t="shared" ref="AR79" si="185">IF(AND(AF79&lt;&gt;0,AL79=0),#VALUE!,AF79*AL79)</f>
        <v>0</v>
      </c>
      <c r="AS79" s="70">
        <f t="shared" ref="AS79" si="186">IF(AND(AG79&lt;&gt;0,AM79=0),#VALUE!,AG79*AM79)</f>
        <v>0</v>
      </c>
      <c r="AT79" s="70">
        <f t="shared" ref="AT79" si="187">IF(AND(AH79&lt;&gt;0,AN79=0),#VALUE!,AH79*AN79)</f>
        <v>830.85</v>
      </c>
      <c r="AU79" s="70">
        <f t="shared" ref="AU79" si="188">IF(AND(AI79&lt;&gt;0,AO79=0),#VALUE!,AI79*AO79)</f>
        <v>0</v>
      </c>
      <c r="AV79" s="70">
        <f t="shared" si="66"/>
        <v>0</v>
      </c>
      <c r="AW79" s="456" t="e">
        <f t="shared" si="76"/>
        <v>#DIV/0!</v>
      </c>
      <c r="AX79" s="592">
        <v>124</v>
      </c>
      <c r="AY79" s="582"/>
      <c r="AZ79" s="582"/>
      <c r="BA79" s="582"/>
      <c r="BB79" s="582">
        <v>9.2200000000000006</v>
      </c>
      <c r="BC79" s="582"/>
      <c r="BD79" s="582"/>
      <c r="BE79" s="588">
        <f t="shared" ref="BE79" si="189">ROUND(AX79*$BE$2,2)+ROUND(AX79*$BE$1,2)</f>
        <v>0.28000000000000003</v>
      </c>
      <c r="BF79" s="578"/>
      <c r="BG79" s="578"/>
      <c r="BH79" s="578"/>
      <c r="BI79" s="578">
        <f>ROUND((V79*$BF$2)+$BE79-BB79,2)</f>
        <v>0.01</v>
      </c>
      <c r="BJ79" s="578"/>
      <c r="BK79" s="758"/>
      <c r="BL79" s="758"/>
      <c r="BM79" s="586">
        <f t="shared" ref="BM79" si="190">AK79*$BM$1</f>
        <v>0</v>
      </c>
      <c r="BN79" s="586">
        <f t="shared" ref="BN79" si="191">AL79*$BM$1</f>
        <v>0</v>
      </c>
      <c r="BO79" s="586">
        <f t="shared" ref="BO79" si="192">AM79*$BM$1</f>
        <v>0</v>
      </c>
      <c r="BP79" s="586">
        <f t="shared" ref="BP79" si="193">AN79*$BM$1</f>
        <v>9.6942050000000002</v>
      </c>
      <c r="BQ79" s="586">
        <f t="shared" ref="BQ79" si="194">AO79*$BM$1</f>
        <v>0</v>
      </c>
      <c r="BR79" s="758"/>
      <c r="BS79" s="578">
        <f t="shared" ref="BS79" si="195">BM79-AY79</f>
        <v>0</v>
      </c>
      <c r="BT79" s="578">
        <f t="shared" ref="BT79" si="196">BN79-AZ79</f>
        <v>0</v>
      </c>
      <c r="BU79" s="578">
        <f t="shared" ref="BU79" si="197">BO79-BA79</f>
        <v>0</v>
      </c>
      <c r="BV79" s="578">
        <f t="shared" ref="BV79" si="198">BP79-BB79</f>
        <v>0.47420499999999954</v>
      </c>
      <c r="BW79" s="578">
        <f t="shared" ref="BW79" si="199">BQ79-BC79</f>
        <v>0</v>
      </c>
      <c r="BX79" s="758"/>
      <c r="BY79" s="758"/>
      <c r="BZ79" s="758"/>
      <c r="CA79" s="758"/>
      <c r="CB79" s="758"/>
      <c r="CC79" s="758"/>
      <c r="CD79" s="758"/>
      <c r="CE79" s="758"/>
      <c r="CF79" s="758"/>
      <c r="CG79" s="758"/>
      <c r="CH79" s="758"/>
      <c r="CI79" s="758"/>
      <c r="CJ79" s="758"/>
      <c r="CK79" s="758"/>
      <c r="CL79" s="758"/>
      <c r="CM79" s="758"/>
      <c r="CN79" s="758"/>
      <c r="CO79" s="758"/>
      <c r="CP79" s="758"/>
      <c r="CQ79" s="758"/>
      <c r="CR79" s="758"/>
      <c r="CS79" s="758"/>
      <c r="CT79" s="758"/>
    </row>
    <row r="80" spans="1:124">
      <c r="B80" s="35">
        <v>2</v>
      </c>
      <c r="C80" s="72" t="s">
        <v>121</v>
      </c>
      <c r="D80" s="35">
        <v>432</v>
      </c>
      <c r="E80" s="560">
        <v>4</v>
      </c>
      <c r="F80" s="73"/>
      <c r="G80" s="73" t="str">
        <f t="shared" si="147"/>
        <v>044432</v>
      </c>
      <c r="H80" s="46"/>
      <c r="I80" t="s">
        <v>128</v>
      </c>
      <c r="J80" t="s">
        <v>842</v>
      </c>
      <c r="K80" s="59" t="s">
        <v>143</v>
      </c>
      <c r="L80" s="97">
        <v>631</v>
      </c>
      <c r="M80" s="69">
        <f t="shared" si="146"/>
        <v>0</v>
      </c>
      <c r="N80" s="69">
        <f t="shared" si="146"/>
        <v>38</v>
      </c>
      <c r="O80" s="69">
        <f t="shared" si="146"/>
        <v>0</v>
      </c>
      <c r="P80" s="69">
        <f t="shared" si="146"/>
        <v>0</v>
      </c>
      <c r="Q80" s="69">
        <f t="shared" si="146"/>
        <v>0</v>
      </c>
      <c r="R80" s="580">
        <f t="shared" si="99"/>
        <v>0</v>
      </c>
      <c r="S80" s="618">
        <v>0</v>
      </c>
      <c r="T80" s="618">
        <v>23.69</v>
      </c>
      <c r="U80" s="618">
        <v>13.59</v>
      </c>
      <c r="V80" s="618">
        <v>0</v>
      </c>
      <c r="W80" s="618">
        <v>0</v>
      </c>
      <c r="Y80" s="70">
        <f t="shared" si="59"/>
        <v>0</v>
      </c>
      <c r="Z80" s="70">
        <f t="shared" si="60"/>
        <v>900.22</v>
      </c>
      <c r="AA80" s="70">
        <f t="shared" si="61"/>
        <v>0</v>
      </c>
      <c r="AB80" s="70">
        <f t="shared" si="62"/>
        <v>0</v>
      </c>
      <c r="AC80" s="70">
        <f t="shared" si="63"/>
        <v>0</v>
      </c>
      <c r="AE80" s="69">
        <f t="shared" si="64"/>
        <v>0</v>
      </c>
      <c r="AF80" s="69">
        <f t="shared" si="126"/>
        <v>38</v>
      </c>
      <c r="AG80" s="69">
        <f t="shared" si="127"/>
        <v>0</v>
      </c>
      <c r="AH80" s="69">
        <f t="shared" si="128"/>
        <v>0</v>
      </c>
      <c r="AI80" s="69">
        <f t="shared" si="129"/>
        <v>0</v>
      </c>
      <c r="AK80" s="435">
        <f t="shared" si="116"/>
        <v>0</v>
      </c>
      <c r="AL80" s="435">
        <f t="shared" si="148"/>
        <v>25.5</v>
      </c>
      <c r="AM80" s="638">
        <f t="shared" si="158"/>
        <v>14.72</v>
      </c>
      <c r="AN80" s="435">
        <f t="shared" si="159"/>
        <v>0</v>
      </c>
      <c r="AO80" s="435">
        <f t="shared" si="160"/>
        <v>0</v>
      </c>
      <c r="AQ80" s="70">
        <f t="shared" si="161"/>
        <v>0</v>
      </c>
      <c r="AR80" s="70">
        <f t="shared" si="153"/>
        <v>969</v>
      </c>
      <c r="AS80" s="70">
        <f t="shared" si="162"/>
        <v>0</v>
      </c>
      <c r="AT80" s="70">
        <f t="shared" si="163"/>
        <v>0</v>
      </c>
      <c r="AU80" s="70">
        <f t="shared" si="164"/>
        <v>0</v>
      </c>
      <c r="AV80" s="70">
        <f t="shared" si="66"/>
        <v>68.779999999999973</v>
      </c>
      <c r="AW80" s="456">
        <f t="shared" si="76"/>
        <v>7.640354579991554E-2</v>
      </c>
      <c r="AX80" s="447">
        <v>107</v>
      </c>
      <c r="AY80" s="582"/>
      <c r="AZ80" s="582">
        <v>24.29</v>
      </c>
      <c r="BA80" s="582">
        <v>14.04</v>
      </c>
      <c r="BB80" s="582"/>
      <c r="BC80" s="582"/>
      <c r="BD80" s="140"/>
      <c r="BE80" s="588">
        <f t="shared" si="165"/>
        <v>0.22999999999999998</v>
      </c>
      <c r="BF80" s="54"/>
      <c r="BG80" s="54">
        <f>ROUND((T80*$BF$2)+$BE80-AZ80,2)</f>
        <v>-0.01</v>
      </c>
      <c r="BH80" s="54">
        <f>ROUND((U80*$BF$2)+$BE80-BA80,2)</f>
        <v>-0.01</v>
      </c>
      <c r="BI80" s="54"/>
      <c r="BJ80" s="54"/>
      <c r="BM80" s="279">
        <f t="shared" si="166"/>
        <v>0</v>
      </c>
      <c r="BN80" s="279">
        <f t="shared" si="167"/>
        <v>25.885049999999996</v>
      </c>
      <c r="BO80" s="279">
        <f t="shared" si="77"/>
        <v>14.942271999999999</v>
      </c>
      <c r="BP80" s="279">
        <f t="shared" si="78"/>
        <v>0</v>
      </c>
      <c r="BQ80" s="279">
        <f t="shared" si="79"/>
        <v>0</v>
      </c>
      <c r="BS80" s="54">
        <f t="shared" si="71"/>
        <v>0</v>
      </c>
      <c r="BT80" s="54">
        <f t="shared" si="72"/>
        <v>1.595049999999997</v>
      </c>
      <c r="BU80" s="54">
        <f t="shared" si="73"/>
        <v>0.90227199999999996</v>
      </c>
      <c r="BV80" s="54">
        <f t="shared" si="74"/>
        <v>0</v>
      </c>
      <c r="BW80" s="54">
        <f t="shared" si="75"/>
        <v>0</v>
      </c>
      <c r="DC80" s="647"/>
      <c r="DD80" s="647"/>
      <c r="DE80" s="647"/>
      <c r="DF80" s="647"/>
      <c r="DG80" s="647"/>
    </row>
    <row r="81" spans="1:180">
      <c r="B81" s="35">
        <v>2</v>
      </c>
      <c r="C81" s="72" t="s">
        <v>121</v>
      </c>
      <c r="D81" s="35">
        <v>433</v>
      </c>
      <c r="E81" s="560">
        <v>6</v>
      </c>
      <c r="F81" s="73"/>
      <c r="G81" s="73" t="str">
        <f t="shared" si="147"/>
        <v>044433</v>
      </c>
      <c r="H81" s="46"/>
      <c r="I81" s="614" t="s">
        <v>128</v>
      </c>
      <c r="J81" s="614" t="s">
        <v>109</v>
      </c>
      <c r="K81" s="619" t="s">
        <v>143</v>
      </c>
      <c r="L81" s="620">
        <v>632</v>
      </c>
      <c r="M81" s="636">
        <f t="shared" ref="M81:Q90" si="200">SUMIF($G:$G,TEXT(M$3,"000")&amp;TEXT($L81,"000"),$E:$E)</f>
        <v>0</v>
      </c>
      <c r="N81" s="636">
        <f t="shared" si="200"/>
        <v>0</v>
      </c>
      <c r="O81" s="636">
        <f t="shared" si="200"/>
        <v>0</v>
      </c>
      <c r="P81" s="636">
        <f t="shared" si="200"/>
        <v>0</v>
      </c>
      <c r="Q81" s="636">
        <f t="shared" si="200"/>
        <v>0</v>
      </c>
      <c r="R81" s="636">
        <f t="shared" si="99"/>
        <v>1</v>
      </c>
      <c r="S81" s="637">
        <v>0</v>
      </c>
      <c r="T81" s="637"/>
      <c r="U81" s="637">
        <v>13.59</v>
      </c>
      <c r="V81" s="637">
        <v>0</v>
      </c>
      <c r="W81" s="637">
        <v>0</v>
      </c>
      <c r="X81" s="614"/>
      <c r="Y81" s="694">
        <f t="shared" si="59"/>
        <v>0</v>
      </c>
      <c r="Z81" s="694">
        <f t="shared" si="60"/>
        <v>0</v>
      </c>
      <c r="AA81" s="694">
        <f t="shared" si="61"/>
        <v>0</v>
      </c>
      <c r="AB81" s="694">
        <f t="shared" si="62"/>
        <v>0</v>
      </c>
      <c r="AC81" s="694">
        <f t="shared" si="63"/>
        <v>0</v>
      </c>
      <c r="AD81" s="614"/>
      <c r="AE81" s="636">
        <f t="shared" si="64"/>
        <v>0</v>
      </c>
      <c r="AF81" s="636">
        <f t="shared" si="126"/>
        <v>0</v>
      </c>
      <c r="AG81" s="636">
        <f t="shared" si="127"/>
        <v>0</v>
      </c>
      <c r="AH81" s="636">
        <f t="shared" si="128"/>
        <v>0</v>
      </c>
      <c r="AI81" s="636">
        <f t="shared" si="129"/>
        <v>0</v>
      </c>
      <c r="AJ81" s="614"/>
      <c r="AK81" s="638">
        <f t="shared" si="116"/>
        <v>0</v>
      </c>
      <c r="AL81" s="638">
        <f t="shared" si="148"/>
        <v>0</v>
      </c>
      <c r="AM81" s="638">
        <f t="shared" si="158"/>
        <v>14.72</v>
      </c>
      <c r="AN81" s="638">
        <f t="shared" si="159"/>
        <v>0</v>
      </c>
      <c r="AO81" s="638">
        <f t="shared" si="160"/>
        <v>0</v>
      </c>
      <c r="AP81" s="614"/>
      <c r="AQ81" s="694">
        <f t="shared" si="161"/>
        <v>0</v>
      </c>
      <c r="AR81" s="694">
        <f t="shared" si="153"/>
        <v>0</v>
      </c>
      <c r="AS81" s="694">
        <f t="shared" si="162"/>
        <v>0</v>
      </c>
      <c r="AT81" s="694">
        <f t="shared" si="163"/>
        <v>0</v>
      </c>
      <c r="AU81" s="694">
        <f t="shared" si="164"/>
        <v>0</v>
      </c>
      <c r="AV81" s="694">
        <f t="shared" si="66"/>
        <v>0</v>
      </c>
      <c r="AW81" s="456" t="e">
        <f t="shared" si="76"/>
        <v>#DIV/0!</v>
      </c>
      <c r="AX81" s="447">
        <v>107</v>
      </c>
      <c r="AY81" s="582"/>
      <c r="AZ81" s="582"/>
      <c r="BA81" s="582">
        <v>14.04</v>
      </c>
      <c r="BB81" s="582"/>
      <c r="BC81" s="582"/>
      <c r="BD81" s="140"/>
      <c r="BE81" s="588">
        <f t="shared" si="165"/>
        <v>0.22999999999999998</v>
      </c>
      <c r="BF81" s="54"/>
      <c r="BG81" s="54"/>
      <c r="BH81" s="54">
        <f>ROUND((U81*$BF$2)+$BE81-BA81,2)</f>
        <v>-0.01</v>
      </c>
      <c r="BI81" s="54"/>
      <c r="BJ81" s="54"/>
      <c r="BM81" s="279">
        <f t="shared" si="166"/>
        <v>0</v>
      </c>
      <c r="BN81" s="279">
        <f t="shared" si="167"/>
        <v>0</v>
      </c>
      <c r="BO81" s="279">
        <f t="shared" si="77"/>
        <v>14.942271999999999</v>
      </c>
      <c r="BP81" s="279">
        <f t="shared" si="78"/>
        <v>0</v>
      </c>
      <c r="BQ81" s="279">
        <f t="shared" si="79"/>
        <v>0</v>
      </c>
      <c r="BS81" s="54">
        <f t="shared" si="71"/>
        <v>0</v>
      </c>
      <c r="BT81" s="54">
        <f t="shared" si="72"/>
        <v>0</v>
      </c>
      <c r="BU81" s="54">
        <f t="shared" si="73"/>
        <v>0.90227199999999996</v>
      </c>
      <c r="BV81" s="54">
        <f t="shared" si="74"/>
        <v>0</v>
      </c>
      <c r="BW81" s="54">
        <f t="shared" si="75"/>
        <v>0</v>
      </c>
      <c r="CU81" s="758"/>
    </row>
    <row r="82" spans="1:180">
      <c r="B82" s="35">
        <v>2</v>
      </c>
      <c r="C82" s="72" t="s">
        <v>121</v>
      </c>
      <c r="D82" s="35">
        <v>435</v>
      </c>
      <c r="E82" s="560">
        <f>11+1+5</f>
        <v>17</v>
      </c>
      <c r="F82" s="73"/>
      <c r="G82" s="73" t="str">
        <f t="shared" si="147"/>
        <v>044435</v>
      </c>
      <c r="H82" s="46"/>
      <c r="I82" t="s">
        <v>128</v>
      </c>
      <c r="J82" t="s">
        <v>110</v>
      </c>
      <c r="K82" s="59" t="s">
        <v>143</v>
      </c>
      <c r="L82" s="97">
        <v>633</v>
      </c>
      <c r="M82" s="69">
        <f t="shared" si="200"/>
        <v>0</v>
      </c>
      <c r="N82" s="69">
        <f t="shared" si="200"/>
        <v>34</v>
      </c>
      <c r="O82" s="69">
        <f t="shared" si="200"/>
        <v>0</v>
      </c>
      <c r="P82" s="69">
        <f t="shared" si="200"/>
        <v>0</v>
      </c>
      <c r="Q82" s="69">
        <f t="shared" si="200"/>
        <v>0</v>
      </c>
      <c r="R82" s="580">
        <f t="shared" si="99"/>
        <v>0</v>
      </c>
      <c r="S82" s="618">
        <v>0</v>
      </c>
      <c r="T82" s="618">
        <v>39.22</v>
      </c>
      <c r="U82" s="618">
        <v>13.59</v>
      </c>
      <c r="V82" s="618">
        <v>0</v>
      </c>
      <c r="W82" s="618">
        <v>0</v>
      </c>
      <c r="Y82" s="70">
        <f t="shared" si="59"/>
        <v>0</v>
      </c>
      <c r="Z82" s="70">
        <f t="shared" si="60"/>
        <v>1333.48</v>
      </c>
      <c r="AA82" s="70">
        <f t="shared" si="61"/>
        <v>0</v>
      </c>
      <c r="AB82" s="70">
        <f t="shared" si="62"/>
        <v>0</v>
      </c>
      <c r="AC82" s="70">
        <f t="shared" si="63"/>
        <v>0</v>
      </c>
      <c r="AE82" s="69">
        <f t="shared" si="64"/>
        <v>0</v>
      </c>
      <c r="AF82" s="69">
        <f t="shared" si="126"/>
        <v>34</v>
      </c>
      <c r="AG82" s="69">
        <f t="shared" si="127"/>
        <v>0</v>
      </c>
      <c r="AH82" s="69">
        <f t="shared" si="128"/>
        <v>0</v>
      </c>
      <c r="AI82" s="69">
        <f t="shared" si="129"/>
        <v>0</v>
      </c>
      <c r="AK82" s="435">
        <f t="shared" si="116"/>
        <v>0</v>
      </c>
      <c r="AL82" s="435">
        <f t="shared" si="148"/>
        <v>42.22</v>
      </c>
      <c r="AM82" s="638">
        <f t="shared" si="158"/>
        <v>14.72</v>
      </c>
      <c r="AN82" s="435">
        <f t="shared" si="159"/>
        <v>0</v>
      </c>
      <c r="AO82" s="435">
        <f t="shared" si="160"/>
        <v>0</v>
      </c>
      <c r="AQ82" s="70">
        <f t="shared" si="161"/>
        <v>0</v>
      </c>
      <c r="AR82" s="70">
        <f t="shared" si="153"/>
        <v>1435.48</v>
      </c>
      <c r="AS82" s="70">
        <f t="shared" si="162"/>
        <v>0</v>
      </c>
      <c r="AT82" s="70">
        <f t="shared" si="163"/>
        <v>0</v>
      </c>
      <c r="AU82" s="70">
        <f t="shared" si="164"/>
        <v>0</v>
      </c>
      <c r="AV82" s="70">
        <f t="shared" si="66"/>
        <v>102</v>
      </c>
      <c r="AW82" s="456">
        <f t="shared" si="76"/>
        <v>7.6491585925548194E-2</v>
      </c>
      <c r="AX82" s="447">
        <v>107</v>
      </c>
      <c r="AY82" s="582"/>
      <c r="AZ82" s="582">
        <v>40.049999999999997</v>
      </c>
      <c r="BA82" s="582">
        <v>14.04</v>
      </c>
      <c r="BB82" s="582"/>
      <c r="BC82" s="582"/>
      <c r="BD82" s="140"/>
      <c r="BE82" s="588">
        <f t="shared" si="165"/>
        <v>0.22999999999999998</v>
      </c>
      <c r="BF82" s="54"/>
      <c r="BG82" s="54">
        <f>ROUND((T82*$BF$2)+$BE82-AZ82,2)</f>
        <v>-0.01</v>
      </c>
      <c r="BH82" s="54">
        <f>ROUND((U82*$BF$2)+$BE82-BA82,2)</f>
        <v>-0.01</v>
      </c>
      <c r="BI82" s="54"/>
      <c r="BJ82" s="54"/>
      <c r="BM82" s="279">
        <f t="shared" si="166"/>
        <v>0</v>
      </c>
      <c r="BN82" s="279">
        <f t="shared" si="167"/>
        <v>42.857521999999996</v>
      </c>
      <c r="BO82" s="279">
        <f t="shared" si="77"/>
        <v>14.942271999999999</v>
      </c>
      <c r="BP82" s="279">
        <f t="shared" si="78"/>
        <v>0</v>
      </c>
      <c r="BQ82" s="279">
        <f t="shared" si="79"/>
        <v>0</v>
      </c>
      <c r="BS82" s="54">
        <f t="shared" si="71"/>
        <v>0</v>
      </c>
      <c r="BT82" s="54">
        <f t="shared" si="72"/>
        <v>2.8075219999999987</v>
      </c>
      <c r="BU82" s="54">
        <f t="shared" si="73"/>
        <v>0.90227199999999996</v>
      </c>
      <c r="BV82" s="54">
        <f t="shared" si="74"/>
        <v>0</v>
      </c>
      <c r="BW82" s="54">
        <f t="shared" si="75"/>
        <v>0</v>
      </c>
    </row>
    <row r="83" spans="1:180">
      <c r="B83" s="35">
        <v>2</v>
      </c>
      <c r="C83" s="72" t="s">
        <v>121</v>
      </c>
      <c r="D83" s="35">
        <v>531</v>
      </c>
      <c r="E83" s="560">
        <v>1</v>
      </c>
      <c r="F83" s="73"/>
      <c r="G83" s="73" t="str">
        <f t="shared" si="147"/>
        <v>044531</v>
      </c>
      <c r="H83" s="46"/>
      <c r="I83" t="s">
        <v>128</v>
      </c>
      <c r="J83" t="s">
        <v>144</v>
      </c>
      <c r="K83" s="59" t="s">
        <v>143</v>
      </c>
      <c r="L83" s="97">
        <v>635</v>
      </c>
      <c r="M83" s="69">
        <f t="shared" si="200"/>
        <v>0</v>
      </c>
      <c r="N83" s="69">
        <f t="shared" si="200"/>
        <v>0</v>
      </c>
      <c r="O83" s="69">
        <f t="shared" si="200"/>
        <v>1</v>
      </c>
      <c r="P83" s="69">
        <f t="shared" si="200"/>
        <v>0</v>
      </c>
      <c r="Q83" s="69">
        <f t="shared" si="200"/>
        <v>236</v>
      </c>
      <c r="R83" s="580">
        <f t="shared" si="99"/>
        <v>0</v>
      </c>
      <c r="S83" s="618">
        <v>0</v>
      </c>
      <c r="T83" s="618">
        <v>0</v>
      </c>
      <c r="U83" s="618">
        <v>13.59</v>
      </c>
      <c r="V83" s="618">
        <v>0</v>
      </c>
      <c r="W83" s="618">
        <v>11.12</v>
      </c>
      <c r="Y83" s="70">
        <f t="shared" si="59"/>
        <v>0</v>
      </c>
      <c r="Z83" s="70">
        <f t="shared" si="60"/>
        <v>0</v>
      </c>
      <c r="AA83" s="70">
        <f t="shared" si="61"/>
        <v>13.59</v>
      </c>
      <c r="AB83" s="70">
        <f t="shared" si="62"/>
        <v>0</v>
      </c>
      <c r="AC83" s="70">
        <f t="shared" si="63"/>
        <v>2624.3199999999997</v>
      </c>
      <c r="AE83" s="69">
        <f t="shared" si="64"/>
        <v>0</v>
      </c>
      <c r="AF83" s="69">
        <f t="shared" si="126"/>
        <v>0</v>
      </c>
      <c r="AG83" s="69">
        <f t="shared" si="127"/>
        <v>1</v>
      </c>
      <c r="AH83" s="69">
        <f t="shared" si="128"/>
        <v>0</v>
      </c>
      <c r="AI83" s="69">
        <f t="shared" si="129"/>
        <v>236</v>
      </c>
      <c r="AK83" s="435">
        <f t="shared" si="116"/>
        <v>0</v>
      </c>
      <c r="AL83" s="435">
        <f t="shared" si="148"/>
        <v>0</v>
      </c>
      <c r="AM83" s="435">
        <f t="shared" si="158"/>
        <v>14.72</v>
      </c>
      <c r="AN83" s="435">
        <f t="shared" si="159"/>
        <v>0</v>
      </c>
      <c r="AO83" s="435">
        <f t="shared" si="160"/>
        <v>12.04</v>
      </c>
      <c r="AQ83" s="70">
        <f t="shared" si="161"/>
        <v>0</v>
      </c>
      <c r="AR83" s="70">
        <f t="shared" si="153"/>
        <v>0</v>
      </c>
      <c r="AS83" s="70">
        <f t="shared" si="162"/>
        <v>14.72</v>
      </c>
      <c r="AT83" s="70">
        <f t="shared" si="163"/>
        <v>0</v>
      </c>
      <c r="AU83" s="70">
        <f t="shared" si="164"/>
        <v>2841.4399999999996</v>
      </c>
      <c r="AV83" s="70">
        <f t="shared" si="66"/>
        <v>0</v>
      </c>
      <c r="AW83" s="456" t="e">
        <f t="shared" si="76"/>
        <v>#DIV/0!</v>
      </c>
      <c r="AX83" s="447">
        <v>107</v>
      </c>
      <c r="AY83" s="582"/>
      <c r="AZ83" s="582"/>
      <c r="BA83" s="582">
        <v>14.04</v>
      </c>
      <c r="BB83" s="582"/>
      <c r="BC83" s="582">
        <v>11.53</v>
      </c>
      <c r="BD83" s="140"/>
      <c r="BE83" s="588">
        <f t="shared" si="165"/>
        <v>0.22999999999999998</v>
      </c>
      <c r="BF83" s="54"/>
      <c r="BG83" s="54"/>
      <c r="BH83" s="54">
        <f>ROUND((U83*$BF$2)+$BE83-BA83,2)</f>
        <v>-0.01</v>
      </c>
      <c r="BI83" s="54"/>
      <c r="BJ83" s="54">
        <f>ROUND((W83*$BF$2)+$BE83-BC83,2)</f>
        <v>-0.01</v>
      </c>
      <c r="BM83" s="279">
        <f t="shared" si="166"/>
        <v>0</v>
      </c>
      <c r="BN83" s="279">
        <f t="shared" si="167"/>
        <v>0</v>
      </c>
      <c r="BO83" s="279">
        <f t="shared" si="77"/>
        <v>14.942271999999999</v>
      </c>
      <c r="BP83" s="279">
        <f t="shared" si="78"/>
        <v>0</v>
      </c>
      <c r="BQ83" s="279">
        <f t="shared" si="79"/>
        <v>12.221803999999997</v>
      </c>
      <c r="BS83" s="54">
        <f t="shared" si="71"/>
        <v>0</v>
      </c>
      <c r="BT83" s="54">
        <f t="shared" si="72"/>
        <v>0</v>
      </c>
      <c r="BU83" s="54">
        <f t="shared" si="73"/>
        <v>0.90227199999999996</v>
      </c>
      <c r="BV83" s="54">
        <f t="shared" si="74"/>
        <v>0</v>
      </c>
      <c r="BW83" s="54">
        <f t="shared" si="75"/>
        <v>0.69180399999999764</v>
      </c>
    </row>
    <row r="84" spans="1:180">
      <c r="B84" s="35">
        <v>2</v>
      </c>
      <c r="C84" s="72" t="s">
        <v>121</v>
      </c>
      <c r="D84" s="35">
        <v>532</v>
      </c>
      <c r="E84" s="560">
        <v>89</v>
      </c>
      <c r="F84" s="73"/>
      <c r="G84" s="73" t="str">
        <f t="shared" si="147"/>
        <v>044532</v>
      </c>
      <c r="H84" s="46"/>
      <c r="I84" t="s">
        <v>128</v>
      </c>
      <c r="J84" t="s">
        <v>136</v>
      </c>
      <c r="K84" s="59" t="s">
        <v>143</v>
      </c>
      <c r="L84" s="97">
        <v>636</v>
      </c>
      <c r="M84" s="69">
        <f t="shared" si="200"/>
        <v>0</v>
      </c>
      <c r="N84" s="69">
        <f t="shared" si="200"/>
        <v>2</v>
      </c>
      <c r="O84" s="69">
        <f t="shared" si="200"/>
        <v>0</v>
      </c>
      <c r="P84" s="69">
        <f t="shared" si="200"/>
        <v>0</v>
      </c>
      <c r="Q84" s="69">
        <f t="shared" si="200"/>
        <v>0</v>
      </c>
      <c r="R84" s="580">
        <f t="shared" si="99"/>
        <v>0</v>
      </c>
      <c r="S84" s="618">
        <v>0</v>
      </c>
      <c r="T84" s="618">
        <v>27.86</v>
      </c>
      <c r="U84" s="618">
        <v>0</v>
      </c>
      <c r="V84" s="618">
        <v>0</v>
      </c>
      <c r="W84" s="618">
        <v>0</v>
      </c>
      <c r="Y84" s="70">
        <f t="shared" si="59"/>
        <v>0</v>
      </c>
      <c r="Z84" s="70">
        <f t="shared" si="60"/>
        <v>55.72</v>
      </c>
      <c r="AA84" s="70">
        <f t="shared" si="61"/>
        <v>0</v>
      </c>
      <c r="AB84" s="70">
        <f t="shared" si="62"/>
        <v>0</v>
      </c>
      <c r="AC84" s="70">
        <f t="shared" si="63"/>
        <v>0</v>
      </c>
      <c r="AE84" s="69">
        <f t="shared" si="64"/>
        <v>0</v>
      </c>
      <c r="AF84" s="69">
        <f t="shared" si="126"/>
        <v>2</v>
      </c>
      <c r="AG84" s="69">
        <f t="shared" si="127"/>
        <v>0</v>
      </c>
      <c r="AH84" s="69">
        <f t="shared" si="128"/>
        <v>0</v>
      </c>
      <c r="AI84" s="69">
        <f t="shared" si="129"/>
        <v>0</v>
      </c>
      <c r="AK84" s="435">
        <f t="shared" si="116"/>
        <v>0</v>
      </c>
      <c r="AL84" s="585">
        <f t="shared" si="148"/>
        <v>29.99</v>
      </c>
      <c r="AM84" s="435">
        <f t="shared" si="158"/>
        <v>0</v>
      </c>
      <c r="AN84" s="435">
        <f t="shared" si="159"/>
        <v>0</v>
      </c>
      <c r="AO84" s="435">
        <f t="shared" si="160"/>
        <v>0</v>
      </c>
      <c r="AQ84" s="70">
        <f t="shared" si="161"/>
        <v>0</v>
      </c>
      <c r="AR84" s="70">
        <f t="shared" si="153"/>
        <v>59.98</v>
      </c>
      <c r="AS84" s="70">
        <f t="shared" si="162"/>
        <v>0</v>
      </c>
      <c r="AT84" s="70">
        <f t="shared" si="163"/>
        <v>0</v>
      </c>
      <c r="AU84" s="70">
        <f t="shared" si="164"/>
        <v>0</v>
      </c>
      <c r="AV84" s="70">
        <f t="shared" si="66"/>
        <v>4.259999999999998</v>
      </c>
      <c r="AW84" s="456">
        <f t="shared" si="76"/>
        <v>7.6453697056712094E-2</v>
      </c>
      <c r="AX84" s="447">
        <v>107</v>
      </c>
      <c r="AY84" s="582"/>
      <c r="AZ84" s="582">
        <v>28.52</v>
      </c>
      <c r="BA84" s="582"/>
      <c r="BB84" s="582"/>
      <c r="BC84" s="582"/>
      <c r="BD84" s="140"/>
      <c r="BE84" s="588">
        <f t="shared" si="165"/>
        <v>0.22999999999999998</v>
      </c>
      <c r="BF84" s="54"/>
      <c r="BG84" s="54">
        <f>ROUND((T84*$BF$2)+$BE84-AZ84,2)</f>
        <v>-0.01</v>
      </c>
      <c r="BH84" s="54"/>
      <c r="BI84" s="54"/>
      <c r="BJ84" s="54"/>
      <c r="BM84" s="279">
        <f t="shared" si="166"/>
        <v>0</v>
      </c>
      <c r="BN84" s="279">
        <f t="shared" si="167"/>
        <v>30.442848999999995</v>
      </c>
      <c r="BO84" s="279">
        <f t="shared" si="77"/>
        <v>0</v>
      </c>
      <c r="BP84" s="279">
        <f t="shared" si="78"/>
        <v>0</v>
      </c>
      <c r="BQ84" s="279">
        <f t="shared" si="79"/>
        <v>0</v>
      </c>
      <c r="BS84" s="54">
        <f t="shared" si="71"/>
        <v>0</v>
      </c>
      <c r="BT84" s="54">
        <f t="shared" si="72"/>
        <v>1.9228489999999958</v>
      </c>
      <c r="BU84" s="54">
        <f t="shared" si="73"/>
        <v>0</v>
      </c>
      <c r="BV84" s="54">
        <f t="shared" si="74"/>
        <v>0</v>
      </c>
      <c r="BW84" s="54">
        <f t="shared" si="75"/>
        <v>0</v>
      </c>
    </row>
    <row r="85" spans="1:180">
      <c r="B85" s="35">
        <v>2</v>
      </c>
      <c r="C85" s="72" t="s">
        <v>121</v>
      </c>
      <c r="D85" s="35">
        <v>533</v>
      </c>
      <c r="E85" s="560">
        <f>2+1</f>
        <v>3</v>
      </c>
      <c r="F85" s="73"/>
      <c r="G85" s="73" t="str">
        <f t="shared" si="147"/>
        <v>044533</v>
      </c>
      <c r="H85" s="46"/>
      <c r="I85" t="s">
        <v>133</v>
      </c>
      <c r="J85" t="s">
        <v>131</v>
      </c>
      <c r="K85" s="59">
        <v>35000</v>
      </c>
      <c r="L85" s="97">
        <v>715</v>
      </c>
      <c r="M85" s="69">
        <f t="shared" si="200"/>
        <v>0</v>
      </c>
      <c r="N85" s="69">
        <f t="shared" si="200"/>
        <v>0</v>
      </c>
      <c r="O85" s="69">
        <f t="shared" si="200"/>
        <v>0</v>
      </c>
      <c r="P85" s="69">
        <f t="shared" si="200"/>
        <v>6</v>
      </c>
      <c r="Q85" s="69">
        <f t="shared" si="200"/>
        <v>0</v>
      </c>
      <c r="R85" s="580">
        <f t="shared" si="99"/>
        <v>0</v>
      </c>
      <c r="S85" s="618">
        <v>0</v>
      </c>
      <c r="T85" s="618">
        <v>0</v>
      </c>
      <c r="U85" s="618">
        <v>0</v>
      </c>
      <c r="V85" s="618">
        <v>24.2</v>
      </c>
      <c r="W85" s="618">
        <v>0</v>
      </c>
      <c r="Y85" s="70">
        <f t="shared" si="59"/>
        <v>0</v>
      </c>
      <c r="Z85" s="70">
        <f t="shared" si="60"/>
        <v>0</v>
      </c>
      <c r="AA85" s="70">
        <f t="shared" si="61"/>
        <v>0</v>
      </c>
      <c r="AB85" s="70">
        <f t="shared" si="62"/>
        <v>145.19999999999999</v>
      </c>
      <c r="AC85" s="70">
        <f t="shared" si="63"/>
        <v>0</v>
      </c>
      <c r="AE85" s="69">
        <f t="shared" si="64"/>
        <v>0</v>
      </c>
      <c r="AF85" s="69">
        <f t="shared" si="126"/>
        <v>0</v>
      </c>
      <c r="AG85" s="69">
        <f t="shared" si="127"/>
        <v>0</v>
      </c>
      <c r="AH85" s="69">
        <f t="shared" si="128"/>
        <v>6</v>
      </c>
      <c r="AI85" s="69">
        <f t="shared" si="129"/>
        <v>0</v>
      </c>
      <c r="AK85" s="435">
        <f t="shared" si="116"/>
        <v>0</v>
      </c>
      <c r="AL85" s="435">
        <f t="shared" ref="AL85:AL89" si="201">ROUND(T85*(1+AL$1),2)</f>
        <v>0</v>
      </c>
      <c r="AM85" s="435">
        <f t="shared" si="158"/>
        <v>0</v>
      </c>
      <c r="AN85" s="435">
        <f t="shared" si="159"/>
        <v>26.21</v>
      </c>
      <c r="AO85" s="435">
        <f t="shared" si="160"/>
        <v>0</v>
      </c>
      <c r="AQ85" s="70">
        <f t="shared" si="161"/>
        <v>0</v>
      </c>
      <c r="AR85" s="70">
        <f t="shared" si="153"/>
        <v>0</v>
      </c>
      <c r="AS85" s="70">
        <f t="shared" si="162"/>
        <v>0</v>
      </c>
      <c r="AT85" s="70">
        <f t="shared" si="163"/>
        <v>157.26</v>
      </c>
      <c r="AU85" s="70">
        <f t="shared" si="164"/>
        <v>0</v>
      </c>
      <c r="AV85" s="70">
        <f t="shared" si="66"/>
        <v>0</v>
      </c>
      <c r="AW85" s="456" t="e">
        <f t="shared" si="76"/>
        <v>#DIV/0!</v>
      </c>
      <c r="AX85" s="447">
        <v>285</v>
      </c>
      <c r="AY85" s="582"/>
      <c r="AZ85" s="582"/>
      <c r="BA85" s="582"/>
      <c r="BB85" s="582">
        <v>25.19</v>
      </c>
      <c r="BC85" s="582"/>
      <c r="BD85" s="140"/>
      <c r="BE85" s="588">
        <f t="shared" si="165"/>
        <v>0.63000000000000034</v>
      </c>
      <c r="BF85" s="54"/>
      <c r="BG85" s="54"/>
      <c r="BH85" s="54"/>
      <c r="BI85" s="54">
        <f>ROUND((V85*$BF$2)+$BE85-BB85,2)</f>
        <v>0.01</v>
      </c>
      <c r="BJ85" s="54"/>
      <c r="BM85" s="279">
        <f t="shared" si="166"/>
        <v>0</v>
      </c>
      <c r="BN85" s="279">
        <f t="shared" si="167"/>
        <v>0</v>
      </c>
      <c r="BO85" s="279">
        <f t="shared" si="77"/>
        <v>0</v>
      </c>
      <c r="BP85" s="279">
        <f t="shared" si="78"/>
        <v>26.605770999999997</v>
      </c>
      <c r="BQ85" s="279">
        <f t="shared" si="79"/>
        <v>0</v>
      </c>
      <c r="BS85" s="54">
        <f t="shared" si="71"/>
        <v>0</v>
      </c>
      <c r="BT85" s="54">
        <f t="shared" si="72"/>
        <v>0</v>
      </c>
      <c r="BU85" s="54">
        <f t="shared" si="73"/>
        <v>0</v>
      </c>
      <c r="BV85" s="54">
        <f t="shared" si="74"/>
        <v>1.4157709999999959</v>
      </c>
      <c r="BW85" s="54">
        <f t="shared" si="75"/>
        <v>0</v>
      </c>
      <c r="DT85" s="595"/>
      <c r="DU85" s="595"/>
    </row>
    <row r="86" spans="1:180">
      <c r="B86" s="35">
        <v>2</v>
      </c>
      <c r="C86" s="72" t="s">
        <v>121</v>
      </c>
      <c r="D86" s="35">
        <v>535</v>
      </c>
      <c r="E86" s="560">
        <f>8+1</f>
        <v>9</v>
      </c>
      <c r="F86" s="73"/>
      <c r="G86" s="73" t="str">
        <f t="shared" si="147"/>
        <v>044535</v>
      </c>
      <c r="H86" s="46"/>
      <c r="I86" t="s">
        <v>128</v>
      </c>
      <c r="J86" t="s">
        <v>109</v>
      </c>
      <c r="K86" s="59" t="s">
        <v>145</v>
      </c>
      <c r="L86" s="97">
        <v>732</v>
      </c>
      <c r="M86" s="69">
        <f t="shared" si="200"/>
        <v>0</v>
      </c>
      <c r="N86" s="69">
        <f t="shared" si="200"/>
        <v>0</v>
      </c>
      <c r="O86" s="69">
        <f t="shared" si="200"/>
        <v>21</v>
      </c>
      <c r="P86" s="69">
        <f t="shared" si="200"/>
        <v>0</v>
      </c>
      <c r="Q86" s="69">
        <f t="shared" si="200"/>
        <v>0</v>
      </c>
      <c r="R86" s="580">
        <f t="shared" si="99"/>
        <v>0</v>
      </c>
      <c r="S86" s="618">
        <v>0</v>
      </c>
      <c r="T86" s="618">
        <v>0</v>
      </c>
      <c r="U86" s="618">
        <v>15.94</v>
      </c>
      <c r="V86" s="618">
        <v>0</v>
      </c>
      <c r="W86" s="618">
        <v>0</v>
      </c>
      <c r="Y86" s="70">
        <f t="shared" si="59"/>
        <v>0</v>
      </c>
      <c r="Z86" s="70">
        <f t="shared" si="60"/>
        <v>0</v>
      </c>
      <c r="AA86" s="70">
        <f t="shared" si="61"/>
        <v>334.74</v>
      </c>
      <c r="AB86" s="70">
        <f t="shared" si="62"/>
        <v>0</v>
      </c>
      <c r="AC86" s="70">
        <f t="shared" si="63"/>
        <v>0</v>
      </c>
      <c r="AE86" s="69">
        <f t="shared" si="64"/>
        <v>0</v>
      </c>
      <c r="AF86" s="69">
        <f t="shared" si="126"/>
        <v>0</v>
      </c>
      <c r="AG86" s="69">
        <f t="shared" si="127"/>
        <v>21</v>
      </c>
      <c r="AH86" s="69">
        <f t="shared" si="128"/>
        <v>0</v>
      </c>
      <c r="AI86" s="69">
        <f t="shared" si="129"/>
        <v>0</v>
      </c>
      <c r="AK86" s="435">
        <f t="shared" si="116"/>
        <v>0</v>
      </c>
      <c r="AL86" s="435">
        <f t="shared" si="201"/>
        <v>0</v>
      </c>
      <c r="AM86" s="435">
        <f t="shared" si="158"/>
        <v>17.260000000000002</v>
      </c>
      <c r="AN86" s="435">
        <f t="shared" si="159"/>
        <v>0</v>
      </c>
      <c r="AO86" s="435">
        <f t="shared" si="160"/>
        <v>0</v>
      </c>
      <c r="AQ86" s="70">
        <f t="shared" si="161"/>
        <v>0</v>
      </c>
      <c r="AR86" s="70">
        <f t="shared" si="153"/>
        <v>0</v>
      </c>
      <c r="AS86" s="70">
        <f t="shared" si="162"/>
        <v>362.46000000000004</v>
      </c>
      <c r="AT86" s="70">
        <f t="shared" si="163"/>
        <v>0</v>
      </c>
      <c r="AU86" s="70">
        <f t="shared" si="164"/>
        <v>0</v>
      </c>
      <c r="AV86" s="70">
        <f t="shared" si="66"/>
        <v>0</v>
      </c>
      <c r="AW86" s="456" t="e">
        <f t="shared" si="76"/>
        <v>#DIV/0!</v>
      </c>
      <c r="AX86" s="447">
        <v>133</v>
      </c>
      <c r="AY86" s="582"/>
      <c r="AZ86" s="582"/>
      <c r="BA86" s="582">
        <v>16.47</v>
      </c>
      <c r="BB86" s="582"/>
      <c r="BC86" s="582"/>
      <c r="BD86" s="140"/>
      <c r="BE86" s="588">
        <f t="shared" si="165"/>
        <v>0.29000000000000004</v>
      </c>
      <c r="BF86" s="54"/>
      <c r="BG86" s="54"/>
      <c r="BH86" s="54">
        <f>ROUND((U86*$BF$2)+$BE86-BA86,2)</f>
        <v>0</v>
      </c>
      <c r="BI86" s="54"/>
      <c r="BJ86" s="54"/>
      <c r="BM86" s="279">
        <f t="shared" si="166"/>
        <v>0</v>
      </c>
      <c r="BN86" s="279">
        <f t="shared" si="167"/>
        <v>0</v>
      </c>
      <c r="BO86" s="279">
        <f t="shared" si="77"/>
        <v>17.520626</v>
      </c>
      <c r="BP86" s="279">
        <f t="shared" si="78"/>
        <v>0</v>
      </c>
      <c r="BQ86" s="279">
        <f t="shared" si="79"/>
        <v>0</v>
      </c>
      <c r="BS86" s="54">
        <f t="shared" si="71"/>
        <v>0</v>
      </c>
      <c r="BT86" s="54">
        <f t="shared" si="72"/>
        <v>0</v>
      </c>
      <c r="BU86" s="54">
        <f t="shared" si="73"/>
        <v>1.0506260000000012</v>
      </c>
      <c r="BV86" s="54">
        <f t="shared" si="74"/>
        <v>0</v>
      </c>
      <c r="BW86" s="54">
        <f t="shared" si="75"/>
        <v>0</v>
      </c>
      <c r="DT86" s="595"/>
      <c r="DU86" s="595"/>
      <c r="DV86" s="595"/>
      <c r="DW86" s="595"/>
      <c r="DX86" s="595"/>
      <c r="DY86" s="595"/>
      <c r="DZ86" s="595"/>
      <c r="EA86" s="595"/>
      <c r="EB86" s="595"/>
      <c r="EC86" s="595"/>
      <c r="ED86" s="595"/>
      <c r="EE86" s="595"/>
      <c r="EF86" s="595"/>
      <c r="EG86" s="595"/>
      <c r="EH86" s="595"/>
      <c r="EI86" s="595"/>
      <c r="EJ86" s="595"/>
      <c r="EK86" s="595"/>
      <c r="EL86" s="595"/>
      <c r="EM86" s="595"/>
      <c r="EN86" s="595"/>
      <c r="EO86" s="595"/>
      <c r="EP86" s="595"/>
    </row>
    <row r="87" spans="1:180">
      <c r="B87" s="35">
        <v>2</v>
      </c>
      <c r="C87" s="72" t="s">
        <v>121</v>
      </c>
      <c r="D87" s="35">
        <v>632</v>
      </c>
      <c r="E87" s="560">
        <v>0</v>
      </c>
      <c r="F87" s="73"/>
      <c r="G87" s="73" t="str">
        <f t="shared" si="147"/>
        <v>044632</v>
      </c>
      <c r="H87" s="46"/>
      <c r="I87" t="s">
        <v>128</v>
      </c>
      <c r="J87" t="s">
        <v>135</v>
      </c>
      <c r="K87" s="59" t="s">
        <v>145</v>
      </c>
      <c r="L87" s="97">
        <v>735</v>
      </c>
      <c r="M87" s="69">
        <f t="shared" si="200"/>
        <v>0</v>
      </c>
      <c r="N87" s="69">
        <f t="shared" si="200"/>
        <v>0</v>
      </c>
      <c r="O87" s="69">
        <f t="shared" si="200"/>
        <v>1</v>
      </c>
      <c r="P87" s="69">
        <f t="shared" si="200"/>
        <v>0</v>
      </c>
      <c r="Q87" s="69">
        <f t="shared" si="200"/>
        <v>262</v>
      </c>
      <c r="R87" s="580">
        <f t="shared" si="99"/>
        <v>0</v>
      </c>
      <c r="S87" s="618">
        <v>0</v>
      </c>
      <c r="T87" s="618">
        <v>0</v>
      </c>
      <c r="U87" s="618">
        <v>15.94</v>
      </c>
      <c r="V87" s="618">
        <v>0</v>
      </c>
      <c r="W87" s="618">
        <v>13.41</v>
      </c>
      <c r="Y87" s="70">
        <f t="shared" si="59"/>
        <v>0</v>
      </c>
      <c r="Z87" s="70">
        <f t="shared" si="60"/>
        <v>0</v>
      </c>
      <c r="AA87" s="70">
        <f t="shared" si="61"/>
        <v>15.94</v>
      </c>
      <c r="AB87" s="70">
        <f t="shared" si="62"/>
        <v>0</v>
      </c>
      <c r="AC87" s="70">
        <f t="shared" si="63"/>
        <v>3513.42</v>
      </c>
      <c r="AE87" s="69">
        <f t="shared" si="64"/>
        <v>0</v>
      </c>
      <c r="AF87" s="69">
        <f t="shared" si="126"/>
        <v>0</v>
      </c>
      <c r="AG87" s="69">
        <f t="shared" si="127"/>
        <v>1</v>
      </c>
      <c r="AH87" s="69">
        <f t="shared" si="128"/>
        <v>0</v>
      </c>
      <c r="AI87" s="69">
        <f t="shared" si="129"/>
        <v>262</v>
      </c>
      <c r="AK87" s="435">
        <f t="shared" si="116"/>
        <v>0</v>
      </c>
      <c r="AL87" s="435">
        <f t="shared" si="201"/>
        <v>0</v>
      </c>
      <c r="AM87" s="435">
        <f t="shared" si="158"/>
        <v>17.260000000000002</v>
      </c>
      <c r="AN87" s="435">
        <f t="shared" si="159"/>
        <v>0</v>
      </c>
      <c r="AO87" s="435">
        <f t="shared" si="160"/>
        <v>14.52</v>
      </c>
      <c r="AQ87" s="70">
        <f t="shared" si="161"/>
        <v>0</v>
      </c>
      <c r="AR87" s="70">
        <f t="shared" si="153"/>
        <v>0</v>
      </c>
      <c r="AS87" s="70">
        <f t="shared" si="162"/>
        <v>17.260000000000002</v>
      </c>
      <c r="AT87" s="70">
        <f t="shared" si="163"/>
        <v>0</v>
      </c>
      <c r="AU87" s="70">
        <f t="shared" si="164"/>
        <v>3804.24</v>
      </c>
      <c r="AV87" s="70">
        <f t="shared" si="66"/>
        <v>0</v>
      </c>
      <c r="AW87" s="456" t="e">
        <f t="shared" si="76"/>
        <v>#DIV/0!</v>
      </c>
      <c r="AX87" s="447">
        <v>133</v>
      </c>
      <c r="AY87" s="582"/>
      <c r="AZ87" s="582"/>
      <c r="BA87" s="582">
        <v>16.47</v>
      </c>
      <c r="BB87" s="582"/>
      <c r="BC87" s="582">
        <v>13.9</v>
      </c>
      <c r="BD87" s="140"/>
      <c r="BE87" s="588">
        <f t="shared" si="165"/>
        <v>0.29000000000000004</v>
      </c>
      <c r="BF87" s="54"/>
      <c r="BG87" s="54"/>
      <c r="BH87" s="54">
        <f>ROUND((U87*$BF$2)+$BE87-BA87,2)</f>
        <v>0</v>
      </c>
      <c r="BI87" s="54"/>
      <c r="BJ87" s="54">
        <f>ROUND((W87*$BF$2)+$BE87-BC87,2)</f>
        <v>0</v>
      </c>
      <c r="BM87" s="279">
        <f t="shared" si="166"/>
        <v>0</v>
      </c>
      <c r="BN87" s="279">
        <f t="shared" si="167"/>
        <v>0</v>
      </c>
      <c r="BO87" s="279">
        <f t="shared" si="77"/>
        <v>17.520626</v>
      </c>
      <c r="BP87" s="279">
        <f t="shared" si="78"/>
        <v>0</v>
      </c>
      <c r="BQ87" s="279">
        <f t="shared" si="79"/>
        <v>14.739251999999999</v>
      </c>
      <c r="BS87" s="54">
        <f t="shared" si="71"/>
        <v>0</v>
      </c>
      <c r="BT87" s="54">
        <f t="shared" si="72"/>
        <v>0</v>
      </c>
      <c r="BU87" s="54">
        <f t="shared" si="73"/>
        <v>1.0506260000000012</v>
      </c>
      <c r="BV87" s="54">
        <f t="shared" si="74"/>
        <v>0</v>
      </c>
      <c r="BW87" s="54">
        <f t="shared" si="75"/>
        <v>0.83925199999999833</v>
      </c>
      <c r="DV87" s="595"/>
      <c r="DW87" s="595"/>
      <c r="DX87" s="595"/>
      <c r="DY87" s="595"/>
      <c r="DZ87" s="595"/>
      <c r="EA87" s="595"/>
      <c r="EB87" s="595"/>
      <c r="EC87" s="595"/>
      <c r="ED87" s="595"/>
      <c r="EE87" s="595"/>
      <c r="EF87" s="595"/>
      <c r="EG87" s="595"/>
      <c r="EH87" s="595"/>
      <c r="EI87" s="595"/>
      <c r="EJ87" s="595"/>
      <c r="EK87" s="595"/>
      <c r="EL87" s="595"/>
      <c r="EM87" s="595"/>
      <c r="EN87" s="595"/>
      <c r="EO87" s="595"/>
      <c r="EP87" s="595"/>
      <c r="EQ87" s="595"/>
      <c r="ER87" s="595"/>
      <c r="ES87" s="595"/>
      <c r="ET87" s="595"/>
      <c r="EU87" s="595"/>
      <c r="EV87" s="595"/>
      <c r="EW87" s="595"/>
      <c r="EX87" s="595"/>
      <c r="EY87" s="595"/>
      <c r="EZ87" s="595"/>
    </row>
    <row r="88" spans="1:180">
      <c r="B88" s="35">
        <v>2</v>
      </c>
      <c r="C88" s="72" t="s">
        <v>121</v>
      </c>
      <c r="D88" s="35">
        <v>635</v>
      </c>
      <c r="E88" s="560">
        <v>1</v>
      </c>
      <c r="F88" s="73"/>
      <c r="G88" s="73" t="str">
        <f>IF(OR(ISBLANK(C88),ISBLANK(D88)),"",TEXT(C88,"000")&amp;TEXT(D88,"000"))</f>
        <v>044635</v>
      </c>
      <c r="H88" s="46"/>
      <c r="I88" s="614" t="s">
        <v>128</v>
      </c>
      <c r="J88" s="614" t="s">
        <v>109</v>
      </c>
      <c r="K88" s="619" t="s">
        <v>147</v>
      </c>
      <c r="L88" s="620">
        <v>832</v>
      </c>
      <c r="M88" s="636">
        <f t="shared" si="200"/>
        <v>0</v>
      </c>
      <c r="N88" s="636">
        <f t="shared" si="200"/>
        <v>0</v>
      </c>
      <c r="O88" s="636">
        <f t="shared" si="200"/>
        <v>0</v>
      </c>
      <c r="P88" s="636">
        <f t="shared" si="200"/>
        <v>0</v>
      </c>
      <c r="Q88" s="636">
        <f t="shared" si="200"/>
        <v>0</v>
      </c>
      <c r="R88" s="636">
        <f t="shared" si="99"/>
        <v>1</v>
      </c>
      <c r="S88" s="637">
        <v>0</v>
      </c>
      <c r="T88" s="637">
        <v>52.32</v>
      </c>
      <c r="U88" s="637"/>
      <c r="V88" s="637">
        <v>0</v>
      </c>
      <c r="W88" s="637">
        <v>0</v>
      </c>
      <c r="X88" s="614"/>
      <c r="Y88" s="694">
        <f t="shared" si="59"/>
        <v>0</v>
      </c>
      <c r="Z88" s="694">
        <f>IF(AND(N88&lt;&gt;0,T88=0),#VALUE!,N88*T88)</f>
        <v>0</v>
      </c>
      <c r="AA88" s="694">
        <f t="shared" si="61"/>
        <v>0</v>
      </c>
      <c r="AB88" s="694">
        <f t="shared" si="62"/>
        <v>0</v>
      </c>
      <c r="AC88" s="694">
        <f t="shared" si="63"/>
        <v>0</v>
      </c>
      <c r="AD88" s="614"/>
      <c r="AE88" s="636">
        <f t="shared" si="64"/>
        <v>0</v>
      </c>
      <c r="AF88" s="636">
        <f t="shared" si="126"/>
        <v>0</v>
      </c>
      <c r="AG88" s="636">
        <f t="shared" si="127"/>
        <v>0</v>
      </c>
      <c r="AH88" s="636">
        <f t="shared" si="128"/>
        <v>0</v>
      </c>
      <c r="AI88" s="636">
        <f t="shared" si="129"/>
        <v>0</v>
      </c>
      <c r="AJ88" s="614"/>
      <c r="AK88" s="638">
        <f t="shared" si="116"/>
        <v>0</v>
      </c>
      <c r="AL88" s="638">
        <f>ROUND(T88*(1+AL$1),2)</f>
        <v>56.32</v>
      </c>
      <c r="AM88" s="638">
        <f t="shared" si="158"/>
        <v>0</v>
      </c>
      <c r="AN88" s="638">
        <f t="shared" si="159"/>
        <v>0</v>
      </c>
      <c r="AO88" s="638">
        <f t="shared" si="160"/>
        <v>0</v>
      </c>
      <c r="AP88" s="614"/>
      <c r="AQ88" s="694">
        <f t="shared" si="161"/>
        <v>0</v>
      </c>
      <c r="AR88" s="694">
        <f t="shared" si="153"/>
        <v>0</v>
      </c>
      <c r="AS88" s="694">
        <f t="shared" si="162"/>
        <v>0</v>
      </c>
      <c r="AT88" s="694">
        <f t="shared" si="163"/>
        <v>0</v>
      </c>
      <c r="AU88" s="694">
        <f t="shared" si="164"/>
        <v>0</v>
      </c>
      <c r="AV88" s="694">
        <f t="shared" ref="AV88:AV90" si="202">SUM(AR88)-SUM(Z88)</f>
        <v>0</v>
      </c>
      <c r="AW88" s="456" t="e">
        <f t="shared" si="76"/>
        <v>#DIV/0!</v>
      </c>
      <c r="AX88" s="447">
        <v>169</v>
      </c>
      <c r="AY88" s="582"/>
      <c r="AZ88" s="582">
        <v>53.49</v>
      </c>
      <c r="BA88" s="582"/>
      <c r="BB88" s="582"/>
      <c r="BC88" s="582"/>
      <c r="BD88" s="140"/>
      <c r="BE88" s="588">
        <f t="shared" si="165"/>
        <v>0.37999999999999989</v>
      </c>
      <c r="BF88" s="54"/>
      <c r="BG88" s="54">
        <f t="shared" ref="BG88:BG95" si="203">ROUND((T88*$BF$2)+$BE88-AZ88,2)</f>
        <v>0</v>
      </c>
      <c r="BH88" s="54">
        <f>ROUND((U88*$BF$2)+$BE88-BA88,2)</f>
        <v>0.38</v>
      </c>
      <c r="BI88" s="54"/>
      <c r="BJ88" s="54"/>
      <c r="BM88" s="279">
        <f t="shared" si="166"/>
        <v>0</v>
      </c>
      <c r="BN88" s="279">
        <f t="shared" si="167"/>
        <v>57.170431999999991</v>
      </c>
      <c r="BO88" s="279">
        <f t="shared" si="77"/>
        <v>0</v>
      </c>
      <c r="BP88" s="279">
        <f t="shared" si="78"/>
        <v>0</v>
      </c>
      <c r="BQ88" s="279">
        <f t="shared" si="79"/>
        <v>0</v>
      </c>
      <c r="BS88" s="54">
        <f t="shared" si="71"/>
        <v>0</v>
      </c>
      <c r="BT88" s="54">
        <f t="shared" si="72"/>
        <v>3.680431999999989</v>
      </c>
      <c r="BU88" s="54">
        <f t="shared" si="73"/>
        <v>0</v>
      </c>
      <c r="BV88" s="54">
        <f t="shared" si="74"/>
        <v>0</v>
      </c>
      <c r="BW88" s="54">
        <f t="shared" si="75"/>
        <v>0</v>
      </c>
      <c r="EQ88" s="595"/>
      <c r="ER88" s="595"/>
      <c r="ES88" s="595"/>
      <c r="ET88" s="595"/>
      <c r="EU88" s="595"/>
      <c r="EV88" s="595"/>
      <c r="EW88" s="595"/>
      <c r="EX88" s="595"/>
      <c r="EY88" s="595"/>
      <c r="EZ88" s="595"/>
    </row>
    <row r="89" spans="1:180">
      <c r="B89" s="35">
        <v>2</v>
      </c>
      <c r="C89" s="72" t="s">
        <v>121</v>
      </c>
      <c r="D89" s="35">
        <v>732</v>
      </c>
      <c r="E89" s="560">
        <v>21</v>
      </c>
      <c r="F89" s="73"/>
      <c r="G89" s="73" t="str">
        <f>IF(OR(ISBLANK(C89),ISBLANK(D89)),"",TEXT(C89,"000")&amp;TEXT(D89,"000"))</f>
        <v>044732</v>
      </c>
      <c r="H89" s="46"/>
      <c r="I89" s="434" t="s">
        <v>712</v>
      </c>
      <c r="J89" s="684" t="s">
        <v>109</v>
      </c>
      <c r="K89" s="579" t="s">
        <v>639</v>
      </c>
      <c r="L89" s="581" t="s">
        <v>818</v>
      </c>
      <c r="M89" s="580">
        <f t="shared" si="200"/>
        <v>0</v>
      </c>
      <c r="N89" s="580">
        <f t="shared" si="200"/>
        <v>19</v>
      </c>
      <c r="O89" s="580">
        <f t="shared" si="200"/>
        <v>0</v>
      </c>
      <c r="P89" s="580">
        <f t="shared" si="200"/>
        <v>0</v>
      </c>
      <c r="Q89" s="580">
        <f t="shared" si="200"/>
        <v>0</v>
      </c>
      <c r="R89" s="580">
        <f t="shared" si="99"/>
        <v>0</v>
      </c>
      <c r="S89" s="618">
        <v>0</v>
      </c>
      <c r="T89" s="648">
        <f>T88-T100</f>
        <v>44.4</v>
      </c>
      <c r="U89" s="618">
        <v>0</v>
      </c>
      <c r="V89" s="618">
        <v>0</v>
      </c>
      <c r="W89" s="618"/>
      <c r="X89" s="684"/>
      <c r="Y89" s="684"/>
      <c r="Z89" s="70">
        <f>IF(AND(N89&lt;&gt;0,T89=0),#VALUE!,N89*T89)</f>
        <v>843.6</v>
      </c>
      <c r="AA89" s="70">
        <f t="shared" si="61"/>
        <v>0</v>
      </c>
      <c r="AB89" s="70">
        <f t="shared" si="62"/>
        <v>0</v>
      </c>
      <c r="AC89" s="70">
        <f t="shared" si="63"/>
        <v>0</v>
      </c>
      <c r="AD89" s="684"/>
      <c r="AE89" s="580">
        <f t="shared" ref="AE89:AI90" si="204">SUMIF($G:$G,TEXT(AE$3,"000")&amp;TEXT($L89,"000"),$E:$E)</f>
        <v>0</v>
      </c>
      <c r="AF89" s="580">
        <f t="shared" si="204"/>
        <v>19</v>
      </c>
      <c r="AG89" s="580">
        <f t="shared" si="204"/>
        <v>0</v>
      </c>
      <c r="AH89" s="580">
        <f t="shared" si="204"/>
        <v>0</v>
      </c>
      <c r="AI89" s="580">
        <f t="shared" si="204"/>
        <v>0</v>
      </c>
      <c r="AJ89" s="684"/>
      <c r="AK89" s="585">
        <f>ROUND(S89*(1+AK$1),2)</f>
        <v>0</v>
      </c>
      <c r="AL89" s="585">
        <f t="shared" si="201"/>
        <v>47.8</v>
      </c>
      <c r="AM89" s="585">
        <f t="shared" ref="AM89:AO90" si="205">ROUND(U89*(1+AM$1),2)</f>
        <v>0</v>
      </c>
      <c r="AN89" s="585">
        <f t="shared" si="205"/>
        <v>0</v>
      </c>
      <c r="AO89" s="585">
        <f t="shared" si="205"/>
        <v>0</v>
      </c>
      <c r="AP89" s="684"/>
      <c r="AQ89" s="70">
        <f t="shared" si="161"/>
        <v>0</v>
      </c>
      <c r="AR89" s="70">
        <f>IF(AND(AF89&lt;&gt;0,AL89=0),#VALUE!,AF89*AL89)</f>
        <v>908.19999999999993</v>
      </c>
      <c r="AS89" s="70">
        <f t="shared" si="162"/>
        <v>0</v>
      </c>
      <c r="AT89" s="70">
        <f t="shared" si="163"/>
        <v>0</v>
      </c>
      <c r="AU89" s="70">
        <f t="shared" si="164"/>
        <v>0</v>
      </c>
      <c r="AV89" s="70">
        <f t="shared" si="202"/>
        <v>64.599999999999909</v>
      </c>
      <c r="AW89" s="456">
        <f t="shared" ref="AW89:AW97" si="206">AV89/Z89</f>
        <v>7.6576576576576461E-2</v>
      </c>
      <c r="AX89" s="684"/>
      <c r="AY89" s="684"/>
      <c r="AZ89" s="684"/>
      <c r="BA89" s="684"/>
      <c r="BB89" s="684"/>
      <c r="BC89" s="684"/>
      <c r="BD89" s="684"/>
      <c r="BE89" s="684"/>
      <c r="BF89" s="684"/>
      <c r="BG89" s="684"/>
      <c r="BH89" s="684"/>
      <c r="BI89" s="684"/>
      <c r="BJ89" s="684"/>
      <c r="BK89" s="684"/>
      <c r="BL89" s="684"/>
      <c r="BM89" s="684"/>
      <c r="BN89" s="684"/>
      <c r="BO89" s="684"/>
      <c r="BP89" s="684"/>
      <c r="BQ89" s="684"/>
      <c r="BR89" s="684"/>
      <c r="BS89" s="684"/>
      <c r="BT89" s="684"/>
      <c r="BU89" s="684"/>
      <c r="BV89" s="684"/>
      <c r="BW89" s="684"/>
      <c r="BX89" s="684"/>
      <c r="BY89" s="684"/>
      <c r="BZ89" s="684"/>
      <c r="CA89" s="684"/>
      <c r="CB89" s="684"/>
      <c r="CC89" s="684"/>
      <c r="CD89" s="684"/>
      <c r="CE89" s="684"/>
      <c r="CF89" s="684"/>
      <c r="CG89" s="684"/>
      <c r="CH89" s="684"/>
      <c r="CI89" s="684"/>
      <c r="CJ89" s="684"/>
      <c r="CK89" s="684"/>
      <c r="CL89" s="684"/>
      <c r="CM89" s="684"/>
      <c r="CN89" s="684"/>
      <c r="CO89" s="684"/>
      <c r="CP89" s="684"/>
      <c r="CQ89" s="684"/>
      <c r="CR89" s="684"/>
      <c r="CS89" s="684"/>
      <c r="CT89" s="684"/>
    </row>
    <row r="90" spans="1:180">
      <c r="A90" s="320"/>
      <c r="B90" s="35">
        <v>2</v>
      </c>
      <c r="C90" s="72" t="s">
        <v>121</v>
      </c>
      <c r="D90" s="35">
        <v>735</v>
      </c>
      <c r="E90" s="560">
        <v>1</v>
      </c>
      <c r="F90" s="73"/>
      <c r="G90" s="73" t="str">
        <f t="shared" si="147"/>
        <v>044735</v>
      </c>
      <c r="H90" s="46"/>
      <c r="I90" s="434" t="s">
        <v>712</v>
      </c>
      <c r="J90" s="635" t="s">
        <v>109</v>
      </c>
      <c r="K90" s="579" t="s">
        <v>639</v>
      </c>
      <c r="L90" s="581" t="s">
        <v>641</v>
      </c>
      <c r="M90" s="580">
        <f t="shared" si="200"/>
        <v>0</v>
      </c>
      <c r="N90" s="580">
        <f t="shared" si="200"/>
        <v>1</v>
      </c>
      <c r="O90" s="580">
        <f t="shared" si="200"/>
        <v>0</v>
      </c>
      <c r="P90" s="580">
        <f t="shared" si="200"/>
        <v>0</v>
      </c>
      <c r="Q90" s="580">
        <f t="shared" si="200"/>
        <v>0</v>
      </c>
      <c r="R90" s="580">
        <f t="shared" si="99"/>
        <v>0</v>
      </c>
      <c r="S90" s="618">
        <v>0</v>
      </c>
      <c r="T90" s="648">
        <f>T88</f>
        <v>52.32</v>
      </c>
      <c r="U90" s="618">
        <v>0</v>
      </c>
      <c r="V90" s="618">
        <v>0</v>
      </c>
      <c r="W90" s="618"/>
      <c r="X90" s="635"/>
      <c r="Y90" s="635"/>
      <c r="Z90" s="70">
        <f t="shared" ref="Z90" si="207">IF(AND(N90&lt;&gt;0,T90=0),#VALUE!,N90*T90)</f>
        <v>52.32</v>
      </c>
      <c r="AA90" s="70">
        <f t="shared" si="61"/>
        <v>0</v>
      </c>
      <c r="AB90" s="70">
        <f t="shared" si="62"/>
        <v>0</v>
      </c>
      <c r="AC90" s="70">
        <f t="shared" si="63"/>
        <v>0</v>
      </c>
      <c r="AD90" s="635"/>
      <c r="AE90" s="580">
        <f t="shared" si="204"/>
        <v>0</v>
      </c>
      <c r="AF90" s="580">
        <f t="shared" si="204"/>
        <v>1</v>
      </c>
      <c r="AG90" s="580">
        <f t="shared" si="204"/>
        <v>0</v>
      </c>
      <c r="AH90" s="580">
        <f t="shared" si="204"/>
        <v>0</v>
      </c>
      <c r="AI90" s="580">
        <f t="shared" si="204"/>
        <v>0</v>
      </c>
      <c r="AJ90" s="635"/>
      <c r="AK90" s="585">
        <f>ROUND(S90*(1+AK$1),2)</f>
        <v>0</v>
      </c>
      <c r="AL90" s="585">
        <f>AL88</f>
        <v>56.32</v>
      </c>
      <c r="AM90" s="585">
        <f t="shared" si="205"/>
        <v>0</v>
      </c>
      <c r="AN90" s="585">
        <f t="shared" si="205"/>
        <v>0</v>
      </c>
      <c r="AO90" s="585">
        <f t="shared" si="205"/>
        <v>0</v>
      </c>
      <c r="AP90" s="635"/>
      <c r="AQ90" s="70">
        <f t="shared" si="161"/>
        <v>0</v>
      </c>
      <c r="AR90" s="70">
        <f t="shared" si="153"/>
        <v>56.32</v>
      </c>
      <c r="AS90" s="70">
        <f t="shared" si="162"/>
        <v>0</v>
      </c>
      <c r="AT90" s="70">
        <f t="shared" si="163"/>
        <v>0</v>
      </c>
      <c r="AU90" s="70">
        <f t="shared" si="164"/>
        <v>0</v>
      </c>
      <c r="AV90" s="70">
        <f t="shared" si="202"/>
        <v>4</v>
      </c>
      <c r="AW90" s="456">
        <f t="shared" si="206"/>
        <v>7.64525993883792E-2</v>
      </c>
      <c r="CV90" s="684"/>
      <c r="CW90" s="684"/>
      <c r="CX90" s="684"/>
      <c r="CY90" s="684"/>
      <c r="CZ90" s="684"/>
      <c r="DA90" s="684"/>
      <c r="DB90" s="684"/>
      <c r="FA90" s="595"/>
      <c r="FB90" s="595"/>
      <c r="FC90" s="595"/>
      <c r="FD90" s="595"/>
      <c r="FE90" s="595"/>
      <c r="FF90" s="595"/>
      <c r="FG90" s="595"/>
      <c r="FH90" s="595"/>
      <c r="FI90" s="595"/>
      <c r="FJ90" s="595"/>
      <c r="FK90" s="595"/>
      <c r="FL90" s="595"/>
      <c r="FM90" s="595"/>
      <c r="FN90" s="595"/>
      <c r="FO90" s="595"/>
    </row>
    <row r="91" spans="1:180">
      <c r="B91" s="35">
        <v>2</v>
      </c>
      <c r="C91" s="72" t="s">
        <v>121</v>
      </c>
      <c r="D91" s="35">
        <v>835</v>
      </c>
      <c r="E91" s="560">
        <v>9</v>
      </c>
      <c r="F91" s="73"/>
      <c r="G91" s="73" t="str">
        <f t="shared" si="147"/>
        <v>044835</v>
      </c>
      <c r="H91" s="46"/>
      <c r="I91" t="s">
        <v>128</v>
      </c>
      <c r="J91" t="s">
        <v>840</v>
      </c>
      <c r="K91" s="59" t="s">
        <v>147</v>
      </c>
      <c r="L91" s="97">
        <v>835</v>
      </c>
      <c r="M91" s="69">
        <f t="shared" ref="M91:Q97" si="208">SUMIF($G:$G,TEXT(M$3,"000")&amp;TEXT($L91,"000"),$E:$E)</f>
        <v>0</v>
      </c>
      <c r="N91" s="69">
        <f t="shared" si="208"/>
        <v>44</v>
      </c>
      <c r="O91" s="69">
        <f t="shared" si="208"/>
        <v>9</v>
      </c>
      <c r="P91" s="69">
        <f t="shared" si="208"/>
        <v>0</v>
      </c>
      <c r="Q91" s="69">
        <f t="shared" si="208"/>
        <v>57</v>
      </c>
      <c r="R91" s="580">
        <f t="shared" si="99"/>
        <v>0</v>
      </c>
      <c r="S91" s="618">
        <v>0</v>
      </c>
      <c r="T91" s="618">
        <v>27.61</v>
      </c>
      <c r="U91" s="618">
        <v>20.46</v>
      </c>
      <c r="V91" s="618">
        <v>0</v>
      </c>
      <c r="W91" s="618">
        <v>17.010000000000002</v>
      </c>
      <c r="Y91" s="70">
        <f t="shared" si="59"/>
        <v>0</v>
      </c>
      <c r="Z91" s="70">
        <f t="shared" si="60"/>
        <v>1214.8399999999999</v>
      </c>
      <c r="AA91" s="70">
        <f t="shared" si="61"/>
        <v>184.14000000000001</v>
      </c>
      <c r="AB91" s="70">
        <f t="shared" si="62"/>
        <v>0</v>
      </c>
      <c r="AC91" s="70">
        <f t="shared" si="63"/>
        <v>969.57</v>
      </c>
      <c r="AE91" s="69">
        <f t="shared" si="64"/>
        <v>0</v>
      </c>
      <c r="AF91" s="69">
        <f t="shared" si="126"/>
        <v>44</v>
      </c>
      <c r="AG91" s="69">
        <f t="shared" si="127"/>
        <v>9</v>
      </c>
      <c r="AH91" s="69">
        <f t="shared" si="128"/>
        <v>0</v>
      </c>
      <c r="AI91" s="69">
        <f t="shared" si="129"/>
        <v>57</v>
      </c>
      <c r="AK91" s="435">
        <f t="shared" si="116"/>
        <v>0</v>
      </c>
      <c r="AL91" s="435">
        <f>ROUND(T91*(1+AL$1),2)</f>
        <v>29.72</v>
      </c>
      <c r="AM91" s="435">
        <f t="shared" si="158"/>
        <v>22.16</v>
      </c>
      <c r="AN91" s="435">
        <f t="shared" si="159"/>
        <v>0</v>
      </c>
      <c r="AO91" s="435">
        <f t="shared" si="160"/>
        <v>18.420000000000002</v>
      </c>
      <c r="AQ91" s="70">
        <f t="shared" si="161"/>
        <v>0</v>
      </c>
      <c r="AR91" s="70">
        <f>IF(AND(AF91&lt;&gt;0,AL91=0),#VALUE!,AF91*AL91)</f>
        <v>1307.6799999999998</v>
      </c>
      <c r="AS91" s="70">
        <f t="shared" si="162"/>
        <v>199.44</v>
      </c>
      <c r="AT91" s="70">
        <f t="shared" si="163"/>
        <v>0</v>
      </c>
      <c r="AU91" s="70">
        <f t="shared" si="164"/>
        <v>1049.94</v>
      </c>
      <c r="AV91" s="70">
        <f>SUM(AR91)-SUM(Z91)</f>
        <v>92.839999999999918</v>
      </c>
      <c r="AW91" s="456">
        <f>AV91/Z91</f>
        <v>7.6421586381745676E-2</v>
      </c>
      <c r="AX91" s="447">
        <v>169</v>
      </c>
      <c r="AY91" s="582"/>
      <c r="AZ91" s="582">
        <v>28.41</v>
      </c>
      <c r="BA91" s="582">
        <v>21.15</v>
      </c>
      <c r="BB91" s="582"/>
      <c r="BC91" s="582">
        <v>17.649999999999999</v>
      </c>
      <c r="BD91" s="140"/>
      <c r="BE91" s="588">
        <f t="shared" si="165"/>
        <v>0.37999999999999989</v>
      </c>
      <c r="BF91" s="54"/>
      <c r="BG91" s="54">
        <f t="shared" si="203"/>
        <v>0</v>
      </c>
      <c r="BH91" s="54">
        <f>ROUND((U91*$BF$2)+$BE91-BA91,2)</f>
        <v>0</v>
      </c>
      <c r="BI91" s="54"/>
      <c r="BJ91" s="54">
        <f>ROUND((W91*$BF$2)+$BE91-BC91,2)</f>
        <v>0</v>
      </c>
      <c r="BM91" s="279">
        <f t="shared" si="166"/>
        <v>0</v>
      </c>
      <c r="BN91" s="279">
        <f t="shared" si="167"/>
        <v>30.168771999999997</v>
      </c>
      <c r="BO91" s="279">
        <f t="shared" si="77"/>
        <v>22.494615999999997</v>
      </c>
      <c r="BP91" s="279">
        <f t="shared" si="78"/>
        <v>0</v>
      </c>
      <c r="BQ91" s="279">
        <f t="shared" si="79"/>
        <v>18.698142000000001</v>
      </c>
      <c r="BS91" s="54">
        <f t="shared" si="71"/>
        <v>0</v>
      </c>
      <c r="BT91" s="54">
        <f t="shared" si="72"/>
        <v>1.7587719999999969</v>
      </c>
      <c r="BU91" s="54">
        <f t="shared" si="73"/>
        <v>1.3446159999999985</v>
      </c>
      <c r="BV91" s="54">
        <f t="shared" si="74"/>
        <v>0</v>
      </c>
      <c r="BW91" s="54">
        <f t="shared" si="75"/>
        <v>1.0481420000000021</v>
      </c>
      <c r="CU91" s="684"/>
      <c r="FA91" s="595"/>
      <c r="FB91" s="595"/>
      <c r="FC91" s="595"/>
      <c r="FD91" s="595"/>
      <c r="FE91" s="595"/>
      <c r="FF91" s="595"/>
      <c r="FG91" s="595"/>
      <c r="FH91" s="595"/>
      <c r="FI91" s="595"/>
      <c r="FJ91" s="595"/>
      <c r="FK91" s="595"/>
      <c r="FL91" s="595"/>
      <c r="FM91" s="595"/>
      <c r="FN91" s="595"/>
      <c r="FO91" s="595"/>
      <c r="FP91" s="595"/>
    </row>
    <row r="92" spans="1:180">
      <c r="B92" s="35">
        <v>2</v>
      </c>
      <c r="C92" s="72" t="s">
        <v>121</v>
      </c>
      <c r="D92" s="35">
        <v>845</v>
      </c>
      <c r="E92" s="560">
        <v>1</v>
      </c>
      <c r="F92" s="73"/>
      <c r="G92" s="73" t="str">
        <f t="shared" si="147"/>
        <v>044845</v>
      </c>
      <c r="I92" s="654" t="s">
        <v>712</v>
      </c>
      <c r="J92" s="692" t="s">
        <v>840</v>
      </c>
      <c r="K92" s="579" t="s">
        <v>639</v>
      </c>
      <c r="L92" s="581" t="s">
        <v>727</v>
      </c>
      <c r="M92" s="580">
        <f t="shared" si="208"/>
        <v>0</v>
      </c>
      <c r="N92" s="580">
        <f t="shared" si="208"/>
        <v>45</v>
      </c>
      <c r="O92" s="580">
        <f t="shared" si="208"/>
        <v>0</v>
      </c>
      <c r="P92" s="580">
        <f t="shared" si="208"/>
        <v>0</v>
      </c>
      <c r="Q92" s="580">
        <f t="shared" si="208"/>
        <v>0</v>
      </c>
      <c r="R92" s="580">
        <f t="shared" si="99"/>
        <v>0</v>
      </c>
      <c r="S92" s="618">
        <v>0</v>
      </c>
      <c r="T92" s="648">
        <f>T91-T100</f>
        <v>19.689999999999998</v>
      </c>
      <c r="U92" s="618"/>
      <c r="V92" s="618">
        <v>0</v>
      </c>
      <c r="W92" s="618"/>
      <c r="X92" s="654"/>
      <c r="Y92" s="70">
        <f>IF(AND(M92&lt;&gt;0,S92=0),#VALUE!,M92*S92)</f>
        <v>0</v>
      </c>
      <c r="Z92" s="70">
        <f>IF(AND(N92&lt;&gt;0,T92=0),#VALUE!,N92*T92)</f>
        <v>886.05</v>
      </c>
      <c r="AA92" s="70">
        <f t="shared" si="61"/>
        <v>0</v>
      </c>
      <c r="AB92" s="70">
        <f t="shared" si="62"/>
        <v>0</v>
      </c>
      <c r="AC92" s="70">
        <f t="shared" si="63"/>
        <v>0</v>
      </c>
      <c r="AD92" s="654"/>
      <c r="AE92" s="580">
        <f>M92</f>
        <v>0</v>
      </c>
      <c r="AF92" s="580">
        <f>N92</f>
        <v>45</v>
      </c>
      <c r="AG92" s="580">
        <f>O92</f>
        <v>0</v>
      </c>
      <c r="AH92" s="580">
        <f>P92</f>
        <v>0</v>
      </c>
      <c r="AI92" s="580">
        <f>Q92</f>
        <v>0</v>
      </c>
      <c r="AJ92" s="654"/>
      <c r="AK92" s="585">
        <f>ROUND(S92*(1+AK$1),2)</f>
        <v>0</v>
      </c>
      <c r="AL92" s="585">
        <f>AL91-AL100</f>
        <v>21.799999999999997</v>
      </c>
      <c r="AM92" s="585">
        <f t="shared" si="158"/>
        <v>0</v>
      </c>
      <c r="AN92" s="585">
        <f t="shared" si="159"/>
        <v>0</v>
      </c>
      <c r="AO92" s="585">
        <f t="shared" si="160"/>
        <v>0</v>
      </c>
      <c r="AP92" s="654"/>
      <c r="AQ92" s="70">
        <f t="shared" si="161"/>
        <v>0</v>
      </c>
      <c r="AR92" s="70">
        <f t="shared" si="153"/>
        <v>980.99999999999989</v>
      </c>
      <c r="AS92" s="70">
        <f t="shared" si="162"/>
        <v>0</v>
      </c>
      <c r="AT92" s="70">
        <f t="shared" si="163"/>
        <v>0</v>
      </c>
      <c r="AU92" s="70">
        <f t="shared" si="164"/>
        <v>0</v>
      </c>
      <c r="AV92" s="70">
        <f>SUM(AR92)-SUM(Z92)</f>
        <v>94.949999999999932</v>
      </c>
      <c r="AW92" s="456">
        <f t="shared" si="206"/>
        <v>0.10716099542915178</v>
      </c>
      <c r="AX92" s="592">
        <v>83</v>
      </c>
      <c r="AY92" s="582"/>
      <c r="AZ92" s="582">
        <v>20.18</v>
      </c>
      <c r="BA92" s="582"/>
      <c r="BB92" s="582"/>
      <c r="BC92" s="582"/>
      <c r="BD92" s="582"/>
      <c r="BE92" s="588">
        <f>ROUND(AX92*$BE$2,2)+ROUND(AX92*$BE$1,2)</f>
        <v>0.18999999999999995</v>
      </c>
      <c r="BF92" s="578"/>
      <c r="BG92" s="578">
        <f t="shared" si="203"/>
        <v>0</v>
      </c>
      <c r="BH92" s="578"/>
      <c r="BI92" s="578"/>
      <c r="BJ92" s="578"/>
      <c r="BK92" s="654"/>
      <c r="BL92" s="654"/>
      <c r="BM92" s="586">
        <f t="shared" si="166"/>
        <v>0</v>
      </c>
      <c r="BN92" s="586">
        <f t="shared" si="167"/>
        <v>22.129179999999995</v>
      </c>
      <c r="BO92" s="586">
        <f>AM92*$BM$1</f>
        <v>0</v>
      </c>
      <c r="BP92" s="586">
        <f>AN92*$BM$1</f>
        <v>0</v>
      </c>
      <c r="BQ92" s="586">
        <f>AO92*$BM$1</f>
        <v>0</v>
      </c>
      <c r="BR92" s="654"/>
      <c r="BS92" s="578">
        <f>BM92-AY92</f>
        <v>0</v>
      </c>
      <c r="BT92" s="578">
        <f>BN92-AZ92</f>
        <v>1.9491799999999948</v>
      </c>
      <c r="BU92" s="578">
        <f>BO92-BA92</f>
        <v>0</v>
      </c>
      <c r="BV92" s="578">
        <f>BP92-BB92</f>
        <v>0</v>
      </c>
      <c r="BW92" s="578">
        <f>BQ92-BC92</f>
        <v>0</v>
      </c>
      <c r="BX92" s="654"/>
      <c r="BY92" s="654"/>
      <c r="BZ92" s="654"/>
      <c r="CA92" s="654"/>
      <c r="CB92" s="654"/>
      <c r="CC92" s="654"/>
      <c r="CD92" s="654"/>
      <c r="CE92" s="654"/>
      <c r="CF92" s="654"/>
      <c r="CG92" s="654"/>
      <c r="CH92" s="654"/>
      <c r="CI92" s="654"/>
      <c r="CJ92" s="654"/>
      <c r="CK92" s="654"/>
      <c r="CL92" s="654"/>
      <c r="CM92" s="654"/>
      <c r="CN92" s="654"/>
      <c r="CO92" s="654"/>
      <c r="CP92" s="654"/>
      <c r="CQ92" s="654"/>
      <c r="CR92" s="654"/>
      <c r="CS92" s="654"/>
      <c r="CT92" s="654"/>
      <c r="DC92" s="684"/>
      <c r="DD92" s="684"/>
      <c r="DE92" s="684"/>
      <c r="DF92" s="684"/>
      <c r="DG92" s="684"/>
      <c r="FP92" s="595"/>
      <c r="FQ92" s="595"/>
      <c r="FR92" s="595"/>
    </row>
    <row r="93" spans="1:180">
      <c r="E93" s="74">
        <f>SUM(E79:E92)</f>
        <v>164</v>
      </c>
      <c r="F93" s="75"/>
      <c r="G93" s="73" t="str">
        <f t="shared" si="147"/>
        <v/>
      </c>
      <c r="H93" s="46"/>
      <c r="I93" s="434" t="s">
        <v>712</v>
      </c>
      <c r="J93" s="692" t="s">
        <v>840</v>
      </c>
      <c r="K93" s="579" t="s">
        <v>639</v>
      </c>
      <c r="L93" s="581" t="s">
        <v>642</v>
      </c>
      <c r="M93" s="580">
        <f t="shared" si="208"/>
        <v>0</v>
      </c>
      <c r="N93" s="580">
        <f t="shared" si="208"/>
        <v>22</v>
      </c>
      <c r="O93" s="580">
        <f t="shared" si="208"/>
        <v>0</v>
      </c>
      <c r="P93" s="580">
        <f t="shared" si="208"/>
        <v>0</v>
      </c>
      <c r="Q93" s="580">
        <f t="shared" si="208"/>
        <v>0</v>
      </c>
      <c r="R93" s="580">
        <f t="shared" si="99"/>
        <v>0</v>
      </c>
      <c r="S93" s="618">
        <v>0</v>
      </c>
      <c r="T93" s="648">
        <f>T91</f>
        <v>27.61</v>
      </c>
      <c r="U93" s="618">
        <v>0</v>
      </c>
      <c r="V93" s="618">
        <v>0</v>
      </c>
      <c r="W93" s="618"/>
      <c r="X93" s="635"/>
      <c r="Y93" s="635"/>
      <c r="Z93" s="70">
        <f t="shared" ref="Z93" si="209">IF(AND(N93&lt;&gt;0,T93=0),#VALUE!,N93*T93)</f>
        <v>607.41999999999996</v>
      </c>
      <c r="AA93" s="70">
        <f t="shared" si="61"/>
        <v>0</v>
      </c>
      <c r="AB93" s="70">
        <f t="shared" si="62"/>
        <v>0</v>
      </c>
      <c r="AC93" s="70">
        <f t="shared" si="63"/>
        <v>0</v>
      </c>
      <c r="AD93" s="635"/>
      <c r="AE93" s="580">
        <f>SUMIF($G:$G,TEXT(AE$3,"000")&amp;TEXT($L93,"000"),$E:$E)</f>
        <v>0</v>
      </c>
      <c r="AF93" s="580">
        <f>SUMIF($G:$G,TEXT(AF$3,"000")&amp;TEXT($L93,"000"),$E:$E)</f>
        <v>22</v>
      </c>
      <c r="AG93" s="580">
        <f>SUMIF($G:$G,TEXT(AG$3,"000")&amp;TEXT($L93,"000"),$E:$E)</f>
        <v>0</v>
      </c>
      <c r="AH93" s="580">
        <f>SUMIF($G:$G,TEXT(AH$3,"000")&amp;TEXT($L93,"000"),$E:$E)</f>
        <v>0</v>
      </c>
      <c r="AI93" s="580">
        <f>SUMIF($G:$G,TEXT(AI$3,"000")&amp;TEXT($L93,"000"),$E:$E)</f>
        <v>0</v>
      </c>
      <c r="AJ93" s="635"/>
      <c r="AK93" s="585">
        <f>ROUND(S93*(1+AK$1),2)</f>
        <v>0</v>
      </c>
      <c r="AL93" s="585">
        <f>AL91</f>
        <v>29.72</v>
      </c>
      <c r="AM93" s="585">
        <f>ROUND(U93*(1+AM$1),2)</f>
        <v>0</v>
      </c>
      <c r="AN93" s="585">
        <f>ROUND(V93*(1+AN$1),2)</f>
        <v>0</v>
      </c>
      <c r="AO93" s="585">
        <f>ROUND(W93*(1+AO$1),2)</f>
        <v>0</v>
      </c>
      <c r="AP93" s="635"/>
      <c r="AQ93" s="70">
        <f t="shared" si="161"/>
        <v>0</v>
      </c>
      <c r="AR93" s="70">
        <f t="shared" si="153"/>
        <v>653.83999999999992</v>
      </c>
      <c r="AS93" s="70">
        <f t="shared" si="162"/>
        <v>0</v>
      </c>
      <c r="AT93" s="70">
        <f t="shared" si="163"/>
        <v>0</v>
      </c>
      <c r="AU93" s="70">
        <f t="shared" si="164"/>
        <v>0</v>
      </c>
      <c r="AV93" s="70">
        <f t="shared" ref="AV93:AV97" si="210">SUM(AR93)-SUM(Z93)</f>
        <v>46.419999999999959</v>
      </c>
      <c r="AW93" s="456">
        <f t="shared" si="206"/>
        <v>7.6421586381745676E-2</v>
      </c>
      <c r="FQ93" s="595"/>
      <c r="FR93" s="595"/>
      <c r="FS93" s="595"/>
      <c r="FT93" s="595"/>
      <c r="FU93" s="595"/>
      <c r="FV93" s="595"/>
      <c r="FW93" s="595"/>
    </row>
    <row r="94" spans="1:180">
      <c r="G94" s="73" t="str">
        <f t="shared" si="147"/>
        <v/>
      </c>
      <c r="H94" s="46"/>
      <c r="I94" s="684" t="s">
        <v>712</v>
      </c>
      <c r="J94" s="684" t="s">
        <v>136</v>
      </c>
      <c r="K94" s="579" t="s">
        <v>639</v>
      </c>
      <c r="L94" s="581" t="s">
        <v>819</v>
      </c>
      <c r="M94" s="580">
        <f t="shared" si="208"/>
        <v>0</v>
      </c>
      <c r="N94" s="580">
        <f t="shared" si="208"/>
        <v>3</v>
      </c>
      <c r="O94" s="580">
        <f t="shared" si="208"/>
        <v>0</v>
      </c>
      <c r="P94" s="580">
        <f t="shared" si="208"/>
        <v>0</v>
      </c>
      <c r="Q94" s="580">
        <f t="shared" si="208"/>
        <v>0</v>
      </c>
      <c r="R94" s="580">
        <f t="shared" si="99"/>
        <v>0</v>
      </c>
      <c r="S94" s="618">
        <v>0</v>
      </c>
      <c r="T94" s="648">
        <f>T148-T100</f>
        <v>27.369999999999997</v>
      </c>
      <c r="U94" s="618">
        <v>0</v>
      </c>
      <c r="V94" s="618">
        <v>0</v>
      </c>
      <c r="W94" s="618">
        <v>0</v>
      </c>
      <c r="X94" s="684"/>
      <c r="Y94" s="70">
        <f t="shared" ref="Y94" si="211">IF(AND(M94&lt;&gt;0,S94=0),#VALUE!,M94*S94)</f>
        <v>0</v>
      </c>
      <c r="Z94" s="70">
        <f>IF(AND(N94&lt;&gt;0,T94=0),#VALUE!,N94*T94)</f>
        <v>82.109999999999985</v>
      </c>
      <c r="AA94" s="70">
        <f t="shared" si="61"/>
        <v>0</v>
      </c>
      <c r="AB94" s="70">
        <f t="shared" si="62"/>
        <v>0</v>
      </c>
      <c r="AC94" s="70">
        <f t="shared" si="63"/>
        <v>0</v>
      </c>
      <c r="AD94" s="684"/>
      <c r="AE94" s="580">
        <f t="shared" ref="AE94" si="212">M94</f>
        <v>0</v>
      </c>
      <c r="AF94" s="580">
        <f t="shared" ref="AF94" si="213">N94</f>
        <v>3</v>
      </c>
      <c r="AG94" s="580">
        <f t="shared" ref="AG94" si="214">O94</f>
        <v>0</v>
      </c>
      <c r="AH94" s="580">
        <f t="shared" ref="AH94" si="215">P94</f>
        <v>0</v>
      </c>
      <c r="AI94" s="580">
        <f t="shared" ref="AI94" si="216">Q94</f>
        <v>0</v>
      </c>
      <c r="AJ94" s="684"/>
      <c r="AK94" s="585">
        <f t="shared" ref="AK94" si="217">ROUND(S94*(1+AK$1),2)</f>
        <v>0</v>
      </c>
      <c r="AL94" s="585">
        <f t="shared" ref="AL94:AL139" si="218">ROUND(T94*(1+AL$1),2)</f>
        <v>29.46</v>
      </c>
      <c r="AM94" s="585">
        <f t="shared" ref="AM94" si="219">ROUND(U94*(1+AM$1),2)</f>
        <v>0</v>
      </c>
      <c r="AN94" s="585">
        <f t="shared" ref="AN94" si="220">ROUND(V94*(1+AN$1),2)</f>
        <v>0</v>
      </c>
      <c r="AO94" s="585">
        <f t="shared" ref="AO94" si="221">ROUND(W94*(1+AO$1),2)</f>
        <v>0</v>
      </c>
      <c r="AP94" s="684"/>
      <c r="AQ94" s="70">
        <f t="shared" si="161"/>
        <v>0</v>
      </c>
      <c r="AR94" s="70">
        <f t="shared" ref="AR94" si="222">IF(AND(AF94&lt;&gt;0,AL94=0),#VALUE!,AF94*AL94)</f>
        <v>88.38</v>
      </c>
      <c r="AS94" s="70">
        <f t="shared" si="162"/>
        <v>0</v>
      </c>
      <c r="AT94" s="70">
        <f t="shared" si="163"/>
        <v>0</v>
      </c>
      <c r="AU94" s="70">
        <f t="shared" si="164"/>
        <v>0</v>
      </c>
      <c r="AV94" s="70">
        <f t="shared" si="210"/>
        <v>6.2700000000000102</v>
      </c>
      <c r="AW94" s="456">
        <f t="shared" si="206"/>
        <v>7.6360979174278545E-2</v>
      </c>
      <c r="AX94" s="592">
        <v>83</v>
      </c>
      <c r="AY94" s="582"/>
      <c r="AZ94" s="582">
        <v>27.97</v>
      </c>
      <c r="BA94" s="582"/>
      <c r="BB94" s="582"/>
      <c r="BC94" s="582"/>
      <c r="BD94" s="582"/>
      <c r="BE94" s="588">
        <f t="shared" ref="BE94" si="223">ROUND(AX94*$BE$2,2)+ROUND(AX94*$BE$1,2)</f>
        <v>0.18999999999999995</v>
      </c>
      <c r="BF94" s="578"/>
      <c r="BG94" s="578">
        <f t="shared" ref="BG94" si="224">ROUND((T94*$BF$2)+$BE94-AZ94,2)</f>
        <v>0</v>
      </c>
      <c r="BH94" s="578"/>
      <c r="BI94" s="578"/>
      <c r="BJ94" s="578"/>
      <c r="BK94" s="684"/>
      <c r="BL94" s="684"/>
      <c r="BM94" s="586">
        <f t="shared" ref="BM94" si="225">AK94*$BM$1</f>
        <v>0</v>
      </c>
      <c r="BN94" s="586">
        <f t="shared" ref="BN94" si="226">AL94*$BM$1</f>
        <v>29.904845999999999</v>
      </c>
      <c r="BO94" s="586">
        <f t="shared" ref="BO94" si="227">AM94*$BM$1</f>
        <v>0</v>
      </c>
      <c r="BP94" s="586">
        <f t="shared" ref="BP94" si="228">AN94*$BM$1</f>
        <v>0</v>
      </c>
      <c r="BQ94" s="586">
        <f t="shared" ref="BQ94" si="229">AO94*$BM$1</f>
        <v>0</v>
      </c>
      <c r="BR94" s="684"/>
      <c r="BS94" s="578">
        <f t="shared" ref="BS94" si="230">BM94-AY94</f>
        <v>0</v>
      </c>
      <c r="BT94" s="578">
        <f t="shared" ref="BT94" si="231">BN94-AZ94</f>
        <v>1.9348460000000003</v>
      </c>
      <c r="BU94" s="578">
        <f t="shared" ref="BU94" si="232">BO94-BA94</f>
        <v>0</v>
      </c>
      <c r="BV94" s="578">
        <f t="shared" ref="BV94" si="233">BP94-BB94</f>
        <v>0</v>
      </c>
      <c r="BW94" s="578">
        <f t="shared" ref="BW94" si="234">BQ94-BC94</f>
        <v>0</v>
      </c>
      <c r="BX94" s="684"/>
      <c r="BY94" s="684"/>
      <c r="BZ94" s="684"/>
      <c r="CA94" s="684"/>
      <c r="CB94" s="684"/>
      <c r="CC94" s="684"/>
      <c r="CD94" s="684"/>
      <c r="CE94" s="684"/>
      <c r="CF94" s="684"/>
      <c r="CG94" s="684"/>
      <c r="CH94" s="684"/>
      <c r="CI94" s="684"/>
      <c r="CJ94" s="684"/>
      <c r="CK94" s="684"/>
      <c r="CL94" s="684"/>
      <c r="CM94" s="684"/>
      <c r="CN94" s="684"/>
      <c r="CO94" s="684"/>
      <c r="CP94" s="684"/>
      <c r="CQ94" s="684"/>
      <c r="CR94" s="684"/>
      <c r="CS94" s="684"/>
      <c r="CT94" s="684"/>
      <c r="FS94" s="595"/>
      <c r="FT94" s="595"/>
      <c r="FU94" s="595"/>
      <c r="FV94" s="595"/>
      <c r="FW94" s="595"/>
      <c r="FX94" s="595"/>
    </row>
    <row r="95" spans="1:180">
      <c r="B95" s="35">
        <v>2</v>
      </c>
      <c r="C95" s="72" t="s">
        <v>122</v>
      </c>
      <c r="D95" s="35">
        <v>415</v>
      </c>
      <c r="E95" s="558">
        <v>61</v>
      </c>
      <c r="F95" s="73"/>
      <c r="G95" s="73" t="str">
        <f t="shared" si="147"/>
        <v>045415</v>
      </c>
      <c r="H95" s="46"/>
      <c r="I95" t="s">
        <v>139</v>
      </c>
      <c r="J95" t="s">
        <v>109</v>
      </c>
      <c r="K95" s="59" t="s">
        <v>147</v>
      </c>
      <c r="L95" s="97">
        <v>842</v>
      </c>
      <c r="M95" s="69">
        <f t="shared" si="208"/>
        <v>0</v>
      </c>
      <c r="N95" s="69">
        <f t="shared" si="208"/>
        <v>2</v>
      </c>
      <c r="O95" s="69">
        <f t="shared" si="208"/>
        <v>0</v>
      </c>
      <c r="P95" s="69">
        <f t="shared" si="208"/>
        <v>0</v>
      </c>
      <c r="Q95" s="69">
        <f t="shared" si="208"/>
        <v>0</v>
      </c>
      <c r="R95" s="580">
        <f t="shared" si="99"/>
        <v>0</v>
      </c>
      <c r="S95" s="618">
        <v>0</v>
      </c>
      <c r="T95" s="618">
        <v>92.5</v>
      </c>
      <c r="U95" s="618">
        <v>0</v>
      </c>
      <c r="V95" s="618">
        <v>0</v>
      </c>
      <c r="W95" s="618">
        <v>0</v>
      </c>
      <c r="Y95" s="70">
        <f t="shared" si="59"/>
        <v>0</v>
      </c>
      <c r="Z95" s="70">
        <f t="shared" si="60"/>
        <v>185</v>
      </c>
      <c r="AA95" s="70">
        <f t="shared" si="61"/>
        <v>0</v>
      </c>
      <c r="AB95" s="70">
        <f t="shared" si="62"/>
        <v>0</v>
      </c>
      <c r="AC95" s="70">
        <f t="shared" si="63"/>
        <v>0</v>
      </c>
      <c r="AE95" s="69">
        <f t="shared" si="64"/>
        <v>0</v>
      </c>
      <c r="AF95" s="69">
        <f t="shared" si="126"/>
        <v>2</v>
      </c>
      <c r="AG95" s="69">
        <f t="shared" si="127"/>
        <v>0</v>
      </c>
      <c r="AH95" s="69">
        <f t="shared" si="128"/>
        <v>0</v>
      </c>
      <c r="AI95" s="69">
        <f t="shared" si="129"/>
        <v>0</v>
      </c>
      <c r="AK95" s="435">
        <f t="shared" si="116"/>
        <v>0</v>
      </c>
      <c r="AL95" s="435">
        <f t="shared" si="218"/>
        <v>99.58</v>
      </c>
      <c r="AM95" s="435">
        <f t="shared" si="158"/>
        <v>0</v>
      </c>
      <c r="AN95" s="435">
        <f t="shared" si="159"/>
        <v>0</v>
      </c>
      <c r="AO95" s="435">
        <f t="shared" si="160"/>
        <v>0</v>
      </c>
      <c r="AQ95" s="70">
        <f t="shared" si="161"/>
        <v>0</v>
      </c>
      <c r="AR95" s="70">
        <f t="shared" si="153"/>
        <v>199.16</v>
      </c>
      <c r="AS95" s="70">
        <f t="shared" si="162"/>
        <v>0</v>
      </c>
      <c r="AT95" s="70">
        <f t="shared" si="163"/>
        <v>0</v>
      </c>
      <c r="AU95" s="70">
        <f t="shared" si="164"/>
        <v>0</v>
      </c>
      <c r="AV95" s="70">
        <f t="shared" si="210"/>
        <v>14.159999999999997</v>
      </c>
      <c r="AW95" s="456">
        <f t="shared" si="206"/>
        <v>7.6540540540540519E-2</v>
      </c>
      <c r="AX95" s="447">
        <v>338</v>
      </c>
      <c r="AY95" s="582"/>
      <c r="AZ95" s="582">
        <v>94.64</v>
      </c>
      <c r="BA95" s="582"/>
      <c r="BB95" s="582"/>
      <c r="BC95" s="582"/>
      <c r="BD95" s="140"/>
      <c r="BE95" s="588">
        <f t="shared" si="165"/>
        <v>0.75</v>
      </c>
      <c r="BF95" s="54"/>
      <c r="BG95" s="54">
        <f t="shared" si="203"/>
        <v>0.01</v>
      </c>
      <c r="BH95" s="54"/>
      <c r="BI95" s="54"/>
      <c r="BJ95" s="54"/>
      <c r="BM95" s="279">
        <f t="shared" si="166"/>
        <v>0</v>
      </c>
      <c r="BN95" s="279">
        <f t="shared" si="167"/>
        <v>101.08365799999999</v>
      </c>
      <c r="BO95" s="279">
        <f t="shared" si="77"/>
        <v>0</v>
      </c>
      <c r="BP95" s="279">
        <f t="shared" si="78"/>
        <v>0</v>
      </c>
      <c r="BQ95" s="279">
        <f t="shared" si="79"/>
        <v>0</v>
      </c>
      <c r="BS95" s="54">
        <f t="shared" si="71"/>
        <v>0</v>
      </c>
      <c r="BT95" s="54">
        <f t="shared" si="72"/>
        <v>6.443657999999985</v>
      </c>
      <c r="BU95" s="54">
        <f t="shared" si="73"/>
        <v>0</v>
      </c>
      <c r="BV95" s="54">
        <f t="shared" si="74"/>
        <v>0</v>
      </c>
      <c r="BW95" s="54">
        <f t="shared" si="75"/>
        <v>0</v>
      </c>
      <c r="CV95" s="684"/>
      <c r="CW95" s="684"/>
      <c r="CX95" s="684"/>
      <c r="CY95" s="684"/>
      <c r="CZ95" s="684"/>
      <c r="DA95" s="684"/>
      <c r="DB95" s="684"/>
      <c r="FX95" s="595"/>
    </row>
    <row r="96" spans="1:180" s="595" customFormat="1">
      <c r="A96"/>
      <c r="B96" s="35">
        <v>2</v>
      </c>
      <c r="C96" s="72" t="s">
        <v>122</v>
      </c>
      <c r="D96" s="35">
        <v>419</v>
      </c>
      <c r="E96" s="558">
        <v>16</v>
      </c>
      <c r="F96" s="73"/>
      <c r="G96" s="73" t="str">
        <f>IF(OR(ISBLANK(C96),ISBLANK(D96)),"",TEXT(C96,"000")&amp;TEXT(D96,"000"))</f>
        <v>045419</v>
      </c>
      <c r="H96" s="46"/>
      <c r="I96" t="s">
        <v>139</v>
      </c>
      <c r="J96" t="s">
        <v>107</v>
      </c>
      <c r="K96" s="59" t="s">
        <v>147</v>
      </c>
      <c r="L96" s="97">
        <v>845</v>
      </c>
      <c r="M96" s="69">
        <f t="shared" si="208"/>
        <v>0</v>
      </c>
      <c r="N96" s="69">
        <f t="shared" si="208"/>
        <v>0</v>
      </c>
      <c r="O96" s="69">
        <f t="shared" si="208"/>
        <v>1</v>
      </c>
      <c r="P96" s="69">
        <f t="shared" si="208"/>
        <v>0</v>
      </c>
      <c r="Q96" s="69">
        <f t="shared" si="208"/>
        <v>0</v>
      </c>
      <c r="R96" s="580">
        <f t="shared" ref="R96:R97" si="235">IF(SUM(M96:Q96)&gt;0,0,1)</f>
        <v>0</v>
      </c>
      <c r="S96" s="618">
        <v>0</v>
      </c>
      <c r="T96" s="618">
        <v>0</v>
      </c>
      <c r="U96" s="618">
        <v>38.33</v>
      </c>
      <c r="V96" s="618">
        <v>0</v>
      </c>
      <c r="W96" s="618">
        <v>0</v>
      </c>
      <c r="X96"/>
      <c r="Y96" s="70">
        <f>IF(AND(M96&lt;&gt;0,S96=0),#VALUE!,M96*S96)</f>
        <v>0</v>
      </c>
      <c r="Z96" s="70">
        <f t="shared" si="60"/>
        <v>0</v>
      </c>
      <c r="AA96" s="70">
        <f t="shared" si="61"/>
        <v>38.33</v>
      </c>
      <c r="AB96" s="70">
        <f t="shared" si="62"/>
        <v>0</v>
      </c>
      <c r="AC96" s="70">
        <f t="shared" si="63"/>
        <v>0</v>
      </c>
      <c r="AD96"/>
      <c r="AE96" s="69">
        <f t="shared" si="64"/>
        <v>0</v>
      </c>
      <c r="AF96" s="69">
        <f t="shared" si="126"/>
        <v>0</v>
      </c>
      <c r="AG96" s="69">
        <f t="shared" si="127"/>
        <v>1</v>
      </c>
      <c r="AH96" s="69">
        <f t="shared" si="128"/>
        <v>0</v>
      </c>
      <c r="AI96" s="69">
        <f t="shared" si="129"/>
        <v>0</v>
      </c>
      <c r="AJ96"/>
      <c r="AK96" s="435">
        <f t="shared" si="116"/>
        <v>0</v>
      </c>
      <c r="AL96" s="435">
        <f t="shared" si="218"/>
        <v>0</v>
      </c>
      <c r="AM96" s="435">
        <f t="shared" si="158"/>
        <v>41.51</v>
      </c>
      <c r="AN96" s="435">
        <f t="shared" si="159"/>
        <v>0</v>
      </c>
      <c r="AO96" s="435">
        <f t="shared" si="160"/>
        <v>0</v>
      </c>
      <c r="AP96"/>
      <c r="AQ96" s="70">
        <f t="shared" si="161"/>
        <v>0</v>
      </c>
      <c r="AR96" s="70">
        <f t="shared" si="153"/>
        <v>0</v>
      </c>
      <c r="AS96" s="70">
        <f t="shared" si="162"/>
        <v>41.51</v>
      </c>
      <c r="AT96" s="70">
        <f t="shared" si="163"/>
        <v>0</v>
      </c>
      <c r="AU96" s="70">
        <f t="shared" si="164"/>
        <v>0</v>
      </c>
      <c r="AV96" s="70">
        <f t="shared" si="210"/>
        <v>0</v>
      </c>
      <c r="AW96" s="456" t="e">
        <f t="shared" si="206"/>
        <v>#DIV/0!</v>
      </c>
      <c r="AX96" s="447">
        <v>338</v>
      </c>
      <c r="AY96" s="582"/>
      <c r="AZ96" s="582"/>
      <c r="BA96" s="582">
        <v>39.65</v>
      </c>
      <c r="BB96" s="582"/>
      <c r="BC96" s="582"/>
      <c r="BD96" s="140"/>
      <c r="BE96" s="588">
        <f t="shared" si="165"/>
        <v>0.75</v>
      </c>
      <c r="BF96" s="54"/>
      <c r="BG96" s="54"/>
      <c r="BH96" s="54">
        <f>ROUND((U96*$BF$2)+$BE96-BA96,2)</f>
        <v>0.01</v>
      </c>
      <c r="BI96" s="54"/>
      <c r="BJ96" s="54"/>
      <c r="BK96"/>
      <c r="BL96"/>
      <c r="BM96" s="279">
        <f t="shared" si="166"/>
        <v>0</v>
      </c>
      <c r="BN96" s="279">
        <f t="shared" si="167"/>
        <v>0</v>
      </c>
      <c r="BO96" s="279">
        <f t="shared" si="77"/>
        <v>42.136800999999991</v>
      </c>
      <c r="BP96" s="279">
        <f t="shared" si="78"/>
        <v>0</v>
      </c>
      <c r="BQ96" s="279">
        <f t="shared" si="79"/>
        <v>0</v>
      </c>
      <c r="BR96"/>
      <c r="BS96" s="54">
        <f t="shared" si="71"/>
        <v>0</v>
      </c>
      <c r="BT96" s="54">
        <f t="shared" si="72"/>
        <v>0</v>
      </c>
      <c r="BU96" s="54">
        <f t="shared" si="73"/>
        <v>2.4868009999999927</v>
      </c>
      <c r="BV96" s="54">
        <f t="shared" si="74"/>
        <v>0</v>
      </c>
      <c r="BW96" s="54">
        <f t="shared" si="75"/>
        <v>0</v>
      </c>
      <c r="BX96"/>
      <c r="BY96"/>
      <c r="BZ96"/>
      <c r="CA96"/>
      <c r="CB96"/>
      <c r="CC96"/>
      <c r="CD96"/>
      <c r="CE96"/>
      <c r="CF96"/>
      <c r="CG96"/>
      <c r="CH96"/>
      <c r="CI96"/>
      <c r="CJ96"/>
      <c r="CK96"/>
      <c r="CL96"/>
      <c r="CM96"/>
      <c r="CN96"/>
      <c r="CO96"/>
      <c r="CP96"/>
      <c r="CQ96"/>
      <c r="CR96"/>
      <c r="CS96"/>
      <c r="CT96"/>
      <c r="CU96" s="684"/>
      <c r="CV96"/>
      <c r="CW96"/>
      <c r="CX96"/>
      <c r="CY96"/>
      <c r="CZ96"/>
      <c r="DA96"/>
      <c r="DB96"/>
      <c r="DC96"/>
      <c r="DD96"/>
      <c r="DE96"/>
      <c r="DF96"/>
      <c r="DG96"/>
      <c r="DH96" s="684"/>
      <c r="DI96" s="684"/>
      <c r="DJ96" s="684"/>
      <c r="DK96" s="684"/>
      <c r="DL96" s="684"/>
      <c r="DM96" s="684"/>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row>
    <row r="97" spans="1:180" s="595" customFormat="1">
      <c r="A97"/>
      <c r="B97" s="35">
        <v>2</v>
      </c>
      <c r="C97" s="72" t="s">
        <v>122</v>
      </c>
      <c r="D97" s="35">
        <v>515</v>
      </c>
      <c r="E97" s="558">
        <v>1</v>
      </c>
      <c r="F97" s="73"/>
      <c r="G97" s="73" t="str">
        <f>IF(OR(ISBLANK(C97),ISBLANK(D97)),"",TEXT(C97,"000")&amp;TEXT(D97,"000"))</f>
        <v>045515</v>
      </c>
      <c r="H97" s="46"/>
      <c r="I97" t="s">
        <v>128</v>
      </c>
      <c r="J97" t="s">
        <v>148</v>
      </c>
      <c r="K97" s="76" t="s">
        <v>149</v>
      </c>
      <c r="L97" s="97">
        <v>935</v>
      </c>
      <c r="M97" s="69">
        <f t="shared" si="208"/>
        <v>0</v>
      </c>
      <c r="N97" s="69">
        <f t="shared" si="208"/>
        <v>0</v>
      </c>
      <c r="O97" s="69">
        <f t="shared" si="208"/>
        <v>0</v>
      </c>
      <c r="P97" s="69">
        <f t="shared" si="208"/>
        <v>0</v>
      </c>
      <c r="Q97" s="69">
        <f t="shared" si="208"/>
        <v>103</v>
      </c>
      <c r="R97" s="580">
        <f t="shared" si="235"/>
        <v>0</v>
      </c>
      <c r="S97" s="618">
        <v>0</v>
      </c>
      <c r="T97" s="618">
        <v>0</v>
      </c>
      <c r="U97" s="618">
        <v>0</v>
      </c>
      <c r="V97" s="618">
        <v>0</v>
      </c>
      <c r="W97" s="618">
        <v>6.89</v>
      </c>
      <c r="X97"/>
      <c r="Y97" s="70">
        <f>IF(AND(M97&lt;&gt;0,S97=0),#VALUE!,M97*S97)</f>
        <v>0</v>
      </c>
      <c r="Z97" s="70">
        <f t="shared" si="60"/>
        <v>0</v>
      </c>
      <c r="AA97" s="70">
        <f t="shared" si="61"/>
        <v>0</v>
      </c>
      <c r="AB97" s="70">
        <f t="shared" si="62"/>
        <v>0</v>
      </c>
      <c r="AC97" s="70">
        <f t="shared" si="63"/>
        <v>709.67</v>
      </c>
      <c r="AD97"/>
      <c r="AE97" s="69">
        <f t="shared" si="64"/>
        <v>0</v>
      </c>
      <c r="AF97" s="69">
        <f t="shared" si="126"/>
        <v>0</v>
      </c>
      <c r="AG97" s="69">
        <f t="shared" si="127"/>
        <v>0</v>
      </c>
      <c r="AH97" s="69">
        <f t="shared" si="128"/>
        <v>0</v>
      </c>
      <c r="AI97" s="69">
        <f t="shared" si="129"/>
        <v>103</v>
      </c>
      <c r="AJ97"/>
      <c r="AK97" s="435">
        <f t="shared" ref="AK97:AK139" si="236">ROUND(S97*(1+AK$1),2)</f>
        <v>0</v>
      </c>
      <c r="AL97" s="435">
        <f t="shared" si="218"/>
        <v>0</v>
      </c>
      <c r="AM97" s="435">
        <f t="shared" si="158"/>
        <v>0</v>
      </c>
      <c r="AN97" s="435">
        <f t="shared" si="159"/>
        <v>0</v>
      </c>
      <c r="AO97" s="435">
        <f t="shared" si="160"/>
        <v>7.46</v>
      </c>
      <c r="AP97"/>
      <c r="AQ97" s="70">
        <f t="shared" si="161"/>
        <v>0</v>
      </c>
      <c r="AR97" s="70">
        <f t="shared" si="153"/>
        <v>0</v>
      </c>
      <c r="AS97" s="70">
        <f t="shared" si="162"/>
        <v>0</v>
      </c>
      <c r="AT97" s="70">
        <f t="shared" si="163"/>
        <v>0</v>
      </c>
      <c r="AU97" s="70">
        <f t="shared" si="164"/>
        <v>768.38</v>
      </c>
      <c r="AV97" s="70">
        <f t="shared" si="210"/>
        <v>0</v>
      </c>
      <c r="AW97" s="456" t="e">
        <f t="shared" si="206"/>
        <v>#DIV/0!</v>
      </c>
      <c r="AX97" s="447">
        <v>62</v>
      </c>
      <c r="AY97" s="582"/>
      <c r="AZ97" s="582"/>
      <c r="BA97" s="582"/>
      <c r="BB97" s="582"/>
      <c r="BC97" s="582">
        <v>7.12</v>
      </c>
      <c r="BD97" s="140"/>
      <c r="BE97" s="588">
        <f t="shared" si="165"/>
        <v>0.13</v>
      </c>
      <c r="BF97" s="54"/>
      <c r="BG97" s="54"/>
      <c r="BH97" s="54"/>
      <c r="BI97" s="54"/>
      <c r="BJ97" s="54">
        <f>ROUND((W97*$BF$2)+$BE97-BC97,2)</f>
        <v>0</v>
      </c>
      <c r="BK97"/>
      <c r="BL97"/>
      <c r="BM97" s="279">
        <f t="shared" si="166"/>
        <v>0</v>
      </c>
      <c r="BN97" s="279">
        <f t="shared" si="167"/>
        <v>0</v>
      </c>
      <c r="BO97" s="279">
        <f t="shared" si="77"/>
        <v>0</v>
      </c>
      <c r="BP97" s="279">
        <f t="shared" si="78"/>
        <v>0</v>
      </c>
      <c r="BQ97" s="279">
        <f t="shared" si="79"/>
        <v>7.5726459999999989</v>
      </c>
      <c r="BR97"/>
      <c r="BS97" s="54">
        <f t="shared" si="71"/>
        <v>0</v>
      </c>
      <c r="BT97" s="54">
        <f t="shared" si="72"/>
        <v>0</v>
      </c>
      <c r="BU97" s="54">
        <f t="shared" si="73"/>
        <v>0</v>
      </c>
      <c r="BV97" s="54">
        <f t="shared" si="74"/>
        <v>0</v>
      </c>
      <c r="BW97" s="54">
        <f t="shared" si="75"/>
        <v>0.45264599999999877</v>
      </c>
      <c r="BX97"/>
      <c r="BY97"/>
      <c r="BZ97"/>
      <c r="CA97"/>
      <c r="CB97"/>
      <c r="CC97"/>
      <c r="CD97"/>
      <c r="CE97"/>
      <c r="CF97"/>
      <c r="CG97"/>
      <c r="CH97"/>
      <c r="CI97"/>
      <c r="CJ97"/>
      <c r="CK97"/>
      <c r="CL97"/>
      <c r="CM97"/>
      <c r="CN97"/>
      <c r="CO97"/>
      <c r="CP97"/>
      <c r="CQ97"/>
      <c r="CR97"/>
      <c r="CS97"/>
      <c r="CT97"/>
      <c r="CU97"/>
      <c r="CV97"/>
      <c r="CW97"/>
      <c r="CX97"/>
      <c r="CY97"/>
      <c r="CZ97"/>
      <c r="DA97"/>
      <c r="DB97"/>
      <c r="DC97" s="684"/>
      <c r="DD97" s="684"/>
      <c r="DE97" s="684"/>
      <c r="DF97" s="684"/>
      <c r="DG97" s="684"/>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row>
    <row r="98" spans="1:180">
      <c r="B98" s="35">
        <v>2</v>
      </c>
      <c r="C98" s="72" t="s">
        <v>122</v>
      </c>
      <c r="D98" s="35">
        <v>615</v>
      </c>
      <c r="E98" s="558">
        <v>87</v>
      </c>
      <c r="F98" s="73"/>
      <c r="G98" s="73" t="str">
        <f t="shared" si="147"/>
        <v>045615</v>
      </c>
      <c r="H98" s="46"/>
      <c r="I98" s="646" t="s">
        <v>704</v>
      </c>
      <c r="J98" s="646"/>
      <c r="K98" s="76" t="s">
        <v>132</v>
      </c>
      <c r="L98" s="581"/>
      <c r="M98" s="580"/>
      <c r="N98" s="580"/>
      <c r="O98" s="580"/>
      <c r="P98" s="580"/>
      <c r="Q98" s="580"/>
      <c r="R98" s="82"/>
      <c r="S98" s="618"/>
      <c r="T98" s="618">
        <v>5.23</v>
      </c>
      <c r="V98" s="618"/>
      <c r="W98" s="618"/>
      <c r="X98" s="646"/>
      <c r="Y98" s="70"/>
      <c r="Z98" s="70"/>
      <c r="AA98" s="70"/>
      <c r="AB98" s="70"/>
      <c r="AC98" s="70"/>
      <c r="AD98" s="646"/>
      <c r="AE98" s="580"/>
      <c r="AF98" s="580"/>
      <c r="AG98" s="580"/>
      <c r="AH98" s="580"/>
      <c r="AI98" s="580"/>
      <c r="AJ98" s="646"/>
      <c r="AK98" s="585"/>
      <c r="AL98" s="585">
        <f>ROUND(T98,2)</f>
        <v>5.23</v>
      </c>
      <c r="AN98" s="585"/>
      <c r="AO98" s="585"/>
      <c r="AP98" s="646"/>
      <c r="AQ98" s="70">
        <f t="shared" si="161"/>
        <v>0</v>
      </c>
      <c r="AR98" s="70"/>
      <c r="AS98" s="70"/>
      <c r="AT98" s="70"/>
      <c r="AU98" s="70"/>
      <c r="AV98" s="70"/>
      <c r="AW98" s="70"/>
      <c r="AX98" s="592"/>
      <c r="AY98" s="582"/>
      <c r="AZ98" s="582"/>
      <c r="BA98" s="582"/>
      <c r="BB98" s="582"/>
      <c r="BC98" s="582"/>
      <c r="BD98" s="582"/>
      <c r="BE98" s="588"/>
      <c r="BF98" s="578"/>
      <c r="BG98" s="578"/>
      <c r="BH98" s="578"/>
      <c r="BI98" s="578"/>
      <c r="BJ98" s="578"/>
      <c r="BK98" s="646"/>
      <c r="BL98" s="646"/>
      <c r="BM98" s="586"/>
      <c r="BN98" s="586"/>
      <c r="BO98" s="586">
        <f>AL98*$BM$1</f>
        <v>5.3089729999999999</v>
      </c>
      <c r="BP98" s="586"/>
      <c r="BQ98" s="586"/>
      <c r="BR98" s="646"/>
      <c r="BS98" s="578"/>
      <c r="BT98" s="578"/>
      <c r="BU98" s="578">
        <f t="shared" si="73"/>
        <v>5.3089729999999999</v>
      </c>
      <c r="BV98" s="578"/>
      <c r="BW98" s="578"/>
      <c r="DN98" s="684"/>
      <c r="DO98" s="684"/>
      <c r="DP98" s="684"/>
      <c r="DQ98" s="684"/>
      <c r="DT98" s="692"/>
      <c r="DU98" s="692"/>
      <c r="DV98" s="692"/>
      <c r="DW98" s="692"/>
      <c r="DX98" s="692"/>
      <c r="DY98" s="692"/>
      <c r="DZ98" s="692"/>
      <c r="EA98" s="692"/>
      <c r="EB98" s="692"/>
    </row>
    <row r="99" spans="1:180">
      <c r="A99" s="758"/>
      <c r="B99" s="540">
        <v>2</v>
      </c>
      <c r="C99" s="72" t="s">
        <v>122</v>
      </c>
      <c r="D99" s="540">
        <v>618</v>
      </c>
      <c r="E99" s="563">
        <v>87</v>
      </c>
      <c r="F99" s="73"/>
      <c r="G99" s="73" t="str">
        <f t="shared" ref="G99" si="237">IF(OR(ISBLANK(C99),ISBLANK(D99)),"",TEXT(C99,"000")&amp;TEXT(D99,"000"))</f>
        <v>045618</v>
      </c>
      <c r="H99" s="46"/>
      <c r="I99" s="646" t="s">
        <v>704</v>
      </c>
      <c r="J99" s="646"/>
      <c r="K99" s="76" t="s">
        <v>614</v>
      </c>
      <c r="L99" s="581"/>
      <c r="M99" s="580"/>
      <c r="N99" s="580"/>
      <c r="O99" s="580"/>
      <c r="P99" s="580"/>
      <c r="Q99" s="580"/>
      <c r="R99" s="82"/>
      <c r="S99" s="618"/>
      <c r="T99" s="618">
        <v>5.53</v>
      </c>
      <c r="V99" s="618"/>
      <c r="W99" s="618"/>
      <c r="X99" s="646"/>
      <c r="Y99" s="70"/>
      <c r="Z99" s="70"/>
      <c r="AA99" s="70"/>
      <c r="AB99" s="70"/>
      <c r="AC99" s="70"/>
      <c r="AD99" s="646"/>
      <c r="AE99" s="580"/>
      <c r="AF99" s="580"/>
      <c r="AG99" s="580"/>
      <c r="AH99" s="580"/>
      <c r="AI99" s="580"/>
      <c r="AJ99" s="646"/>
      <c r="AK99" s="585"/>
      <c r="AL99" s="585">
        <f>ROUND(T99,2)</f>
        <v>5.53</v>
      </c>
      <c r="AN99" s="585"/>
      <c r="AO99" s="585"/>
      <c r="AP99" s="646"/>
      <c r="AQ99" s="70">
        <f t="shared" si="161"/>
        <v>0</v>
      </c>
      <c r="AR99" s="70"/>
      <c r="AS99" s="70"/>
      <c r="AT99" s="70"/>
      <c r="AU99" s="70"/>
      <c r="AV99" s="70"/>
      <c r="AW99" s="70"/>
      <c r="AX99" s="592"/>
      <c r="AY99" s="582"/>
      <c r="AZ99" s="582"/>
      <c r="BA99" s="582"/>
      <c r="BB99" s="582"/>
      <c r="BC99" s="582"/>
      <c r="BD99" s="582"/>
      <c r="BE99" s="588"/>
      <c r="BF99" s="578"/>
      <c r="BG99" s="578"/>
      <c r="BH99" s="578"/>
      <c r="BI99" s="578"/>
      <c r="BJ99" s="578"/>
      <c r="BK99" s="646"/>
      <c r="BL99" s="646"/>
      <c r="BM99" s="586"/>
      <c r="BN99" s="586"/>
      <c r="BO99" s="586">
        <f>AL99*$BM$1</f>
        <v>5.6135029999999997</v>
      </c>
      <c r="BP99" s="586"/>
      <c r="BQ99" s="586"/>
      <c r="BR99" s="646"/>
      <c r="BS99" s="578"/>
      <c r="BT99" s="578"/>
      <c r="BU99" s="578">
        <f t="shared" si="73"/>
        <v>5.6135029999999997</v>
      </c>
      <c r="BV99" s="578"/>
      <c r="BW99" s="578"/>
      <c r="DR99" s="684"/>
      <c r="DS99" s="684"/>
      <c r="DT99" s="692"/>
      <c r="DU99" s="692"/>
      <c r="DV99" s="692"/>
      <c r="DW99" s="692"/>
      <c r="DX99" s="692"/>
      <c r="DY99" s="692"/>
      <c r="DZ99" s="692"/>
      <c r="EA99" s="692"/>
      <c r="EB99" s="692"/>
    </row>
    <row r="100" spans="1:180">
      <c r="B100" s="35">
        <v>2</v>
      </c>
      <c r="C100" s="72" t="s">
        <v>122</v>
      </c>
      <c r="D100" s="35">
        <v>715</v>
      </c>
      <c r="E100" s="558">
        <v>6</v>
      </c>
      <c r="F100" s="73"/>
      <c r="G100" s="73" t="str">
        <f t="shared" si="147"/>
        <v>045715</v>
      </c>
      <c r="H100" s="46"/>
      <c r="I100" s="646" t="s">
        <v>704</v>
      </c>
      <c r="K100" s="59" t="s">
        <v>639</v>
      </c>
      <c r="R100" s="69"/>
      <c r="S100" s="618">
        <v>0</v>
      </c>
      <c r="T100" s="618">
        <v>7.92</v>
      </c>
      <c r="V100" s="618">
        <v>0</v>
      </c>
      <c r="W100" s="618">
        <v>0</v>
      </c>
      <c r="Y100" s="70"/>
      <c r="Z100" s="70"/>
      <c r="AA100" s="70"/>
      <c r="AB100" s="70"/>
      <c r="AC100" s="70"/>
      <c r="AK100" s="435">
        <f t="shared" si="236"/>
        <v>0</v>
      </c>
      <c r="AL100" s="585">
        <f>ROUND(T100,2)</f>
        <v>7.92</v>
      </c>
      <c r="AN100" s="435">
        <f t="shared" ref="AN100:AO106" si="238">ROUND(V100*(1+AN$1),2)</f>
        <v>0</v>
      </c>
      <c r="AO100" s="435">
        <f t="shared" si="238"/>
        <v>0</v>
      </c>
      <c r="AQ100" s="70"/>
      <c r="AR100" s="70"/>
      <c r="AS100" s="70"/>
      <c r="AT100" s="70"/>
      <c r="AU100" s="70"/>
      <c r="AV100" s="70">
        <f>SUM(AQ100:AU100)-SUM(Y100:AC100)</f>
        <v>0</v>
      </c>
      <c r="AW100" s="70"/>
      <c r="AX100" s="447"/>
      <c r="AY100" s="582"/>
      <c r="AZ100" s="582"/>
      <c r="BA100" s="582"/>
      <c r="BB100" s="582"/>
      <c r="BC100" s="582"/>
      <c r="BD100" s="140"/>
      <c r="BE100" s="588"/>
      <c r="BF100" s="54"/>
      <c r="BG100" s="54"/>
      <c r="BH100" s="54"/>
      <c r="BI100" s="54"/>
      <c r="BJ100" s="54"/>
      <c r="BM100" s="279">
        <f t="shared" ref="BM100:BM106" si="239">AK100*$BM$1</f>
        <v>0</v>
      </c>
      <c r="BN100" s="279" t="e">
        <f>#REF!*$BM$1</f>
        <v>#REF!</v>
      </c>
      <c r="BO100" s="279">
        <f>AL100*$BM$1</f>
        <v>8.039591999999999</v>
      </c>
      <c r="BP100" s="279">
        <f t="shared" si="78"/>
        <v>0</v>
      </c>
      <c r="BQ100" s="279">
        <f t="shared" si="79"/>
        <v>0</v>
      </c>
      <c r="BS100" s="54"/>
      <c r="BT100" s="54"/>
      <c r="BU100" s="54"/>
      <c r="BV100" s="54"/>
      <c r="BW100" s="54"/>
      <c r="DT100" s="692"/>
      <c r="DU100" s="692"/>
    </row>
    <row r="101" spans="1:180">
      <c r="E101" s="74">
        <f>SUM(E95:E100)</f>
        <v>258</v>
      </c>
      <c r="F101" s="75"/>
      <c r="G101" s="73" t="str">
        <f t="shared" si="147"/>
        <v/>
      </c>
      <c r="H101" s="46"/>
      <c r="K101" s="579" t="s">
        <v>66</v>
      </c>
      <c r="M101" s="77">
        <f>SUM(M4:M100)</f>
        <v>7</v>
      </c>
      <c r="N101" s="77">
        <f>SUM(N4:N100)</f>
        <v>22436</v>
      </c>
      <c r="O101" s="77">
        <f>SUM(O4:O100)</f>
        <v>164</v>
      </c>
      <c r="P101" s="77">
        <f>SUM(P4:P100)</f>
        <v>258</v>
      </c>
      <c r="Q101" s="77">
        <f>SUM(Q4:Q100)</f>
        <v>932</v>
      </c>
      <c r="S101" s="618">
        <v>0</v>
      </c>
      <c r="T101" s="618">
        <v>0</v>
      </c>
      <c r="U101" s="618">
        <v>0</v>
      </c>
      <c r="V101" s="618">
        <v>0</v>
      </c>
      <c r="W101" s="618">
        <v>0</v>
      </c>
      <c r="Y101" s="78">
        <f>ROUND(SUM(Y4:Y100),2)</f>
        <v>181.27</v>
      </c>
      <c r="Z101" s="78">
        <f>ROUND(SUM(Z4:Z100),2)</f>
        <v>350635.22</v>
      </c>
      <c r="AA101" s="78">
        <f>ROUND(SUM(AA4:AA100),2)</f>
        <v>1995.6</v>
      </c>
      <c r="AB101" s="142">
        <f>ROUND(SUM(AB4:AB100),2)</f>
        <v>2720.82</v>
      </c>
      <c r="AC101" s="78">
        <f>ROUND(SUM(AC4:AC100),2)</f>
        <v>9042.34</v>
      </c>
      <c r="AE101" s="77">
        <f>SUM(AE4:AE100)</f>
        <v>7</v>
      </c>
      <c r="AF101" s="77">
        <f>SUM(AF4:AF100)</f>
        <v>22436</v>
      </c>
      <c r="AG101" s="77">
        <f>SUM(AG4:AG100)</f>
        <v>164</v>
      </c>
      <c r="AH101" s="77">
        <f>SUM(AH4:AH100)</f>
        <v>258</v>
      </c>
      <c r="AI101" s="77">
        <f>SUM(AI4:AI100)</f>
        <v>932</v>
      </c>
      <c r="AK101" s="435">
        <f t="shared" si="236"/>
        <v>0</v>
      </c>
      <c r="AL101" s="435">
        <f t="shared" si="218"/>
        <v>0</v>
      </c>
      <c r="AM101" s="435">
        <f t="shared" ref="AM101:AM106" si="240">ROUND(U101*(1+AM$1),2)</f>
        <v>0</v>
      </c>
      <c r="AN101" s="435">
        <f t="shared" si="238"/>
        <v>0</v>
      </c>
      <c r="AO101" s="435">
        <f t="shared" si="238"/>
        <v>0</v>
      </c>
      <c r="AQ101" s="142">
        <f>ROUND(SUM(AQ4:AQ100),2)</f>
        <v>196.33</v>
      </c>
      <c r="AR101" s="142">
        <f>ROUND(SUM(AR4:AR100),2)</f>
        <v>379745.02</v>
      </c>
      <c r="AS101" s="142">
        <f>ROUND(SUM(AS4:AS100),2)</f>
        <v>2161.17</v>
      </c>
      <c r="AT101" s="142">
        <f>ROUND(SUM(AT4:AT100),2)</f>
        <v>2946.69</v>
      </c>
      <c r="AU101" s="142">
        <f>ROUND(SUM(AU4:AU100),2)</f>
        <v>9791.51</v>
      </c>
      <c r="AX101" s="447"/>
      <c r="AY101" s="582"/>
      <c r="AZ101" s="582"/>
      <c r="BA101" s="582"/>
      <c r="BB101" s="582"/>
      <c r="BC101" s="582"/>
      <c r="BD101" s="140"/>
      <c r="BE101" s="588"/>
      <c r="BF101" s="54"/>
      <c r="BG101" s="54"/>
      <c r="BH101" s="54"/>
      <c r="BI101" s="54"/>
      <c r="BJ101" s="54"/>
      <c r="BM101" s="279">
        <f t="shared" si="239"/>
        <v>0</v>
      </c>
      <c r="BN101" s="279">
        <f t="shared" ref="BN101:BN106" si="241">AL101*$BM$1</f>
        <v>0</v>
      </c>
      <c r="BO101" s="279">
        <f t="shared" si="77"/>
        <v>0</v>
      </c>
      <c r="BP101" s="279">
        <f t="shared" si="78"/>
        <v>0</v>
      </c>
      <c r="BQ101" s="279">
        <f t="shared" si="79"/>
        <v>0</v>
      </c>
      <c r="BS101" s="54"/>
      <c r="BT101" s="54"/>
      <c r="BU101" s="54"/>
      <c r="BV101" s="54"/>
      <c r="BW101" s="54"/>
      <c r="DT101" s="692"/>
      <c r="DU101" s="692"/>
    </row>
    <row r="102" spans="1:180" ht="17.399999999999999">
      <c r="G102" s="73" t="str">
        <f t="shared" si="147"/>
        <v/>
      </c>
      <c r="H102" s="46"/>
      <c r="I102" s="743" t="s">
        <v>902</v>
      </c>
      <c r="Q102" s="69">
        <f>SUM(M101:Q101)</f>
        <v>23797</v>
      </c>
      <c r="S102" s="618">
        <v>0</v>
      </c>
      <c r="T102" s="618">
        <v>0</v>
      </c>
      <c r="U102" s="618">
        <v>0</v>
      </c>
      <c r="V102" s="618">
        <v>0</v>
      </c>
      <c r="W102" s="618">
        <v>0</v>
      </c>
      <c r="Y102" s="79"/>
      <c r="Z102" s="79"/>
      <c r="AA102" s="79"/>
      <c r="AB102" s="79"/>
      <c r="AC102" s="79"/>
      <c r="AD102" s="688"/>
      <c r="AI102" s="69">
        <f>SUM(AE101:AI101)</f>
        <v>23797</v>
      </c>
      <c r="AK102" s="435">
        <f t="shared" si="236"/>
        <v>0</v>
      </c>
      <c r="AL102" s="435">
        <f t="shared" si="218"/>
        <v>0</v>
      </c>
      <c r="AM102" s="435">
        <f t="shared" si="240"/>
        <v>0</v>
      </c>
      <c r="AN102" s="435">
        <f t="shared" si="238"/>
        <v>0</v>
      </c>
      <c r="AO102" s="435">
        <f t="shared" si="238"/>
        <v>0</v>
      </c>
      <c r="AQ102" s="70"/>
      <c r="AR102" s="70"/>
      <c r="AS102" s="70"/>
      <c r="AT102" s="70"/>
      <c r="AU102" s="79">
        <f>SUM(AQ101:AU101)</f>
        <v>394840.72000000003</v>
      </c>
      <c r="AX102" s="447"/>
      <c r="AY102" s="582"/>
      <c r="AZ102" s="582"/>
      <c r="BA102" s="582"/>
      <c r="BB102" s="582"/>
      <c r="BC102" s="582"/>
      <c r="BD102" s="140"/>
      <c r="BE102" s="588"/>
      <c r="BF102" s="54"/>
      <c r="BG102" s="54"/>
      <c r="BH102" s="54"/>
      <c r="BI102" s="54"/>
      <c r="BJ102" s="54"/>
      <c r="BM102" s="279">
        <f t="shared" si="239"/>
        <v>0</v>
      </c>
      <c r="BN102" s="279">
        <f t="shared" si="241"/>
        <v>0</v>
      </c>
      <c r="BO102" s="279">
        <f t="shared" si="77"/>
        <v>0</v>
      </c>
      <c r="BP102" s="279">
        <f t="shared" si="78"/>
        <v>0</v>
      </c>
      <c r="BQ102" s="279">
        <f t="shared" si="79"/>
        <v>0</v>
      </c>
      <c r="BS102" s="54"/>
      <c r="BT102" s="54"/>
      <c r="BU102" s="54"/>
      <c r="BV102" s="54"/>
      <c r="BW102" s="54"/>
      <c r="DW102" s="692"/>
      <c r="DX102" s="692"/>
      <c r="DY102" s="692"/>
      <c r="DZ102" s="692"/>
      <c r="EA102" s="692"/>
      <c r="EB102" s="692"/>
      <c r="EC102" s="692"/>
      <c r="ED102" s="692"/>
      <c r="EE102" s="692"/>
      <c r="EF102" s="692"/>
      <c r="EG102" s="692"/>
      <c r="EH102" s="692"/>
      <c r="EI102" s="692"/>
      <c r="EJ102" s="692"/>
      <c r="EK102" s="692"/>
      <c r="EL102" s="692"/>
      <c r="EM102" s="692"/>
      <c r="EN102" s="692"/>
      <c r="EO102" s="692"/>
      <c r="EP102" s="692"/>
      <c r="EQ102" s="692"/>
      <c r="ER102" s="692"/>
      <c r="ES102" s="692"/>
      <c r="ET102" s="692"/>
      <c r="EU102" s="692"/>
      <c r="EV102" s="692"/>
      <c r="EW102" s="692"/>
      <c r="EX102" s="692"/>
      <c r="EY102" s="692"/>
      <c r="EZ102" s="692"/>
    </row>
    <row r="103" spans="1:180">
      <c r="B103" s="35">
        <v>2</v>
      </c>
      <c r="C103" s="72" t="s">
        <v>123</v>
      </c>
      <c r="D103" s="584" t="s">
        <v>853</v>
      </c>
      <c r="E103" s="559">
        <v>0</v>
      </c>
      <c r="F103" s="73"/>
      <c r="G103" s="73" t="str">
        <f t="shared" si="147"/>
        <v>046005L</v>
      </c>
      <c r="I103" s="605"/>
      <c r="J103" s="19"/>
      <c r="K103" s="86"/>
      <c r="L103" s="19"/>
      <c r="Q103" s="73">
        <f>ROUND(Q102-E138,0)</f>
        <v>0</v>
      </c>
      <c r="S103" s="618">
        <v>0</v>
      </c>
      <c r="T103" s="618">
        <v>0</v>
      </c>
      <c r="U103" s="618">
        <v>0</v>
      </c>
      <c r="V103" s="618">
        <v>0</v>
      </c>
      <c r="W103" s="618">
        <v>0</v>
      </c>
      <c r="X103" s="117"/>
      <c r="Y103" s="70"/>
      <c r="Z103" s="70"/>
      <c r="AA103" s="70"/>
      <c r="AB103" s="70"/>
      <c r="AC103" s="79">
        <f>SUM(Y101:AC101)</f>
        <v>364575.25</v>
      </c>
      <c r="AD103" s="445"/>
      <c r="AI103" s="73">
        <f>AI102-Q102</f>
        <v>0</v>
      </c>
      <c r="AL103" s="435">
        <f t="shared" si="218"/>
        <v>0</v>
      </c>
      <c r="AM103" s="435">
        <f t="shared" si="240"/>
        <v>0</v>
      </c>
      <c r="AN103" s="435">
        <f t="shared" si="238"/>
        <v>0</v>
      </c>
      <c r="AO103" s="435">
        <f t="shared" si="238"/>
        <v>0</v>
      </c>
      <c r="AU103" s="85">
        <f>AU102/AC103-1</f>
        <v>8.301570114811696E-2</v>
      </c>
      <c r="AX103" s="447"/>
      <c r="AY103" s="582"/>
      <c r="AZ103" s="582"/>
      <c r="BA103" s="582"/>
      <c r="BB103" s="582"/>
      <c r="BC103" s="582"/>
      <c r="BD103" s="140"/>
      <c r="BE103" s="588"/>
      <c r="BF103" s="54"/>
      <c r="BG103" s="54"/>
      <c r="BH103" s="54"/>
      <c r="BI103" s="54"/>
      <c r="BJ103" s="54"/>
      <c r="BM103" s="279">
        <f>X103*$BM$1</f>
        <v>0</v>
      </c>
      <c r="BN103" s="279">
        <f t="shared" si="241"/>
        <v>0</v>
      </c>
      <c r="BO103" s="279">
        <f t="shared" si="77"/>
        <v>0</v>
      </c>
      <c r="BP103" s="279">
        <f t="shared" si="78"/>
        <v>0</v>
      </c>
      <c r="BQ103" s="279">
        <f t="shared" si="79"/>
        <v>0</v>
      </c>
      <c r="BS103" s="54"/>
      <c r="BT103" s="54"/>
      <c r="BU103" s="54"/>
      <c r="BV103" s="54"/>
      <c r="BW103" s="54"/>
      <c r="DM103" s="595"/>
      <c r="DW103" s="692"/>
      <c r="DX103" s="692"/>
      <c r="DY103" s="692"/>
      <c r="DZ103" s="692"/>
      <c r="EA103" s="692"/>
      <c r="EB103" s="692"/>
      <c r="EC103" s="692"/>
      <c r="ED103" s="692"/>
      <c r="EE103" s="692"/>
      <c r="EF103" s="692"/>
      <c r="EG103" s="692"/>
      <c r="EH103" s="692"/>
      <c r="EI103" s="692"/>
      <c r="EJ103" s="692"/>
      <c r="EK103" s="692"/>
      <c r="EL103" s="692"/>
      <c r="EM103" s="692"/>
      <c r="EN103" s="692"/>
      <c r="EO103" s="692"/>
      <c r="EP103" s="692"/>
      <c r="EQ103" s="692"/>
      <c r="ER103" s="692"/>
      <c r="ES103" s="692"/>
      <c r="ET103" s="692"/>
      <c r="EU103" s="692"/>
      <c r="EV103" s="692"/>
      <c r="EW103" s="692"/>
      <c r="EX103" s="692"/>
      <c r="EY103" s="692"/>
      <c r="EZ103" s="692"/>
    </row>
    <row r="104" spans="1:180">
      <c r="A104" s="758"/>
      <c r="B104" s="540">
        <v>2</v>
      </c>
      <c r="C104" s="72" t="s">
        <v>123</v>
      </c>
      <c r="D104" s="584" t="s">
        <v>854</v>
      </c>
      <c r="E104" s="563">
        <v>42</v>
      </c>
      <c r="F104" s="73"/>
      <c r="G104" s="73" t="str">
        <f t="shared" si="147"/>
        <v>046015L</v>
      </c>
      <c r="S104" s="618"/>
      <c r="T104" s="618"/>
      <c r="U104" s="618"/>
      <c r="V104" s="618"/>
      <c r="W104" s="618"/>
      <c r="Y104" s="446"/>
      <c r="Z104" s="446"/>
      <c r="AA104" s="446"/>
      <c r="AB104" s="446"/>
      <c r="AC104" s="446"/>
      <c r="AD104" s="612"/>
      <c r="AK104" s="435">
        <f t="shared" si="236"/>
        <v>0</v>
      </c>
      <c r="AL104" s="435">
        <f t="shared" si="218"/>
        <v>0</v>
      </c>
      <c r="AM104" s="435">
        <f t="shared" si="240"/>
        <v>0</v>
      </c>
      <c r="AN104" s="435">
        <f t="shared" si="238"/>
        <v>0</v>
      </c>
      <c r="AO104" s="435">
        <f t="shared" si="238"/>
        <v>0</v>
      </c>
      <c r="AX104" s="447"/>
      <c r="AY104" s="582"/>
      <c r="AZ104" s="582"/>
      <c r="BA104" s="582"/>
      <c r="BB104" s="582"/>
      <c r="BC104" s="582"/>
      <c r="BD104" s="140"/>
      <c r="BE104" s="588"/>
      <c r="BF104" s="54"/>
      <c r="BG104" s="54"/>
      <c r="BH104" s="54"/>
      <c r="BI104" s="54"/>
      <c r="BJ104" s="54"/>
      <c r="BM104" s="279">
        <f t="shared" si="239"/>
        <v>0</v>
      </c>
      <c r="BN104" s="279">
        <f t="shared" si="241"/>
        <v>0</v>
      </c>
      <c r="BO104" s="279">
        <f t="shared" si="77"/>
        <v>0</v>
      </c>
      <c r="BP104" s="279">
        <f t="shared" si="78"/>
        <v>0</v>
      </c>
      <c r="BQ104" s="279">
        <f t="shared" si="79"/>
        <v>0</v>
      </c>
      <c r="BS104" s="54"/>
      <c r="BT104" s="54"/>
      <c r="BU104" s="54"/>
      <c r="BV104" s="54"/>
      <c r="BW104" s="54"/>
      <c r="DH104" s="595"/>
      <c r="DI104" s="595"/>
      <c r="DJ104" s="595"/>
      <c r="DK104" s="595"/>
      <c r="DL104" s="595"/>
      <c r="DM104" s="595"/>
      <c r="DW104" s="692"/>
      <c r="DX104" s="692"/>
      <c r="DY104" s="692"/>
      <c r="DZ104" s="692"/>
      <c r="EA104" s="692"/>
      <c r="EB104" s="692"/>
      <c r="EC104" s="692"/>
      <c r="ED104" s="692"/>
      <c r="EE104" s="692"/>
      <c r="EF104" s="692"/>
      <c r="EG104" s="692"/>
      <c r="EH104" s="692"/>
      <c r="EI104" s="692"/>
      <c r="EJ104" s="692"/>
      <c r="EK104" s="692"/>
      <c r="EL104" s="692"/>
      <c r="EM104" s="692"/>
      <c r="EN104" s="692"/>
      <c r="EO104" s="692"/>
      <c r="EP104" s="692"/>
      <c r="EQ104" s="692"/>
      <c r="ER104" s="692"/>
      <c r="ES104" s="692"/>
      <c r="ET104" s="692"/>
      <c r="EU104" s="692"/>
      <c r="EV104" s="692"/>
      <c r="EW104" s="692"/>
      <c r="EX104" s="692"/>
      <c r="EY104" s="692"/>
      <c r="EZ104" s="692"/>
    </row>
    <row r="105" spans="1:180">
      <c r="A105" s="758"/>
      <c r="B105" s="540">
        <v>2</v>
      </c>
      <c r="C105" s="72" t="s">
        <v>123</v>
      </c>
      <c r="D105" s="584" t="s">
        <v>855</v>
      </c>
      <c r="E105" s="563">
        <v>45</v>
      </c>
      <c r="F105" s="73"/>
      <c r="G105" s="73" t="str">
        <f t="shared" si="147"/>
        <v>046025L</v>
      </c>
      <c r="I105" s="80" t="s">
        <v>150</v>
      </c>
      <c r="S105" s="618">
        <v>0</v>
      </c>
      <c r="T105" s="618">
        <v>0</v>
      </c>
      <c r="U105" s="618">
        <v>0</v>
      </c>
      <c r="V105" s="618">
        <v>0</v>
      </c>
      <c r="W105" s="618">
        <v>0</v>
      </c>
      <c r="Y105" s="78">
        <f>Y101-Y102</f>
        <v>181.27</v>
      </c>
      <c r="Z105" s="78">
        <f t="shared" ref="Z105:AC105" si="242">Z101-Z102</f>
        <v>350635.22</v>
      </c>
      <c r="AA105" s="78">
        <f t="shared" si="242"/>
        <v>1995.6</v>
      </c>
      <c r="AB105" s="78">
        <f t="shared" si="242"/>
        <v>2720.82</v>
      </c>
      <c r="AC105" s="78">
        <f t="shared" si="242"/>
        <v>9042.34</v>
      </c>
      <c r="AK105" s="435">
        <f t="shared" si="236"/>
        <v>0</v>
      </c>
      <c r="AL105" s="435">
        <f t="shared" si="218"/>
        <v>0</v>
      </c>
      <c r="AM105" s="435">
        <f t="shared" si="240"/>
        <v>0</v>
      </c>
      <c r="AN105" s="435">
        <f t="shared" si="238"/>
        <v>0</v>
      </c>
      <c r="AO105" s="435">
        <f t="shared" si="238"/>
        <v>0</v>
      </c>
      <c r="AX105" s="447"/>
      <c r="AY105" s="582"/>
      <c r="AZ105" s="582"/>
      <c r="BA105" s="582"/>
      <c r="BB105" s="582"/>
      <c r="BC105" s="582"/>
      <c r="BD105" s="140"/>
      <c r="BE105" s="588"/>
      <c r="BF105" s="54"/>
      <c r="BG105" s="54"/>
      <c r="BH105" s="54"/>
      <c r="BI105" s="54"/>
      <c r="BJ105" s="54"/>
      <c r="BM105" s="279">
        <f t="shared" si="239"/>
        <v>0</v>
      </c>
      <c r="BN105" s="279">
        <f t="shared" si="241"/>
        <v>0</v>
      </c>
      <c r="BO105" s="279">
        <f t="shared" si="77"/>
        <v>0</v>
      </c>
      <c r="BP105" s="279">
        <f t="shared" si="78"/>
        <v>0</v>
      </c>
      <c r="BQ105" s="279">
        <f t="shared" si="79"/>
        <v>0</v>
      </c>
      <c r="BS105" s="54"/>
      <c r="BT105" s="54"/>
      <c r="BU105" s="54"/>
      <c r="BV105" s="54"/>
      <c r="BW105" s="54"/>
      <c r="DH105" s="595"/>
      <c r="DI105" s="595"/>
      <c r="DJ105" s="595"/>
      <c r="DK105" s="595"/>
      <c r="DL105" s="595"/>
      <c r="DN105" s="595"/>
      <c r="DO105" s="595"/>
      <c r="DP105" s="595"/>
      <c r="DQ105" s="595"/>
      <c r="DW105" s="692"/>
      <c r="DX105" s="692"/>
      <c r="DY105" s="692"/>
      <c r="DZ105" s="692"/>
      <c r="EA105" s="692"/>
      <c r="EB105" s="692"/>
      <c r="EC105" s="692"/>
      <c r="ED105" s="692"/>
      <c r="EE105" s="692"/>
      <c r="EF105" s="692"/>
      <c r="EG105" s="692"/>
      <c r="EH105" s="692"/>
      <c r="EI105" s="692"/>
      <c r="EJ105" s="692"/>
      <c r="EK105" s="692"/>
      <c r="EL105" s="692"/>
      <c r="EM105" s="692"/>
      <c r="EN105" s="692"/>
      <c r="EO105" s="692"/>
      <c r="EP105" s="692"/>
      <c r="EQ105" s="692"/>
      <c r="ER105" s="692"/>
      <c r="ES105" s="692"/>
      <c r="ET105" s="692"/>
      <c r="EU105" s="692"/>
      <c r="EV105" s="692"/>
      <c r="EW105" s="692"/>
      <c r="EX105" s="692"/>
      <c r="EY105" s="692"/>
      <c r="EZ105" s="692"/>
      <c r="FA105" s="692"/>
      <c r="FB105" s="692"/>
      <c r="FC105" s="692"/>
      <c r="FD105" s="692"/>
      <c r="FE105" s="692"/>
      <c r="FF105" s="692"/>
      <c r="FG105" s="692"/>
      <c r="FH105" s="692"/>
      <c r="FI105" s="692"/>
      <c r="FJ105" s="692"/>
      <c r="FK105" s="692"/>
      <c r="FL105" s="692"/>
      <c r="FM105" s="692"/>
      <c r="FN105" s="692"/>
      <c r="FO105" s="692"/>
      <c r="FP105" s="692"/>
      <c r="FQ105" s="692"/>
      <c r="FR105" s="692"/>
    </row>
    <row r="106" spans="1:180">
      <c r="A106" s="758"/>
      <c r="B106" s="540">
        <v>2</v>
      </c>
      <c r="C106" s="72" t="s">
        <v>123</v>
      </c>
      <c r="D106" s="584" t="s">
        <v>856</v>
      </c>
      <c r="E106" s="563">
        <v>0</v>
      </c>
      <c r="F106" s="73"/>
      <c r="G106" s="73" t="str">
        <f t="shared" si="147"/>
        <v>046035L</v>
      </c>
      <c r="I106" s="614" t="s">
        <v>128</v>
      </c>
      <c r="J106" s="614" t="s">
        <v>151</v>
      </c>
      <c r="K106" s="619" t="s">
        <v>134</v>
      </c>
      <c r="L106" s="620">
        <v>439</v>
      </c>
      <c r="M106" s="69">
        <f>SUMIF($G:$G,TEXT(M$3,"000")&amp;TEXT($L106,"000"),$E:$E)</f>
        <v>0</v>
      </c>
      <c r="N106" s="69">
        <f>SUMIF($G:$G,TEXT(N$3,"000")&amp;TEXT($L106,"000"),$E:$E)</f>
        <v>0</v>
      </c>
      <c r="O106" s="69">
        <f>SUMIF($G:$G,TEXT(O$3,"000")&amp;TEXT($L106,"000"),$E:$E)</f>
        <v>0</v>
      </c>
      <c r="P106" s="69">
        <f>SUMIF($G:$G,TEXT(P$3,"000")&amp;TEXT($L106,"000"),$E:$E)</f>
        <v>0</v>
      </c>
      <c r="Q106" s="69">
        <f>SUMIF($G:$G,TEXT(Q$3,"000")&amp;TEXT($L106,"000"),$E:$E)</f>
        <v>0</v>
      </c>
      <c r="R106" s="69">
        <f>IF(SUM(M106:Q106)&gt;0,0,1)</f>
        <v>1</v>
      </c>
      <c r="S106" s="618"/>
      <c r="T106" s="618"/>
      <c r="U106" s="618"/>
      <c r="V106" s="618"/>
      <c r="W106" s="618"/>
      <c r="AB106" s="219"/>
      <c r="AC106" s="79"/>
      <c r="AE106" s="69"/>
      <c r="AF106" s="69">
        <f>SUMIF($G:$G,TEXT(AF$3,"000")&amp;TEXT($L106,"000"),$E:$E)</f>
        <v>0</v>
      </c>
      <c r="AG106" s="69">
        <f>SUMIF($G:$G,TEXT(AG$3,"000")&amp;TEXT($L106,"000"),$E:$E)</f>
        <v>0</v>
      </c>
      <c r="AH106" s="69">
        <f>SUMIF($G:$G,TEXT(AH$3,"000")&amp;TEXT($L106,"000"),$E:$E)</f>
        <v>0</v>
      </c>
      <c r="AI106" s="69">
        <f>SUMIF($G:$G,TEXT(AI$3,"000")&amp;TEXT($L106,"000"),$E:$E)</f>
        <v>0</v>
      </c>
      <c r="AK106" s="435">
        <f t="shared" si="236"/>
        <v>0</v>
      </c>
      <c r="AL106" s="435">
        <f t="shared" si="218"/>
        <v>0</v>
      </c>
      <c r="AM106" s="435">
        <f t="shared" si="240"/>
        <v>0</v>
      </c>
      <c r="AN106" s="435">
        <f t="shared" si="238"/>
        <v>0</v>
      </c>
      <c r="AO106" s="435">
        <f t="shared" si="238"/>
        <v>0</v>
      </c>
      <c r="AX106" s="447"/>
      <c r="AY106" s="582"/>
      <c r="AZ106" s="582"/>
      <c r="BA106" s="582"/>
      <c r="BB106" s="582"/>
      <c r="BC106" s="582"/>
      <c r="BD106" s="140"/>
      <c r="BE106" s="588"/>
      <c r="BF106" s="54"/>
      <c r="BG106" s="54"/>
      <c r="BH106" s="54"/>
      <c r="BI106" s="54"/>
      <c r="BJ106" s="54"/>
      <c r="BM106" s="279">
        <f t="shared" si="239"/>
        <v>0</v>
      </c>
      <c r="BN106" s="279">
        <f t="shared" si="241"/>
        <v>0</v>
      </c>
      <c r="BO106" s="279">
        <f t="shared" si="77"/>
        <v>0</v>
      </c>
      <c r="BP106" s="279">
        <f t="shared" si="78"/>
        <v>0</v>
      </c>
      <c r="BQ106" s="279">
        <f t="shared" si="79"/>
        <v>0</v>
      </c>
      <c r="BS106" s="54">
        <f t="shared" si="71"/>
        <v>0</v>
      </c>
      <c r="BT106" s="54">
        <f t="shared" si="72"/>
        <v>0</v>
      </c>
      <c r="BU106" s="54">
        <f t="shared" si="73"/>
        <v>0</v>
      </c>
      <c r="BV106" s="54">
        <f t="shared" si="74"/>
        <v>0</v>
      </c>
      <c r="BW106" s="54">
        <f t="shared" si="75"/>
        <v>0</v>
      </c>
      <c r="DG106" s="595"/>
      <c r="DN106" s="595"/>
      <c r="DO106" s="595"/>
      <c r="DP106" s="595"/>
      <c r="DQ106" s="595"/>
      <c r="DY106" s="692"/>
      <c r="DZ106" s="692"/>
      <c r="EA106" s="692"/>
      <c r="EB106" s="692"/>
      <c r="EC106" s="692"/>
      <c r="ED106" s="692"/>
      <c r="EE106" s="692"/>
      <c r="EF106" s="692"/>
      <c r="EG106" s="692"/>
      <c r="EH106" s="692"/>
      <c r="EI106" s="692"/>
      <c r="EJ106" s="692"/>
      <c r="EK106" s="692"/>
      <c r="EL106" s="692"/>
      <c r="EM106" s="692"/>
      <c r="EN106" s="692"/>
      <c r="EO106" s="692"/>
      <c r="EP106" s="692"/>
      <c r="EQ106" s="692"/>
      <c r="ER106" s="692"/>
      <c r="ES106" s="692"/>
      <c r="ET106" s="692"/>
      <c r="EU106" s="692"/>
      <c r="EV106" s="692"/>
      <c r="EW106" s="692"/>
      <c r="EX106" s="692"/>
      <c r="EY106" s="692"/>
      <c r="EZ106" s="692"/>
      <c r="FA106" s="692"/>
      <c r="FB106" s="692"/>
      <c r="FC106" s="692"/>
      <c r="FD106" s="692"/>
      <c r="FE106" s="692"/>
      <c r="FF106" s="692"/>
      <c r="FG106" s="692"/>
      <c r="FH106" s="692"/>
      <c r="FI106" s="692"/>
      <c r="FJ106" s="692"/>
      <c r="FK106" s="692"/>
      <c r="FL106" s="692"/>
      <c r="FM106" s="692"/>
      <c r="FN106" s="692"/>
      <c r="FO106" s="692"/>
      <c r="FP106" s="692"/>
      <c r="FQ106" s="692"/>
      <c r="FR106" s="692"/>
      <c r="FS106" s="692"/>
      <c r="FT106" s="692"/>
      <c r="FU106" s="692"/>
      <c r="FV106" s="692"/>
      <c r="FW106" s="692"/>
    </row>
    <row r="107" spans="1:180">
      <c r="A107" s="758"/>
      <c r="B107" s="540">
        <v>2</v>
      </c>
      <c r="C107" s="72" t="s">
        <v>123</v>
      </c>
      <c r="D107" s="584" t="s">
        <v>857</v>
      </c>
      <c r="E107" s="563">
        <v>0</v>
      </c>
      <c r="F107" s="73"/>
      <c r="G107" s="73" t="str">
        <f t="shared" si="147"/>
        <v>046045L</v>
      </c>
      <c r="I107" s="614"/>
      <c r="J107" s="614"/>
      <c r="K107" s="619"/>
      <c r="L107" s="614"/>
      <c r="S107" s="19"/>
      <c r="T107" s="19"/>
      <c r="U107" s="19"/>
      <c r="V107" s="19"/>
      <c r="W107" s="19"/>
      <c r="Y107" s="611"/>
      <c r="Z107" s="611"/>
      <c r="AA107" s="611"/>
      <c r="AB107" s="611"/>
      <c r="AC107" s="611"/>
      <c r="AY107" s="19"/>
      <c r="AZ107" s="19"/>
      <c r="BA107" s="19"/>
      <c r="BB107" s="19"/>
      <c r="BC107" s="19"/>
      <c r="DC107" s="595"/>
      <c r="DD107" s="595"/>
      <c r="DE107" s="595"/>
      <c r="DF107" s="595"/>
      <c r="DG107" s="595"/>
      <c r="DR107" s="595"/>
      <c r="DS107" s="595"/>
      <c r="DW107" s="692"/>
      <c r="DX107" s="692"/>
      <c r="DY107" s="692"/>
      <c r="DZ107" s="692"/>
      <c r="EA107" s="692"/>
      <c r="EB107" s="692"/>
      <c r="EC107" s="692"/>
      <c r="ED107" s="692"/>
      <c r="EE107" s="692"/>
      <c r="EF107" s="692"/>
      <c r="EG107" s="692"/>
      <c r="EH107" s="692"/>
      <c r="EI107" s="692"/>
      <c r="EJ107" s="692"/>
      <c r="EK107" s="692"/>
      <c r="EL107" s="692"/>
      <c r="EM107" s="692"/>
      <c r="EN107" s="692"/>
      <c r="EO107" s="692"/>
      <c r="EP107" s="692"/>
      <c r="EQ107" s="692"/>
      <c r="ER107" s="692"/>
      <c r="ES107" s="692"/>
      <c r="ET107" s="692"/>
      <c r="EU107" s="692"/>
      <c r="EV107" s="692"/>
      <c r="EW107" s="692"/>
      <c r="EX107" s="692"/>
      <c r="EY107" s="692"/>
      <c r="EZ107" s="692"/>
      <c r="FA107" s="692"/>
      <c r="FB107" s="692"/>
      <c r="FC107" s="692"/>
      <c r="FD107" s="692"/>
      <c r="FE107" s="692"/>
      <c r="FF107" s="692"/>
      <c r="FG107" s="692"/>
      <c r="FH107" s="692"/>
      <c r="FI107" s="692"/>
      <c r="FJ107" s="692"/>
      <c r="FK107" s="692"/>
      <c r="FL107" s="692"/>
      <c r="FM107" s="692"/>
      <c r="FN107" s="692"/>
      <c r="FO107" s="692"/>
      <c r="FP107" s="692"/>
      <c r="FQ107" s="692"/>
      <c r="FR107" s="692"/>
      <c r="FS107" s="692"/>
      <c r="FT107" s="692"/>
      <c r="FU107" s="692"/>
      <c r="FV107" s="692"/>
      <c r="FW107" s="692"/>
      <c r="FX107" s="692"/>
    </row>
    <row r="108" spans="1:180">
      <c r="A108" s="758"/>
      <c r="B108" s="540">
        <v>2</v>
      </c>
      <c r="C108" s="72" t="s">
        <v>123</v>
      </c>
      <c r="D108" s="584" t="s">
        <v>858</v>
      </c>
      <c r="E108" s="563">
        <v>0</v>
      </c>
      <c r="F108" s="73"/>
      <c r="G108" s="73" t="str">
        <f t="shared" si="147"/>
        <v>046055L</v>
      </c>
      <c r="I108" s="614" t="s">
        <v>139</v>
      </c>
      <c r="J108" s="614" t="s">
        <v>110</v>
      </c>
      <c r="K108" s="619" t="s">
        <v>134</v>
      </c>
      <c r="L108" s="620">
        <v>443</v>
      </c>
      <c r="M108" s="69">
        <f t="shared" ref="M108:Q117" si="243">SUMIF($G:$G,TEXT(M$3,"000")&amp;TEXT($L108,"000"),$E:$E)</f>
        <v>0</v>
      </c>
      <c r="N108" s="69">
        <f t="shared" si="243"/>
        <v>0</v>
      </c>
      <c r="O108" s="69">
        <f t="shared" si="243"/>
        <v>0</v>
      </c>
      <c r="P108" s="69">
        <f t="shared" si="243"/>
        <v>0</v>
      </c>
      <c r="Q108" s="69">
        <f t="shared" si="243"/>
        <v>0</v>
      </c>
      <c r="R108" s="69">
        <f>IF(SUM(M108:Q108)&gt;0,0,1)</f>
        <v>1</v>
      </c>
      <c r="S108" s="618"/>
      <c r="T108" s="618"/>
      <c r="U108" s="618"/>
      <c r="V108" s="618"/>
      <c r="W108" s="618"/>
      <c r="Y108" s="80"/>
      <c r="Z108" s="212"/>
      <c r="AA108" s="434"/>
      <c r="AB108" s="434"/>
      <c r="AC108" s="434"/>
      <c r="AD108" s="614"/>
      <c r="AE108" s="69"/>
      <c r="AF108" s="69">
        <f t="shared" ref="AF108:AI109" si="244">SUMIF($G:$G,TEXT(AF$3,"000")&amp;TEXT($L108,"000"),$E:$E)</f>
        <v>0</v>
      </c>
      <c r="AG108" s="69">
        <f t="shared" si="244"/>
        <v>0</v>
      </c>
      <c r="AH108" s="69">
        <f t="shared" si="244"/>
        <v>0</v>
      </c>
      <c r="AI108" s="69">
        <f t="shared" si="244"/>
        <v>0</v>
      </c>
      <c r="AK108" s="435">
        <f t="shared" si="236"/>
        <v>0</v>
      </c>
      <c r="AL108" s="435">
        <f t="shared" si="218"/>
        <v>0</v>
      </c>
      <c r="AM108" s="435">
        <f t="shared" ref="AM108:AO109" si="245">ROUND(U108*(1+AM$1),2)</f>
        <v>0</v>
      </c>
      <c r="AN108" s="435">
        <f t="shared" si="245"/>
        <v>0</v>
      </c>
      <c r="AO108" s="435">
        <f t="shared" si="245"/>
        <v>0</v>
      </c>
      <c r="AQ108" s="290"/>
      <c r="AU108" s="79"/>
      <c r="AX108" s="447"/>
      <c r="AY108" s="582"/>
      <c r="AZ108" s="582"/>
      <c r="BA108" s="582"/>
      <c r="BB108" s="582"/>
      <c r="BC108" s="582"/>
      <c r="BD108" s="140"/>
      <c r="BE108" s="588"/>
      <c r="BF108" s="54"/>
      <c r="BG108" s="54"/>
      <c r="BH108" s="54"/>
      <c r="BI108" s="54"/>
      <c r="BJ108" s="54"/>
      <c r="BM108" s="279">
        <f t="shared" ref="BM108:BM125" si="246">AK108*$BM$1</f>
        <v>0</v>
      </c>
      <c r="BN108" s="279">
        <f t="shared" ref="BN108:BN125" si="247">AL108*$BM$1</f>
        <v>0</v>
      </c>
      <c r="BO108" s="279">
        <f t="shared" si="77"/>
        <v>0</v>
      </c>
      <c r="BP108" s="279">
        <f t="shared" si="78"/>
        <v>0</v>
      </c>
      <c r="BQ108" s="279">
        <f t="shared" si="79"/>
        <v>0</v>
      </c>
      <c r="BS108" s="54">
        <f t="shared" si="71"/>
        <v>0</v>
      </c>
      <c r="BT108" s="54">
        <f t="shared" si="72"/>
        <v>0</v>
      </c>
      <c r="BU108" s="54">
        <f t="shared" si="73"/>
        <v>0</v>
      </c>
      <c r="BV108" s="54">
        <f t="shared" si="74"/>
        <v>0</v>
      </c>
      <c r="BW108" s="54">
        <f t="shared" si="75"/>
        <v>0</v>
      </c>
      <c r="DC108" s="595"/>
      <c r="DD108" s="595"/>
      <c r="DE108" s="595"/>
      <c r="DF108" s="595"/>
      <c r="DR108" s="595"/>
      <c r="DS108" s="595"/>
      <c r="DT108" s="692"/>
      <c r="DU108" s="692"/>
      <c r="FA108" s="692"/>
      <c r="FB108" s="692"/>
      <c r="FC108" s="692"/>
      <c r="FD108" s="692"/>
      <c r="FE108" s="692"/>
      <c r="FF108" s="692"/>
      <c r="FG108" s="692"/>
      <c r="FH108" s="692"/>
      <c r="FI108" s="692"/>
      <c r="FJ108" s="692"/>
      <c r="FK108" s="692"/>
      <c r="FL108" s="692"/>
      <c r="FM108" s="692"/>
      <c r="FN108" s="692"/>
      <c r="FO108" s="692"/>
      <c r="FP108" s="692"/>
      <c r="FQ108" s="692"/>
      <c r="FR108" s="692"/>
      <c r="FS108" s="692"/>
      <c r="FT108" s="692"/>
      <c r="FU108" s="692"/>
      <c r="FV108" s="692"/>
      <c r="FW108" s="692"/>
      <c r="FX108" s="692"/>
    </row>
    <row r="109" spans="1:180">
      <c r="A109" s="758"/>
      <c r="B109" s="540">
        <v>2</v>
      </c>
      <c r="C109" s="72" t="s">
        <v>123</v>
      </c>
      <c r="D109" s="584" t="s">
        <v>859</v>
      </c>
      <c r="E109" s="563">
        <v>0</v>
      </c>
      <c r="F109" s="73"/>
      <c r="G109" s="73" t="str">
        <f t="shared" si="147"/>
        <v>046065L</v>
      </c>
      <c r="I109" s="614" t="s">
        <v>139</v>
      </c>
      <c r="J109" s="614" t="s">
        <v>136</v>
      </c>
      <c r="K109" s="619" t="s">
        <v>134</v>
      </c>
      <c r="L109" s="620">
        <v>446</v>
      </c>
      <c r="M109" s="69">
        <f t="shared" si="243"/>
        <v>0</v>
      </c>
      <c r="N109" s="69">
        <f t="shared" si="243"/>
        <v>0</v>
      </c>
      <c r="O109" s="69">
        <f t="shared" si="243"/>
        <v>0</v>
      </c>
      <c r="P109" s="69">
        <f t="shared" si="243"/>
        <v>0</v>
      </c>
      <c r="Q109" s="69">
        <f t="shared" si="243"/>
        <v>0</v>
      </c>
      <c r="R109" s="69">
        <f t="shared" ref="R109:R139" si="248">IF(SUM(M109:Q109)&gt;0,0,1)</f>
        <v>1</v>
      </c>
      <c r="S109" s="618"/>
      <c r="T109" s="618"/>
      <c r="U109" s="618"/>
      <c r="V109" s="618"/>
      <c r="W109" s="618"/>
      <c r="Y109" s="290"/>
      <c r="Z109" s="434"/>
      <c r="AA109" s="434"/>
      <c r="AB109" s="434"/>
      <c r="AC109" s="624"/>
      <c r="AD109" s="614"/>
      <c r="AE109" s="69"/>
      <c r="AF109" s="69">
        <f t="shared" si="244"/>
        <v>0</v>
      </c>
      <c r="AG109" s="69">
        <f t="shared" si="244"/>
        <v>0</v>
      </c>
      <c r="AH109" s="69">
        <f t="shared" si="244"/>
        <v>0</v>
      </c>
      <c r="AI109" s="69">
        <f t="shared" si="244"/>
        <v>0</v>
      </c>
      <c r="AK109" s="435">
        <f t="shared" si="236"/>
        <v>0</v>
      </c>
      <c r="AL109" s="435">
        <f t="shared" si="218"/>
        <v>0</v>
      </c>
      <c r="AM109" s="435">
        <f t="shared" si="245"/>
        <v>0</v>
      </c>
      <c r="AN109" s="435">
        <f t="shared" si="245"/>
        <v>0</v>
      </c>
      <c r="AO109" s="435">
        <f t="shared" si="245"/>
        <v>0</v>
      </c>
      <c r="AX109" s="447"/>
      <c r="AY109" s="582"/>
      <c r="AZ109" s="582"/>
      <c r="BA109" s="582"/>
      <c r="BB109" s="582"/>
      <c r="BC109" s="582"/>
      <c r="BD109" s="140"/>
      <c r="BE109" s="588"/>
      <c r="BF109" s="54"/>
      <c r="BG109" s="54"/>
      <c r="BH109" s="54"/>
      <c r="BI109" s="54"/>
      <c r="BJ109" s="54"/>
      <c r="BM109" s="279">
        <f t="shared" si="246"/>
        <v>0</v>
      </c>
      <c r="BN109" s="279">
        <f t="shared" si="247"/>
        <v>0</v>
      </c>
      <c r="BO109" s="279">
        <f t="shared" si="77"/>
        <v>0</v>
      </c>
      <c r="BP109" s="279">
        <f t="shared" si="78"/>
        <v>0</v>
      </c>
      <c r="BQ109" s="279">
        <f t="shared" si="79"/>
        <v>0</v>
      </c>
      <c r="BS109" s="54">
        <f t="shared" si="71"/>
        <v>0</v>
      </c>
      <c r="BT109" s="54">
        <f t="shared" si="72"/>
        <v>0</v>
      </c>
      <c r="BU109" s="54">
        <f t="shared" si="73"/>
        <v>0</v>
      </c>
      <c r="BV109" s="54">
        <f t="shared" si="74"/>
        <v>0</v>
      </c>
      <c r="BW109" s="54">
        <f t="shared" si="75"/>
        <v>0</v>
      </c>
      <c r="DB109" s="595"/>
      <c r="DT109" s="692"/>
      <c r="DU109" s="692"/>
      <c r="FA109" s="692"/>
      <c r="FB109" s="692"/>
      <c r="FC109" s="692"/>
      <c r="FD109" s="692"/>
      <c r="FE109" s="692"/>
      <c r="FF109" s="692"/>
      <c r="FG109" s="692"/>
      <c r="FH109" s="692"/>
      <c r="FI109" s="692"/>
      <c r="FJ109" s="692"/>
      <c r="FK109" s="692"/>
      <c r="FL109" s="692"/>
      <c r="FM109" s="692"/>
      <c r="FN109" s="692"/>
      <c r="FO109" s="692"/>
      <c r="FP109" s="692"/>
      <c r="FQ109" s="692"/>
      <c r="FR109" s="692"/>
      <c r="FS109" s="692"/>
      <c r="FT109" s="692"/>
      <c r="FU109" s="692"/>
      <c r="FV109" s="692"/>
      <c r="FW109" s="692"/>
      <c r="FX109" s="692"/>
    </row>
    <row r="110" spans="1:180">
      <c r="A110" s="758"/>
      <c r="B110" s="540">
        <v>2</v>
      </c>
      <c r="C110" s="72" t="s">
        <v>123</v>
      </c>
      <c r="D110" s="584" t="s">
        <v>860</v>
      </c>
      <c r="E110" s="563">
        <v>0</v>
      </c>
      <c r="F110" s="73"/>
      <c r="G110" s="73" t="str">
        <f t="shared" si="147"/>
        <v>046075L</v>
      </c>
      <c r="I110" s="614" t="s">
        <v>124</v>
      </c>
      <c r="J110" s="614" t="s">
        <v>108</v>
      </c>
      <c r="K110" s="619">
        <v>10000</v>
      </c>
      <c r="L110" s="620">
        <v>511</v>
      </c>
      <c r="M110" s="636">
        <f t="shared" si="243"/>
        <v>0</v>
      </c>
      <c r="N110" s="636">
        <f t="shared" si="243"/>
        <v>0</v>
      </c>
      <c r="O110" s="636">
        <f t="shared" si="243"/>
        <v>0</v>
      </c>
      <c r="P110" s="636">
        <f t="shared" si="243"/>
        <v>0</v>
      </c>
      <c r="Q110" s="636">
        <f t="shared" si="243"/>
        <v>0</v>
      </c>
      <c r="R110" s="636"/>
      <c r="S110" s="637"/>
      <c r="T110" s="637">
        <v>0</v>
      </c>
      <c r="U110" s="637">
        <v>0</v>
      </c>
      <c r="V110" s="637">
        <v>0</v>
      </c>
      <c r="W110" s="637">
        <v>0</v>
      </c>
      <c r="X110" s="614"/>
      <c r="Y110" s="694"/>
      <c r="Z110" s="694"/>
      <c r="AA110" s="694"/>
      <c r="AB110" s="694"/>
      <c r="AC110" s="694"/>
      <c r="AD110" s="614"/>
      <c r="AE110" s="636">
        <f t="shared" ref="AE110:AI111" si="249">M110</f>
        <v>0</v>
      </c>
      <c r="AF110" s="636">
        <f t="shared" si="249"/>
        <v>0</v>
      </c>
      <c r="AG110" s="636">
        <f t="shared" si="249"/>
        <v>0</v>
      </c>
      <c r="AH110" s="636">
        <f t="shared" si="249"/>
        <v>0</v>
      </c>
      <c r="AI110" s="636">
        <f t="shared" si="249"/>
        <v>0</v>
      </c>
      <c r="AJ110" s="614"/>
      <c r="AK110" s="638">
        <f t="shared" ref="AK110:AO117" si="250">ROUND(S110*(1+AK$1),2)</f>
        <v>0</v>
      </c>
      <c r="AL110" s="638">
        <f t="shared" si="250"/>
        <v>0</v>
      </c>
      <c r="AM110" s="638">
        <f t="shared" si="250"/>
        <v>0</v>
      </c>
      <c r="AN110" s="638">
        <f t="shared" si="250"/>
        <v>0</v>
      </c>
      <c r="AO110" s="638">
        <f t="shared" si="250"/>
        <v>0</v>
      </c>
      <c r="AP110" s="614"/>
      <c r="AQ110" s="694">
        <f t="shared" ref="AQ110:AU111" si="251">IF(AND(AE110&lt;&gt;0,AK110=0),#VALUE!,AE110*AK110)</f>
        <v>0</v>
      </c>
      <c r="AR110" s="694">
        <f t="shared" si="251"/>
        <v>0</v>
      </c>
      <c r="AS110" s="694">
        <f t="shared" si="251"/>
        <v>0</v>
      </c>
      <c r="AT110" s="694">
        <f t="shared" si="251"/>
        <v>0</v>
      </c>
      <c r="AU110" s="694">
        <f t="shared" si="251"/>
        <v>0</v>
      </c>
      <c r="AV110" s="70">
        <f>SUM(AQ110:AU110)-SUM(Y110:AC110)</f>
        <v>0</v>
      </c>
      <c r="AW110" s="70"/>
      <c r="AX110" s="447">
        <v>111</v>
      </c>
      <c r="AY110" s="582">
        <v>20.88</v>
      </c>
      <c r="AZ110" s="582"/>
      <c r="BA110" s="582"/>
      <c r="BB110" s="582"/>
      <c r="BC110" s="582"/>
      <c r="BD110" s="140"/>
      <c r="BE110" s="588">
        <f t="shared" ref="BE110:BE125" si="252">ROUND(AX110*$BE$2,2)+ROUND(AX110*$BE$1,2)</f>
        <v>0.25</v>
      </c>
      <c r="BF110" s="54">
        <f>ROUND((S110*$BF$2)+$BE110-AY110,2)</f>
        <v>-20.63</v>
      </c>
      <c r="BG110" s="54"/>
      <c r="BH110" s="54"/>
      <c r="BI110" s="54"/>
      <c r="BJ110" s="54"/>
      <c r="BM110" s="279">
        <f t="shared" si="246"/>
        <v>0</v>
      </c>
      <c r="BN110" s="279">
        <f t="shared" si="247"/>
        <v>0</v>
      </c>
      <c r="BO110" s="279">
        <f t="shared" ref="BO110:BO121" si="253">AM110*$BM$1</f>
        <v>0</v>
      </c>
      <c r="BP110" s="279">
        <f t="shared" si="78"/>
        <v>0</v>
      </c>
      <c r="BQ110" s="279">
        <f t="shared" si="79"/>
        <v>0</v>
      </c>
      <c r="BS110" s="54">
        <f t="shared" ref="BS110:BS121" si="254">BM110-AY110</f>
        <v>-20.88</v>
      </c>
      <c r="BT110" s="54">
        <f t="shared" si="72"/>
        <v>0</v>
      </c>
      <c r="BU110" s="54">
        <f t="shared" si="73"/>
        <v>0</v>
      </c>
      <c r="BV110" s="54">
        <f t="shared" si="74"/>
        <v>0</v>
      </c>
      <c r="BW110" s="54">
        <f t="shared" si="75"/>
        <v>0</v>
      </c>
      <c r="DA110" s="595"/>
      <c r="DB110" s="595"/>
      <c r="DT110" s="692"/>
      <c r="DU110" s="692"/>
      <c r="FA110" s="692"/>
      <c r="FB110" s="692"/>
      <c r="FC110" s="692"/>
      <c r="FD110" s="692"/>
      <c r="FE110" s="692"/>
      <c r="FF110" s="692"/>
      <c r="FG110" s="692"/>
      <c r="FH110" s="692"/>
      <c r="FI110" s="692"/>
      <c r="FJ110" s="692"/>
      <c r="FK110" s="692"/>
      <c r="FL110" s="692"/>
      <c r="FM110" s="692"/>
      <c r="FN110" s="692"/>
      <c r="FO110" s="692"/>
      <c r="FP110" s="692"/>
      <c r="FQ110" s="692"/>
      <c r="FR110" s="692"/>
      <c r="FS110" s="692"/>
      <c r="FT110" s="692"/>
      <c r="FU110" s="692"/>
      <c r="FV110" s="692"/>
      <c r="FW110" s="692"/>
      <c r="FX110" s="692"/>
    </row>
    <row r="111" spans="1:180">
      <c r="A111" s="758"/>
      <c r="B111" s="540">
        <v>2</v>
      </c>
      <c r="C111" s="72" t="s">
        <v>123</v>
      </c>
      <c r="D111" s="584" t="s">
        <v>861</v>
      </c>
      <c r="E111" s="563">
        <v>0</v>
      </c>
      <c r="F111" s="73"/>
      <c r="G111" s="73" t="str">
        <f t="shared" si="147"/>
        <v>046085L</v>
      </c>
      <c r="I111" s="614" t="s">
        <v>139</v>
      </c>
      <c r="J111" s="614" t="s">
        <v>842</v>
      </c>
      <c r="K111" s="619" t="s">
        <v>134</v>
      </c>
      <c r="L111" s="620">
        <v>441</v>
      </c>
      <c r="M111" s="636">
        <f t="shared" si="243"/>
        <v>0</v>
      </c>
      <c r="N111" s="636">
        <f t="shared" si="243"/>
        <v>0</v>
      </c>
      <c r="O111" s="636">
        <f t="shared" si="243"/>
        <v>0</v>
      </c>
      <c r="P111" s="636">
        <f t="shared" si="243"/>
        <v>0</v>
      </c>
      <c r="Q111" s="636">
        <f t="shared" si="243"/>
        <v>0</v>
      </c>
      <c r="R111" s="580">
        <f t="shared" ref="R111:R129" si="255">IF(SUM(M111:Q111)&gt;0,0,1)</f>
        <v>1</v>
      </c>
      <c r="S111" s="637">
        <v>0</v>
      </c>
      <c r="T111" s="637"/>
      <c r="U111" s="637"/>
      <c r="V111" s="637">
        <v>0</v>
      </c>
      <c r="W111" s="637">
        <v>0</v>
      </c>
      <c r="X111" s="614"/>
      <c r="Y111" s="694">
        <f>IF(AND(M111&lt;&gt;0,S111=0),#VALUE!,M111*S111)</f>
        <v>0</v>
      </c>
      <c r="Z111" s="694">
        <f>IF(AND(N111&lt;&gt;0,T111=0),#VALUE!,N111*T111)</f>
        <v>0</v>
      </c>
      <c r="AA111" s="694">
        <f>IF(AND(O111&lt;&gt;0,U111=0),#VALUE!,O111*U111)</f>
        <v>0</v>
      </c>
      <c r="AB111" s="694">
        <f>IF(AND(P111&lt;&gt;0,V111=0),#VALUE!,P111*V111)</f>
        <v>0</v>
      </c>
      <c r="AC111" s="694">
        <f>IF(AND(Q111&lt;&gt;0,W111=0),#VALUE!,Q111*W111)</f>
        <v>0</v>
      </c>
      <c r="AD111" s="614"/>
      <c r="AE111" s="636">
        <f t="shared" si="249"/>
        <v>0</v>
      </c>
      <c r="AF111" s="636">
        <f t="shared" si="249"/>
        <v>0</v>
      </c>
      <c r="AG111" s="636">
        <f t="shared" si="249"/>
        <v>0</v>
      </c>
      <c r="AH111" s="636">
        <f t="shared" si="249"/>
        <v>0</v>
      </c>
      <c r="AI111" s="636">
        <f t="shared" si="249"/>
        <v>0</v>
      </c>
      <c r="AJ111" s="614"/>
      <c r="AK111" s="638">
        <f t="shared" si="250"/>
        <v>0</v>
      </c>
      <c r="AL111" s="638">
        <f t="shared" si="250"/>
        <v>0</v>
      </c>
      <c r="AM111" s="638">
        <f t="shared" si="250"/>
        <v>0</v>
      </c>
      <c r="AN111" s="638">
        <f t="shared" si="250"/>
        <v>0</v>
      </c>
      <c r="AO111" s="638">
        <f t="shared" si="250"/>
        <v>0</v>
      </c>
      <c r="AP111" s="614"/>
      <c r="AQ111" s="694">
        <f t="shared" si="251"/>
        <v>0</v>
      </c>
      <c r="AR111" s="694">
        <f t="shared" si="251"/>
        <v>0</v>
      </c>
      <c r="AS111" s="694">
        <f t="shared" si="251"/>
        <v>0</v>
      </c>
      <c r="AT111" s="694">
        <f t="shared" si="251"/>
        <v>0</v>
      </c>
      <c r="AU111" s="694">
        <f t="shared" si="251"/>
        <v>0</v>
      </c>
      <c r="AV111" s="694">
        <f>SUM(AQ111:AU111)-SUM(Y111:AC111)</f>
        <v>0</v>
      </c>
      <c r="AW111" s="694"/>
      <c r="AX111" s="701">
        <v>80</v>
      </c>
      <c r="AY111" s="702"/>
      <c r="AZ111" s="702">
        <v>29.57</v>
      </c>
      <c r="BA111" s="702">
        <v>14.19</v>
      </c>
      <c r="BB111" s="702"/>
      <c r="BC111" s="702"/>
      <c r="BD111" s="702"/>
      <c r="BE111" s="703">
        <f t="shared" si="252"/>
        <v>0.18000000000000016</v>
      </c>
      <c r="BF111" s="696"/>
      <c r="BG111" s="696">
        <f>ROUND((T111*$BF$2)+$BE111-AZ111,2)</f>
        <v>-29.39</v>
      </c>
      <c r="BH111" s="696">
        <f>ROUND((U111*$BF$2)+$BE111-BA111,2)</f>
        <v>-14.01</v>
      </c>
      <c r="BI111" s="696"/>
      <c r="BJ111" s="696"/>
      <c r="BK111" s="614"/>
      <c r="BL111" s="614"/>
      <c r="BM111" s="697">
        <f t="shared" si="246"/>
        <v>0</v>
      </c>
      <c r="BN111" s="697">
        <f t="shared" si="247"/>
        <v>0</v>
      </c>
      <c r="BO111" s="697">
        <f t="shared" si="253"/>
        <v>0</v>
      </c>
      <c r="BP111" s="697">
        <f t="shared" si="78"/>
        <v>0</v>
      </c>
      <c r="BQ111" s="697">
        <f t="shared" si="79"/>
        <v>0</v>
      </c>
      <c r="BR111" s="614"/>
      <c r="BS111" s="696">
        <f t="shared" si="254"/>
        <v>0</v>
      </c>
      <c r="BT111" s="696">
        <f t="shared" si="72"/>
        <v>-29.57</v>
      </c>
      <c r="BU111" s="696">
        <f t="shared" si="73"/>
        <v>-14.19</v>
      </c>
      <c r="BV111" s="696">
        <f t="shared" si="74"/>
        <v>0</v>
      </c>
      <c r="BW111" s="696">
        <f t="shared" si="75"/>
        <v>0</v>
      </c>
      <c r="BX111" s="614"/>
      <c r="BY111" s="614"/>
      <c r="BZ111" s="614"/>
      <c r="CA111" s="614"/>
      <c r="CB111" s="614"/>
      <c r="CC111" s="614"/>
      <c r="CD111" s="614"/>
      <c r="CE111" s="614"/>
      <c r="CF111" s="614"/>
      <c r="CG111" s="614"/>
      <c r="CH111" s="614"/>
      <c r="CI111" s="614"/>
      <c r="CJ111" s="614"/>
      <c r="CK111" s="614"/>
      <c r="CL111" s="614"/>
      <c r="CM111" s="614"/>
      <c r="CN111" s="614"/>
      <c r="CO111" s="614"/>
      <c r="CP111" s="614"/>
      <c r="CQ111" s="614"/>
      <c r="CR111" s="614"/>
      <c r="CS111" s="614"/>
      <c r="CT111" s="614"/>
      <c r="DT111" s="692"/>
      <c r="DU111" s="692"/>
      <c r="FS111" s="692"/>
      <c r="FT111" s="692"/>
      <c r="FU111" s="692"/>
      <c r="FV111" s="692"/>
      <c r="FX111" s="692"/>
    </row>
    <row r="112" spans="1:180">
      <c r="A112" s="758"/>
      <c r="B112" s="540">
        <v>2</v>
      </c>
      <c r="C112" s="72" t="s">
        <v>123</v>
      </c>
      <c r="D112" s="584" t="s">
        <v>862</v>
      </c>
      <c r="E112" s="563">
        <v>0</v>
      </c>
      <c r="F112" s="73"/>
      <c r="G112" s="73" t="str">
        <f t="shared" si="147"/>
        <v>046095L</v>
      </c>
      <c r="I112" s="706" t="s">
        <v>139</v>
      </c>
      <c r="J112" s="706" t="s">
        <v>109</v>
      </c>
      <c r="K112" s="707" t="s">
        <v>134</v>
      </c>
      <c r="L112" s="704">
        <v>442</v>
      </c>
      <c r="M112" s="705">
        <f t="shared" si="243"/>
        <v>0</v>
      </c>
      <c r="N112" s="705">
        <f t="shared" si="243"/>
        <v>0</v>
      </c>
      <c r="O112" s="636">
        <f t="shared" si="243"/>
        <v>0</v>
      </c>
      <c r="P112" s="636">
        <f t="shared" si="243"/>
        <v>0</v>
      </c>
      <c r="Q112" s="636">
        <f t="shared" si="243"/>
        <v>0</v>
      </c>
      <c r="R112" s="636">
        <f t="shared" si="255"/>
        <v>1</v>
      </c>
      <c r="S112" s="637">
        <v>0</v>
      </c>
      <c r="T112" s="637"/>
      <c r="U112" s="708">
        <v>0</v>
      </c>
      <c r="V112" s="637">
        <v>0</v>
      </c>
      <c r="W112" s="637">
        <v>0</v>
      </c>
      <c r="X112" s="614"/>
      <c r="Y112" s="614"/>
      <c r="Z112" s="694">
        <f t="shared" ref="Z112:Z121" si="256">IF(AND(N112&lt;&gt;0,T112=0),#VALUE!,N112*T112)</f>
        <v>0</v>
      </c>
      <c r="AA112" s="614"/>
      <c r="AB112" s="614"/>
      <c r="AC112" s="694">
        <f t="shared" ref="AC112:AC117" si="257">IF(AND(Q112&lt;&gt;0,W112=0),#VALUE!,Q112*W112)</f>
        <v>0</v>
      </c>
      <c r="AD112" s="614"/>
      <c r="AE112" s="636">
        <f>SUMIF($G:$G,TEXT(AE$3,"000")&amp;TEXT($L112,"000"),$E:$E)</f>
        <v>0</v>
      </c>
      <c r="AF112" s="636">
        <f>SUMIF($G:$G,TEXT(AF$3,"000")&amp;TEXT($L112,"000"),$E:$E)</f>
        <v>0</v>
      </c>
      <c r="AG112" s="636">
        <f>SUMIF($G:$G,TEXT(AG$3,"000")&amp;TEXT($L112,"000"),$E:$E)</f>
        <v>0</v>
      </c>
      <c r="AH112" s="636">
        <f>SUMIF($G:$G,TEXT(AH$3,"000")&amp;TEXT($L112,"000"),$E:$E)</f>
        <v>0</v>
      </c>
      <c r="AI112" s="636">
        <f>SUMIF($G:$G,TEXT(AI$3,"000")&amp;TEXT($L112,"000"),$E:$E)</f>
        <v>0</v>
      </c>
      <c r="AJ112" s="614"/>
      <c r="AK112" s="638">
        <f t="shared" si="250"/>
        <v>0</v>
      </c>
      <c r="AL112" s="638">
        <f t="shared" si="250"/>
        <v>0</v>
      </c>
      <c r="AM112" s="638">
        <f t="shared" si="250"/>
        <v>0</v>
      </c>
      <c r="AN112" s="638">
        <f t="shared" si="250"/>
        <v>0</v>
      </c>
      <c r="AO112" s="638">
        <f t="shared" si="250"/>
        <v>0</v>
      </c>
      <c r="AP112" s="614"/>
      <c r="AQ112" s="709"/>
      <c r="AR112" s="694">
        <f t="shared" ref="AR112:AR128" si="258">IF(AND(AF112&lt;&gt;0,AL112=0),#VALUE!,AF112*AL112)</f>
        <v>0</v>
      </c>
      <c r="AS112" s="614"/>
      <c r="AT112" s="614"/>
      <c r="AU112" s="614"/>
      <c r="AV112" s="614"/>
      <c r="AW112" s="614"/>
      <c r="AX112" s="701">
        <v>80</v>
      </c>
      <c r="AY112" s="702"/>
      <c r="AZ112" s="702">
        <v>41.39</v>
      </c>
      <c r="BA112" s="702"/>
      <c r="BB112" s="702"/>
      <c r="BC112" s="702"/>
      <c r="BD112" s="702"/>
      <c r="BE112" s="703">
        <f t="shared" si="252"/>
        <v>0.18000000000000016</v>
      </c>
      <c r="BF112" s="696"/>
      <c r="BG112" s="54">
        <f>ROUND((T112*$BF$2)+$BE112-AZ112,2)</f>
        <v>-41.21</v>
      </c>
      <c r="BH112" s="54"/>
      <c r="BI112" s="54"/>
      <c r="BJ112" s="54"/>
      <c r="BM112" s="279">
        <f t="shared" si="246"/>
        <v>0</v>
      </c>
      <c r="BN112" s="279">
        <f t="shared" si="247"/>
        <v>0</v>
      </c>
      <c r="BO112" s="279">
        <f t="shared" si="253"/>
        <v>0</v>
      </c>
      <c r="BP112" s="279">
        <f t="shared" si="78"/>
        <v>0</v>
      </c>
      <c r="BQ112" s="279">
        <f t="shared" si="79"/>
        <v>0</v>
      </c>
      <c r="BS112" s="54">
        <f t="shared" si="254"/>
        <v>0</v>
      </c>
      <c r="BT112" s="54">
        <f t="shared" si="72"/>
        <v>-41.39</v>
      </c>
      <c r="BU112" s="54">
        <f t="shared" si="73"/>
        <v>0</v>
      </c>
      <c r="BV112" s="54">
        <f t="shared" si="74"/>
        <v>0</v>
      </c>
      <c r="BW112" s="54">
        <f t="shared" si="75"/>
        <v>0</v>
      </c>
      <c r="CL112" s="443"/>
      <c r="CV112" s="614"/>
      <c r="CW112" s="614"/>
      <c r="CX112" s="614"/>
      <c r="CY112" s="614"/>
      <c r="CZ112" s="614"/>
      <c r="DU112" s="692"/>
    </row>
    <row r="113" spans="1:123">
      <c r="A113" s="758"/>
      <c r="B113" s="540">
        <v>2</v>
      </c>
      <c r="C113" s="72" t="s">
        <v>123</v>
      </c>
      <c r="D113" s="584" t="s">
        <v>863</v>
      </c>
      <c r="E113" s="563">
        <v>6</v>
      </c>
      <c r="F113" s="73"/>
      <c r="G113" s="73" t="str">
        <f t="shared" si="147"/>
        <v>046105L</v>
      </c>
      <c r="I113" s="614" t="s">
        <v>128</v>
      </c>
      <c r="J113" s="614" t="s">
        <v>109</v>
      </c>
      <c r="K113" s="619" t="s">
        <v>142</v>
      </c>
      <c r="L113" s="620">
        <v>522</v>
      </c>
      <c r="M113" s="636">
        <f t="shared" si="243"/>
        <v>0</v>
      </c>
      <c r="N113" s="636">
        <f t="shared" si="243"/>
        <v>0</v>
      </c>
      <c r="O113" s="636">
        <f t="shared" si="243"/>
        <v>0</v>
      </c>
      <c r="P113" s="636">
        <f t="shared" si="243"/>
        <v>0</v>
      </c>
      <c r="Q113" s="636">
        <f t="shared" si="243"/>
        <v>0</v>
      </c>
      <c r="R113" s="636">
        <f t="shared" si="255"/>
        <v>1</v>
      </c>
      <c r="S113" s="637">
        <v>0</v>
      </c>
      <c r="T113" s="637"/>
      <c r="U113" s="637">
        <v>0</v>
      </c>
      <c r="V113" s="637">
        <v>0</v>
      </c>
      <c r="W113" s="637">
        <v>0</v>
      </c>
      <c r="X113" s="614"/>
      <c r="Y113" s="694">
        <f t="shared" ref="Y113:Y121" si="259">IF(AND(M113&lt;&gt;0,S113=0),#VALUE!,M113*S113)</f>
        <v>0</v>
      </c>
      <c r="Z113" s="694">
        <f t="shared" si="256"/>
        <v>0</v>
      </c>
      <c r="AA113" s="694">
        <f t="shared" ref="AA113:AB117" si="260">IF(AND(O113&lt;&gt;0,U113=0),#VALUE!,O113*U113)</f>
        <v>0</v>
      </c>
      <c r="AB113" s="694">
        <f t="shared" si="260"/>
        <v>0</v>
      </c>
      <c r="AC113" s="694">
        <f t="shared" si="257"/>
        <v>0</v>
      </c>
      <c r="AD113" s="614"/>
      <c r="AE113" s="636">
        <f t="shared" ref="AE113:AI117" si="261">M113</f>
        <v>0</v>
      </c>
      <c r="AF113" s="636">
        <f t="shared" si="261"/>
        <v>0</v>
      </c>
      <c r="AG113" s="636">
        <f t="shared" si="261"/>
        <v>0</v>
      </c>
      <c r="AH113" s="636">
        <f t="shared" si="261"/>
        <v>0</v>
      </c>
      <c r="AI113" s="636">
        <f t="shared" si="261"/>
        <v>0</v>
      </c>
      <c r="AJ113" s="614"/>
      <c r="AK113" s="638">
        <f t="shared" si="250"/>
        <v>0</v>
      </c>
      <c r="AL113" s="638">
        <f t="shared" si="250"/>
        <v>0</v>
      </c>
      <c r="AM113" s="638">
        <f t="shared" si="250"/>
        <v>0</v>
      </c>
      <c r="AN113" s="638">
        <f t="shared" si="250"/>
        <v>0</v>
      </c>
      <c r="AO113" s="638">
        <f t="shared" si="250"/>
        <v>0</v>
      </c>
      <c r="AP113" s="614"/>
      <c r="AQ113" s="694">
        <f t="shared" ref="AQ113:AQ128" si="262">IF(AND(AE113&lt;&gt;0,AK113=0),#VALUE!,AE113*AK113)</f>
        <v>0</v>
      </c>
      <c r="AR113" s="694">
        <f t="shared" si="258"/>
        <v>0</v>
      </c>
      <c r="AS113" s="694">
        <f t="shared" ref="AS113:AS128" si="263">IF(AND(AG113&lt;&gt;0,AM113=0),#VALUE!,AG113*AM113)</f>
        <v>0</v>
      </c>
      <c r="AT113" s="694">
        <f t="shared" ref="AT113:AT128" si="264">IF(AND(AH113&lt;&gt;0,AN113=0),#VALUE!,AH113*AN113)</f>
        <v>0</v>
      </c>
      <c r="AU113" s="694">
        <f t="shared" ref="AU113:AU128" si="265">IF(AND(AI113&lt;&gt;0,AO113=0),#VALUE!,AI113*AO113)</f>
        <v>0</v>
      </c>
      <c r="AV113" s="694">
        <f>SUM(AQ113:AU113)-SUM(Y113:AC113)</f>
        <v>0</v>
      </c>
      <c r="AW113" s="694"/>
      <c r="AX113" s="701">
        <v>85</v>
      </c>
      <c r="AY113" s="702"/>
      <c r="AZ113" s="702">
        <v>59.82</v>
      </c>
      <c r="BA113" s="702"/>
      <c r="BB113" s="702"/>
      <c r="BC113" s="702"/>
      <c r="BD113" s="702"/>
      <c r="BE113" s="703">
        <f t="shared" si="252"/>
        <v>0.17999999999999994</v>
      </c>
      <c r="BF113" s="696"/>
      <c r="BG113" s="696">
        <f>ROUND((T113*$BF$2)+$BE113-AZ113,2)</f>
        <v>-59.64</v>
      </c>
      <c r="BH113" s="696"/>
      <c r="BI113" s="696"/>
      <c r="BJ113" s="696"/>
      <c r="BK113" s="614"/>
      <c r="BL113" s="614"/>
      <c r="BM113" s="697">
        <f t="shared" si="246"/>
        <v>0</v>
      </c>
      <c r="BN113" s="279">
        <f t="shared" si="247"/>
        <v>0</v>
      </c>
      <c r="BO113" s="279">
        <f t="shared" si="253"/>
        <v>0</v>
      </c>
      <c r="BP113" s="279">
        <f t="shared" si="78"/>
        <v>0</v>
      </c>
      <c r="BQ113" s="279">
        <f t="shared" si="79"/>
        <v>0</v>
      </c>
      <c r="BS113" s="54">
        <f t="shared" si="254"/>
        <v>0</v>
      </c>
      <c r="BT113" s="54">
        <f t="shared" si="72"/>
        <v>-59.82</v>
      </c>
      <c r="BU113" s="54">
        <f t="shared" si="73"/>
        <v>0</v>
      </c>
      <c r="BV113" s="54">
        <f t="shared" si="74"/>
        <v>0</v>
      </c>
      <c r="BW113" s="54">
        <f t="shared" si="75"/>
        <v>0</v>
      </c>
      <c r="CU113" s="614"/>
    </row>
    <row r="114" spans="1:123">
      <c r="A114" s="758"/>
      <c r="B114" s="540">
        <v>2</v>
      </c>
      <c r="C114" s="72" t="s">
        <v>123</v>
      </c>
      <c r="D114" s="584" t="s">
        <v>864</v>
      </c>
      <c r="E114" s="563">
        <v>0</v>
      </c>
      <c r="F114" s="73"/>
      <c r="G114" s="73" t="str">
        <f t="shared" si="147"/>
        <v>046115L</v>
      </c>
      <c r="I114" s="614" t="s">
        <v>443</v>
      </c>
      <c r="J114" s="614" t="s">
        <v>110</v>
      </c>
      <c r="K114" s="619" t="s">
        <v>142</v>
      </c>
      <c r="L114" s="704">
        <v>538</v>
      </c>
      <c r="M114" s="705">
        <f t="shared" si="243"/>
        <v>0</v>
      </c>
      <c r="N114" s="705">
        <f t="shared" si="243"/>
        <v>0</v>
      </c>
      <c r="O114" s="636">
        <f t="shared" si="243"/>
        <v>0</v>
      </c>
      <c r="P114" s="636">
        <f t="shared" si="243"/>
        <v>0</v>
      </c>
      <c r="Q114" s="636">
        <f t="shared" si="243"/>
        <v>0</v>
      </c>
      <c r="R114" s="636">
        <f t="shared" si="255"/>
        <v>1</v>
      </c>
      <c r="S114" s="637">
        <v>0</v>
      </c>
      <c r="T114" s="637"/>
      <c r="U114" s="637">
        <v>0</v>
      </c>
      <c r="V114" s="637">
        <v>0</v>
      </c>
      <c r="W114" s="637">
        <v>0</v>
      </c>
      <c r="X114" s="614"/>
      <c r="Y114" s="694">
        <f t="shared" si="259"/>
        <v>0</v>
      </c>
      <c r="Z114" s="694">
        <f t="shared" si="256"/>
        <v>0</v>
      </c>
      <c r="AA114" s="694">
        <f t="shared" si="260"/>
        <v>0</v>
      </c>
      <c r="AB114" s="694">
        <f t="shared" si="260"/>
        <v>0</v>
      </c>
      <c r="AC114" s="694">
        <f t="shared" si="257"/>
        <v>0</v>
      </c>
      <c r="AD114" s="614"/>
      <c r="AE114" s="636">
        <f t="shared" si="261"/>
        <v>0</v>
      </c>
      <c r="AF114" s="636">
        <f t="shared" si="261"/>
        <v>0</v>
      </c>
      <c r="AG114" s="636">
        <f t="shared" si="261"/>
        <v>0</v>
      </c>
      <c r="AH114" s="636">
        <f t="shared" si="261"/>
        <v>0</v>
      </c>
      <c r="AI114" s="636">
        <f t="shared" si="261"/>
        <v>0</v>
      </c>
      <c r="AJ114" s="614"/>
      <c r="AK114" s="638">
        <f t="shared" si="250"/>
        <v>0</v>
      </c>
      <c r="AL114" s="638">
        <f t="shared" si="250"/>
        <v>0</v>
      </c>
      <c r="AM114" s="638">
        <f t="shared" si="250"/>
        <v>0</v>
      </c>
      <c r="AN114" s="638">
        <f t="shared" si="250"/>
        <v>0</v>
      </c>
      <c r="AO114" s="638">
        <f t="shared" si="250"/>
        <v>0</v>
      </c>
      <c r="AP114" s="614"/>
      <c r="AQ114" s="694">
        <f t="shared" si="262"/>
        <v>0</v>
      </c>
      <c r="AR114" s="694">
        <f t="shared" si="258"/>
        <v>0</v>
      </c>
      <c r="AS114" s="694">
        <f t="shared" si="263"/>
        <v>0</v>
      </c>
      <c r="AT114" s="694">
        <f t="shared" si="264"/>
        <v>0</v>
      </c>
      <c r="AU114" s="694">
        <f t="shared" si="265"/>
        <v>0</v>
      </c>
      <c r="AV114" s="694"/>
      <c r="AW114" s="694"/>
      <c r="AX114" s="701">
        <v>85</v>
      </c>
      <c r="AY114" s="702"/>
      <c r="AZ114" s="702">
        <v>24.3</v>
      </c>
      <c r="BA114" s="702"/>
      <c r="BB114" s="702"/>
      <c r="BC114" s="702"/>
      <c r="BD114" s="702"/>
      <c r="BE114" s="703">
        <f t="shared" si="252"/>
        <v>0.17999999999999994</v>
      </c>
      <c r="BF114" s="696"/>
      <c r="BG114" s="696">
        <f>ROUND((T114*$BF$2)+$BE114-AZ114,2)</f>
        <v>-24.12</v>
      </c>
      <c r="BH114" s="696"/>
      <c r="BI114" s="696"/>
      <c r="BJ114" s="696"/>
      <c r="BK114" s="614"/>
      <c r="BL114" s="614"/>
      <c r="BM114" s="697">
        <f t="shared" si="246"/>
        <v>0</v>
      </c>
      <c r="BN114" s="697">
        <f t="shared" si="247"/>
        <v>0</v>
      </c>
      <c r="BO114" s="697">
        <f t="shared" si="253"/>
        <v>0</v>
      </c>
      <c r="BP114" s="697">
        <f t="shared" si="78"/>
        <v>0</v>
      </c>
      <c r="BQ114" s="697">
        <f t="shared" si="79"/>
        <v>0</v>
      </c>
      <c r="BR114" s="330"/>
      <c r="BS114" s="54">
        <f t="shared" si="254"/>
        <v>0</v>
      </c>
      <c r="BT114" s="54">
        <f t="shared" si="72"/>
        <v>-24.3</v>
      </c>
      <c r="BU114" s="54">
        <f t="shared" si="73"/>
        <v>0</v>
      </c>
      <c r="BV114" s="54">
        <f t="shared" si="74"/>
        <v>0</v>
      </c>
      <c r="BW114" s="54">
        <f t="shared" si="75"/>
        <v>0</v>
      </c>
    </row>
    <row r="115" spans="1:123">
      <c r="A115" s="758"/>
      <c r="B115" s="540">
        <v>2</v>
      </c>
      <c r="C115" s="72" t="s">
        <v>123</v>
      </c>
      <c r="D115" s="584" t="s">
        <v>865</v>
      </c>
      <c r="E115" s="563">
        <v>0</v>
      </c>
      <c r="F115" s="73"/>
      <c r="G115" s="73" t="str">
        <f t="shared" si="147"/>
        <v>046125L</v>
      </c>
      <c r="I115" s="614" t="s">
        <v>139</v>
      </c>
      <c r="J115" s="614" t="s">
        <v>109</v>
      </c>
      <c r="K115" s="619" t="s">
        <v>142</v>
      </c>
      <c r="L115" s="620">
        <v>542</v>
      </c>
      <c r="M115" s="636">
        <f t="shared" si="243"/>
        <v>0</v>
      </c>
      <c r="N115" s="636">
        <f t="shared" si="243"/>
        <v>0</v>
      </c>
      <c r="O115" s="636">
        <f t="shared" si="243"/>
        <v>0</v>
      </c>
      <c r="P115" s="636">
        <f t="shared" si="243"/>
        <v>0</v>
      </c>
      <c r="Q115" s="636">
        <f t="shared" si="243"/>
        <v>0</v>
      </c>
      <c r="R115" s="636">
        <f t="shared" si="255"/>
        <v>1</v>
      </c>
      <c r="S115" s="637">
        <v>0</v>
      </c>
      <c r="T115" s="637"/>
      <c r="U115" s="637"/>
      <c r="V115" s="637">
        <v>0</v>
      </c>
      <c r="W115" s="637">
        <v>0</v>
      </c>
      <c r="X115" s="614"/>
      <c r="Y115" s="694">
        <f t="shared" si="259"/>
        <v>0</v>
      </c>
      <c r="Z115" s="694">
        <f t="shared" si="256"/>
        <v>0</v>
      </c>
      <c r="AA115" s="694">
        <f t="shared" si="260"/>
        <v>0</v>
      </c>
      <c r="AB115" s="694">
        <f t="shared" si="260"/>
        <v>0</v>
      </c>
      <c r="AC115" s="694">
        <f t="shared" si="257"/>
        <v>0</v>
      </c>
      <c r="AD115" s="614"/>
      <c r="AE115" s="636">
        <f t="shared" si="261"/>
        <v>0</v>
      </c>
      <c r="AF115" s="636">
        <f t="shared" si="261"/>
        <v>0</v>
      </c>
      <c r="AG115" s="636">
        <f t="shared" si="261"/>
        <v>0</v>
      </c>
      <c r="AH115" s="636">
        <f t="shared" si="261"/>
        <v>0</v>
      </c>
      <c r="AI115" s="636">
        <f t="shared" si="261"/>
        <v>0</v>
      </c>
      <c r="AJ115" s="614"/>
      <c r="AK115" s="638">
        <f t="shared" si="250"/>
        <v>0</v>
      </c>
      <c r="AL115" s="638">
        <f t="shared" si="250"/>
        <v>0</v>
      </c>
      <c r="AM115" s="638">
        <f t="shared" si="250"/>
        <v>0</v>
      </c>
      <c r="AN115" s="638">
        <f t="shared" si="250"/>
        <v>0</v>
      </c>
      <c r="AO115" s="638">
        <f t="shared" si="250"/>
        <v>0</v>
      </c>
      <c r="AP115" s="614"/>
      <c r="AQ115" s="694">
        <f t="shared" si="262"/>
        <v>0</v>
      </c>
      <c r="AR115" s="694">
        <f t="shared" si="258"/>
        <v>0</v>
      </c>
      <c r="AS115" s="694">
        <f t="shared" si="263"/>
        <v>0</v>
      </c>
      <c r="AT115" s="694">
        <f t="shared" si="264"/>
        <v>0</v>
      </c>
      <c r="AU115" s="694">
        <f t="shared" si="265"/>
        <v>0</v>
      </c>
      <c r="AV115" s="694">
        <f>SUM(AQ115:AU115)-SUM(Y115:AC115)</f>
        <v>0</v>
      </c>
      <c r="AW115" s="694"/>
      <c r="AX115" s="701">
        <v>170</v>
      </c>
      <c r="AY115" s="702"/>
      <c r="AZ115" s="702">
        <v>61.09</v>
      </c>
      <c r="BA115" s="702">
        <v>23.76</v>
      </c>
      <c r="BB115" s="702"/>
      <c r="BC115" s="702"/>
      <c r="BD115" s="702"/>
      <c r="BE115" s="703">
        <f t="shared" si="252"/>
        <v>0.38000000000000012</v>
      </c>
      <c r="BF115" s="696"/>
      <c r="BG115" s="696">
        <f>ROUND((T115*$BF$2)+$BE115-AZ115,2)</f>
        <v>-60.71</v>
      </c>
      <c r="BH115" s="696">
        <f>ROUND((U115*$BF$2)+$BE115-BA115,2)</f>
        <v>-23.38</v>
      </c>
      <c r="BI115" s="696"/>
      <c r="BJ115" s="696"/>
      <c r="BK115" s="614"/>
      <c r="BL115" s="614"/>
      <c r="BM115" s="697">
        <f t="shared" si="246"/>
        <v>0</v>
      </c>
      <c r="BN115" s="697">
        <f t="shared" si="247"/>
        <v>0</v>
      </c>
      <c r="BO115" s="697">
        <f t="shared" si="253"/>
        <v>0</v>
      </c>
      <c r="BP115" s="697">
        <f t="shared" si="78"/>
        <v>0</v>
      </c>
      <c r="BQ115" s="697">
        <f t="shared" si="79"/>
        <v>0</v>
      </c>
      <c r="BR115" s="614"/>
      <c r="BS115" s="696">
        <f t="shared" si="254"/>
        <v>0</v>
      </c>
      <c r="BT115" s="696">
        <f t="shared" si="72"/>
        <v>-61.09</v>
      </c>
      <c r="BU115" s="696">
        <f t="shared" si="73"/>
        <v>-23.76</v>
      </c>
      <c r="BV115" s="696">
        <f t="shared" si="74"/>
        <v>0</v>
      </c>
      <c r="BW115" s="696">
        <f t="shared" si="75"/>
        <v>0</v>
      </c>
      <c r="BX115" s="614"/>
      <c r="BY115" s="614"/>
      <c r="BZ115" s="614"/>
      <c r="CA115" s="614"/>
      <c r="CB115" s="614"/>
      <c r="CC115" s="614"/>
      <c r="CD115" s="614"/>
      <c r="CE115" s="614"/>
      <c r="CH115" s="646"/>
      <c r="CI115" s="646"/>
      <c r="CJ115" s="646"/>
      <c r="CP115" s="692"/>
      <c r="CQ115" s="692"/>
      <c r="CR115" s="692"/>
      <c r="CS115" s="692"/>
      <c r="CT115" s="692"/>
    </row>
    <row r="116" spans="1:123">
      <c r="A116" s="758"/>
      <c r="B116" s="540">
        <v>2</v>
      </c>
      <c r="C116" s="72" t="s">
        <v>123</v>
      </c>
      <c r="D116" s="584" t="s">
        <v>866</v>
      </c>
      <c r="E116" s="563">
        <v>36</v>
      </c>
      <c r="F116" s="73"/>
      <c r="G116" s="73" t="str">
        <f t="shared" si="147"/>
        <v>046135L</v>
      </c>
      <c r="I116" s="614" t="s">
        <v>133</v>
      </c>
      <c r="J116" s="614" t="s">
        <v>146</v>
      </c>
      <c r="K116" s="619">
        <v>55000</v>
      </c>
      <c r="L116" s="620">
        <v>819</v>
      </c>
      <c r="M116" s="636">
        <f t="shared" si="243"/>
        <v>0</v>
      </c>
      <c r="N116" s="636">
        <f t="shared" si="243"/>
        <v>0</v>
      </c>
      <c r="O116" s="636">
        <f t="shared" si="243"/>
        <v>0</v>
      </c>
      <c r="P116" s="636">
        <f t="shared" si="243"/>
        <v>0</v>
      </c>
      <c r="Q116" s="636">
        <f t="shared" si="243"/>
        <v>0</v>
      </c>
      <c r="R116" s="636">
        <f t="shared" si="255"/>
        <v>1</v>
      </c>
      <c r="S116" s="637">
        <v>0</v>
      </c>
      <c r="T116" s="637"/>
      <c r="U116" s="637">
        <v>0</v>
      </c>
      <c r="V116" s="637"/>
      <c r="W116" s="637">
        <v>0</v>
      </c>
      <c r="X116" s="614"/>
      <c r="Y116" s="694">
        <f t="shared" si="259"/>
        <v>0</v>
      </c>
      <c r="Z116" s="694">
        <f t="shared" si="256"/>
        <v>0</v>
      </c>
      <c r="AA116" s="694">
        <f t="shared" si="260"/>
        <v>0</v>
      </c>
      <c r="AB116" s="694">
        <f t="shared" si="260"/>
        <v>0</v>
      </c>
      <c r="AC116" s="694">
        <f t="shared" si="257"/>
        <v>0</v>
      </c>
      <c r="AD116" s="614"/>
      <c r="AE116" s="636">
        <f t="shared" si="261"/>
        <v>0</v>
      </c>
      <c r="AF116" s="636">
        <f t="shared" si="261"/>
        <v>0</v>
      </c>
      <c r="AG116" s="636">
        <f t="shared" si="261"/>
        <v>0</v>
      </c>
      <c r="AH116" s="636">
        <f t="shared" si="261"/>
        <v>0</v>
      </c>
      <c r="AI116" s="636">
        <f t="shared" si="261"/>
        <v>0</v>
      </c>
      <c r="AJ116" s="614"/>
      <c r="AK116" s="638">
        <f t="shared" si="250"/>
        <v>0</v>
      </c>
      <c r="AL116" s="638">
        <f t="shared" si="250"/>
        <v>0</v>
      </c>
      <c r="AM116" s="638">
        <f t="shared" si="250"/>
        <v>0</v>
      </c>
      <c r="AN116" s="638">
        <f t="shared" si="250"/>
        <v>0</v>
      </c>
      <c r="AO116" s="638">
        <f t="shared" si="250"/>
        <v>0</v>
      </c>
      <c r="AP116" s="614"/>
      <c r="AQ116" s="694">
        <f t="shared" si="262"/>
        <v>0</v>
      </c>
      <c r="AR116" s="694">
        <f t="shared" si="258"/>
        <v>0</v>
      </c>
      <c r="AS116" s="694">
        <f t="shared" si="263"/>
        <v>0</v>
      </c>
      <c r="AT116" s="694">
        <f t="shared" si="264"/>
        <v>0</v>
      </c>
      <c r="AU116" s="694">
        <f t="shared" si="265"/>
        <v>0</v>
      </c>
      <c r="AV116" s="694">
        <f>SUM(AQ116:AU116)-SUM(Y116:AC116)</f>
        <v>0</v>
      </c>
      <c r="AW116" s="694"/>
      <c r="AX116" s="701">
        <v>417</v>
      </c>
      <c r="AY116" s="702"/>
      <c r="AZ116" s="702"/>
      <c r="BA116" s="702"/>
      <c r="BB116" s="702">
        <v>28.89</v>
      </c>
      <c r="BC116" s="702"/>
      <c r="BD116" s="702"/>
      <c r="BE116" s="703">
        <f t="shared" si="252"/>
        <v>0.91999999999999993</v>
      </c>
      <c r="BF116" s="696"/>
      <c r="BG116" s="696"/>
      <c r="BH116" s="696"/>
      <c r="BI116" s="696">
        <f>ROUND((V116*$BF$2)+$BE116-BB116,2)</f>
        <v>-27.97</v>
      </c>
      <c r="BJ116" s="696"/>
      <c r="BK116" s="614"/>
      <c r="BL116" s="614"/>
      <c r="BM116" s="697">
        <f t="shared" si="246"/>
        <v>0</v>
      </c>
      <c r="BN116" s="697">
        <f t="shared" si="247"/>
        <v>0</v>
      </c>
      <c r="BO116" s="697">
        <f t="shared" si="253"/>
        <v>0</v>
      </c>
      <c r="BP116" s="697">
        <f t="shared" si="78"/>
        <v>0</v>
      </c>
      <c r="BQ116" s="697">
        <f t="shared" si="79"/>
        <v>0</v>
      </c>
      <c r="BR116" s="614"/>
      <c r="BS116" s="696">
        <f t="shared" si="254"/>
        <v>0</v>
      </c>
      <c r="BT116" s="696">
        <f t="shared" si="72"/>
        <v>0</v>
      </c>
      <c r="BU116" s="696">
        <f t="shared" si="73"/>
        <v>0</v>
      </c>
      <c r="BV116" s="696">
        <f t="shared" si="74"/>
        <v>-28.89</v>
      </c>
      <c r="BW116" s="696">
        <f t="shared" si="75"/>
        <v>0</v>
      </c>
      <c r="BX116" s="614"/>
      <c r="BY116" s="614"/>
      <c r="BZ116" s="614"/>
      <c r="CA116" s="614"/>
      <c r="CB116" s="614"/>
      <c r="CC116" s="614"/>
      <c r="CD116" s="614"/>
      <c r="CE116" s="614"/>
      <c r="CF116" s="614"/>
      <c r="CG116" s="614"/>
      <c r="CH116" s="614"/>
      <c r="CI116" s="614"/>
      <c r="CJ116" s="614"/>
      <c r="CK116" s="614"/>
      <c r="CL116" s="614"/>
      <c r="CV116" s="692"/>
      <c r="CW116" s="692"/>
      <c r="CX116" s="692"/>
      <c r="CY116" s="692"/>
      <c r="CZ116" s="692"/>
      <c r="DA116" s="692"/>
      <c r="DB116" s="692"/>
    </row>
    <row r="117" spans="1:123">
      <c r="A117" s="758"/>
      <c r="B117" s="540">
        <v>2</v>
      </c>
      <c r="C117" s="72" t="s">
        <v>123</v>
      </c>
      <c r="D117" s="584" t="s">
        <v>867</v>
      </c>
      <c r="E117" s="563">
        <v>0</v>
      </c>
      <c r="F117" s="73"/>
      <c r="G117" s="73" t="str">
        <f t="shared" si="147"/>
        <v>046145L</v>
      </c>
      <c r="I117" s="614" t="s">
        <v>128</v>
      </c>
      <c r="J117" s="614" t="s">
        <v>136</v>
      </c>
      <c r="K117" s="619" t="s">
        <v>147</v>
      </c>
      <c r="L117" s="620">
        <v>836</v>
      </c>
      <c r="M117" s="636">
        <f t="shared" si="243"/>
        <v>0</v>
      </c>
      <c r="N117" s="636">
        <f t="shared" si="243"/>
        <v>0</v>
      </c>
      <c r="O117" s="636">
        <f t="shared" si="243"/>
        <v>0</v>
      </c>
      <c r="P117" s="636">
        <f t="shared" si="243"/>
        <v>0</v>
      </c>
      <c r="Q117" s="636">
        <f t="shared" si="243"/>
        <v>0</v>
      </c>
      <c r="R117" s="636">
        <f t="shared" si="255"/>
        <v>1</v>
      </c>
      <c r="S117" s="637">
        <v>0</v>
      </c>
      <c r="T117" s="637"/>
      <c r="U117" s="637">
        <v>0</v>
      </c>
      <c r="V117" s="637">
        <v>0</v>
      </c>
      <c r="W117" s="637">
        <v>0</v>
      </c>
      <c r="X117" s="614"/>
      <c r="Y117" s="694">
        <f t="shared" si="259"/>
        <v>0</v>
      </c>
      <c r="Z117" s="694">
        <f t="shared" si="256"/>
        <v>0</v>
      </c>
      <c r="AA117" s="694">
        <f t="shared" si="260"/>
        <v>0</v>
      </c>
      <c r="AB117" s="694">
        <f t="shared" si="260"/>
        <v>0</v>
      </c>
      <c r="AC117" s="694">
        <f t="shared" si="257"/>
        <v>0</v>
      </c>
      <c r="AD117" s="614"/>
      <c r="AE117" s="636">
        <f t="shared" si="261"/>
        <v>0</v>
      </c>
      <c r="AF117" s="636">
        <f t="shared" si="261"/>
        <v>0</v>
      </c>
      <c r="AG117" s="636">
        <f t="shared" si="261"/>
        <v>0</v>
      </c>
      <c r="AH117" s="636">
        <f t="shared" si="261"/>
        <v>0</v>
      </c>
      <c r="AI117" s="636">
        <f t="shared" si="261"/>
        <v>0</v>
      </c>
      <c r="AJ117" s="614"/>
      <c r="AK117" s="638">
        <f t="shared" si="250"/>
        <v>0</v>
      </c>
      <c r="AL117" s="638">
        <f t="shared" si="250"/>
        <v>0</v>
      </c>
      <c r="AM117" s="638">
        <f t="shared" si="250"/>
        <v>0</v>
      </c>
      <c r="AN117" s="638">
        <f t="shared" si="250"/>
        <v>0</v>
      </c>
      <c r="AO117" s="638">
        <f t="shared" si="250"/>
        <v>0</v>
      </c>
      <c r="AP117" s="614"/>
      <c r="AQ117" s="694">
        <f t="shared" si="262"/>
        <v>0</v>
      </c>
      <c r="AR117" s="694">
        <f t="shared" si="258"/>
        <v>0</v>
      </c>
      <c r="AS117" s="694">
        <f t="shared" si="263"/>
        <v>0</v>
      </c>
      <c r="AT117" s="694">
        <f t="shared" si="264"/>
        <v>0</v>
      </c>
      <c r="AU117" s="694">
        <f t="shared" si="265"/>
        <v>0</v>
      </c>
      <c r="AV117" s="694">
        <f>SUM(AQ117:AU117)-SUM(Y117:AC117)</f>
        <v>0</v>
      </c>
      <c r="AW117" s="694"/>
      <c r="AX117" s="701">
        <v>169</v>
      </c>
      <c r="AY117" s="702"/>
      <c r="AZ117" s="702">
        <v>37.39</v>
      </c>
      <c r="BA117" s="702"/>
      <c r="BB117" s="702"/>
      <c r="BC117" s="702"/>
      <c r="BD117" s="702"/>
      <c r="BE117" s="703">
        <f t="shared" si="252"/>
        <v>0.37999999999999989</v>
      </c>
      <c r="BF117" s="696"/>
      <c r="BG117" s="696">
        <f t="shared" ref="BG117:BG125" si="266">ROUND((T117*$BF$2)+$BE117-AZ117,2)</f>
        <v>-37.01</v>
      </c>
      <c r="BH117" s="696"/>
      <c r="BI117" s="696"/>
      <c r="BJ117" s="696"/>
      <c r="BK117" s="614"/>
      <c r="BL117" s="614"/>
      <c r="BM117" s="697">
        <f t="shared" si="246"/>
        <v>0</v>
      </c>
      <c r="BN117" s="697">
        <f t="shared" si="247"/>
        <v>0</v>
      </c>
      <c r="BO117" s="697">
        <f t="shared" si="253"/>
        <v>0</v>
      </c>
      <c r="BP117" s="697">
        <f t="shared" si="78"/>
        <v>0</v>
      </c>
      <c r="BQ117" s="697">
        <f t="shared" si="79"/>
        <v>0</v>
      </c>
      <c r="BR117" s="614"/>
      <c r="BS117" s="696">
        <f t="shared" si="254"/>
        <v>0</v>
      </c>
      <c r="BT117" s="54">
        <f t="shared" si="72"/>
        <v>-37.39</v>
      </c>
      <c r="BU117" s="54">
        <f t="shared" si="73"/>
        <v>0</v>
      </c>
      <c r="BV117" s="54">
        <f t="shared" si="74"/>
        <v>0</v>
      </c>
      <c r="BW117" s="54">
        <f t="shared" si="75"/>
        <v>0</v>
      </c>
      <c r="CU117" s="692"/>
    </row>
    <row r="118" spans="1:123">
      <c r="A118" s="758"/>
      <c r="B118" s="540">
        <v>2</v>
      </c>
      <c r="C118" s="72" t="s">
        <v>123</v>
      </c>
      <c r="D118" s="584" t="s">
        <v>868</v>
      </c>
      <c r="E118" s="563">
        <v>0</v>
      </c>
      <c r="F118" s="73"/>
      <c r="G118" s="73" t="str">
        <f t="shared" si="147"/>
        <v>046155L</v>
      </c>
      <c r="I118" s="434" t="s">
        <v>712</v>
      </c>
      <c r="J118" s="692" t="s">
        <v>845</v>
      </c>
      <c r="K118" s="579" t="s">
        <v>132</v>
      </c>
      <c r="L118" s="744" t="s">
        <v>843</v>
      </c>
      <c r="M118" s="580">
        <f t="shared" ref="M118:Q127" si="267">SUMIF($G:$G,TEXT(M$3,"000")&amp;TEXT($L118,"000"),$E:$E)</f>
        <v>0</v>
      </c>
      <c r="N118" s="580">
        <f t="shared" si="267"/>
        <v>0</v>
      </c>
      <c r="O118" s="580">
        <f t="shared" si="267"/>
        <v>0</v>
      </c>
      <c r="P118" s="580">
        <f t="shared" si="267"/>
        <v>0</v>
      </c>
      <c r="Q118" s="580">
        <f t="shared" si="267"/>
        <v>0</v>
      </c>
      <c r="R118" s="580">
        <f t="shared" si="255"/>
        <v>1</v>
      </c>
      <c r="S118" s="618">
        <v>0</v>
      </c>
      <c r="T118" s="618">
        <v>27.03</v>
      </c>
      <c r="U118" s="618">
        <v>0</v>
      </c>
      <c r="V118" s="618"/>
      <c r="W118" s="618"/>
      <c r="X118" s="692"/>
      <c r="Y118" s="70">
        <f t="shared" si="259"/>
        <v>0</v>
      </c>
      <c r="Z118" s="70">
        <f t="shared" si="256"/>
        <v>0</v>
      </c>
      <c r="AA118" s="70">
        <f t="shared" ref="AA118:AA119" si="268">IF(AND(O118&lt;&gt;0,U118=0),#VALUE!,O118*U118)</f>
        <v>0</v>
      </c>
      <c r="AB118" s="70">
        <f t="shared" ref="AB118:AB119" si="269">IF(AND(P118&lt;&gt;0,V118=0),#VALUE!,P118*V118)</f>
        <v>0</v>
      </c>
      <c r="AC118" s="70">
        <f t="shared" ref="AC118:AC119" si="270">IF(AND(Q118&lt;&gt;0,W118=0),#VALUE!,Q118*W118)</f>
        <v>0</v>
      </c>
      <c r="AD118" s="692"/>
      <c r="AE118" s="580">
        <f>SUMIF($G:$G,TEXT(AE$3,"000")&amp;TEXT($L118,"000"),$E:$E)</f>
        <v>0</v>
      </c>
      <c r="AF118" s="580">
        <f>SUMIF($G:$G,TEXT(AF$3,"000")&amp;TEXT($L118,"000"),$E:$E)</f>
        <v>0</v>
      </c>
      <c r="AG118" s="580">
        <f>SUMIF($G:$G,TEXT(AG$3,"000")&amp;TEXT($L118,"000"),$E:$E)</f>
        <v>0</v>
      </c>
      <c r="AH118" s="580">
        <f>SUMIF($G:$G,TEXT(AH$3,"000")&amp;TEXT($L118,"000"),$E:$E)</f>
        <v>0</v>
      </c>
      <c r="AI118" s="580">
        <f>SUMIF($G:$G,TEXT(AI$3,"000")&amp;TEXT($L118,"000"),$E:$E)</f>
        <v>0</v>
      </c>
      <c r="AJ118" s="692"/>
      <c r="AK118" s="585">
        <f t="shared" ref="AK118:AK128" si="271">ROUND(S118*(1+AK$1),2)</f>
        <v>0</v>
      </c>
      <c r="AL118" s="585">
        <f>ROUND(T118*(1+AL$1),2)</f>
        <v>29.1</v>
      </c>
      <c r="AM118" s="585">
        <f t="shared" ref="AM118:AM128" si="272">ROUND(U118*(1+AM$1),2)</f>
        <v>0</v>
      </c>
      <c r="AN118" s="585">
        <f t="shared" ref="AN118:AN128" si="273">ROUND(V118*(1+AN$1),2)</f>
        <v>0</v>
      </c>
      <c r="AO118" s="585">
        <f t="shared" ref="AO118:AO128" si="274">ROUND(W118*(1+AO$1),2)</f>
        <v>0</v>
      </c>
      <c r="AP118" s="692"/>
      <c r="AQ118" s="70">
        <f t="shared" si="262"/>
        <v>0</v>
      </c>
      <c r="AR118" s="70">
        <f t="shared" si="258"/>
        <v>0</v>
      </c>
      <c r="AS118" s="70">
        <f t="shared" si="263"/>
        <v>0</v>
      </c>
      <c r="AT118" s="70">
        <f t="shared" si="264"/>
        <v>0</v>
      </c>
      <c r="AU118" s="70">
        <f t="shared" si="265"/>
        <v>0</v>
      </c>
      <c r="AV118" s="692"/>
      <c r="AX118" s="592">
        <v>26</v>
      </c>
      <c r="AY118" s="582"/>
      <c r="AZ118" s="582">
        <v>27.49</v>
      </c>
      <c r="BA118" s="582"/>
      <c r="BB118" s="582"/>
      <c r="BC118" s="582"/>
      <c r="BD118" s="582"/>
      <c r="BE118" s="588">
        <f t="shared" si="252"/>
        <v>0.06</v>
      </c>
      <c r="BF118" s="578"/>
      <c r="BG118" s="578">
        <f t="shared" si="266"/>
        <v>0.01</v>
      </c>
      <c r="BH118" s="578"/>
      <c r="BI118" s="578"/>
      <c r="BJ118" s="578"/>
      <c r="BK118" s="692"/>
      <c r="BL118" s="692"/>
      <c r="BM118" s="586">
        <f t="shared" si="246"/>
        <v>0</v>
      </c>
      <c r="BN118" s="586">
        <f t="shared" si="247"/>
        <v>29.539409999999997</v>
      </c>
      <c r="BO118" s="586">
        <f t="shared" si="253"/>
        <v>0</v>
      </c>
      <c r="BP118" s="586">
        <f t="shared" si="78"/>
        <v>0</v>
      </c>
      <c r="BQ118" s="586">
        <f t="shared" si="79"/>
        <v>0</v>
      </c>
      <c r="BR118" s="692"/>
      <c r="BS118" s="578">
        <f t="shared" si="254"/>
        <v>0</v>
      </c>
      <c r="BT118" s="578">
        <f t="shared" si="72"/>
        <v>2.0494099999999982</v>
      </c>
      <c r="BU118" s="578">
        <f t="shared" si="73"/>
        <v>0</v>
      </c>
      <c r="BV118" s="578">
        <f t="shared" si="74"/>
        <v>0</v>
      </c>
      <c r="BW118" s="578">
        <f t="shared" si="75"/>
        <v>0</v>
      </c>
      <c r="BX118" s="692"/>
      <c r="BY118" s="692"/>
      <c r="BZ118" s="692"/>
      <c r="CA118" s="692"/>
      <c r="CB118" s="692"/>
      <c r="CC118" s="692"/>
      <c r="CD118" s="692"/>
      <c r="CE118" s="692"/>
      <c r="CF118" s="692"/>
      <c r="CG118" s="692"/>
      <c r="CH118" s="692"/>
      <c r="CI118" s="692"/>
      <c r="CJ118" s="692"/>
      <c r="CK118" s="692"/>
      <c r="CL118" s="692"/>
      <c r="CM118" s="692"/>
      <c r="CN118" s="692"/>
      <c r="CO118" s="692"/>
      <c r="CP118" s="692"/>
      <c r="CQ118" s="692"/>
      <c r="CR118" s="692"/>
      <c r="CS118" s="692"/>
      <c r="CT118" s="692"/>
      <c r="DC118" s="692"/>
      <c r="DD118" s="692"/>
      <c r="DE118" s="692"/>
      <c r="DF118" s="692"/>
      <c r="DG118" s="692"/>
      <c r="DH118" s="692"/>
      <c r="DI118" s="692"/>
      <c r="DJ118" s="692"/>
      <c r="DK118" s="692"/>
      <c r="DL118" s="692"/>
      <c r="DM118" s="692"/>
    </row>
    <row r="119" spans="1:123">
      <c r="A119" s="758"/>
      <c r="B119" s="540">
        <v>2</v>
      </c>
      <c r="C119" s="72" t="s">
        <v>123</v>
      </c>
      <c r="D119" s="584" t="s">
        <v>869</v>
      </c>
      <c r="E119" s="563">
        <v>0</v>
      </c>
      <c r="F119" s="73"/>
      <c r="G119" s="73" t="str">
        <f t="shared" si="147"/>
        <v>046165L</v>
      </c>
      <c r="I119" s="692" t="s">
        <v>712</v>
      </c>
      <c r="J119" s="692" t="s">
        <v>846</v>
      </c>
      <c r="K119" s="579" t="s">
        <v>614</v>
      </c>
      <c r="L119" s="744" t="s">
        <v>844</v>
      </c>
      <c r="M119" s="580">
        <f t="shared" si="267"/>
        <v>0</v>
      </c>
      <c r="N119" s="580">
        <f t="shared" si="267"/>
        <v>0</v>
      </c>
      <c r="O119" s="580">
        <f t="shared" si="267"/>
        <v>0</v>
      </c>
      <c r="P119" s="580">
        <f t="shared" si="267"/>
        <v>0</v>
      </c>
      <c r="Q119" s="580">
        <f t="shared" si="267"/>
        <v>0</v>
      </c>
      <c r="R119" s="580">
        <f t="shared" si="255"/>
        <v>1</v>
      </c>
      <c r="S119" s="618">
        <v>0</v>
      </c>
      <c r="T119" s="618">
        <v>29.78</v>
      </c>
      <c r="U119" s="618"/>
      <c r="V119" s="618">
        <v>0</v>
      </c>
      <c r="W119" s="618">
        <v>0</v>
      </c>
      <c r="X119" s="692"/>
      <c r="Y119" s="70">
        <f t="shared" si="259"/>
        <v>0</v>
      </c>
      <c r="Z119" s="70">
        <f t="shared" si="256"/>
        <v>0</v>
      </c>
      <c r="AA119" s="70">
        <f t="shared" si="268"/>
        <v>0</v>
      </c>
      <c r="AB119" s="70">
        <f t="shared" si="269"/>
        <v>0</v>
      </c>
      <c r="AC119" s="70">
        <f t="shared" si="270"/>
        <v>0</v>
      </c>
      <c r="AD119" s="692"/>
      <c r="AE119" s="580">
        <f>M119</f>
        <v>0</v>
      </c>
      <c r="AF119" s="580">
        <f>N119</f>
        <v>0</v>
      </c>
      <c r="AG119" s="580">
        <f>O119</f>
        <v>0</v>
      </c>
      <c r="AH119" s="580">
        <f>P119</f>
        <v>0</v>
      </c>
      <c r="AI119" s="580">
        <f>Q119</f>
        <v>0</v>
      </c>
      <c r="AJ119" s="692"/>
      <c r="AK119" s="585">
        <f t="shared" si="271"/>
        <v>0</v>
      </c>
      <c r="AL119" s="585">
        <f>ROUND(T119*(1+AL$1),2)</f>
        <v>32.06</v>
      </c>
      <c r="AM119" s="585">
        <f t="shared" si="272"/>
        <v>0</v>
      </c>
      <c r="AN119" s="585">
        <f t="shared" si="273"/>
        <v>0</v>
      </c>
      <c r="AO119" s="585">
        <f t="shared" si="274"/>
        <v>0</v>
      </c>
      <c r="AP119" s="692"/>
      <c r="AQ119" s="70">
        <f t="shared" si="262"/>
        <v>0</v>
      </c>
      <c r="AR119" s="70">
        <f t="shared" si="258"/>
        <v>0</v>
      </c>
      <c r="AS119" s="70">
        <f t="shared" si="263"/>
        <v>0</v>
      </c>
      <c r="AT119" s="70">
        <f t="shared" si="264"/>
        <v>0</v>
      </c>
      <c r="AU119" s="70">
        <f t="shared" si="265"/>
        <v>0</v>
      </c>
      <c r="AV119" s="70">
        <f>SUM(AQ119:AU119)-SUM(Y119:AC119)</f>
        <v>0</v>
      </c>
      <c r="AW119" s="70"/>
      <c r="AX119" s="592">
        <v>39</v>
      </c>
      <c r="AY119" s="582"/>
      <c r="AZ119" s="582">
        <v>30.31</v>
      </c>
      <c r="BA119" s="582"/>
      <c r="BB119" s="582"/>
      <c r="BC119" s="582"/>
      <c r="BD119" s="582"/>
      <c r="BE119" s="588">
        <f t="shared" si="252"/>
        <v>8.0000000000000016E-2</v>
      </c>
      <c r="BF119" s="578"/>
      <c r="BG119" s="578">
        <f t="shared" si="266"/>
        <v>0</v>
      </c>
      <c r="BH119" s="578"/>
      <c r="BI119" s="578"/>
      <c r="BJ119" s="578"/>
      <c r="BK119" s="692"/>
      <c r="BL119" s="692"/>
      <c r="BM119" s="586">
        <f t="shared" si="246"/>
        <v>0</v>
      </c>
      <c r="BN119" s="586">
        <f t="shared" si="247"/>
        <v>32.544105999999999</v>
      </c>
      <c r="BO119" s="586">
        <f t="shared" si="253"/>
        <v>0</v>
      </c>
      <c r="BP119" s="586">
        <f t="shared" si="78"/>
        <v>0</v>
      </c>
      <c r="BQ119" s="586">
        <f t="shared" si="79"/>
        <v>0</v>
      </c>
      <c r="BR119" s="692"/>
      <c r="BS119" s="578">
        <f t="shared" si="254"/>
        <v>0</v>
      </c>
      <c r="BT119" s="578">
        <f t="shared" si="72"/>
        <v>2.2341060000000006</v>
      </c>
      <c r="BU119" s="578">
        <f t="shared" si="73"/>
        <v>0</v>
      </c>
      <c r="BV119" s="578">
        <f t="shared" si="74"/>
        <v>0</v>
      </c>
      <c r="BW119" s="578">
        <f t="shared" si="75"/>
        <v>0</v>
      </c>
      <c r="BX119" s="692"/>
      <c r="BY119" s="692"/>
      <c r="BZ119" s="692"/>
      <c r="CA119" s="692"/>
      <c r="CB119" s="692"/>
      <c r="CC119" s="692"/>
      <c r="CD119" s="692"/>
      <c r="CE119" s="692"/>
      <c r="CF119" s="692"/>
      <c r="CG119" s="692"/>
      <c r="CH119" s="692"/>
      <c r="CI119" s="692"/>
      <c r="CJ119" s="692"/>
      <c r="CK119" s="692"/>
      <c r="CL119" s="692"/>
      <c r="CM119" s="692"/>
      <c r="CN119" s="692"/>
      <c r="CO119" s="692"/>
      <c r="CP119" s="692"/>
      <c r="CQ119" s="692"/>
      <c r="CR119" s="692"/>
      <c r="CS119" s="692"/>
      <c r="CT119" s="692"/>
      <c r="CV119" s="692"/>
      <c r="CW119" s="692"/>
      <c r="CX119" s="692"/>
      <c r="CY119" s="692"/>
      <c r="CZ119" s="692"/>
      <c r="DA119" s="692"/>
      <c r="DB119" s="692"/>
      <c r="DG119" s="692"/>
      <c r="DH119" s="692"/>
      <c r="DI119" s="692"/>
      <c r="DJ119" s="692"/>
      <c r="DK119" s="692"/>
      <c r="DL119" s="692"/>
      <c r="DM119" s="692"/>
    </row>
    <row r="120" spans="1:123">
      <c r="A120" s="758"/>
      <c r="B120" s="540">
        <v>2</v>
      </c>
      <c r="C120" s="72" t="s">
        <v>123</v>
      </c>
      <c r="D120" s="584" t="s">
        <v>870</v>
      </c>
      <c r="E120" s="563">
        <v>0</v>
      </c>
      <c r="F120" s="73"/>
      <c r="G120" s="73" t="str">
        <f t="shared" si="147"/>
        <v>046175L</v>
      </c>
      <c r="I120" s="434" t="s">
        <v>712</v>
      </c>
      <c r="J120" s="692" t="s">
        <v>842</v>
      </c>
      <c r="K120" s="579" t="s">
        <v>132</v>
      </c>
      <c r="L120" s="581" t="s">
        <v>591</v>
      </c>
      <c r="M120" s="580">
        <f t="shared" si="267"/>
        <v>0</v>
      </c>
      <c r="N120" s="580">
        <f t="shared" si="267"/>
        <v>0</v>
      </c>
      <c r="O120" s="580">
        <f t="shared" si="267"/>
        <v>0</v>
      </c>
      <c r="P120" s="580">
        <f t="shared" si="267"/>
        <v>0</v>
      </c>
      <c r="Q120" s="580">
        <f t="shared" si="267"/>
        <v>0</v>
      </c>
      <c r="R120" s="580">
        <f t="shared" si="255"/>
        <v>1</v>
      </c>
      <c r="S120" s="618">
        <v>0</v>
      </c>
      <c r="T120" s="648">
        <f>T34</f>
        <v>0</v>
      </c>
      <c r="U120" s="618">
        <v>0</v>
      </c>
      <c r="V120" s="618"/>
      <c r="W120" s="618"/>
      <c r="X120" s="647"/>
      <c r="Y120" s="70">
        <f t="shared" si="259"/>
        <v>0</v>
      </c>
      <c r="Z120" s="70">
        <f t="shared" si="256"/>
        <v>0</v>
      </c>
      <c r="AA120" s="70">
        <f t="shared" ref="AA120:AC121" si="275">IF(AND(O120&lt;&gt;0,U120=0),#VALUE!,O120*U120)</f>
        <v>0</v>
      </c>
      <c r="AB120" s="70">
        <f t="shared" si="275"/>
        <v>0</v>
      </c>
      <c r="AC120" s="70">
        <f t="shared" si="275"/>
        <v>0</v>
      </c>
      <c r="AD120" s="647"/>
      <c r="AE120" s="580">
        <f>SUMIF($G:$G,TEXT(AE$3,"000")&amp;TEXT($L120,"000"),$E:$E)</f>
        <v>0</v>
      </c>
      <c r="AF120" s="580">
        <f>SUMIF($G:$G,TEXT(AF$3,"000")&amp;TEXT($L120,"000"),$E:$E)</f>
        <v>0</v>
      </c>
      <c r="AG120" s="580">
        <f>SUMIF($G:$G,TEXT(AG$3,"000")&amp;TEXT($L120,"000"),$E:$E)</f>
        <v>0</v>
      </c>
      <c r="AH120" s="580">
        <f>SUMIF($G:$G,TEXT(AH$3,"000")&amp;TEXT($L120,"000"),$E:$E)</f>
        <v>0</v>
      </c>
      <c r="AI120" s="580">
        <f>SUMIF($G:$G,TEXT(AI$3,"000")&amp;TEXT($L120,"000"),$E:$E)</f>
        <v>0</v>
      </c>
      <c r="AJ120" s="647"/>
      <c r="AK120" s="585">
        <f t="shared" si="271"/>
        <v>0</v>
      </c>
      <c r="AL120" s="585">
        <f>AL34</f>
        <v>0</v>
      </c>
      <c r="AM120" s="585">
        <f t="shared" si="272"/>
        <v>0</v>
      </c>
      <c r="AN120" s="585">
        <f t="shared" si="273"/>
        <v>0</v>
      </c>
      <c r="AO120" s="585">
        <f t="shared" si="274"/>
        <v>0</v>
      </c>
      <c r="AP120" s="647"/>
      <c r="AQ120" s="70">
        <f t="shared" si="262"/>
        <v>0</v>
      </c>
      <c r="AR120" s="70">
        <f t="shared" si="258"/>
        <v>0</v>
      </c>
      <c r="AS120" s="70">
        <f t="shared" si="263"/>
        <v>0</v>
      </c>
      <c r="AT120" s="70">
        <f t="shared" si="264"/>
        <v>0</v>
      </c>
      <c r="AU120" s="70">
        <f t="shared" si="265"/>
        <v>0</v>
      </c>
      <c r="AV120" s="647"/>
      <c r="AX120" s="592">
        <v>26</v>
      </c>
      <c r="AY120" s="582"/>
      <c r="AZ120" s="582"/>
      <c r="BA120" s="582"/>
      <c r="BB120" s="582"/>
      <c r="BC120" s="582"/>
      <c r="BD120" s="582"/>
      <c r="BE120" s="588">
        <f t="shared" si="252"/>
        <v>0.06</v>
      </c>
      <c r="BF120" s="578"/>
      <c r="BG120" s="578">
        <f t="shared" si="266"/>
        <v>0.06</v>
      </c>
      <c r="BH120" s="578"/>
      <c r="BI120" s="578"/>
      <c r="BJ120" s="578"/>
      <c r="BK120" s="647"/>
      <c r="BL120" s="647"/>
      <c r="BM120" s="586">
        <f t="shared" si="246"/>
        <v>0</v>
      </c>
      <c r="BN120" s="586">
        <f t="shared" si="247"/>
        <v>0</v>
      </c>
      <c r="BO120" s="586">
        <f t="shared" si="253"/>
        <v>0</v>
      </c>
      <c r="BP120" s="586">
        <f t="shared" si="78"/>
        <v>0</v>
      </c>
      <c r="BQ120" s="586">
        <f t="shared" si="79"/>
        <v>0</v>
      </c>
      <c r="BR120" s="647"/>
      <c r="BS120" s="578">
        <f t="shared" si="254"/>
        <v>0</v>
      </c>
      <c r="BT120" s="578">
        <f t="shared" si="72"/>
        <v>0</v>
      </c>
      <c r="BU120" s="578">
        <f t="shared" si="73"/>
        <v>0</v>
      </c>
      <c r="BV120" s="578">
        <f t="shared" si="74"/>
        <v>0</v>
      </c>
      <c r="BW120" s="578">
        <f t="shared" si="75"/>
        <v>0</v>
      </c>
      <c r="BX120" s="647"/>
      <c r="BY120" s="647"/>
      <c r="BZ120" s="647"/>
      <c r="CA120" s="647"/>
      <c r="CB120" s="647"/>
      <c r="CC120" s="647"/>
      <c r="CD120" s="647"/>
      <c r="CE120" s="647"/>
      <c r="CF120" s="647"/>
      <c r="CG120" s="647"/>
      <c r="CH120" s="647"/>
      <c r="CI120" s="647"/>
      <c r="CJ120" s="647"/>
      <c r="CK120" s="647"/>
      <c r="CL120" s="647"/>
      <c r="CM120" s="647"/>
      <c r="CN120" s="647"/>
      <c r="CO120" s="647"/>
      <c r="CP120" s="647"/>
      <c r="CU120" s="692"/>
      <c r="CV120" s="692"/>
      <c r="CW120" s="692"/>
      <c r="CX120" s="692"/>
      <c r="CY120" s="692"/>
      <c r="CZ120" s="692"/>
      <c r="DA120" s="692"/>
      <c r="DB120" s="692"/>
      <c r="DG120" s="692"/>
      <c r="DH120" s="692"/>
      <c r="DI120" s="692"/>
      <c r="DJ120" s="692"/>
      <c r="DK120" s="692"/>
      <c r="DL120" s="692"/>
      <c r="DM120" s="692"/>
      <c r="DN120" s="692"/>
      <c r="DO120" s="692"/>
      <c r="DP120" s="692"/>
      <c r="DQ120" s="692"/>
      <c r="DR120" s="692"/>
      <c r="DS120" s="692"/>
    </row>
    <row r="121" spans="1:123">
      <c r="A121" s="758"/>
      <c r="B121" s="540">
        <v>2</v>
      </c>
      <c r="C121" s="72" t="s">
        <v>123</v>
      </c>
      <c r="D121" s="584" t="s">
        <v>871</v>
      </c>
      <c r="E121" s="563">
        <v>0</v>
      </c>
      <c r="F121" s="73"/>
      <c r="G121" s="73" t="str">
        <f t="shared" si="147"/>
        <v>046185L</v>
      </c>
      <c r="I121" s="646" t="s">
        <v>712</v>
      </c>
      <c r="J121" s="692" t="s">
        <v>842</v>
      </c>
      <c r="K121" s="579" t="s">
        <v>132</v>
      </c>
      <c r="L121" s="581" t="s">
        <v>703</v>
      </c>
      <c r="M121" s="580">
        <f t="shared" si="267"/>
        <v>0</v>
      </c>
      <c r="N121" s="580">
        <f t="shared" si="267"/>
        <v>0</v>
      </c>
      <c r="O121" s="580">
        <f t="shared" si="267"/>
        <v>0</v>
      </c>
      <c r="P121" s="580">
        <f t="shared" si="267"/>
        <v>0</v>
      </c>
      <c r="Q121" s="580">
        <f t="shared" si="267"/>
        <v>0</v>
      </c>
      <c r="R121" s="580">
        <f t="shared" si="255"/>
        <v>1</v>
      </c>
      <c r="S121" s="618">
        <v>0</v>
      </c>
      <c r="T121" s="648"/>
      <c r="U121" s="618"/>
      <c r="V121" s="618">
        <v>0</v>
      </c>
      <c r="W121" s="618">
        <v>0</v>
      </c>
      <c r="X121" s="646"/>
      <c r="Y121" s="70">
        <f t="shared" si="259"/>
        <v>0</v>
      </c>
      <c r="Z121" s="70">
        <f t="shared" si="256"/>
        <v>0</v>
      </c>
      <c r="AA121" s="70">
        <f t="shared" si="275"/>
        <v>0</v>
      </c>
      <c r="AB121" s="70">
        <f t="shared" si="275"/>
        <v>0</v>
      </c>
      <c r="AC121" s="70">
        <f t="shared" si="275"/>
        <v>0</v>
      </c>
      <c r="AD121" s="646"/>
      <c r="AE121" s="580">
        <f>M121</f>
        <v>0</v>
      </c>
      <c r="AF121" s="580">
        <f>N121</f>
        <v>0</v>
      </c>
      <c r="AG121" s="580">
        <f>O121</f>
        <v>0</v>
      </c>
      <c r="AH121" s="580">
        <f>P121</f>
        <v>0</v>
      </c>
      <c r="AI121" s="580">
        <f>Q121</f>
        <v>0</v>
      </c>
      <c r="AJ121" s="646"/>
      <c r="AK121" s="585">
        <f t="shared" si="271"/>
        <v>0</v>
      </c>
      <c r="AL121" s="585"/>
      <c r="AM121" s="585">
        <f t="shared" si="272"/>
        <v>0</v>
      </c>
      <c r="AN121" s="585">
        <f t="shared" si="273"/>
        <v>0</v>
      </c>
      <c r="AO121" s="585">
        <f t="shared" si="274"/>
        <v>0</v>
      </c>
      <c r="AP121" s="646"/>
      <c r="AQ121" s="70">
        <f t="shared" si="262"/>
        <v>0</v>
      </c>
      <c r="AR121" s="70">
        <f t="shared" si="258"/>
        <v>0</v>
      </c>
      <c r="AS121" s="70">
        <f t="shared" si="263"/>
        <v>0</v>
      </c>
      <c r="AT121" s="70">
        <f t="shared" si="264"/>
        <v>0</v>
      </c>
      <c r="AU121" s="70">
        <f t="shared" si="265"/>
        <v>0</v>
      </c>
      <c r="AV121" s="70">
        <f>SUM(AQ121:AU121)-SUM(Y121:AC121)</f>
        <v>0</v>
      </c>
      <c r="AW121" s="70"/>
      <c r="AX121" s="592">
        <v>26</v>
      </c>
      <c r="AY121" s="582"/>
      <c r="AZ121" s="582"/>
      <c r="BA121" s="582"/>
      <c r="BB121" s="582"/>
      <c r="BC121" s="582"/>
      <c r="BD121" s="582"/>
      <c r="BE121" s="588">
        <f t="shared" si="252"/>
        <v>0.06</v>
      </c>
      <c r="BF121" s="578"/>
      <c r="BG121" s="578">
        <f t="shared" si="266"/>
        <v>0.06</v>
      </c>
      <c r="BH121" s="578"/>
      <c r="BI121" s="578"/>
      <c r="BJ121" s="578"/>
      <c r="BK121" s="646"/>
      <c r="BL121" s="646"/>
      <c r="BM121" s="586">
        <f t="shared" si="246"/>
        <v>0</v>
      </c>
      <c r="BN121" s="586">
        <f t="shared" si="247"/>
        <v>0</v>
      </c>
      <c r="BO121" s="586">
        <f t="shared" si="253"/>
        <v>0</v>
      </c>
      <c r="BP121" s="586">
        <f t="shared" si="78"/>
        <v>0</v>
      </c>
      <c r="BQ121" s="586">
        <f t="shared" si="79"/>
        <v>0</v>
      </c>
      <c r="BR121" s="646"/>
      <c r="BS121" s="578">
        <f t="shared" si="254"/>
        <v>0</v>
      </c>
      <c r="BT121" s="578">
        <f t="shared" si="72"/>
        <v>0</v>
      </c>
      <c r="BU121" s="578">
        <f t="shared" si="73"/>
        <v>0</v>
      </c>
      <c r="BV121" s="578">
        <f t="shared" si="74"/>
        <v>0</v>
      </c>
      <c r="BW121" s="578">
        <f t="shared" si="75"/>
        <v>0</v>
      </c>
      <c r="BX121" s="646"/>
      <c r="BY121" s="646"/>
      <c r="BZ121" s="646"/>
      <c r="CA121" s="646"/>
      <c r="CB121" s="646"/>
      <c r="CC121" s="646"/>
      <c r="CD121" s="646"/>
      <c r="CE121" s="646"/>
      <c r="CF121" s="646"/>
      <c r="CG121" s="646"/>
      <c r="CH121" s="646"/>
      <c r="CI121" s="646"/>
      <c r="CJ121" s="646"/>
      <c r="CK121" s="646"/>
      <c r="CU121" s="692"/>
      <c r="DC121" s="692"/>
      <c r="DD121" s="692"/>
      <c r="DE121" s="692"/>
      <c r="DF121" s="692"/>
      <c r="DG121" s="692"/>
      <c r="DH121" s="692"/>
      <c r="DI121" s="692"/>
      <c r="DJ121" s="692"/>
      <c r="DK121" s="692"/>
      <c r="DL121" s="692"/>
      <c r="DM121" s="692"/>
      <c r="DN121" s="692"/>
      <c r="DO121" s="692"/>
      <c r="DP121" s="692"/>
      <c r="DQ121" s="692"/>
      <c r="DR121" s="692"/>
      <c r="DS121" s="692"/>
    </row>
    <row r="122" spans="1:123">
      <c r="A122" s="758"/>
      <c r="B122" s="540">
        <v>2</v>
      </c>
      <c r="C122" s="72" t="s">
        <v>123</v>
      </c>
      <c r="D122" s="584" t="s">
        <v>872</v>
      </c>
      <c r="E122" s="563">
        <v>0</v>
      </c>
      <c r="F122" s="73"/>
      <c r="G122" s="73" t="str">
        <f t="shared" si="147"/>
        <v>046195L</v>
      </c>
      <c r="I122" s="434" t="s">
        <v>712</v>
      </c>
      <c r="J122" s="692" t="s">
        <v>841</v>
      </c>
      <c r="K122" s="579" t="s">
        <v>614</v>
      </c>
      <c r="L122" s="581" t="s">
        <v>605</v>
      </c>
      <c r="M122" s="580">
        <f t="shared" si="267"/>
        <v>0</v>
      </c>
      <c r="N122" s="580">
        <f t="shared" si="267"/>
        <v>0</v>
      </c>
      <c r="O122" s="580">
        <f t="shared" si="267"/>
        <v>0</v>
      </c>
      <c r="P122" s="580">
        <f t="shared" si="267"/>
        <v>0</v>
      </c>
      <c r="Q122" s="580">
        <f t="shared" si="267"/>
        <v>0</v>
      </c>
      <c r="R122" s="580">
        <f t="shared" si="255"/>
        <v>1</v>
      </c>
      <c r="S122" s="618">
        <v>0</v>
      </c>
      <c r="T122" s="648"/>
      <c r="U122" s="618">
        <v>0</v>
      </c>
      <c r="V122" s="618">
        <v>0</v>
      </c>
      <c r="W122" s="618"/>
      <c r="X122" s="577"/>
      <c r="Y122" s="70">
        <f t="shared" ref="Y122:AC123" si="276">IF(AND(M122&lt;&gt;0,S122=0),#VALUE!,M122*S122)</f>
        <v>0</v>
      </c>
      <c r="Z122" s="70">
        <f t="shared" si="276"/>
        <v>0</v>
      </c>
      <c r="AA122" s="70">
        <f t="shared" si="276"/>
        <v>0</v>
      </c>
      <c r="AB122" s="70">
        <f t="shared" si="276"/>
        <v>0</v>
      </c>
      <c r="AC122" s="70">
        <f t="shared" si="276"/>
        <v>0</v>
      </c>
      <c r="AD122" s="577"/>
      <c r="AE122" s="580">
        <f>SUMIF($G:$G,TEXT(AE$3,"000")&amp;TEXT($L122,"000"),$E:$E)</f>
        <v>0</v>
      </c>
      <c r="AF122" s="580">
        <f>SUMIF($G:$G,TEXT(AF$3,"000")&amp;TEXT($L122,"000"),$E:$E)</f>
        <v>0</v>
      </c>
      <c r="AG122" s="580">
        <f>SUMIF($G:$G,TEXT(AG$3,"000")&amp;TEXT($L122,"000"),$E:$E)</f>
        <v>0</v>
      </c>
      <c r="AH122" s="580">
        <f>SUMIF($G:$G,TEXT(AH$3,"000")&amp;TEXT($L122,"000"),$E:$E)</f>
        <v>0</v>
      </c>
      <c r="AI122" s="580">
        <f>SUMIF($G:$G,TEXT(AI$3,"000")&amp;TEXT($L122,"000"),$E:$E)</f>
        <v>0</v>
      </c>
      <c r="AJ122" s="577"/>
      <c r="AK122" s="585">
        <f t="shared" si="271"/>
        <v>0</v>
      </c>
      <c r="AL122" s="585">
        <f>AL59</f>
        <v>0</v>
      </c>
      <c r="AM122" s="585">
        <f t="shared" si="272"/>
        <v>0</v>
      </c>
      <c r="AN122" s="585">
        <f t="shared" si="273"/>
        <v>0</v>
      </c>
      <c r="AO122" s="585">
        <f t="shared" si="274"/>
        <v>0</v>
      </c>
      <c r="AP122" s="577"/>
      <c r="AQ122" s="70">
        <f t="shared" si="262"/>
        <v>0</v>
      </c>
      <c r="AR122" s="70">
        <f t="shared" si="258"/>
        <v>0</v>
      </c>
      <c r="AS122" s="70">
        <f t="shared" si="263"/>
        <v>0</v>
      </c>
      <c r="AT122" s="70">
        <f t="shared" si="264"/>
        <v>0</v>
      </c>
      <c r="AU122" s="70">
        <f t="shared" si="265"/>
        <v>0</v>
      </c>
      <c r="AV122" s="577"/>
      <c r="AX122" s="592">
        <v>39</v>
      </c>
      <c r="AY122" s="582"/>
      <c r="AZ122" s="582"/>
      <c r="BA122" s="582"/>
      <c r="BB122" s="582"/>
      <c r="BC122" s="582"/>
      <c r="BD122" s="582"/>
      <c r="BE122" s="588">
        <f t="shared" si="252"/>
        <v>8.0000000000000016E-2</v>
      </c>
      <c r="BF122" s="578"/>
      <c r="BG122" s="578">
        <f t="shared" si="266"/>
        <v>0.08</v>
      </c>
      <c r="BH122" s="578"/>
      <c r="BI122" s="578"/>
      <c r="BJ122" s="578"/>
      <c r="BK122" s="577"/>
      <c r="BL122" s="577"/>
      <c r="BM122" s="586">
        <f t="shared" si="246"/>
        <v>0</v>
      </c>
      <c r="BN122" s="586">
        <f t="shared" si="247"/>
        <v>0</v>
      </c>
      <c r="BO122" s="586">
        <f t="shared" ref="BO122:BQ125" si="277">AM122*$BM$1</f>
        <v>0</v>
      </c>
      <c r="BP122" s="586">
        <f t="shared" si="277"/>
        <v>0</v>
      </c>
      <c r="BQ122" s="586">
        <f t="shared" si="277"/>
        <v>0</v>
      </c>
      <c r="BR122" s="577"/>
      <c r="BS122" s="578">
        <f t="shared" ref="BS122:BW123" si="278">BM122-AY122</f>
        <v>0</v>
      </c>
      <c r="BT122" s="578">
        <f t="shared" si="278"/>
        <v>0</v>
      </c>
      <c r="BU122" s="578">
        <f t="shared" si="278"/>
        <v>0</v>
      </c>
      <c r="BV122" s="578">
        <f t="shared" si="278"/>
        <v>0</v>
      </c>
      <c r="BW122" s="578">
        <f t="shared" si="278"/>
        <v>0</v>
      </c>
      <c r="BX122" s="577"/>
      <c r="BY122" s="577"/>
      <c r="BZ122" s="577"/>
      <c r="CA122" s="577"/>
      <c r="CB122" s="577"/>
      <c r="CG122" s="595"/>
      <c r="CH122" s="595"/>
      <c r="DC122" s="692"/>
      <c r="DD122" s="692"/>
      <c r="DE122" s="692"/>
      <c r="DF122" s="692"/>
      <c r="DG122" s="692"/>
      <c r="DH122" s="692"/>
      <c r="DI122" s="692"/>
      <c r="DJ122" s="692"/>
      <c r="DK122" s="692"/>
      <c r="DL122" s="692"/>
      <c r="DM122" s="692"/>
      <c r="DN122" s="692"/>
      <c r="DO122" s="692"/>
      <c r="DP122" s="692"/>
      <c r="DQ122" s="692"/>
      <c r="DR122" s="692"/>
      <c r="DS122" s="692"/>
    </row>
    <row r="123" spans="1:123">
      <c r="A123" s="758"/>
      <c r="B123" s="540">
        <v>2</v>
      </c>
      <c r="C123" s="72" t="s">
        <v>123</v>
      </c>
      <c r="D123" s="584" t="s">
        <v>873</v>
      </c>
      <c r="E123" s="563">
        <v>0</v>
      </c>
      <c r="F123" s="73"/>
      <c r="G123" s="73" t="str">
        <f t="shared" si="147"/>
        <v>046212L</v>
      </c>
      <c r="I123" s="646" t="s">
        <v>712</v>
      </c>
      <c r="J123" s="692" t="s">
        <v>841</v>
      </c>
      <c r="K123" s="579" t="s">
        <v>614</v>
      </c>
      <c r="L123" s="581" t="s">
        <v>709</v>
      </c>
      <c r="M123" s="580">
        <f t="shared" si="267"/>
        <v>0</v>
      </c>
      <c r="N123" s="580">
        <f t="shared" si="267"/>
        <v>0</v>
      </c>
      <c r="O123" s="580">
        <f t="shared" si="267"/>
        <v>0</v>
      </c>
      <c r="P123" s="580">
        <f t="shared" si="267"/>
        <v>0</v>
      </c>
      <c r="Q123" s="580">
        <f t="shared" si="267"/>
        <v>0</v>
      </c>
      <c r="R123" s="580">
        <f t="shared" si="255"/>
        <v>1</v>
      </c>
      <c r="S123" s="618">
        <v>0</v>
      </c>
      <c r="T123" s="648"/>
      <c r="U123" s="618"/>
      <c r="V123" s="618">
        <v>0</v>
      </c>
      <c r="W123" s="618">
        <v>0</v>
      </c>
      <c r="X123" s="646"/>
      <c r="Y123" s="70">
        <f t="shared" si="276"/>
        <v>0</v>
      </c>
      <c r="Z123" s="70">
        <f t="shared" si="276"/>
        <v>0</v>
      </c>
      <c r="AA123" s="70">
        <f t="shared" si="276"/>
        <v>0</v>
      </c>
      <c r="AB123" s="70">
        <f t="shared" si="276"/>
        <v>0</v>
      </c>
      <c r="AC123" s="70">
        <f t="shared" si="276"/>
        <v>0</v>
      </c>
      <c r="AD123" s="646"/>
      <c r="AE123" s="580">
        <f t="shared" ref="AE123:AI125" si="279">M123</f>
        <v>0</v>
      </c>
      <c r="AF123" s="580">
        <f t="shared" si="279"/>
        <v>0</v>
      </c>
      <c r="AG123" s="580">
        <f t="shared" si="279"/>
        <v>0</v>
      </c>
      <c r="AH123" s="580">
        <f t="shared" si="279"/>
        <v>0</v>
      </c>
      <c r="AI123" s="580">
        <f t="shared" si="279"/>
        <v>0</v>
      </c>
      <c r="AJ123" s="646"/>
      <c r="AK123" s="585">
        <f t="shared" si="271"/>
        <v>0</v>
      </c>
      <c r="AL123" s="585"/>
      <c r="AM123" s="585">
        <f t="shared" si="272"/>
        <v>0</v>
      </c>
      <c r="AN123" s="585">
        <f t="shared" si="273"/>
        <v>0</v>
      </c>
      <c r="AO123" s="585">
        <f t="shared" si="274"/>
        <v>0</v>
      </c>
      <c r="AP123" s="646"/>
      <c r="AQ123" s="70">
        <f t="shared" si="262"/>
        <v>0</v>
      </c>
      <c r="AR123" s="70">
        <f t="shared" si="258"/>
        <v>0</v>
      </c>
      <c r="AS123" s="70">
        <f t="shared" si="263"/>
        <v>0</v>
      </c>
      <c r="AT123" s="70">
        <f t="shared" si="264"/>
        <v>0</v>
      </c>
      <c r="AU123" s="70">
        <f t="shared" si="265"/>
        <v>0</v>
      </c>
      <c r="AV123" s="70">
        <f>SUM(AQ123:AU123)-SUM(Y123:AC123)</f>
        <v>0</v>
      </c>
      <c r="AW123" s="70"/>
      <c r="AX123" s="592">
        <v>39</v>
      </c>
      <c r="AY123" s="582"/>
      <c r="AZ123" s="582"/>
      <c r="BA123" s="582"/>
      <c r="BB123" s="582"/>
      <c r="BC123" s="582"/>
      <c r="BD123" s="582"/>
      <c r="BE123" s="588">
        <f t="shared" si="252"/>
        <v>8.0000000000000016E-2</v>
      </c>
      <c r="BF123" s="578"/>
      <c r="BG123" s="578">
        <f t="shared" si="266"/>
        <v>0.08</v>
      </c>
      <c r="BH123" s="578"/>
      <c r="BI123" s="578"/>
      <c r="BJ123" s="578"/>
      <c r="BK123" s="646"/>
      <c r="BL123" s="646"/>
      <c r="BM123" s="586">
        <f t="shared" si="246"/>
        <v>0</v>
      </c>
      <c r="BN123" s="586">
        <f t="shared" si="247"/>
        <v>0</v>
      </c>
      <c r="BO123" s="586">
        <f t="shared" si="277"/>
        <v>0</v>
      </c>
      <c r="BP123" s="586">
        <f t="shared" si="277"/>
        <v>0</v>
      </c>
      <c r="BQ123" s="586">
        <f t="shared" si="277"/>
        <v>0</v>
      </c>
      <c r="BR123" s="646"/>
      <c r="BS123" s="578">
        <f t="shared" si="278"/>
        <v>0</v>
      </c>
      <c r="BT123" s="578">
        <f t="shared" si="278"/>
        <v>0</v>
      </c>
      <c r="BU123" s="578">
        <f t="shared" si="278"/>
        <v>0</v>
      </c>
      <c r="BV123" s="578">
        <f t="shared" si="278"/>
        <v>0</v>
      </c>
      <c r="BW123" s="578">
        <f t="shared" si="278"/>
        <v>0</v>
      </c>
      <c r="BX123" s="646"/>
      <c r="BY123" s="646"/>
      <c r="BZ123" s="646"/>
      <c r="CA123" s="646"/>
      <c r="CB123" s="646"/>
      <c r="CC123" s="646"/>
      <c r="CD123" s="646"/>
      <c r="CE123" s="646"/>
      <c r="CF123" s="646"/>
      <c r="CG123" s="646"/>
      <c r="CH123" s="646"/>
      <c r="DN123" s="692"/>
      <c r="DO123" s="692"/>
      <c r="DP123" s="692"/>
      <c r="DQ123" s="692"/>
      <c r="DR123" s="692"/>
      <c r="DS123" s="692"/>
    </row>
    <row r="124" spans="1:123">
      <c r="A124" s="758"/>
      <c r="B124" s="540">
        <v>2</v>
      </c>
      <c r="C124" s="72" t="s">
        <v>123</v>
      </c>
      <c r="D124" s="584" t="s">
        <v>874</v>
      </c>
      <c r="E124" s="563">
        <v>30</v>
      </c>
      <c r="F124" s="73"/>
      <c r="G124" s="73" t="str">
        <f t="shared" si="147"/>
        <v>046237L</v>
      </c>
      <c r="I124" t="s">
        <v>128</v>
      </c>
      <c r="J124" t="s">
        <v>841</v>
      </c>
      <c r="K124" s="59" t="s">
        <v>147</v>
      </c>
      <c r="L124" s="97">
        <v>831</v>
      </c>
      <c r="M124" s="69">
        <f t="shared" si="267"/>
        <v>0</v>
      </c>
      <c r="N124" s="69">
        <f t="shared" si="267"/>
        <v>0</v>
      </c>
      <c r="O124" s="69">
        <f t="shared" si="267"/>
        <v>0</v>
      </c>
      <c r="P124" s="69">
        <f t="shared" si="267"/>
        <v>0</v>
      </c>
      <c r="Q124" s="69">
        <f t="shared" si="267"/>
        <v>0</v>
      </c>
      <c r="R124" s="580">
        <f t="shared" si="255"/>
        <v>1</v>
      </c>
      <c r="S124" s="618">
        <v>0</v>
      </c>
      <c r="T124" s="618"/>
      <c r="U124" s="618">
        <v>20.46</v>
      </c>
      <c r="V124" s="618">
        <v>0</v>
      </c>
      <c r="W124" s="618">
        <v>0</v>
      </c>
      <c r="Y124" s="70">
        <f t="shared" ref="Y124:AC125" si="280">IF(AND(M124&lt;&gt;0,S124=0),#VALUE!,M124*S124)</f>
        <v>0</v>
      </c>
      <c r="Z124" s="70">
        <f t="shared" si="280"/>
        <v>0</v>
      </c>
      <c r="AA124" s="70">
        <f t="shared" si="280"/>
        <v>0</v>
      </c>
      <c r="AB124" s="70">
        <f t="shared" si="280"/>
        <v>0</v>
      </c>
      <c r="AC124" s="70">
        <f t="shared" si="280"/>
        <v>0</v>
      </c>
      <c r="AE124" s="69">
        <f t="shared" si="279"/>
        <v>0</v>
      </c>
      <c r="AF124" s="69">
        <f t="shared" si="279"/>
        <v>0</v>
      </c>
      <c r="AG124" s="69">
        <f t="shared" si="279"/>
        <v>0</v>
      </c>
      <c r="AH124" s="69">
        <f t="shared" si="279"/>
        <v>0</v>
      </c>
      <c r="AI124" s="69">
        <f t="shared" si="279"/>
        <v>0</v>
      </c>
      <c r="AK124" s="435">
        <f t="shared" si="271"/>
        <v>0</v>
      </c>
      <c r="AL124" s="435"/>
      <c r="AM124" s="435">
        <f t="shared" si="272"/>
        <v>22.16</v>
      </c>
      <c r="AN124" s="435">
        <f t="shared" si="273"/>
        <v>0</v>
      </c>
      <c r="AO124" s="435">
        <f t="shared" si="274"/>
        <v>0</v>
      </c>
      <c r="AQ124" s="70">
        <f t="shared" si="262"/>
        <v>0</v>
      </c>
      <c r="AR124" s="70">
        <f t="shared" si="258"/>
        <v>0</v>
      </c>
      <c r="AS124" s="70">
        <f t="shared" si="263"/>
        <v>0</v>
      </c>
      <c r="AT124" s="70">
        <f t="shared" si="264"/>
        <v>0</v>
      </c>
      <c r="AU124" s="70">
        <f t="shared" si="265"/>
        <v>0</v>
      </c>
      <c r="AV124" s="70">
        <f>SUM(AQ124:AU124)-SUM(Y124:AC124)</f>
        <v>0</v>
      </c>
      <c r="AW124" s="70"/>
      <c r="AX124" s="447">
        <v>169</v>
      </c>
      <c r="AY124" s="582"/>
      <c r="AZ124" s="582"/>
      <c r="BA124" s="582">
        <v>21.15</v>
      </c>
      <c r="BB124" s="582"/>
      <c r="BC124" s="582"/>
      <c r="BD124" s="140"/>
      <c r="BE124" s="588">
        <f t="shared" si="252"/>
        <v>0.37999999999999989</v>
      </c>
      <c r="BF124" s="54"/>
      <c r="BG124" s="54">
        <f t="shared" si="266"/>
        <v>0.38</v>
      </c>
      <c r="BH124" s="54">
        <f>ROUND((U124*$BF$2)+$BE124-BA124,2)</f>
        <v>0</v>
      </c>
      <c r="BI124" s="54"/>
      <c r="BJ124" s="54"/>
      <c r="BM124" s="279">
        <f t="shared" si="246"/>
        <v>0</v>
      </c>
      <c r="BN124" s="279">
        <f t="shared" si="247"/>
        <v>0</v>
      </c>
      <c r="BO124" s="279">
        <f t="shared" si="277"/>
        <v>22.494615999999997</v>
      </c>
      <c r="BP124" s="279">
        <f t="shared" si="277"/>
        <v>0</v>
      </c>
      <c r="BQ124" s="279">
        <f t="shared" si="277"/>
        <v>0</v>
      </c>
      <c r="BS124" s="54">
        <f t="shared" ref="BS124:BW125" si="281">BM124-AY124</f>
        <v>0</v>
      </c>
      <c r="BT124" s="54">
        <f t="shared" si="281"/>
        <v>0</v>
      </c>
      <c r="BU124" s="54">
        <f t="shared" si="281"/>
        <v>1.3446159999999985</v>
      </c>
      <c r="BV124" s="54">
        <f t="shared" si="281"/>
        <v>0</v>
      </c>
      <c r="BW124" s="54">
        <f t="shared" si="281"/>
        <v>0</v>
      </c>
      <c r="CH124" s="646"/>
      <c r="CI124" s="646"/>
      <c r="CJ124" s="646"/>
      <c r="DN124" s="692"/>
      <c r="DO124" s="692"/>
      <c r="DP124" s="692"/>
      <c r="DQ124" s="692"/>
      <c r="DR124" s="692"/>
      <c r="DS124" s="692"/>
    </row>
    <row r="125" spans="1:123">
      <c r="A125" s="758"/>
      <c r="B125" s="540">
        <v>2</v>
      </c>
      <c r="C125" s="72" t="s">
        <v>123</v>
      </c>
      <c r="D125" s="540">
        <v>335</v>
      </c>
      <c r="E125" s="563">
        <v>8</v>
      </c>
      <c r="F125" s="73"/>
      <c r="G125" s="73" t="str">
        <f t="shared" ref="G125" si="282">IF(OR(ISBLANK(C125),ISBLANK(D125)),"",TEXT(C125,"000")&amp;TEXT(D125,"000"))</f>
        <v>046335</v>
      </c>
      <c r="I125" s="646" t="s">
        <v>712</v>
      </c>
      <c r="J125" s="692" t="s">
        <v>841</v>
      </c>
      <c r="K125" s="579" t="s">
        <v>639</v>
      </c>
      <c r="L125" s="581" t="s">
        <v>718</v>
      </c>
      <c r="M125" s="580">
        <f t="shared" si="267"/>
        <v>0</v>
      </c>
      <c r="N125" s="580">
        <f t="shared" si="267"/>
        <v>0</v>
      </c>
      <c r="O125" s="580">
        <f t="shared" si="267"/>
        <v>0</v>
      </c>
      <c r="P125" s="580">
        <f t="shared" si="267"/>
        <v>0</v>
      </c>
      <c r="Q125" s="580">
        <f t="shared" si="267"/>
        <v>0</v>
      </c>
      <c r="R125" s="580">
        <f t="shared" si="255"/>
        <v>1</v>
      </c>
      <c r="S125" s="618">
        <v>0</v>
      </c>
      <c r="T125" s="648"/>
      <c r="U125" s="618"/>
      <c r="V125" s="618">
        <v>0</v>
      </c>
      <c r="W125" s="618">
        <v>0</v>
      </c>
      <c r="X125" s="646"/>
      <c r="Y125" s="70">
        <f t="shared" si="280"/>
        <v>0</v>
      </c>
      <c r="Z125" s="70">
        <f t="shared" si="280"/>
        <v>0</v>
      </c>
      <c r="AA125" s="70">
        <f t="shared" si="280"/>
        <v>0</v>
      </c>
      <c r="AB125" s="70">
        <f t="shared" si="280"/>
        <v>0</v>
      </c>
      <c r="AC125" s="70">
        <f t="shared" si="280"/>
        <v>0</v>
      </c>
      <c r="AD125" s="646"/>
      <c r="AE125" s="580">
        <f t="shared" si="279"/>
        <v>0</v>
      </c>
      <c r="AF125" s="580">
        <f t="shared" si="279"/>
        <v>0</v>
      </c>
      <c r="AG125" s="580">
        <f t="shared" si="279"/>
        <v>0</v>
      </c>
      <c r="AH125" s="580">
        <f t="shared" si="279"/>
        <v>0</v>
      </c>
      <c r="AI125" s="580">
        <f t="shared" si="279"/>
        <v>0</v>
      </c>
      <c r="AJ125" s="646"/>
      <c r="AK125" s="585">
        <f t="shared" si="271"/>
        <v>0</v>
      </c>
      <c r="AL125" s="585"/>
      <c r="AM125" s="585">
        <f t="shared" si="272"/>
        <v>0</v>
      </c>
      <c r="AN125" s="585">
        <f t="shared" si="273"/>
        <v>0</v>
      </c>
      <c r="AO125" s="585">
        <f t="shared" si="274"/>
        <v>0</v>
      </c>
      <c r="AP125" s="646"/>
      <c r="AQ125" s="70">
        <f t="shared" si="262"/>
        <v>0</v>
      </c>
      <c r="AR125" s="70">
        <f t="shared" si="258"/>
        <v>0</v>
      </c>
      <c r="AS125" s="70">
        <f t="shared" si="263"/>
        <v>0</v>
      </c>
      <c r="AT125" s="70">
        <f t="shared" si="264"/>
        <v>0</v>
      </c>
      <c r="AU125" s="70">
        <f t="shared" si="265"/>
        <v>0</v>
      </c>
      <c r="AV125" s="70">
        <f>SUM(AQ125:AU125)-SUM(Y125:AC125)</f>
        <v>0</v>
      </c>
      <c r="AW125" s="70"/>
      <c r="AX125" s="592">
        <v>83</v>
      </c>
      <c r="AY125" s="582"/>
      <c r="AZ125" s="582"/>
      <c r="BA125" s="582"/>
      <c r="BB125" s="582"/>
      <c r="BC125" s="582"/>
      <c r="BD125" s="582"/>
      <c r="BE125" s="588">
        <f t="shared" si="252"/>
        <v>0.18999999999999995</v>
      </c>
      <c r="BF125" s="578"/>
      <c r="BG125" s="578">
        <f t="shared" si="266"/>
        <v>0.19</v>
      </c>
      <c r="BH125" s="578"/>
      <c r="BI125" s="578"/>
      <c r="BJ125" s="578"/>
      <c r="BK125" s="646"/>
      <c r="BL125" s="646"/>
      <c r="BM125" s="586">
        <f t="shared" si="246"/>
        <v>0</v>
      </c>
      <c r="BN125" s="586">
        <f t="shared" si="247"/>
        <v>0</v>
      </c>
      <c r="BO125" s="586">
        <f t="shared" si="277"/>
        <v>0</v>
      </c>
      <c r="BP125" s="586">
        <f t="shared" si="277"/>
        <v>0</v>
      </c>
      <c r="BQ125" s="586">
        <f t="shared" si="277"/>
        <v>0</v>
      </c>
      <c r="BR125" s="646"/>
      <c r="BS125" s="578">
        <f t="shared" si="281"/>
        <v>0</v>
      </c>
      <c r="BT125" s="578">
        <f t="shared" si="281"/>
        <v>0</v>
      </c>
      <c r="BU125" s="578">
        <f t="shared" si="281"/>
        <v>0</v>
      </c>
      <c r="BV125" s="578">
        <f t="shared" si="281"/>
        <v>0</v>
      </c>
      <c r="BW125" s="578">
        <f t="shared" si="281"/>
        <v>0</v>
      </c>
      <c r="BX125" s="646"/>
      <c r="BY125" s="646"/>
      <c r="BZ125" s="646"/>
      <c r="CA125" s="646"/>
      <c r="CB125" s="646"/>
      <c r="CC125" s="646"/>
      <c r="CD125" s="646"/>
      <c r="CE125" s="646"/>
      <c r="CF125" s="646"/>
      <c r="CG125" s="646"/>
    </row>
    <row r="126" spans="1:123">
      <c r="A126" s="443"/>
      <c r="B126" s="540">
        <v>2</v>
      </c>
      <c r="C126" s="72" t="s">
        <v>123</v>
      </c>
      <c r="D126" s="540" t="s">
        <v>824</v>
      </c>
      <c r="E126" s="563">
        <v>0</v>
      </c>
      <c r="F126" s="73"/>
      <c r="G126" s="73" t="str">
        <f t="shared" ref="G126:G127" si="283">IF(OR(ISBLANK(C126),ISBLANK(D126)),"",TEXT(C126,"000")&amp;TEXT(D126,"000"))</f>
        <v>046295L</v>
      </c>
      <c r="I126" s="434" t="s">
        <v>712</v>
      </c>
      <c r="J126" s="692" t="s">
        <v>841</v>
      </c>
      <c r="K126" s="579" t="s">
        <v>639</v>
      </c>
      <c r="L126" s="581" t="s">
        <v>640</v>
      </c>
      <c r="M126" s="580">
        <f t="shared" si="267"/>
        <v>0</v>
      </c>
      <c r="N126" s="580">
        <f t="shared" si="267"/>
        <v>0</v>
      </c>
      <c r="O126" s="580">
        <f t="shared" si="267"/>
        <v>0</v>
      </c>
      <c r="P126" s="580">
        <f t="shared" si="267"/>
        <v>0</v>
      </c>
      <c r="Q126" s="580">
        <f t="shared" si="267"/>
        <v>0</v>
      </c>
      <c r="R126" s="580">
        <f t="shared" si="255"/>
        <v>1</v>
      </c>
      <c r="S126" s="618">
        <v>0</v>
      </c>
      <c r="T126" s="648">
        <f>T124</f>
        <v>0</v>
      </c>
      <c r="U126" s="618">
        <v>0</v>
      </c>
      <c r="V126" s="618">
        <v>0</v>
      </c>
      <c r="W126" s="618"/>
      <c r="X126" s="635"/>
      <c r="Y126" s="635"/>
      <c r="Z126" s="70">
        <f t="shared" ref="Z126:AC128" si="284">IF(AND(N126&lt;&gt;0,T126=0),#VALUE!,N126*T126)</f>
        <v>0</v>
      </c>
      <c r="AA126" s="70">
        <f t="shared" si="284"/>
        <v>0</v>
      </c>
      <c r="AB126" s="70">
        <f t="shared" si="284"/>
        <v>0</v>
      </c>
      <c r="AC126" s="70">
        <f t="shared" si="284"/>
        <v>0</v>
      </c>
      <c r="AD126" s="635"/>
      <c r="AE126" s="580">
        <f>SUMIF($G:$G,TEXT(AE$3,"000")&amp;TEXT($L126,"000"),$E:$E)</f>
        <v>0</v>
      </c>
      <c r="AF126" s="580">
        <f>SUMIF($G:$G,TEXT(AF$3,"000")&amp;TEXT($L126,"000"),$E:$E)</f>
        <v>0</v>
      </c>
      <c r="AG126" s="580">
        <f>SUMIF($G:$G,TEXT(AG$3,"000")&amp;TEXT($L126,"000"),$E:$E)</f>
        <v>0</v>
      </c>
      <c r="AH126" s="580">
        <f>SUMIF($G:$G,TEXT(AH$3,"000")&amp;TEXT($L126,"000"),$E:$E)</f>
        <v>0</v>
      </c>
      <c r="AI126" s="580">
        <f>SUMIF($G:$G,TEXT(AI$3,"000")&amp;TEXT($L126,"000"),$E:$E)</f>
        <v>0</v>
      </c>
      <c r="AJ126" s="635"/>
      <c r="AK126" s="585">
        <f t="shared" si="271"/>
        <v>0</v>
      </c>
      <c r="AL126" s="585">
        <f>AL124</f>
        <v>0</v>
      </c>
      <c r="AM126" s="585">
        <f t="shared" si="272"/>
        <v>0</v>
      </c>
      <c r="AN126" s="585">
        <f t="shared" si="273"/>
        <v>0</v>
      </c>
      <c r="AO126" s="585">
        <f t="shared" si="274"/>
        <v>0</v>
      </c>
      <c r="AP126" s="635"/>
      <c r="AQ126" s="70">
        <f t="shared" si="262"/>
        <v>0</v>
      </c>
      <c r="AR126" s="70">
        <f t="shared" si="258"/>
        <v>0</v>
      </c>
      <c r="AS126" s="70">
        <f t="shared" si="263"/>
        <v>0</v>
      </c>
      <c r="AT126" s="70">
        <f t="shared" si="264"/>
        <v>0</v>
      </c>
      <c r="AU126" s="70">
        <f t="shared" si="265"/>
        <v>0</v>
      </c>
      <c r="AY126" s="19"/>
      <c r="AZ126" s="19"/>
      <c r="BA126" s="19"/>
      <c r="BB126" s="19"/>
      <c r="BC126" s="19"/>
    </row>
    <row r="127" spans="1:123">
      <c r="A127" s="443"/>
      <c r="B127" s="540">
        <v>2</v>
      </c>
      <c r="C127" s="72" t="s">
        <v>123</v>
      </c>
      <c r="D127" s="540" t="s">
        <v>825</v>
      </c>
      <c r="E127" s="563">
        <v>0</v>
      </c>
      <c r="F127" s="73"/>
      <c r="G127" s="73" t="str">
        <f t="shared" si="283"/>
        <v>046395L</v>
      </c>
      <c r="H127" s="46"/>
      <c r="I127" s="646" t="s">
        <v>716</v>
      </c>
      <c r="J127" s="692" t="s">
        <v>842</v>
      </c>
      <c r="K127" s="579" t="s">
        <v>614</v>
      </c>
      <c r="L127" s="581" t="s">
        <v>715</v>
      </c>
      <c r="M127" s="580">
        <f t="shared" si="267"/>
        <v>0</v>
      </c>
      <c r="N127" s="580">
        <f t="shared" si="267"/>
        <v>0</v>
      </c>
      <c r="O127" s="580">
        <f t="shared" si="267"/>
        <v>0</v>
      </c>
      <c r="P127" s="580">
        <f t="shared" si="267"/>
        <v>0</v>
      </c>
      <c r="Q127" s="580">
        <f t="shared" si="267"/>
        <v>0</v>
      </c>
      <c r="R127" s="580">
        <f t="shared" si="255"/>
        <v>1</v>
      </c>
      <c r="S127" s="618">
        <v>0</v>
      </c>
      <c r="T127" s="648">
        <f>T72-T99-T99</f>
        <v>32.03</v>
      </c>
      <c r="U127" s="618">
        <v>0</v>
      </c>
      <c r="V127" s="618">
        <v>0</v>
      </c>
      <c r="W127" s="618">
        <v>0</v>
      </c>
      <c r="X127" s="646"/>
      <c r="Y127" s="70">
        <f>IF(AND(M127&lt;&gt;0,S127=0),#VALUE!,M127*S127)</f>
        <v>0</v>
      </c>
      <c r="Z127" s="70">
        <f t="shared" si="284"/>
        <v>0</v>
      </c>
      <c r="AA127" s="70">
        <f t="shared" si="284"/>
        <v>0</v>
      </c>
      <c r="AB127" s="70">
        <f t="shared" si="284"/>
        <v>0</v>
      </c>
      <c r="AC127" s="70">
        <f t="shared" si="284"/>
        <v>0</v>
      </c>
      <c r="AD127" s="646"/>
      <c r="AE127" s="580">
        <f t="shared" ref="AE127:AI128" si="285">M127</f>
        <v>0</v>
      </c>
      <c r="AF127" s="580">
        <f t="shared" si="285"/>
        <v>0</v>
      </c>
      <c r="AG127" s="580">
        <f t="shared" si="285"/>
        <v>0</v>
      </c>
      <c r="AH127" s="580">
        <f t="shared" si="285"/>
        <v>0</v>
      </c>
      <c r="AI127" s="580">
        <f t="shared" si="285"/>
        <v>0</v>
      </c>
      <c r="AJ127" s="646"/>
      <c r="AK127" s="585">
        <f t="shared" si="271"/>
        <v>0</v>
      </c>
      <c r="AL127" s="585">
        <f>AL72-AL99-AL99</f>
        <v>35.33</v>
      </c>
      <c r="AM127" s="585">
        <f t="shared" si="272"/>
        <v>0</v>
      </c>
      <c r="AN127" s="585">
        <f t="shared" si="273"/>
        <v>0</v>
      </c>
      <c r="AO127" s="585">
        <f t="shared" si="274"/>
        <v>0</v>
      </c>
      <c r="AP127" s="646"/>
      <c r="AQ127" s="70">
        <f t="shared" si="262"/>
        <v>0</v>
      </c>
      <c r="AR127" s="70">
        <f t="shared" si="258"/>
        <v>0</v>
      </c>
      <c r="AS127" s="70">
        <f t="shared" si="263"/>
        <v>0</v>
      </c>
      <c r="AT127" s="70">
        <f t="shared" si="264"/>
        <v>0</v>
      </c>
      <c r="AU127" s="70">
        <f t="shared" si="265"/>
        <v>0</v>
      </c>
      <c r="AV127" s="70">
        <f>SUM(AQ127:AU127)-SUM(Y127:AC127)</f>
        <v>0</v>
      </c>
      <c r="AW127" s="70"/>
      <c r="AX127" s="592">
        <v>78</v>
      </c>
      <c r="AY127" s="582"/>
      <c r="AZ127" s="582">
        <v>32.68</v>
      </c>
      <c r="BA127" s="582"/>
      <c r="BB127" s="582"/>
      <c r="BC127" s="582"/>
      <c r="BD127" s="582"/>
      <c r="BE127" s="588">
        <f>ROUND(AX127*$BE$2,2)+ROUND(AX127*$BE$1,2)</f>
        <v>0.18000000000000005</v>
      </c>
      <c r="BF127" s="578"/>
      <c r="BG127" s="578">
        <f>ROUND((T127*$BF$2)+$BE127-AZ127,2)</f>
        <v>0.01</v>
      </c>
      <c r="BH127" s="578"/>
      <c r="BI127" s="578"/>
      <c r="BJ127" s="578"/>
      <c r="BK127" s="646"/>
      <c r="BL127" s="646"/>
      <c r="BM127" s="586">
        <f t="shared" ref="BM127:BQ128" si="286">AK127*$BM$1</f>
        <v>0</v>
      </c>
      <c r="BN127" s="586">
        <f t="shared" si="286"/>
        <v>35.863482999999995</v>
      </c>
      <c r="BO127" s="586">
        <f t="shared" si="286"/>
        <v>0</v>
      </c>
      <c r="BP127" s="586">
        <f t="shared" si="286"/>
        <v>0</v>
      </c>
      <c r="BQ127" s="586">
        <f t="shared" si="286"/>
        <v>0</v>
      </c>
      <c r="BR127" s="646"/>
      <c r="BS127" s="578">
        <f t="shared" ref="BS127:BW128" si="287">BM127-AY127</f>
        <v>0</v>
      </c>
      <c r="BT127" s="578">
        <f t="shared" si="287"/>
        <v>3.1834829999999954</v>
      </c>
      <c r="BU127" s="578">
        <f t="shared" si="287"/>
        <v>0</v>
      </c>
      <c r="BV127" s="578">
        <f t="shared" si="287"/>
        <v>0</v>
      </c>
      <c r="BW127" s="578">
        <f t="shared" si="287"/>
        <v>0</v>
      </c>
      <c r="BX127" s="646"/>
      <c r="BY127" s="646"/>
      <c r="BZ127" s="646"/>
      <c r="CA127" s="646"/>
      <c r="CB127" s="646"/>
      <c r="CC127" s="646"/>
      <c r="CD127" s="646"/>
      <c r="CE127" s="646"/>
      <c r="CF127" s="646"/>
      <c r="CG127" s="646"/>
      <c r="DH127" s="684"/>
      <c r="DI127" s="684"/>
      <c r="DJ127" s="684"/>
      <c r="DK127" s="684"/>
      <c r="DL127" s="684"/>
    </row>
    <row r="128" spans="1:123">
      <c r="B128" s="35">
        <v>2</v>
      </c>
      <c r="C128" s="72" t="s">
        <v>123</v>
      </c>
      <c r="D128" s="35">
        <v>435</v>
      </c>
      <c r="E128" s="559">
        <v>17</v>
      </c>
      <c r="F128" s="73"/>
      <c r="G128" s="73" t="str">
        <f t="shared" si="147"/>
        <v>046435</v>
      </c>
      <c r="H128" s="46"/>
      <c r="I128" s="614" t="s">
        <v>434</v>
      </c>
      <c r="J128" s="614" t="s">
        <v>110</v>
      </c>
      <c r="K128" s="619" t="s">
        <v>140</v>
      </c>
      <c r="L128" s="704">
        <v>478</v>
      </c>
      <c r="M128" s="705">
        <f t="shared" ref="M128:Q140" si="288">SUMIF($G:$G,TEXT(M$3,"000")&amp;TEXT($L128,"000"),$E:$E)</f>
        <v>0</v>
      </c>
      <c r="N128" s="705">
        <f t="shared" si="288"/>
        <v>0</v>
      </c>
      <c r="O128" s="636">
        <f t="shared" si="288"/>
        <v>0</v>
      </c>
      <c r="P128" s="636">
        <f t="shared" si="288"/>
        <v>0</v>
      </c>
      <c r="Q128" s="636">
        <f t="shared" si="288"/>
        <v>0</v>
      </c>
      <c r="R128" s="636">
        <f t="shared" si="255"/>
        <v>1</v>
      </c>
      <c r="S128" s="637">
        <v>0</v>
      </c>
      <c r="T128" s="637">
        <v>18.170000000000002</v>
      </c>
      <c r="U128" s="637">
        <v>0</v>
      </c>
      <c r="V128" s="637">
        <v>0</v>
      </c>
      <c r="W128" s="637">
        <v>0</v>
      </c>
      <c r="X128" s="614"/>
      <c r="Y128" s="694">
        <f>IF(AND(M128&lt;&gt;0,S128=0),#VALUE!,M128*S128)</f>
        <v>0</v>
      </c>
      <c r="Z128" s="694">
        <f t="shared" si="284"/>
        <v>0</v>
      </c>
      <c r="AA128" s="694">
        <f t="shared" si="284"/>
        <v>0</v>
      </c>
      <c r="AB128" s="694">
        <f t="shared" si="284"/>
        <v>0</v>
      </c>
      <c r="AC128" s="694">
        <f t="shared" si="284"/>
        <v>0</v>
      </c>
      <c r="AD128" s="614"/>
      <c r="AE128" s="636">
        <f t="shared" si="285"/>
        <v>0</v>
      </c>
      <c r="AF128" s="636">
        <f t="shared" si="285"/>
        <v>0</v>
      </c>
      <c r="AG128" s="636">
        <f t="shared" si="285"/>
        <v>0</v>
      </c>
      <c r="AH128" s="636">
        <f t="shared" si="285"/>
        <v>0</v>
      </c>
      <c r="AI128" s="636">
        <f t="shared" si="285"/>
        <v>0</v>
      </c>
      <c r="AJ128" s="614"/>
      <c r="AK128" s="638">
        <f t="shared" si="271"/>
        <v>0</v>
      </c>
      <c r="AL128" s="638">
        <f>ROUND(T128*(1+AL$1),2)</f>
        <v>19.559999999999999</v>
      </c>
      <c r="AM128" s="638">
        <f t="shared" si="272"/>
        <v>0</v>
      </c>
      <c r="AN128" s="435">
        <f t="shared" si="273"/>
        <v>0</v>
      </c>
      <c r="AO128" s="435">
        <f t="shared" si="274"/>
        <v>0</v>
      </c>
      <c r="AP128" s="330"/>
      <c r="AQ128" s="70">
        <f t="shared" si="262"/>
        <v>0</v>
      </c>
      <c r="AR128" s="70">
        <f t="shared" si="258"/>
        <v>0</v>
      </c>
      <c r="AS128" s="70">
        <f t="shared" si="263"/>
        <v>0</v>
      </c>
      <c r="AT128" s="70">
        <f t="shared" si="264"/>
        <v>0</v>
      </c>
      <c r="AU128" s="70">
        <f t="shared" si="265"/>
        <v>0</v>
      </c>
      <c r="AV128" s="70">
        <f>SUM(AQ128:AU128)-SUM(Y128:AC128)</f>
        <v>0</v>
      </c>
      <c r="AW128" s="70"/>
      <c r="AX128" s="447"/>
      <c r="AY128" s="582"/>
      <c r="AZ128" s="582">
        <v>18.440000000000001</v>
      </c>
      <c r="BA128" s="582"/>
      <c r="BB128" s="582"/>
      <c r="BC128" s="582"/>
      <c r="BD128" s="140"/>
      <c r="BE128" s="588">
        <f>ROUND(AX128*$BE$2,2)+ROUND(AX128*$BE$1,2)</f>
        <v>0</v>
      </c>
      <c r="BF128" s="54"/>
      <c r="BG128" s="54">
        <f>ROUND((T128*$BF$2)+$BE128-AZ128,2)</f>
        <v>0</v>
      </c>
      <c r="BH128" s="54"/>
      <c r="BI128" s="54"/>
      <c r="BJ128" s="54"/>
      <c r="BK128" s="330"/>
      <c r="BL128" s="330"/>
      <c r="BM128" s="279">
        <f t="shared" si="286"/>
        <v>0</v>
      </c>
      <c r="BN128" s="279">
        <f t="shared" si="286"/>
        <v>19.855355999999997</v>
      </c>
      <c r="BO128" s="279">
        <f t="shared" si="286"/>
        <v>0</v>
      </c>
      <c r="BP128" s="279">
        <f t="shared" si="286"/>
        <v>0</v>
      </c>
      <c r="BQ128" s="279">
        <f t="shared" si="286"/>
        <v>0</v>
      </c>
      <c r="BR128" s="330"/>
      <c r="BS128" s="54">
        <f t="shared" si="287"/>
        <v>0</v>
      </c>
      <c r="BT128" s="54">
        <f t="shared" si="287"/>
        <v>1.4153559999999956</v>
      </c>
      <c r="BU128" s="54">
        <f t="shared" si="287"/>
        <v>0</v>
      </c>
      <c r="BV128" s="54">
        <f t="shared" si="287"/>
        <v>0</v>
      </c>
      <c r="BW128" s="54">
        <f t="shared" si="287"/>
        <v>0</v>
      </c>
      <c r="BX128" s="330"/>
      <c r="BY128" s="330"/>
      <c r="BZ128" s="330"/>
      <c r="CA128" s="330"/>
      <c r="CB128" s="330"/>
      <c r="CK128" s="443"/>
      <c r="CW128" s="595"/>
      <c r="CX128" s="595"/>
      <c r="DM128" s="692"/>
    </row>
    <row r="129" spans="2:123">
      <c r="B129" s="35">
        <v>2</v>
      </c>
      <c r="C129" s="72" t="s">
        <v>123</v>
      </c>
      <c r="D129" s="35">
        <v>495</v>
      </c>
      <c r="E129" s="559">
        <v>0</v>
      </c>
      <c r="F129" s="73"/>
      <c r="G129" s="73" t="str">
        <f>IF(OR(ISBLANK(C129),ISBLANK(D129)),"",TEXT(C129,"000")&amp;TEXT(D129,"000"))</f>
        <v>046495</v>
      </c>
      <c r="H129" s="46"/>
      <c r="I129" s="614" t="s">
        <v>128</v>
      </c>
      <c r="J129" s="614" t="s">
        <v>151</v>
      </c>
      <c r="K129" s="619" t="s">
        <v>142</v>
      </c>
      <c r="L129" s="620">
        <v>539</v>
      </c>
      <c r="M129" s="69">
        <f t="shared" si="288"/>
        <v>0</v>
      </c>
      <c r="N129" s="69">
        <f t="shared" si="288"/>
        <v>0</v>
      </c>
      <c r="O129" s="69">
        <f t="shared" si="288"/>
        <v>0</v>
      </c>
      <c r="P129" s="69">
        <f t="shared" si="288"/>
        <v>0</v>
      </c>
      <c r="Q129" s="69">
        <f t="shared" si="288"/>
        <v>0</v>
      </c>
      <c r="R129" s="69">
        <f t="shared" si="255"/>
        <v>1</v>
      </c>
      <c r="S129" s="618"/>
      <c r="T129" s="618"/>
      <c r="U129" s="618"/>
      <c r="V129" s="618"/>
      <c r="W129" s="618"/>
      <c r="AE129" s="69">
        <f t="shared" ref="AE129:AI140" si="289">SUMIF($G:$G,TEXT(AE$3,"000")&amp;TEXT($L129,"000"),$E:$E)</f>
        <v>0</v>
      </c>
      <c r="AF129" s="69">
        <f t="shared" si="289"/>
        <v>0</v>
      </c>
      <c r="AG129" s="69">
        <f t="shared" si="289"/>
        <v>0</v>
      </c>
      <c r="AH129" s="69">
        <f t="shared" si="289"/>
        <v>0</v>
      </c>
      <c r="AI129" s="69">
        <f t="shared" si="289"/>
        <v>0</v>
      </c>
      <c r="AK129" s="435">
        <f t="shared" si="236"/>
        <v>0</v>
      </c>
      <c r="AL129" s="435">
        <f t="shared" si="218"/>
        <v>0</v>
      </c>
      <c r="AM129" s="435">
        <f t="shared" ref="AM129:AM139" si="290">ROUND(U129*(1+AM$1),2)</f>
        <v>0</v>
      </c>
      <c r="AN129" s="435">
        <f t="shared" ref="AN129:AN139" si="291">ROUND(V129*(1+AN$1),2)</f>
        <v>0</v>
      </c>
      <c r="AO129" s="435">
        <f t="shared" ref="AO129:AO139" si="292">ROUND(W129*(1+AO$1),2)</f>
        <v>0</v>
      </c>
      <c r="AX129" s="447"/>
      <c r="AY129" s="582"/>
      <c r="AZ129" s="582"/>
      <c r="BA129" s="582"/>
      <c r="BB129" s="582"/>
      <c r="BC129" s="582"/>
      <c r="BD129" s="140"/>
      <c r="BE129" s="588"/>
      <c r="BF129" s="54"/>
      <c r="BG129" s="54"/>
      <c r="BH129" s="54"/>
      <c r="BI129" s="54"/>
      <c r="BJ129" s="54"/>
      <c r="BM129" s="279">
        <f t="shared" ref="BM129:BM139" si="293">AK129*$BM$1</f>
        <v>0</v>
      </c>
      <c r="BN129" s="279">
        <f t="shared" ref="BN129:BN139" si="294">AL129*$BM$1</f>
        <v>0</v>
      </c>
      <c r="BO129" s="279">
        <f t="shared" si="77"/>
        <v>0</v>
      </c>
      <c r="BP129" s="279">
        <f t="shared" si="78"/>
        <v>0</v>
      </c>
      <c r="BQ129" s="279">
        <f t="shared" si="79"/>
        <v>0</v>
      </c>
      <c r="BS129" s="54">
        <f t="shared" si="71"/>
        <v>0</v>
      </c>
      <c r="BT129" s="54">
        <f t="shared" si="72"/>
        <v>0</v>
      </c>
      <c r="BU129" s="54">
        <f t="shared" si="73"/>
        <v>0</v>
      </c>
      <c r="BV129" s="54">
        <f t="shared" si="74"/>
        <v>0</v>
      </c>
      <c r="BW129" s="54">
        <f t="shared" si="75"/>
        <v>0</v>
      </c>
    </row>
    <row r="130" spans="2:123">
      <c r="B130" s="35">
        <v>2</v>
      </c>
      <c r="C130" s="72" t="s">
        <v>123</v>
      </c>
      <c r="D130" s="35">
        <v>499</v>
      </c>
      <c r="E130" s="559">
        <v>41</v>
      </c>
      <c r="F130" s="73"/>
      <c r="G130" s="73" t="str">
        <f>IF(OR(ISBLANK(C130),ISBLANK(D130)),"",TEXT(C130,"000")&amp;TEXT(D130,"000"))</f>
        <v>046499</v>
      </c>
      <c r="H130" s="46"/>
      <c r="I130" s="614" t="s">
        <v>139</v>
      </c>
      <c r="J130" s="614" t="s">
        <v>110</v>
      </c>
      <c r="K130" s="619" t="s">
        <v>142</v>
      </c>
      <c r="L130" s="620">
        <v>543</v>
      </c>
      <c r="M130" s="69">
        <f t="shared" si="288"/>
        <v>0</v>
      </c>
      <c r="N130" s="69">
        <f t="shared" si="288"/>
        <v>0</v>
      </c>
      <c r="O130" s="69">
        <f t="shared" si="288"/>
        <v>0</v>
      </c>
      <c r="P130" s="69">
        <f t="shared" si="288"/>
        <v>0</v>
      </c>
      <c r="Q130" s="69">
        <f t="shared" si="288"/>
        <v>0</v>
      </c>
      <c r="R130" s="69">
        <f t="shared" si="248"/>
        <v>1</v>
      </c>
      <c r="S130" s="618"/>
      <c r="T130" s="618"/>
      <c r="U130" s="618"/>
      <c r="V130" s="618"/>
      <c r="W130" s="618"/>
      <c r="AC130" s="70"/>
      <c r="AE130" s="69">
        <f t="shared" si="289"/>
        <v>0</v>
      </c>
      <c r="AF130" s="69">
        <f t="shared" si="289"/>
        <v>0</v>
      </c>
      <c r="AG130" s="69">
        <f t="shared" si="289"/>
        <v>0</v>
      </c>
      <c r="AH130" s="69">
        <f t="shared" si="289"/>
        <v>0</v>
      </c>
      <c r="AI130" s="69">
        <f t="shared" si="289"/>
        <v>0</v>
      </c>
      <c r="AK130" s="435">
        <f t="shared" si="236"/>
        <v>0</v>
      </c>
      <c r="AL130" s="435">
        <f t="shared" si="218"/>
        <v>0</v>
      </c>
      <c r="AM130" s="435">
        <f t="shared" si="290"/>
        <v>0</v>
      </c>
      <c r="AN130" s="435">
        <f t="shared" si="291"/>
        <v>0</v>
      </c>
      <c r="AO130" s="435">
        <f t="shared" si="292"/>
        <v>0</v>
      </c>
      <c r="AX130" s="447"/>
      <c r="AY130" s="582"/>
      <c r="AZ130" s="582"/>
      <c r="BA130" s="582"/>
      <c r="BB130" s="582"/>
      <c r="BC130" s="582"/>
      <c r="BD130" s="140"/>
      <c r="BE130" s="588"/>
      <c r="BF130" s="54"/>
      <c r="BG130" s="54"/>
      <c r="BH130" s="54"/>
      <c r="BI130" s="54"/>
      <c r="BJ130" s="54"/>
      <c r="BM130" s="279">
        <f t="shared" si="293"/>
        <v>0</v>
      </c>
      <c r="BN130" s="279">
        <f t="shared" si="294"/>
        <v>0</v>
      </c>
      <c r="BO130" s="279">
        <f t="shared" si="77"/>
        <v>0</v>
      </c>
      <c r="BP130" s="279">
        <f t="shared" si="78"/>
        <v>0</v>
      </c>
      <c r="BQ130" s="279">
        <f t="shared" si="79"/>
        <v>0</v>
      </c>
      <c r="BS130" s="54">
        <f t="shared" si="71"/>
        <v>0</v>
      </c>
      <c r="BT130" s="54">
        <f t="shared" si="72"/>
        <v>0</v>
      </c>
      <c r="BU130" s="54">
        <f t="shared" si="73"/>
        <v>0</v>
      </c>
      <c r="BV130" s="54">
        <f t="shared" si="74"/>
        <v>0</v>
      </c>
      <c r="BW130" s="54">
        <f t="shared" si="75"/>
        <v>0</v>
      </c>
    </row>
    <row r="131" spans="2:123">
      <c r="B131" s="35">
        <v>2</v>
      </c>
      <c r="C131" s="72" t="s">
        <v>123</v>
      </c>
      <c r="D131" s="35">
        <v>535</v>
      </c>
      <c r="E131" s="557">
        <f>48+1</f>
        <v>49</v>
      </c>
      <c r="F131" s="73"/>
      <c r="G131" s="73" t="str">
        <f t="shared" si="147"/>
        <v>046535</v>
      </c>
      <c r="H131" s="46"/>
      <c r="I131" s="614" t="s">
        <v>133</v>
      </c>
      <c r="J131" s="614" t="s">
        <v>146</v>
      </c>
      <c r="K131" s="619">
        <v>20000</v>
      </c>
      <c r="L131" s="620">
        <v>619</v>
      </c>
      <c r="M131" s="69">
        <f t="shared" si="288"/>
        <v>0</v>
      </c>
      <c r="N131" s="69">
        <f t="shared" si="288"/>
        <v>0</v>
      </c>
      <c r="O131" s="69">
        <f t="shared" si="288"/>
        <v>0</v>
      </c>
      <c r="P131" s="69">
        <f t="shared" si="288"/>
        <v>0</v>
      </c>
      <c r="Q131" s="69">
        <f t="shared" si="288"/>
        <v>0</v>
      </c>
      <c r="R131" s="69">
        <f t="shared" si="248"/>
        <v>1</v>
      </c>
      <c r="S131" s="618"/>
      <c r="T131" s="618"/>
      <c r="U131" s="618"/>
      <c r="V131" s="618"/>
      <c r="W131" s="618"/>
      <c r="AE131" s="69">
        <f t="shared" si="289"/>
        <v>0</v>
      </c>
      <c r="AF131" s="69">
        <f t="shared" si="289"/>
        <v>0</v>
      </c>
      <c r="AG131" s="69">
        <f t="shared" si="289"/>
        <v>0</v>
      </c>
      <c r="AH131" s="69">
        <f t="shared" si="289"/>
        <v>0</v>
      </c>
      <c r="AI131" s="69">
        <f t="shared" si="289"/>
        <v>0</v>
      </c>
      <c r="AK131" s="435">
        <f t="shared" si="236"/>
        <v>0</v>
      </c>
      <c r="AL131" s="435">
        <f t="shared" si="218"/>
        <v>0</v>
      </c>
      <c r="AM131" s="435">
        <f t="shared" si="290"/>
        <v>0</v>
      </c>
      <c r="AN131" s="435">
        <f t="shared" si="291"/>
        <v>0</v>
      </c>
      <c r="AO131" s="435">
        <f t="shared" si="292"/>
        <v>0</v>
      </c>
      <c r="AX131" s="447"/>
      <c r="AY131" s="582"/>
      <c r="AZ131" s="582"/>
      <c r="BA131" s="582"/>
      <c r="BB131" s="582"/>
      <c r="BC131" s="582"/>
      <c r="BD131" s="140"/>
      <c r="BE131" s="588"/>
      <c r="BF131" s="54"/>
      <c r="BG131" s="54"/>
      <c r="BH131" s="54"/>
      <c r="BI131" s="54"/>
      <c r="BJ131" s="54"/>
      <c r="BM131" s="279">
        <f t="shared" si="293"/>
        <v>0</v>
      </c>
      <c r="BN131" s="279">
        <f t="shared" si="294"/>
        <v>0</v>
      </c>
      <c r="BO131" s="279">
        <f t="shared" si="77"/>
        <v>0</v>
      </c>
      <c r="BP131" s="279">
        <f t="shared" si="78"/>
        <v>0</v>
      </c>
      <c r="BQ131" s="279">
        <f t="shared" si="79"/>
        <v>0</v>
      </c>
      <c r="BS131" s="54">
        <f t="shared" si="71"/>
        <v>0</v>
      </c>
      <c r="BT131" s="54">
        <f t="shared" si="72"/>
        <v>0</v>
      </c>
      <c r="BU131" s="54">
        <f t="shared" si="73"/>
        <v>0</v>
      </c>
      <c r="BV131" s="54">
        <f>BP131-BB131</f>
        <v>0</v>
      </c>
      <c r="BW131" s="54">
        <f t="shared" si="75"/>
        <v>0</v>
      </c>
      <c r="DN131" s="692"/>
      <c r="DO131" s="692"/>
      <c r="DP131" s="692"/>
      <c r="DQ131" s="692"/>
      <c r="DR131" s="692"/>
      <c r="DS131" s="692"/>
    </row>
    <row r="132" spans="2:123">
      <c r="B132" s="35">
        <v>2</v>
      </c>
      <c r="C132" s="72" t="s">
        <v>123</v>
      </c>
      <c r="D132" s="35">
        <v>635</v>
      </c>
      <c r="E132" s="559">
        <v>236</v>
      </c>
      <c r="F132" s="73"/>
      <c r="G132" s="73" t="str">
        <f t="shared" si="147"/>
        <v>046635</v>
      </c>
      <c r="H132" s="46"/>
      <c r="I132" s="614" t="s">
        <v>128</v>
      </c>
      <c r="J132" s="614" t="s">
        <v>151</v>
      </c>
      <c r="K132" s="619" t="s">
        <v>143</v>
      </c>
      <c r="L132" s="620">
        <v>639</v>
      </c>
      <c r="M132" s="69">
        <f t="shared" si="288"/>
        <v>0</v>
      </c>
      <c r="N132" s="69">
        <f t="shared" si="288"/>
        <v>0</v>
      </c>
      <c r="O132" s="69">
        <f t="shared" si="288"/>
        <v>0</v>
      </c>
      <c r="P132" s="69">
        <f t="shared" si="288"/>
        <v>0</v>
      </c>
      <c r="Q132" s="69">
        <f t="shared" si="288"/>
        <v>0</v>
      </c>
      <c r="R132" s="69">
        <f t="shared" si="248"/>
        <v>1</v>
      </c>
      <c r="S132" s="618"/>
      <c r="T132" s="618"/>
      <c r="U132" s="618"/>
      <c r="V132" s="618"/>
      <c r="W132" s="618"/>
      <c r="AE132" s="69">
        <f t="shared" si="289"/>
        <v>0</v>
      </c>
      <c r="AF132" s="69">
        <f t="shared" si="289"/>
        <v>0</v>
      </c>
      <c r="AG132" s="69">
        <f t="shared" si="289"/>
        <v>0</v>
      </c>
      <c r="AH132" s="69">
        <f t="shared" si="289"/>
        <v>0</v>
      </c>
      <c r="AI132" s="69">
        <f t="shared" si="289"/>
        <v>0</v>
      </c>
      <c r="AK132" s="435">
        <f t="shared" si="236"/>
        <v>0</v>
      </c>
      <c r="AL132" s="435">
        <f t="shared" si="218"/>
        <v>0</v>
      </c>
      <c r="AM132" s="435">
        <f t="shared" si="290"/>
        <v>0</v>
      </c>
      <c r="AN132" s="435">
        <f t="shared" si="291"/>
        <v>0</v>
      </c>
      <c r="AO132" s="435">
        <f t="shared" si="292"/>
        <v>0</v>
      </c>
      <c r="AX132" s="447"/>
      <c r="AY132" s="582"/>
      <c r="AZ132" s="582"/>
      <c r="BA132" s="582"/>
      <c r="BB132" s="582"/>
      <c r="BC132" s="582"/>
      <c r="BD132" s="140"/>
      <c r="BE132" s="588"/>
      <c r="BF132" s="54"/>
      <c r="BG132" s="54"/>
      <c r="BH132" s="54"/>
      <c r="BI132" s="54"/>
      <c r="BJ132" s="54"/>
      <c r="BM132" s="279">
        <f t="shared" si="293"/>
        <v>0</v>
      </c>
      <c r="BN132" s="279">
        <f t="shared" si="294"/>
        <v>0</v>
      </c>
      <c r="BO132" s="279">
        <f t="shared" si="77"/>
        <v>0</v>
      </c>
      <c r="BP132" s="279">
        <f t="shared" si="78"/>
        <v>0</v>
      </c>
      <c r="BQ132" s="279">
        <f t="shared" si="79"/>
        <v>0</v>
      </c>
      <c r="BS132" s="54">
        <f>BM132-AY132</f>
        <v>0</v>
      </c>
      <c r="BT132" s="54">
        <f t="shared" si="72"/>
        <v>0</v>
      </c>
      <c r="BU132" s="54">
        <f t="shared" si="73"/>
        <v>0</v>
      </c>
      <c r="BV132" s="54">
        <f t="shared" si="74"/>
        <v>0</v>
      </c>
      <c r="BW132" s="54">
        <f t="shared" si="75"/>
        <v>0</v>
      </c>
      <c r="CV132" s="595"/>
      <c r="DR132" s="692"/>
      <c r="DS132" s="692"/>
    </row>
    <row r="133" spans="2:123">
      <c r="B133" s="35">
        <v>2</v>
      </c>
      <c r="C133" s="72" t="s">
        <v>123</v>
      </c>
      <c r="D133" s="35">
        <v>735</v>
      </c>
      <c r="E133" s="559">
        <v>262</v>
      </c>
      <c r="F133" s="73"/>
      <c r="G133" s="73" t="str">
        <f t="shared" si="147"/>
        <v>046735</v>
      </c>
      <c r="I133" s="614" t="s">
        <v>139</v>
      </c>
      <c r="J133" s="614" t="s">
        <v>109</v>
      </c>
      <c r="K133" s="619" t="s">
        <v>143</v>
      </c>
      <c r="L133" s="620">
        <v>642</v>
      </c>
      <c r="M133" s="69">
        <f t="shared" si="288"/>
        <v>0</v>
      </c>
      <c r="N133" s="69">
        <f t="shared" si="288"/>
        <v>0</v>
      </c>
      <c r="O133" s="69">
        <f t="shared" si="288"/>
        <v>0</v>
      </c>
      <c r="P133" s="69">
        <f t="shared" si="288"/>
        <v>0</v>
      </c>
      <c r="Q133" s="69">
        <f t="shared" si="288"/>
        <v>0</v>
      </c>
      <c r="R133" s="69">
        <f t="shared" si="248"/>
        <v>1</v>
      </c>
      <c r="S133" s="618"/>
      <c r="T133" s="618"/>
      <c r="U133" s="618"/>
      <c r="V133" s="618"/>
      <c r="W133" s="618"/>
      <c r="Y133" s="611"/>
      <c r="Z133" s="611"/>
      <c r="AA133" s="611"/>
      <c r="AB133" s="611"/>
      <c r="AC133" s="611"/>
      <c r="AE133" s="69">
        <f t="shared" si="289"/>
        <v>0</v>
      </c>
      <c r="AF133" s="69">
        <f t="shared" si="289"/>
        <v>0</v>
      </c>
      <c r="AG133" s="69">
        <f t="shared" si="289"/>
        <v>0</v>
      </c>
      <c r="AH133" s="69">
        <f t="shared" si="289"/>
        <v>0</v>
      </c>
      <c r="AI133" s="69">
        <f t="shared" si="289"/>
        <v>0</v>
      </c>
      <c r="AK133" s="435">
        <f t="shared" si="236"/>
        <v>0</v>
      </c>
      <c r="AL133" s="435">
        <f t="shared" si="218"/>
        <v>0</v>
      </c>
      <c r="AM133" s="435">
        <f t="shared" si="290"/>
        <v>0</v>
      </c>
      <c r="AN133" s="435">
        <f t="shared" si="291"/>
        <v>0</v>
      </c>
      <c r="AO133" s="435">
        <f t="shared" si="292"/>
        <v>0</v>
      </c>
      <c r="AX133" s="447"/>
      <c r="AY133" s="582"/>
      <c r="AZ133" s="582"/>
      <c r="BA133" s="582"/>
      <c r="BB133" s="582"/>
      <c r="BC133" s="582"/>
      <c r="BD133" s="140"/>
      <c r="BE133" s="588"/>
      <c r="BF133" s="54"/>
      <c r="BG133" s="54"/>
      <c r="BH133" s="54"/>
      <c r="BI133" s="54"/>
      <c r="BJ133" s="54"/>
      <c r="BM133" s="279">
        <f t="shared" si="293"/>
        <v>0</v>
      </c>
      <c r="BN133" s="279">
        <f t="shared" si="294"/>
        <v>0</v>
      </c>
      <c r="BO133" s="279">
        <f t="shared" si="77"/>
        <v>0</v>
      </c>
      <c r="BP133" s="279">
        <f t="shared" si="78"/>
        <v>0</v>
      </c>
      <c r="BQ133" s="279">
        <f t="shared" si="79"/>
        <v>0</v>
      </c>
      <c r="BS133" s="54">
        <f t="shared" si="71"/>
        <v>0</v>
      </c>
      <c r="BT133" s="54">
        <f t="shared" si="72"/>
        <v>0</v>
      </c>
      <c r="BU133" s="54">
        <f t="shared" si="73"/>
        <v>0</v>
      </c>
      <c r="BV133" s="54">
        <f t="shared" si="74"/>
        <v>0</v>
      </c>
      <c r="BW133" s="54">
        <f t="shared" si="75"/>
        <v>0</v>
      </c>
      <c r="CU133" s="595"/>
      <c r="DR133" s="692"/>
      <c r="DS133" s="692"/>
    </row>
    <row r="134" spans="2:123">
      <c r="B134" s="35">
        <v>2</v>
      </c>
      <c r="C134" s="72" t="s">
        <v>123</v>
      </c>
      <c r="D134" s="35">
        <v>835</v>
      </c>
      <c r="E134" s="559">
        <v>57</v>
      </c>
      <c r="F134" s="73"/>
      <c r="G134" s="73" t="str">
        <f t="shared" si="147"/>
        <v>046835</v>
      </c>
      <c r="H134" s="46"/>
      <c r="I134" s="614" t="s">
        <v>128</v>
      </c>
      <c r="J134" s="614" t="s">
        <v>108</v>
      </c>
      <c r="K134" s="619" t="s">
        <v>145</v>
      </c>
      <c r="L134" s="620">
        <v>731</v>
      </c>
      <c r="M134" s="69">
        <f t="shared" si="288"/>
        <v>0</v>
      </c>
      <c r="N134" s="69">
        <f t="shared" si="288"/>
        <v>0</v>
      </c>
      <c r="O134" s="69">
        <f t="shared" si="288"/>
        <v>0</v>
      </c>
      <c r="P134" s="69">
        <f t="shared" si="288"/>
        <v>0</v>
      </c>
      <c r="Q134" s="69">
        <f t="shared" si="288"/>
        <v>0</v>
      </c>
      <c r="R134" s="69">
        <f t="shared" si="248"/>
        <v>1</v>
      </c>
      <c r="S134" s="618"/>
      <c r="T134" s="618"/>
      <c r="U134" s="618"/>
      <c r="V134" s="618"/>
      <c r="W134" s="618"/>
      <c r="AE134" s="69">
        <f t="shared" si="289"/>
        <v>0</v>
      </c>
      <c r="AF134" s="69">
        <f t="shared" si="289"/>
        <v>0</v>
      </c>
      <c r="AG134" s="69">
        <f t="shared" si="289"/>
        <v>0</v>
      </c>
      <c r="AH134" s="69">
        <f t="shared" si="289"/>
        <v>0</v>
      </c>
      <c r="AI134" s="69">
        <f t="shared" si="289"/>
        <v>0</v>
      </c>
      <c r="AK134" s="435">
        <f t="shared" si="236"/>
        <v>0</v>
      </c>
      <c r="AL134" s="435">
        <f t="shared" si="218"/>
        <v>0</v>
      </c>
      <c r="AM134" s="435">
        <f t="shared" si="290"/>
        <v>0</v>
      </c>
      <c r="AN134" s="435">
        <f t="shared" si="291"/>
        <v>0</v>
      </c>
      <c r="AO134" s="435">
        <f t="shared" si="292"/>
        <v>0</v>
      </c>
      <c r="AX134" s="447"/>
      <c r="AY134" s="582"/>
      <c r="AZ134" s="582"/>
      <c r="BA134" s="582"/>
      <c r="BB134" s="582"/>
      <c r="BC134" s="582"/>
      <c r="BD134" s="140"/>
      <c r="BE134" s="588"/>
      <c r="BF134" s="54"/>
      <c r="BG134" s="54"/>
      <c r="BH134" s="54"/>
      <c r="BI134" s="54"/>
      <c r="BJ134" s="54"/>
      <c r="BM134" s="279">
        <f t="shared" si="293"/>
        <v>0</v>
      </c>
      <c r="BN134" s="279">
        <f t="shared" si="294"/>
        <v>0</v>
      </c>
      <c r="BO134" s="279">
        <f t="shared" si="77"/>
        <v>0</v>
      </c>
      <c r="BP134" s="279">
        <f t="shared" si="78"/>
        <v>0</v>
      </c>
      <c r="BQ134" s="279">
        <f t="shared" si="79"/>
        <v>0</v>
      </c>
      <c r="BS134" s="54">
        <f t="shared" si="71"/>
        <v>0</v>
      </c>
      <c r="BT134" s="54">
        <f t="shared" si="72"/>
        <v>0</v>
      </c>
      <c r="BU134" s="54">
        <f t="shared" si="73"/>
        <v>0</v>
      </c>
      <c r="BV134" s="54">
        <f t="shared" si="74"/>
        <v>0</v>
      </c>
      <c r="BW134" s="54">
        <f t="shared" si="75"/>
        <v>0</v>
      </c>
      <c r="CT134" s="595"/>
    </row>
    <row r="135" spans="2:123">
      <c r="B135" s="35">
        <v>2</v>
      </c>
      <c r="C135" s="72" t="s">
        <v>123</v>
      </c>
      <c r="D135" s="35">
        <v>935</v>
      </c>
      <c r="E135" s="559">
        <v>103</v>
      </c>
      <c r="F135" s="73"/>
      <c r="G135" s="73" t="str">
        <f t="shared" si="147"/>
        <v>046935</v>
      </c>
      <c r="I135" s="614" t="s">
        <v>128</v>
      </c>
      <c r="J135" s="614" t="s">
        <v>110</v>
      </c>
      <c r="K135" s="619" t="s">
        <v>145</v>
      </c>
      <c r="L135" s="620">
        <v>733</v>
      </c>
      <c r="M135" s="69">
        <f t="shared" si="288"/>
        <v>0</v>
      </c>
      <c r="N135" s="69">
        <f t="shared" si="288"/>
        <v>0</v>
      </c>
      <c r="O135" s="69">
        <f t="shared" si="288"/>
        <v>0</v>
      </c>
      <c r="P135" s="69">
        <f t="shared" si="288"/>
        <v>0</v>
      </c>
      <c r="Q135" s="69">
        <f t="shared" si="288"/>
        <v>0</v>
      </c>
      <c r="R135" s="69">
        <f>IF(SUM(M135:Q135)&gt;0,0,1)</f>
        <v>1</v>
      </c>
      <c r="S135" s="618"/>
      <c r="T135" s="618"/>
      <c r="U135" s="618"/>
      <c r="V135" s="618"/>
      <c r="W135" s="618"/>
      <c r="AE135" s="69">
        <f t="shared" si="289"/>
        <v>0</v>
      </c>
      <c r="AF135" s="69">
        <f t="shared" si="289"/>
        <v>0</v>
      </c>
      <c r="AG135" s="69">
        <f t="shared" si="289"/>
        <v>0</v>
      </c>
      <c r="AH135" s="69">
        <f t="shared" si="289"/>
        <v>0</v>
      </c>
      <c r="AI135" s="69">
        <f t="shared" si="289"/>
        <v>0</v>
      </c>
      <c r="AK135" s="435">
        <f t="shared" si="236"/>
        <v>0</v>
      </c>
      <c r="AL135" s="435">
        <f t="shared" si="218"/>
        <v>0</v>
      </c>
      <c r="AM135" s="435">
        <f t="shared" si="290"/>
        <v>0</v>
      </c>
      <c r="AN135" s="435">
        <f t="shared" si="291"/>
        <v>0</v>
      </c>
      <c r="AO135" s="435">
        <f t="shared" si="292"/>
        <v>0</v>
      </c>
      <c r="AX135" s="447"/>
      <c r="AY135" s="582"/>
      <c r="AZ135" s="582"/>
      <c r="BA135" s="582"/>
      <c r="BB135" s="582"/>
      <c r="BC135" s="582"/>
      <c r="BD135" s="140"/>
      <c r="BE135" s="588"/>
      <c r="BF135" s="54"/>
      <c r="BG135" s="54"/>
      <c r="BH135" s="54"/>
      <c r="BI135" s="54"/>
      <c r="BJ135" s="54"/>
      <c r="BM135" s="279">
        <f t="shared" si="293"/>
        <v>0</v>
      </c>
      <c r="BN135" s="279">
        <f t="shared" si="294"/>
        <v>0</v>
      </c>
      <c r="BO135" s="279">
        <f t="shared" si="77"/>
        <v>0</v>
      </c>
      <c r="BP135" s="279">
        <f t="shared" si="78"/>
        <v>0</v>
      </c>
      <c r="BQ135" s="279">
        <f t="shared" si="79"/>
        <v>0</v>
      </c>
      <c r="BS135" s="54">
        <f t="shared" si="71"/>
        <v>0</v>
      </c>
      <c r="BT135" s="54">
        <f t="shared" si="72"/>
        <v>0</v>
      </c>
      <c r="BU135" s="54">
        <f t="shared" si="73"/>
        <v>0</v>
      </c>
      <c r="BV135" s="54">
        <f t="shared" si="74"/>
        <v>0</v>
      </c>
      <c r="BW135" s="54">
        <f t="shared" si="75"/>
        <v>0</v>
      </c>
      <c r="CS135" s="595"/>
    </row>
    <row r="136" spans="2:123">
      <c r="E136" s="74">
        <f>SUM(E103:E135)</f>
        <v>932</v>
      </c>
      <c r="F136" s="75"/>
      <c r="G136" s="73" t="str">
        <f t="shared" si="147"/>
        <v/>
      </c>
      <c r="H136" s="73"/>
      <c r="I136" s="614" t="s">
        <v>128</v>
      </c>
      <c r="J136" s="614" t="s">
        <v>151</v>
      </c>
      <c r="K136" s="619" t="s">
        <v>145</v>
      </c>
      <c r="L136" s="620">
        <v>739</v>
      </c>
      <c r="M136" s="69">
        <f t="shared" si="288"/>
        <v>0</v>
      </c>
      <c r="N136" s="69">
        <f t="shared" si="288"/>
        <v>0</v>
      </c>
      <c r="O136" s="69">
        <f t="shared" si="288"/>
        <v>0</v>
      </c>
      <c r="P136" s="69">
        <f t="shared" si="288"/>
        <v>0</v>
      </c>
      <c r="Q136" s="69">
        <f t="shared" si="288"/>
        <v>0</v>
      </c>
      <c r="R136" s="69">
        <f t="shared" si="248"/>
        <v>1</v>
      </c>
      <c r="S136" s="618"/>
      <c r="T136" s="618"/>
      <c r="U136" s="618"/>
      <c r="V136" s="618"/>
      <c r="W136" s="618"/>
      <c r="AE136" s="69">
        <f t="shared" si="289"/>
        <v>0</v>
      </c>
      <c r="AF136" s="69">
        <f t="shared" si="289"/>
        <v>0</v>
      </c>
      <c r="AG136" s="69">
        <f t="shared" si="289"/>
        <v>0</v>
      </c>
      <c r="AH136" s="69">
        <f t="shared" si="289"/>
        <v>0</v>
      </c>
      <c r="AI136" s="69">
        <f t="shared" si="289"/>
        <v>0</v>
      </c>
      <c r="AK136" s="435">
        <f t="shared" si="236"/>
        <v>0</v>
      </c>
      <c r="AL136" s="435">
        <f t="shared" si="218"/>
        <v>0</v>
      </c>
      <c r="AM136" s="435">
        <f t="shared" si="290"/>
        <v>0</v>
      </c>
      <c r="AN136" s="435">
        <f t="shared" si="291"/>
        <v>0</v>
      </c>
      <c r="AO136" s="435">
        <f t="shared" si="292"/>
        <v>0</v>
      </c>
      <c r="AX136" s="447"/>
      <c r="AY136" s="582"/>
      <c r="AZ136" s="582"/>
      <c r="BA136" s="582"/>
      <c r="BB136" s="582"/>
      <c r="BC136" s="582"/>
      <c r="BD136" s="140"/>
      <c r="BE136" s="588"/>
      <c r="BF136" s="54"/>
      <c r="BG136" s="54"/>
      <c r="BH136" s="54"/>
      <c r="BI136" s="54"/>
      <c r="BJ136" s="54"/>
      <c r="BM136" s="279">
        <f t="shared" si="293"/>
        <v>0</v>
      </c>
      <c r="BN136" s="279">
        <f t="shared" si="294"/>
        <v>0</v>
      </c>
      <c r="BO136" s="279">
        <f t="shared" si="77"/>
        <v>0</v>
      </c>
      <c r="BP136" s="279">
        <f t="shared" si="78"/>
        <v>0</v>
      </c>
      <c r="BQ136" s="279">
        <f t="shared" si="79"/>
        <v>0</v>
      </c>
      <c r="BS136" s="54">
        <f t="shared" ref="BS136:BW139" si="295">BM136-AY136</f>
        <v>0</v>
      </c>
      <c r="BT136" s="54">
        <f t="shared" si="295"/>
        <v>0</v>
      </c>
      <c r="BU136" s="54">
        <f t="shared" si="295"/>
        <v>0</v>
      </c>
      <c r="BV136" s="54">
        <f t="shared" si="295"/>
        <v>0</v>
      </c>
      <c r="BW136" s="54">
        <f t="shared" si="295"/>
        <v>0</v>
      </c>
      <c r="CQ136" s="595"/>
      <c r="CR136" s="595"/>
    </row>
    <row r="137" spans="2:123">
      <c r="G137" s="73" t="str">
        <f t="shared" si="147"/>
        <v/>
      </c>
      <c r="I137" s="614" t="s">
        <v>139</v>
      </c>
      <c r="J137" s="614" t="s">
        <v>109</v>
      </c>
      <c r="K137" s="619" t="s">
        <v>145</v>
      </c>
      <c r="L137" s="620">
        <v>742</v>
      </c>
      <c r="M137" s="69">
        <f t="shared" si="288"/>
        <v>0</v>
      </c>
      <c r="N137" s="69">
        <f t="shared" si="288"/>
        <v>0</v>
      </c>
      <c r="O137" s="69">
        <f t="shared" si="288"/>
        <v>0</v>
      </c>
      <c r="P137" s="69">
        <f t="shared" si="288"/>
        <v>0</v>
      </c>
      <c r="Q137" s="69">
        <f t="shared" si="288"/>
        <v>0</v>
      </c>
      <c r="R137" s="69">
        <f t="shared" si="248"/>
        <v>1</v>
      </c>
      <c r="S137" s="618"/>
      <c r="T137" s="618"/>
      <c r="U137" s="618"/>
      <c r="V137" s="618"/>
      <c r="W137" s="618"/>
      <c r="AE137" s="69">
        <f t="shared" si="289"/>
        <v>0</v>
      </c>
      <c r="AF137" s="69">
        <f t="shared" si="289"/>
        <v>0</v>
      </c>
      <c r="AG137" s="69">
        <f t="shared" si="289"/>
        <v>0</v>
      </c>
      <c r="AH137" s="69">
        <f t="shared" si="289"/>
        <v>0</v>
      </c>
      <c r="AI137" s="69">
        <f t="shared" si="289"/>
        <v>0</v>
      </c>
      <c r="AK137" s="435">
        <f t="shared" si="236"/>
        <v>0</v>
      </c>
      <c r="AL137" s="435">
        <f t="shared" si="218"/>
        <v>0</v>
      </c>
      <c r="AM137" s="435">
        <f t="shared" si="290"/>
        <v>0</v>
      </c>
      <c r="AN137" s="435">
        <f t="shared" si="291"/>
        <v>0</v>
      </c>
      <c r="AO137" s="435">
        <f t="shared" si="292"/>
        <v>0</v>
      </c>
      <c r="AX137" s="447"/>
      <c r="AY137" s="582"/>
      <c r="AZ137" s="582"/>
      <c r="BA137" s="582"/>
      <c r="BB137" s="582"/>
      <c r="BC137" s="582"/>
      <c r="BD137" s="140"/>
      <c r="BE137" s="588"/>
      <c r="BF137" s="54"/>
      <c r="BG137" s="54"/>
      <c r="BH137" s="54"/>
      <c r="BI137" s="54"/>
      <c r="BJ137" s="54"/>
      <c r="BM137" s="279">
        <f t="shared" si="293"/>
        <v>0</v>
      </c>
      <c r="BN137" s="279">
        <f t="shared" si="294"/>
        <v>0</v>
      </c>
      <c r="BO137" s="279">
        <f t="shared" si="77"/>
        <v>0</v>
      </c>
      <c r="BP137" s="279">
        <f t="shared" si="78"/>
        <v>0</v>
      </c>
      <c r="BQ137" s="279">
        <f t="shared" si="79"/>
        <v>0</v>
      </c>
      <c r="BS137" s="54">
        <f t="shared" si="295"/>
        <v>0</v>
      </c>
      <c r="BT137" s="54">
        <f t="shared" si="295"/>
        <v>0</v>
      </c>
      <c r="BU137" s="54">
        <f t="shared" si="295"/>
        <v>0</v>
      </c>
      <c r="BV137" s="54">
        <f t="shared" si="295"/>
        <v>0</v>
      </c>
      <c r="BW137" s="54">
        <f t="shared" si="295"/>
        <v>0</v>
      </c>
    </row>
    <row r="138" spans="2:123">
      <c r="B138" s="35">
        <v>2</v>
      </c>
      <c r="E138" s="73">
        <f>E11+E77+E93+E101+E136</f>
        <v>23797</v>
      </c>
      <c r="F138" s="73">
        <f>F11+F77+F93+F101+F136</f>
        <v>0</v>
      </c>
      <c r="G138" s="73"/>
      <c r="I138" s="614" t="s">
        <v>133</v>
      </c>
      <c r="J138" s="614" t="s">
        <v>131</v>
      </c>
      <c r="K138" s="619">
        <v>55000</v>
      </c>
      <c r="L138" s="620">
        <v>815</v>
      </c>
      <c r="M138" s="69">
        <f t="shared" si="288"/>
        <v>0</v>
      </c>
      <c r="N138" s="69">
        <f t="shared" si="288"/>
        <v>0</v>
      </c>
      <c r="O138" s="69">
        <f t="shared" si="288"/>
        <v>0</v>
      </c>
      <c r="P138" s="69">
        <f t="shared" si="288"/>
        <v>0</v>
      </c>
      <c r="Q138" s="69">
        <f t="shared" si="288"/>
        <v>0</v>
      </c>
      <c r="R138" s="69">
        <f t="shared" si="248"/>
        <v>1</v>
      </c>
      <c r="S138" s="618"/>
      <c r="T138" s="618"/>
      <c r="U138" s="618"/>
      <c r="V138" s="618"/>
      <c r="W138" s="618"/>
      <c r="AE138" s="69">
        <f t="shared" si="289"/>
        <v>0</v>
      </c>
      <c r="AF138" s="69">
        <f t="shared" si="289"/>
        <v>0</v>
      </c>
      <c r="AG138" s="69">
        <f t="shared" si="289"/>
        <v>0</v>
      </c>
      <c r="AH138" s="69">
        <f t="shared" si="289"/>
        <v>0</v>
      </c>
      <c r="AI138" s="69">
        <f t="shared" si="289"/>
        <v>0</v>
      </c>
      <c r="AK138" s="435">
        <f t="shared" si="236"/>
        <v>0</v>
      </c>
      <c r="AL138" s="435">
        <f t="shared" si="218"/>
        <v>0</v>
      </c>
      <c r="AM138" s="435">
        <f t="shared" si="290"/>
        <v>0</v>
      </c>
      <c r="AN138" s="435">
        <f t="shared" si="291"/>
        <v>0</v>
      </c>
      <c r="AO138" s="435">
        <f t="shared" si="292"/>
        <v>0</v>
      </c>
      <c r="AX138" s="447"/>
      <c r="AY138" s="582"/>
      <c r="AZ138" s="582"/>
      <c r="BA138" s="582"/>
      <c r="BB138" s="582"/>
      <c r="BC138" s="582"/>
      <c r="BD138" s="140"/>
      <c r="BE138" s="588"/>
      <c r="BF138" s="54"/>
      <c r="BG138" s="54"/>
      <c r="BH138" s="54"/>
      <c r="BI138" s="54"/>
      <c r="BJ138" s="54"/>
      <c r="BM138" s="279">
        <f t="shared" si="293"/>
        <v>0</v>
      </c>
      <c r="BN138" s="279">
        <f t="shared" si="294"/>
        <v>0</v>
      </c>
      <c r="BO138" s="279">
        <f t="shared" si="77"/>
        <v>0</v>
      </c>
      <c r="BP138" s="279">
        <f t="shared" si="78"/>
        <v>0</v>
      </c>
      <c r="BQ138" s="279">
        <f t="shared" si="79"/>
        <v>0</v>
      </c>
      <c r="BS138" s="54">
        <f t="shared" si="295"/>
        <v>0</v>
      </c>
      <c r="BT138" s="54">
        <f t="shared" si="295"/>
        <v>0</v>
      </c>
      <c r="BU138" s="54">
        <f t="shared" si="295"/>
        <v>0</v>
      </c>
      <c r="BV138" s="54">
        <f t="shared" si="295"/>
        <v>0</v>
      </c>
      <c r="BW138" s="54">
        <f t="shared" si="295"/>
        <v>0</v>
      </c>
      <c r="CA138" s="577"/>
      <c r="CB138" s="577"/>
    </row>
    <row r="139" spans="2:123">
      <c r="B139"/>
      <c r="C139"/>
      <c r="D139"/>
      <c r="I139" s="614" t="s">
        <v>128</v>
      </c>
      <c r="J139" s="614" t="s">
        <v>110</v>
      </c>
      <c r="K139" s="619" t="s">
        <v>147</v>
      </c>
      <c r="L139" s="620">
        <v>833</v>
      </c>
      <c r="M139" s="69">
        <f t="shared" si="288"/>
        <v>0</v>
      </c>
      <c r="N139" s="69">
        <f t="shared" si="288"/>
        <v>0</v>
      </c>
      <c r="O139" s="69">
        <f t="shared" si="288"/>
        <v>0</v>
      </c>
      <c r="P139" s="69">
        <f t="shared" si="288"/>
        <v>0</v>
      </c>
      <c r="Q139" s="69">
        <f t="shared" si="288"/>
        <v>0</v>
      </c>
      <c r="R139" s="69">
        <f t="shared" si="248"/>
        <v>1</v>
      </c>
      <c r="S139" s="618"/>
      <c r="T139" s="618"/>
      <c r="U139" s="618"/>
      <c r="V139" s="618"/>
      <c r="W139" s="618"/>
      <c r="AE139" s="69">
        <f t="shared" si="289"/>
        <v>0</v>
      </c>
      <c r="AF139" s="69">
        <f t="shared" si="289"/>
        <v>0</v>
      </c>
      <c r="AG139" s="69">
        <f t="shared" si="289"/>
        <v>0</v>
      </c>
      <c r="AH139" s="69">
        <f t="shared" si="289"/>
        <v>0</v>
      </c>
      <c r="AI139" s="69">
        <f t="shared" si="289"/>
        <v>0</v>
      </c>
      <c r="AK139" s="435">
        <f t="shared" si="236"/>
        <v>0</v>
      </c>
      <c r="AL139" s="435">
        <f t="shared" si="218"/>
        <v>0</v>
      </c>
      <c r="AM139" s="435">
        <f t="shared" si="290"/>
        <v>0</v>
      </c>
      <c r="AN139" s="435">
        <f t="shared" si="291"/>
        <v>0</v>
      </c>
      <c r="AO139" s="435">
        <f t="shared" si="292"/>
        <v>0</v>
      </c>
      <c r="AX139" s="447"/>
      <c r="AY139" s="582"/>
      <c r="AZ139" s="582"/>
      <c r="BA139" s="582"/>
      <c r="BB139" s="582"/>
      <c r="BC139" s="582"/>
      <c r="BD139" s="140"/>
      <c r="BE139" s="588"/>
      <c r="BF139" s="54"/>
      <c r="BG139" s="54"/>
      <c r="BH139" s="54"/>
      <c r="BI139" s="54"/>
      <c r="BJ139" s="54"/>
      <c r="BM139" s="279">
        <f t="shared" si="293"/>
        <v>0</v>
      </c>
      <c r="BN139" s="279">
        <f t="shared" si="294"/>
        <v>0</v>
      </c>
      <c r="BO139" s="279">
        <f t="shared" si="77"/>
        <v>0</v>
      </c>
      <c r="BP139" s="279">
        <f t="shared" si="78"/>
        <v>0</v>
      </c>
      <c r="BQ139" s="279">
        <f t="shared" si="79"/>
        <v>0</v>
      </c>
      <c r="BS139" s="54">
        <f t="shared" si="295"/>
        <v>0</v>
      </c>
      <c r="BT139" s="54">
        <f t="shared" si="295"/>
        <v>0</v>
      </c>
      <c r="BU139" s="54">
        <f t="shared" si="295"/>
        <v>0</v>
      </c>
      <c r="BV139" s="54">
        <f t="shared" si="295"/>
        <v>0</v>
      </c>
      <c r="BW139" s="54">
        <f t="shared" si="295"/>
        <v>0</v>
      </c>
      <c r="BX139" s="577"/>
      <c r="BY139" s="577"/>
      <c r="BZ139" s="577"/>
      <c r="CA139" s="577"/>
      <c r="CB139" s="577"/>
    </row>
    <row r="140" spans="2:123">
      <c r="B140"/>
      <c r="C140"/>
      <c r="D140" s="59" t="s">
        <v>406</v>
      </c>
      <c r="E140" s="175">
        <f>66+22219+204+175+972</f>
        <v>23636</v>
      </c>
      <c r="I140" s="614" t="s">
        <v>719</v>
      </c>
      <c r="J140" s="614" t="s">
        <v>107</v>
      </c>
      <c r="K140" s="619" t="s">
        <v>601</v>
      </c>
      <c r="L140" s="620" t="s">
        <v>597</v>
      </c>
      <c r="M140" s="636">
        <f t="shared" si="288"/>
        <v>0</v>
      </c>
      <c r="N140" s="636">
        <f t="shared" si="288"/>
        <v>0</v>
      </c>
      <c r="O140" s="636">
        <f t="shared" si="288"/>
        <v>0</v>
      </c>
      <c r="P140" s="636">
        <f t="shared" si="288"/>
        <v>0</v>
      </c>
      <c r="Q140" s="636">
        <f t="shared" si="288"/>
        <v>0</v>
      </c>
      <c r="R140" s="636">
        <f>IF(SUM(M140:Q140)&gt;0,0,1)</f>
        <v>1</v>
      </c>
      <c r="S140" s="637">
        <v>0</v>
      </c>
      <c r="T140" s="637"/>
      <c r="U140" s="637">
        <v>0</v>
      </c>
      <c r="V140" s="637"/>
      <c r="W140" s="637"/>
      <c r="X140" s="614"/>
      <c r="Y140" s="614"/>
      <c r="Z140" s="614"/>
      <c r="AA140" s="614"/>
      <c r="AB140" s="614"/>
      <c r="AC140" s="614"/>
      <c r="AD140" s="614"/>
      <c r="AE140" s="636">
        <f t="shared" si="289"/>
        <v>0</v>
      </c>
      <c r="AF140" s="636">
        <f t="shared" si="289"/>
        <v>0</v>
      </c>
      <c r="AG140" s="636">
        <f t="shared" si="289"/>
        <v>0</v>
      </c>
      <c r="AH140" s="636">
        <f t="shared" si="289"/>
        <v>0</v>
      </c>
      <c r="AI140" s="636">
        <f t="shared" si="289"/>
        <v>0</v>
      </c>
      <c r="AJ140" s="614"/>
      <c r="AK140" s="638">
        <f>ROUND(S140*(1+AK$1),2)</f>
        <v>0</v>
      </c>
      <c r="AL140" s="638"/>
      <c r="AM140" s="585">
        <f>ROUND(U140*(1+AM$1),2)</f>
        <v>0</v>
      </c>
      <c r="AN140" s="585">
        <f>ROUND(V140*(1+AN$1),2)</f>
        <v>0</v>
      </c>
      <c r="AO140" s="585">
        <f>ROUND(W140*(1+AO$1),2)</f>
        <v>0</v>
      </c>
      <c r="AP140" s="577"/>
      <c r="AQ140" s="577"/>
      <c r="AR140" s="577"/>
      <c r="AS140" s="577"/>
      <c r="AT140" s="577"/>
      <c r="AU140" s="577"/>
      <c r="AV140" s="577"/>
      <c r="AX140" s="592">
        <v>26</v>
      </c>
      <c r="AY140" s="582"/>
      <c r="AZ140" s="582">
        <v>0</v>
      </c>
      <c r="BA140" s="582"/>
      <c r="BB140" s="582"/>
      <c r="BC140" s="582"/>
      <c r="BD140" s="582"/>
      <c r="BE140" s="588">
        <f>ROUND(AX140*$BE$2,2)+ROUND(AX140*$BE$1,2)</f>
        <v>0.06</v>
      </c>
      <c r="BF140" s="578"/>
      <c r="BG140" s="578">
        <f>ROUND((T140*$BF$2)+$BE140-AZ140,2)</f>
        <v>0.06</v>
      </c>
      <c r="BH140" s="578"/>
      <c r="BI140" s="578"/>
      <c r="BJ140" s="578"/>
      <c r="BK140" s="577"/>
      <c r="BL140" s="577"/>
      <c r="BM140" s="586">
        <f>AK140*$BM$1</f>
        <v>0</v>
      </c>
      <c r="BN140" s="586">
        <f>AL140*$BM$1</f>
        <v>0</v>
      </c>
      <c r="BO140" s="586">
        <f>AM140*$BM$1</f>
        <v>0</v>
      </c>
      <c r="BP140" s="586">
        <f>AN140*$BM$1</f>
        <v>0</v>
      </c>
      <c r="BQ140" s="586">
        <f>AO140*$BM$1</f>
        <v>0</v>
      </c>
      <c r="BR140" s="577"/>
      <c r="BS140" s="578">
        <f>BM140-AY140</f>
        <v>0</v>
      </c>
      <c r="BT140" s="578">
        <f>BN140-AZ140</f>
        <v>0</v>
      </c>
      <c r="BU140" s="578">
        <f>BO140-BA140</f>
        <v>0</v>
      </c>
      <c r="BV140" s="578">
        <f>BP140-BB140</f>
        <v>0</v>
      </c>
      <c r="BW140" s="578">
        <f>BQ140-BC140</f>
        <v>0</v>
      </c>
      <c r="BX140" s="577"/>
      <c r="BY140" s="577"/>
      <c r="BZ140" s="577"/>
      <c r="CA140" s="577"/>
      <c r="CB140" s="577"/>
    </row>
    <row r="141" spans="2:123">
      <c r="B141"/>
      <c r="C141"/>
      <c r="D141" s="59" t="s">
        <v>407</v>
      </c>
      <c r="E141" s="175">
        <f>5318+3673</f>
        <v>8991</v>
      </c>
      <c r="I141" s="19" t="s">
        <v>716</v>
      </c>
      <c r="J141" s="19" t="s">
        <v>136</v>
      </c>
      <c r="K141" s="86" t="s">
        <v>614</v>
      </c>
      <c r="L141" s="321" t="s">
        <v>808</v>
      </c>
      <c r="T141" s="618">
        <v>47.26</v>
      </c>
      <c r="AL141" s="585">
        <f>ROUND(T141*(1+AL$1),2)</f>
        <v>50.88</v>
      </c>
    </row>
    <row r="142" spans="2:123">
      <c r="B142"/>
      <c r="C142"/>
      <c r="E142" s="74">
        <f>E140+E141</f>
        <v>32627</v>
      </c>
      <c r="I142" s="434" t="s">
        <v>712</v>
      </c>
      <c r="J142" s="577" t="s">
        <v>109</v>
      </c>
      <c r="K142" s="579" t="s">
        <v>614</v>
      </c>
      <c r="L142" s="581" t="s">
        <v>604</v>
      </c>
      <c r="M142" s="580">
        <f t="shared" ref="M142:Q146" si="296">SUMIF($G:$G,TEXT(M$3,"000")&amp;TEXT($L142,"000"),$E:$E)</f>
        <v>0</v>
      </c>
      <c r="N142" s="580">
        <f t="shared" si="296"/>
        <v>0</v>
      </c>
      <c r="O142" s="580">
        <f t="shared" si="296"/>
        <v>0</v>
      </c>
      <c r="P142" s="580">
        <f t="shared" si="296"/>
        <v>0</v>
      </c>
      <c r="Q142" s="580">
        <f t="shared" si="296"/>
        <v>0</v>
      </c>
      <c r="R142" s="580">
        <f t="shared" ref="R142:R149" si="297">IF(SUM(M142:Q142)&gt;0,0,1)</f>
        <v>1</v>
      </c>
      <c r="S142" s="618">
        <v>0</v>
      </c>
      <c r="T142" s="618">
        <v>59.28</v>
      </c>
      <c r="U142" s="618">
        <v>0</v>
      </c>
      <c r="V142" s="618"/>
      <c r="W142" s="618"/>
      <c r="X142" s="577"/>
      <c r="Y142" s="577"/>
      <c r="Z142" s="577"/>
      <c r="AA142" s="577"/>
      <c r="AB142" s="577"/>
      <c r="AC142" s="577"/>
      <c r="AD142" s="577"/>
      <c r="AE142" s="580">
        <f t="shared" ref="AE142:AI146" si="298">SUMIF($G:$G,TEXT(AE$3,"000")&amp;TEXT($L142,"000"),$E:$E)</f>
        <v>0</v>
      </c>
      <c r="AF142" s="580">
        <f t="shared" si="298"/>
        <v>0</v>
      </c>
      <c r="AG142" s="580">
        <f t="shared" si="298"/>
        <v>0</v>
      </c>
      <c r="AH142" s="580">
        <f t="shared" si="298"/>
        <v>0</v>
      </c>
      <c r="AI142" s="580">
        <f t="shared" si="298"/>
        <v>0</v>
      </c>
      <c r="AJ142" s="577"/>
      <c r="AK142" s="585">
        <f t="shared" ref="AK142:AK149" si="299">ROUND(S142*(1+AK$1),2)</f>
        <v>0</v>
      </c>
      <c r="AL142" s="585">
        <f>ROUND(T142*(1+AL$1),2)</f>
        <v>63.81</v>
      </c>
      <c r="AM142" s="585">
        <f t="shared" ref="AM142:AO149" si="300">ROUND(U142*(1+AM$1),2)</f>
        <v>0</v>
      </c>
      <c r="AN142" s="585">
        <f t="shared" si="300"/>
        <v>0</v>
      </c>
      <c r="AO142" s="585">
        <f t="shared" si="300"/>
        <v>0</v>
      </c>
      <c r="AP142" s="577"/>
      <c r="AQ142" s="577"/>
      <c r="AR142" s="577"/>
      <c r="AS142" s="577"/>
      <c r="AT142" s="577"/>
      <c r="AU142" s="577"/>
      <c r="AV142" s="577"/>
      <c r="AX142" s="592">
        <v>39</v>
      </c>
      <c r="AY142" s="582"/>
      <c r="AZ142" s="582">
        <v>59.13</v>
      </c>
      <c r="BA142" s="582"/>
      <c r="BB142" s="582"/>
      <c r="BC142" s="582"/>
      <c r="BD142" s="582"/>
      <c r="BE142" s="588">
        <f>ROUND(AX142*$BE$2,2)+ROUND(AX142*$BE$1,2)</f>
        <v>8.0000000000000016E-2</v>
      </c>
      <c r="BF142" s="578"/>
      <c r="BG142" s="578">
        <f>ROUND((T142*$BF$2)+$BE142-AZ142,2)</f>
        <v>1.1299999999999999</v>
      </c>
      <c r="BH142" s="578"/>
      <c r="BI142" s="578"/>
      <c r="BJ142" s="578"/>
      <c r="BK142" s="577"/>
      <c r="BL142" s="577"/>
      <c r="BM142" s="586">
        <f t="shared" ref="BM142:BQ146" si="301">AK142*$BM$1</f>
        <v>0</v>
      </c>
      <c r="BN142" s="586">
        <f t="shared" si="301"/>
        <v>64.773530999999991</v>
      </c>
      <c r="BO142" s="586">
        <f t="shared" si="301"/>
        <v>0</v>
      </c>
      <c r="BP142" s="586">
        <f t="shared" si="301"/>
        <v>0</v>
      </c>
      <c r="BQ142" s="586">
        <f t="shared" si="301"/>
        <v>0</v>
      </c>
      <c r="BR142" s="577"/>
      <c r="BS142" s="578">
        <f t="shared" ref="BS142:BW146" si="302">BM142-AY142</f>
        <v>0</v>
      </c>
      <c r="BT142" s="578">
        <f t="shared" si="302"/>
        <v>5.6435309999999888</v>
      </c>
      <c r="BU142" s="578">
        <f t="shared" si="302"/>
        <v>0</v>
      </c>
      <c r="BV142" s="578">
        <f t="shared" si="302"/>
        <v>0</v>
      </c>
      <c r="BW142" s="578">
        <f t="shared" si="302"/>
        <v>0</v>
      </c>
      <c r="BX142" s="577"/>
      <c r="BY142" s="577"/>
      <c r="BZ142" s="577"/>
      <c r="CA142" s="577"/>
      <c r="CB142" s="577"/>
    </row>
    <row r="143" spans="2:123">
      <c r="B143"/>
      <c r="C143"/>
      <c r="E143" s="73">
        <f>E138+'Area Lts'!E96-E142</f>
        <v>393</v>
      </c>
      <c r="I143" s="434" t="s">
        <v>716</v>
      </c>
      <c r="J143" s="595" t="s">
        <v>109</v>
      </c>
      <c r="K143" s="579" t="s">
        <v>132</v>
      </c>
      <c r="L143" s="581" t="s">
        <v>612</v>
      </c>
      <c r="M143" s="580">
        <f t="shared" si="296"/>
        <v>0</v>
      </c>
      <c r="N143" s="580">
        <f t="shared" si="296"/>
        <v>0</v>
      </c>
      <c r="O143" s="580">
        <f t="shared" si="296"/>
        <v>0</v>
      </c>
      <c r="P143" s="580">
        <f t="shared" si="296"/>
        <v>0</v>
      </c>
      <c r="Q143" s="580">
        <f t="shared" si="296"/>
        <v>0</v>
      </c>
      <c r="R143" s="580">
        <f t="shared" si="297"/>
        <v>1</v>
      </c>
      <c r="S143" s="618">
        <v>0</v>
      </c>
      <c r="T143" s="618">
        <v>40.700000000000003</v>
      </c>
      <c r="U143" s="618">
        <v>0</v>
      </c>
      <c r="V143" s="618">
        <v>0</v>
      </c>
      <c r="W143" s="618"/>
      <c r="X143" s="595"/>
      <c r="Y143" s="595"/>
      <c r="Z143" s="595"/>
      <c r="AA143" s="595"/>
      <c r="AB143" s="595"/>
      <c r="AC143" s="595"/>
      <c r="AD143" s="595"/>
      <c r="AE143" s="580">
        <f t="shared" si="298"/>
        <v>0</v>
      </c>
      <c r="AF143" s="580">
        <f t="shared" si="298"/>
        <v>0</v>
      </c>
      <c r="AG143" s="580">
        <f t="shared" si="298"/>
        <v>0</v>
      </c>
      <c r="AH143" s="580">
        <f t="shared" si="298"/>
        <v>0</v>
      </c>
      <c r="AI143" s="580">
        <f t="shared" si="298"/>
        <v>0</v>
      </c>
      <c r="AJ143" s="595"/>
      <c r="AK143" s="585">
        <f t="shared" si="299"/>
        <v>0</v>
      </c>
      <c r="AL143" s="585">
        <f>ROUND(T143*(1+AL$1),2)</f>
        <v>43.81</v>
      </c>
      <c r="AM143" s="585">
        <f t="shared" si="300"/>
        <v>0</v>
      </c>
      <c r="AN143" s="585">
        <f t="shared" si="300"/>
        <v>0</v>
      </c>
      <c r="AO143" s="585">
        <f t="shared" si="300"/>
        <v>0</v>
      </c>
      <c r="AP143" s="595"/>
      <c r="AQ143" s="595"/>
      <c r="AR143" s="595"/>
      <c r="AS143" s="595"/>
      <c r="AT143" s="595"/>
      <c r="AU143" s="595"/>
      <c r="AV143" s="595"/>
      <c r="AX143" s="592">
        <f>26+26</f>
        <v>52</v>
      </c>
      <c r="AY143" s="582"/>
      <c r="AZ143" s="582">
        <v>40.98</v>
      </c>
      <c r="BA143" s="582"/>
      <c r="BB143" s="582"/>
      <c r="BC143" s="582"/>
      <c r="BD143" s="582"/>
      <c r="BE143" s="588">
        <f>ROUND(AX143*$BE$2,2)+ROUND(AX143*$BE$1,2)</f>
        <v>0.10999999999999999</v>
      </c>
      <c r="BF143" s="578"/>
      <c r="BG143" s="578">
        <f>ROUND((T143*$BF$2)+$BE143-AZ143,2)</f>
        <v>0.44</v>
      </c>
      <c r="BH143" s="578"/>
      <c r="BI143" s="578"/>
      <c r="BJ143" s="578"/>
      <c r="BK143" s="595"/>
      <c r="BL143" s="595"/>
      <c r="BM143" s="586">
        <f t="shared" si="301"/>
        <v>0</v>
      </c>
      <c r="BN143" s="586">
        <f t="shared" si="301"/>
        <v>44.471530999999999</v>
      </c>
      <c r="BO143" s="586">
        <f t="shared" si="301"/>
        <v>0</v>
      </c>
      <c r="BP143" s="586">
        <f t="shared" si="301"/>
        <v>0</v>
      </c>
      <c r="BQ143" s="586">
        <f t="shared" si="301"/>
        <v>0</v>
      </c>
      <c r="BR143" s="595"/>
      <c r="BS143" s="578">
        <f t="shared" si="302"/>
        <v>0</v>
      </c>
      <c r="BT143" s="578">
        <f t="shared" si="302"/>
        <v>3.4915310000000019</v>
      </c>
      <c r="BU143" s="578">
        <f t="shared" si="302"/>
        <v>0</v>
      </c>
      <c r="BV143" s="578">
        <f t="shared" si="302"/>
        <v>0</v>
      </c>
      <c r="BW143" s="578">
        <f t="shared" si="302"/>
        <v>0</v>
      </c>
    </row>
    <row r="144" spans="2:123">
      <c r="B144"/>
      <c r="C144"/>
      <c r="I144" s="434" t="s">
        <v>719</v>
      </c>
      <c r="J144" s="595" t="s">
        <v>107</v>
      </c>
      <c r="K144" s="579" t="s">
        <v>132</v>
      </c>
      <c r="L144" s="581" t="s">
        <v>613</v>
      </c>
      <c r="M144" s="580">
        <f t="shared" si="296"/>
        <v>0</v>
      </c>
      <c r="N144" s="580">
        <f t="shared" si="296"/>
        <v>0</v>
      </c>
      <c r="O144" s="580">
        <f t="shared" si="296"/>
        <v>0</v>
      </c>
      <c r="P144" s="580">
        <f t="shared" si="296"/>
        <v>0</v>
      </c>
      <c r="Q144" s="580">
        <f t="shared" si="296"/>
        <v>0</v>
      </c>
      <c r="R144" s="580">
        <f t="shared" si="297"/>
        <v>1</v>
      </c>
      <c r="S144" s="618">
        <v>0</v>
      </c>
      <c r="T144" s="618">
        <v>19.71</v>
      </c>
      <c r="U144" s="618">
        <v>0</v>
      </c>
      <c r="V144" s="618">
        <v>0</v>
      </c>
      <c r="W144" s="618"/>
      <c r="X144" s="595"/>
      <c r="Y144" s="595"/>
      <c r="Z144" s="595"/>
      <c r="AA144" s="595"/>
      <c r="AB144" s="595"/>
      <c r="AC144" s="595"/>
      <c r="AD144" s="595"/>
      <c r="AE144" s="580">
        <f t="shared" si="298"/>
        <v>0</v>
      </c>
      <c r="AF144" s="580">
        <f t="shared" si="298"/>
        <v>0</v>
      </c>
      <c r="AG144" s="580">
        <f t="shared" si="298"/>
        <v>0</v>
      </c>
      <c r="AH144" s="580">
        <f t="shared" si="298"/>
        <v>0</v>
      </c>
      <c r="AI144" s="580">
        <f t="shared" si="298"/>
        <v>0</v>
      </c>
      <c r="AJ144" s="595"/>
      <c r="AK144" s="585">
        <f t="shared" si="299"/>
        <v>0</v>
      </c>
      <c r="AL144" s="585">
        <f>AL54</f>
        <v>21.22</v>
      </c>
      <c r="AM144" s="585">
        <f t="shared" si="300"/>
        <v>0</v>
      </c>
      <c r="AN144" s="585">
        <f t="shared" si="300"/>
        <v>0</v>
      </c>
      <c r="AO144" s="585">
        <f t="shared" si="300"/>
        <v>0</v>
      </c>
      <c r="AP144" s="595"/>
      <c r="AQ144" s="595"/>
      <c r="AR144" s="595"/>
      <c r="AS144" s="595"/>
      <c r="AT144" s="595"/>
      <c r="AU144" s="595"/>
      <c r="AV144" s="595"/>
      <c r="AX144" s="592">
        <v>26</v>
      </c>
      <c r="AY144" s="582"/>
      <c r="AZ144" s="582">
        <v>19.86</v>
      </c>
      <c r="BA144" s="582"/>
      <c r="BB144" s="582"/>
      <c r="BC144" s="582"/>
      <c r="BD144" s="582"/>
      <c r="BE144" s="588">
        <f>ROUND(AX144*$BE$2,2)+ROUND(AX144*$BE$1,2)</f>
        <v>0.06</v>
      </c>
      <c r="BF144" s="578"/>
      <c r="BG144" s="578">
        <f>ROUND((T144*$BF$2)+$BE144-AZ144,2)</f>
        <v>0.21</v>
      </c>
      <c r="BH144" s="578"/>
      <c r="BI144" s="578"/>
      <c r="BJ144" s="578"/>
      <c r="BK144" s="595"/>
      <c r="BL144" s="595"/>
      <c r="BM144" s="586">
        <f t="shared" si="301"/>
        <v>0</v>
      </c>
      <c r="BN144" s="586">
        <f t="shared" si="301"/>
        <v>21.540421999999996</v>
      </c>
      <c r="BO144" s="586">
        <f t="shared" si="301"/>
        <v>0</v>
      </c>
      <c r="BP144" s="586">
        <f t="shared" si="301"/>
        <v>0</v>
      </c>
      <c r="BQ144" s="586">
        <f t="shared" si="301"/>
        <v>0</v>
      </c>
      <c r="BR144" s="595"/>
      <c r="BS144" s="578">
        <f t="shared" si="302"/>
        <v>0</v>
      </c>
      <c r="BT144" s="578">
        <f t="shared" si="302"/>
        <v>1.6804219999999965</v>
      </c>
      <c r="BU144" s="578">
        <f t="shared" si="302"/>
        <v>0</v>
      </c>
      <c r="BV144" s="578">
        <f t="shared" si="302"/>
        <v>0</v>
      </c>
      <c r="BW144" s="578">
        <f t="shared" si="302"/>
        <v>0</v>
      </c>
    </row>
    <row r="145" spans="2:85">
      <c r="B145"/>
      <c r="C145"/>
      <c r="I145" s="689" t="s">
        <v>453</v>
      </c>
      <c r="J145" s="689" t="s">
        <v>131</v>
      </c>
      <c r="K145" s="579" t="s">
        <v>822</v>
      </c>
      <c r="L145" s="581" t="s">
        <v>824</v>
      </c>
      <c r="M145" s="580">
        <f t="shared" si="296"/>
        <v>0</v>
      </c>
      <c r="N145" s="580">
        <f t="shared" si="296"/>
        <v>0</v>
      </c>
      <c r="O145" s="580">
        <f t="shared" si="296"/>
        <v>0</v>
      </c>
      <c r="P145" s="580">
        <f t="shared" si="296"/>
        <v>0</v>
      </c>
      <c r="Q145" s="580">
        <f t="shared" si="296"/>
        <v>0</v>
      </c>
      <c r="R145" s="580">
        <f t="shared" si="297"/>
        <v>1</v>
      </c>
      <c r="S145" s="618">
        <v>0</v>
      </c>
      <c r="T145" s="618">
        <v>0</v>
      </c>
      <c r="U145" s="618">
        <v>0</v>
      </c>
      <c r="V145" s="618">
        <v>0</v>
      </c>
      <c r="W145" s="618"/>
      <c r="X145" s="689"/>
      <c r="Y145" s="70">
        <f t="shared" ref="Y145:Y146" si="303">IF(AND(M145&lt;&gt;0,S145=0),#VALUE!,M145*S145)</f>
        <v>0</v>
      </c>
      <c r="Z145" s="70">
        <f t="shared" ref="Z145:Z146" si="304">IF(AND(N145&lt;&gt;0,T145=0),#VALUE!,N145*T145)</f>
        <v>0</v>
      </c>
      <c r="AA145" s="70">
        <f t="shared" ref="AA145:AA146" si="305">IF(AND(O145&lt;&gt;0,U145=0),#VALUE!,O145*U145)</f>
        <v>0</v>
      </c>
      <c r="AB145" s="70">
        <f t="shared" ref="AB145:AB146" si="306">IF(AND(P145&lt;&gt;0,V145=0),#VALUE!,P145*V145)</f>
        <v>0</v>
      </c>
      <c r="AC145" s="70">
        <f t="shared" ref="AC145:AC146" si="307">IF(AND(Q145&lt;&gt;0,W145=0),#VALUE!,Q145*W145)</f>
        <v>0</v>
      </c>
      <c r="AD145" s="689"/>
      <c r="AE145" s="580">
        <f t="shared" si="298"/>
        <v>0</v>
      </c>
      <c r="AF145" s="580">
        <f t="shared" si="298"/>
        <v>0</v>
      </c>
      <c r="AG145" s="580">
        <f t="shared" si="298"/>
        <v>0</v>
      </c>
      <c r="AH145" s="580">
        <f t="shared" si="298"/>
        <v>0</v>
      </c>
      <c r="AI145" s="580">
        <f t="shared" si="298"/>
        <v>0</v>
      </c>
      <c r="AJ145" s="689"/>
      <c r="AK145" s="585">
        <f t="shared" si="299"/>
        <v>0</v>
      </c>
      <c r="AL145" s="585"/>
      <c r="AM145" s="585">
        <f t="shared" si="300"/>
        <v>0</v>
      </c>
      <c r="AN145" s="585">
        <f t="shared" si="300"/>
        <v>0</v>
      </c>
      <c r="AO145" s="638">
        <f t="shared" si="300"/>
        <v>0</v>
      </c>
      <c r="AP145" s="689"/>
      <c r="AQ145" s="70">
        <f t="shared" ref="AQ145:AQ146" si="308">IF(AND(AE145&lt;&gt;0,AK145=0),#VALUE!,AE145*AK145)</f>
        <v>0</v>
      </c>
      <c r="AR145" s="70">
        <f t="shared" ref="AR145:AR146" si="309">IF(AND(AF145&lt;&gt;0,AL145=0),#VALUE!,AF145*AL145)</f>
        <v>0</v>
      </c>
      <c r="AS145" s="70">
        <f t="shared" ref="AS145:AS146" si="310">IF(AND(AG145&lt;&gt;0,AM145=0),#VALUE!,AG145*AM145)</f>
        <v>0</v>
      </c>
      <c r="AT145" s="70">
        <f t="shared" ref="AT145:AT146" si="311">IF(AND(AH145&lt;&gt;0,AN145=0),#VALUE!,AH145*AN145)</f>
        <v>0</v>
      </c>
      <c r="AU145" s="70">
        <f t="shared" ref="AU145:AU146" si="312">IF(AND(AI145&lt;&gt;0,AO145=0),#VALUE!,AI145*AO145)</f>
        <v>0</v>
      </c>
      <c r="AV145" s="689"/>
      <c r="AX145" s="592">
        <v>6</v>
      </c>
      <c r="AY145" s="582"/>
      <c r="AZ145" s="582"/>
      <c r="BA145" s="582"/>
      <c r="BB145" s="582"/>
      <c r="BC145" s="582"/>
      <c r="BD145" s="582"/>
      <c r="BE145" s="588">
        <f t="shared" ref="BE145:BE146" si="313">ROUND(AX145*$BE$2,2)+ROUND(AX145*$BE$1,2)</f>
        <v>9.999999999999995E-3</v>
      </c>
      <c r="BF145" s="578"/>
      <c r="BG145" s="578"/>
      <c r="BH145" s="578"/>
      <c r="BI145" s="578"/>
      <c r="BJ145" s="578">
        <f>ROUND((W145*$BF$2)+$BE145-BC145,2)</f>
        <v>0.01</v>
      </c>
      <c r="BK145" s="689"/>
      <c r="BL145" s="689"/>
      <c r="BM145" s="586">
        <f t="shared" si="301"/>
        <v>0</v>
      </c>
      <c r="BN145" s="586">
        <f t="shared" si="301"/>
        <v>0</v>
      </c>
      <c r="BO145" s="586">
        <f t="shared" si="301"/>
        <v>0</v>
      </c>
      <c r="BP145" s="586">
        <f t="shared" si="301"/>
        <v>0</v>
      </c>
      <c r="BQ145" s="586">
        <f t="shared" si="301"/>
        <v>0</v>
      </c>
      <c r="BR145" s="689"/>
      <c r="BS145" s="578">
        <f t="shared" si="302"/>
        <v>0</v>
      </c>
      <c r="BT145" s="578">
        <f t="shared" si="302"/>
        <v>0</v>
      </c>
      <c r="BU145" s="578">
        <f t="shared" si="302"/>
        <v>0</v>
      </c>
      <c r="BV145" s="578">
        <f t="shared" si="302"/>
        <v>0</v>
      </c>
      <c r="BW145" s="578">
        <f>BQ145-BC145</f>
        <v>0</v>
      </c>
      <c r="BX145" s="689"/>
      <c r="BY145" s="689"/>
      <c r="BZ145" s="689"/>
      <c r="CA145" s="689"/>
      <c r="CB145" s="689"/>
      <c r="CC145" s="689"/>
      <c r="CD145" s="689"/>
      <c r="CE145" s="689"/>
      <c r="CF145" s="689"/>
      <c r="CG145" s="689"/>
    </row>
    <row r="146" spans="2:85">
      <c r="B146"/>
      <c r="C146"/>
      <c r="I146" s="689" t="s">
        <v>453</v>
      </c>
      <c r="J146" s="689" t="s">
        <v>131</v>
      </c>
      <c r="K146" s="579" t="s">
        <v>823</v>
      </c>
      <c r="L146" s="581" t="s">
        <v>825</v>
      </c>
      <c r="M146" s="580">
        <f t="shared" si="296"/>
        <v>0</v>
      </c>
      <c r="N146" s="580">
        <f t="shared" si="296"/>
        <v>0</v>
      </c>
      <c r="O146" s="580">
        <f t="shared" si="296"/>
        <v>0</v>
      </c>
      <c r="P146" s="580">
        <f t="shared" si="296"/>
        <v>0</v>
      </c>
      <c r="Q146" s="580">
        <f t="shared" si="296"/>
        <v>0</v>
      </c>
      <c r="R146" s="580">
        <f t="shared" si="297"/>
        <v>1</v>
      </c>
      <c r="S146" s="618">
        <v>0</v>
      </c>
      <c r="T146" s="618">
        <v>0</v>
      </c>
      <c r="U146" s="618">
        <v>0</v>
      </c>
      <c r="V146" s="618">
        <v>0</v>
      </c>
      <c r="W146" s="618"/>
      <c r="X146" s="689"/>
      <c r="Y146" s="70">
        <f t="shared" si="303"/>
        <v>0</v>
      </c>
      <c r="Z146" s="70">
        <f t="shared" si="304"/>
        <v>0</v>
      </c>
      <c r="AA146" s="70">
        <f t="shared" si="305"/>
        <v>0</v>
      </c>
      <c r="AB146" s="70">
        <f t="shared" si="306"/>
        <v>0</v>
      </c>
      <c r="AC146" s="70">
        <f t="shared" si="307"/>
        <v>0</v>
      </c>
      <c r="AD146" s="689"/>
      <c r="AE146" s="580">
        <f t="shared" si="298"/>
        <v>0</v>
      </c>
      <c r="AF146" s="580">
        <f t="shared" si="298"/>
        <v>0</v>
      </c>
      <c r="AG146" s="580">
        <f t="shared" si="298"/>
        <v>0</v>
      </c>
      <c r="AH146" s="580">
        <f t="shared" si="298"/>
        <v>0</v>
      </c>
      <c r="AI146" s="580">
        <f t="shared" si="298"/>
        <v>0</v>
      </c>
      <c r="AJ146" s="689"/>
      <c r="AK146" s="585">
        <f t="shared" si="299"/>
        <v>0</v>
      </c>
      <c r="AL146" s="585"/>
      <c r="AM146" s="585">
        <f t="shared" si="300"/>
        <v>0</v>
      </c>
      <c r="AN146" s="585">
        <f t="shared" si="300"/>
        <v>0</v>
      </c>
      <c r="AO146" s="638">
        <f t="shared" si="300"/>
        <v>0</v>
      </c>
      <c r="AP146" s="689"/>
      <c r="AQ146" s="70">
        <f t="shared" si="308"/>
        <v>0</v>
      </c>
      <c r="AR146" s="70">
        <f t="shared" si="309"/>
        <v>0</v>
      </c>
      <c r="AS146" s="70">
        <f t="shared" si="310"/>
        <v>0</v>
      </c>
      <c r="AT146" s="70">
        <f t="shared" si="311"/>
        <v>0</v>
      </c>
      <c r="AU146" s="70">
        <f t="shared" si="312"/>
        <v>0</v>
      </c>
      <c r="AV146" s="689"/>
      <c r="AX146" s="592">
        <v>9</v>
      </c>
      <c r="AY146" s="582"/>
      <c r="AZ146" s="582"/>
      <c r="BA146" s="582"/>
      <c r="BB146" s="582"/>
      <c r="BC146" s="582"/>
      <c r="BD146" s="582"/>
      <c r="BE146" s="588">
        <f t="shared" si="313"/>
        <v>2.0000000000000004E-2</v>
      </c>
      <c r="BF146" s="578"/>
      <c r="BG146" s="578"/>
      <c r="BH146" s="578"/>
      <c r="BI146" s="578"/>
      <c r="BJ146" s="578">
        <f>ROUND((W146*$BF$2)+$BE146-BC146,2)</f>
        <v>0.02</v>
      </c>
      <c r="BK146" s="689"/>
      <c r="BL146" s="689"/>
      <c r="BM146" s="586">
        <f t="shared" si="301"/>
        <v>0</v>
      </c>
      <c r="BN146" s="586">
        <f t="shared" si="301"/>
        <v>0</v>
      </c>
      <c r="BO146" s="586">
        <f t="shared" si="301"/>
        <v>0</v>
      </c>
      <c r="BP146" s="586">
        <f t="shared" si="301"/>
        <v>0</v>
      </c>
      <c r="BQ146" s="586">
        <f t="shared" si="301"/>
        <v>0</v>
      </c>
      <c r="BR146" s="689"/>
      <c r="BS146" s="578">
        <f t="shared" si="302"/>
        <v>0</v>
      </c>
      <c r="BT146" s="578">
        <f t="shared" si="302"/>
        <v>0</v>
      </c>
      <c r="BU146" s="578">
        <f t="shared" si="302"/>
        <v>0</v>
      </c>
      <c r="BV146" s="578">
        <f t="shared" si="302"/>
        <v>0</v>
      </c>
      <c r="BW146" s="578">
        <f t="shared" si="302"/>
        <v>0</v>
      </c>
      <c r="BX146" s="689"/>
      <c r="BY146" s="689"/>
      <c r="BZ146" s="689"/>
      <c r="CA146" s="689"/>
      <c r="CB146" s="689"/>
      <c r="CC146" s="689"/>
      <c r="CD146" s="689"/>
      <c r="CE146" s="689"/>
      <c r="CF146" s="689"/>
      <c r="CG146" s="689"/>
    </row>
    <row r="148" spans="2:85">
      <c r="I148" s="434" t="s">
        <v>712</v>
      </c>
      <c r="J148" s="635" t="s">
        <v>136</v>
      </c>
      <c r="K148" s="579" t="s">
        <v>639</v>
      </c>
      <c r="L148" s="581" t="s">
        <v>643</v>
      </c>
      <c r="M148" s="580">
        <f t="shared" ref="M148:Q149" si="314">SUMIF($G:$G,TEXT(M$3,"000")&amp;TEXT($L148,"000"),$E:$E)</f>
        <v>0</v>
      </c>
      <c r="N148" s="580">
        <f t="shared" si="314"/>
        <v>0</v>
      </c>
      <c r="O148" s="580">
        <f t="shared" si="314"/>
        <v>0</v>
      </c>
      <c r="P148" s="580">
        <f t="shared" si="314"/>
        <v>0</v>
      </c>
      <c r="Q148" s="580">
        <f t="shared" si="314"/>
        <v>0</v>
      </c>
      <c r="R148" s="580">
        <f t="shared" si="297"/>
        <v>1</v>
      </c>
      <c r="S148" s="618">
        <v>0</v>
      </c>
      <c r="T148" s="618">
        <v>35.29</v>
      </c>
      <c r="U148" s="618">
        <v>0</v>
      </c>
      <c r="V148" s="618">
        <v>0</v>
      </c>
      <c r="W148" s="618"/>
      <c r="X148" s="635"/>
      <c r="Y148" s="635"/>
      <c r="Z148" s="635"/>
      <c r="AA148" s="635"/>
      <c r="AB148" s="635"/>
      <c r="AC148" s="635"/>
      <c r="AD148" s="635"/>
      <c r="AE148" s="580">
        <f t="shared" ref="AE148:AI149" si="315">SUMIF($G:$G,TEXT(AE$3,"000")&amp;TEXT($L148,"000"),$E:$E)</f>
        <v>0</v>
      </c>
      <c r="AF148" s="580">
        <f t="shared" si="315"/>
        <v>0</v>
      </c>
      <c r="AG148" s="580">
        <f t="shared" si="315"/>
        <v>0</v>
      </c>
      <c r="AH148" s="580">
        <f t="shared" si="315"/>
        <v>0</v>
      </c>
      <c r="AI148" s="580">
        <f t="shared" si="315"/>
        <v>0</v>
      </c>
      <c r="AJ148" s="635"/>
      <c r="AK148" s="585">
        <f t="shared" si="299"/>
        <v>0</v>
      </c>
      <c r="AL148" s="585">
        <f>ROUND(T148*(1+AL$1),2)</f>
        <v>37.99</v>
      </c>
      <c r="AM148" s="585">
        <f t="shared" si="300"/>
        <v>0</v>
      </c>
      <c r="AN148" s="585">
        <f t="shared" si="300"/>
        <v>0</v>
      </c>
      <c r="AO148" s="585">
        <f t="shared" si="300"/>
        <v>0</v>
      </c>
      <c r="AP148" s="635"/>
      <c r="AX148" s="445">
        <v>83</v>
      </c>
      <c r="AZ148">
        <v>36.1</v>
      </c>
      <c r="BE148" s="588">
        <f>ROUND(AX148*$BE$2,2)+ROUND(AX148*$BE$1,2)</f>
        <v>0.18999999999999995</v>
      </c>
      <c r="BF148" s="578"/>
      <c r="BG148" s="578">
        <f>ROUND((T148*$BF$2)+$BE148-AZ148,2)</f>
        <v>-0.09</v>
      </c>
    </row>
    <row r="149" spans="2:85">
      <c r="I149" s="434" t="s">
        <v>716</v>
      </c>
      <c r="J149" s="635" t="s">
        <v>109</v>
      </c>
      <c r="K149" s="579" t="s">
        <v>639</v>
      </c>
      <c r="L149" s="581" t="s">
        <v>644</v>
      </c>
      <c r="M149" s="580">
        <f t="shared" si="314"/>
        <v>0</v>
      </c>
      <c r="N149" s="580">
        <f t="shared" si="314"/>
        <v>0</v>
      </c>
      <c r="O149" s="580">
        <f t="shared" si="314"/>
        <v>0</v>
      </c>
      <c r="P149" s="580">
        <f t="shared" si="314"/>
        <v>0</v>
      </c>
      <c r="Q149" s="580">
        <f t="shared" si="314"/>
        <v>0</v>
      </c>
      <c r="R149" s="580">
        <f t="shared" si="297"/>
        <v>1</v>
      </c>
      <c r="S149" s="618">
        <v>0</v>
      </c>
      <c r="T149" s="618">
        <v>92.5</v>
      </c>
      <c r="U149" s="618">
        <v>0</v>
      </c>
      <c r="V149" s="618">
        <v>0</v>
      </c>
      <c r="W149" s="618"/>
      <c r="X149" s="635"/>
      <c r="Y149" s="635"/>
      <c r="Z149" s="635"/>
      <c r="AA149" s="635"/>
      <c r="AB149" s="635"/>
      <c r="AC149" s="635"/>
      <c r="AD149" s="635"/>
      <c r="AE149" s="580">
        <f t="shared" si="315"/>
        <v>0</v>
      </c>
      <c r="AF149" s="580">
        <f t="shared" si="315"/>
        <v>0</v>
      </c>
      <c r="AG149" s="580">
        <f t="shared" si="315"/>
        <v>0</v>
      </c>
      <c r="AH149" s="580">
        <f t="shared" si="315"/>
        <v>0</v>
      </c>
      <c r="AI149" s="580">
        <f t="shared" si="315"/>
        <v>0</v>
      </c>
      <c r="AJ149" s="635"/>
      <c r="AK149" s="585">
        <f t="shared" si="299"/>
        <v>0</v>
      </c>
      <c r="AL149" s="585">
        <f>AL95</f>
        <v>99.58</v>
      </c>
      <c r="AM149" s="585">
        <f t="shared" si="300"/>
        <v>0</v>
      </c>
      <c r="AN149" s="585">
        <f t="shared" si="300"/>
        <v>0</v>
      </c>
      <c r="AO149" s="585">
        <f t="shared" si="300"/>
        <v>0</v>
      </c>
      <c r="AP149" s="635"/>
      <c r="AX149" s="445">
        <v>166</v>
      </c>
      <c r="AZ149">
        <v>93.85</v>
      </c>
      <c r="BE149" s="588">
        <f>ROUND(AX149*$BE$2,2)+ROUND(AX149*$BE$1,2)</f>
        <v>0.3600000000000001</v>
      </c>
      <c r="BF149" s="578"/>
      <c r="BG149" s="578">
        <f>ROUND((T149*$BF$2)+$BE149-AZ149,2)</f>
        <v>0.41</v>
      </c>
    </row>
    <row r="150" spans="2:85">
      <c r="I150" s="614" t="s">
        <v>453</v>
      </c>
      <c r="J150" s="614" t="s">
        <v>131</v>
      </c>
      <c r="K150" s="619" t="s">
        <v>822</v>
      </c>
      <c r="L150" s="620" t="s">
        <v>824</v>
      </c>
      <c r="M150" s="636">
        <f t="shared" ref="M150:Q152" si="316">SUMIF($G:$G,TEXT(M$3,"000")&amp;TEXT($L150,"000"),$E:$E)</f>
        <v>0</v>
      </c>
      <c r="N150" s="636">
        <f t="shared" si="316"/>
        <v>0</v>
      </c>
      <c r="O150" s="636">
        <f t="shared" si="316"/>
        <v>0</v>
      </c>
      <c r="P150" s="636">
        <f t="shared" si="316"/>
        <v>0</v>
      </c>
      <c r="Q150" s="636">
        <f t="shared" si="316"/>
        <v>0</v>
      </c>
      <c r="R150" s="636">
        <f>IF(SUM(M150:Q150)&gt;0,0,1)</f>
        <v>1</v>
      </c>
      <c r="S150" s="637">
        <v>0</v>
      </c>
      <c r="T150" s="637">
        <v>0</v>
      </c>
      <c r="U150" s="637">
        <v>0</v>
      </c>
      <c r="V150" s="637">
        <v>0</v>
      </c>
      <c r="W150" s="637">
        <v>0.65</v>
      </c>
      <c r="X150" s="614"/>
      <c r="Y150" s="694">
        <f t="shared" ref="Y150:AC152" si="317">IF(AND(M150&lt;&gt;0,S150=0),#VALUE!,M150*S150)</f>
        <v>0</v>
      </c>
      <c r="Z150" s="694">
        <f t="shared" si="317"/>
        <v>0</v>
      </c>
      <c r="AA150" s="694">
        <f t="shared" si="317"/>
        <v>0</v>
      </c>
      <c r="AB150" s="694">
        <f t="shared" si="317"/>
        <v>0</v>
      </c>
      <c r="AC150" s="694">
        <f t="shared" si="317"/>
        <v>0</v>
      </c>
      <c r="AD150" s="614"/>
      <c r="AE150" s="636">
        <f t="shared" ref="AE150:AI152" si="318">SUMIF($G:$G,TEXT(AE$3,"000")&amp;TEXT($L150,"000"),$E:$E)</f>
        <v>0</v>
      </c>
      <c r="AF150" s="636">
        <f t="shared" si="318"/>
        <v>0</v>
      </c>
      <c r="AG150" s="636">
        <f t="shared" si="318"/>
        <v>0</v>
      </c>
      <c r="AH150" s="636">
        <f t="shared" si="318"/>
        <v>0</v>
      </c>
      <c r="AI150" s="636">
        <f t="shared" si="318"/>
        <v>0</v>
      </c>
      <c r="AJ150" s="614"/>
      <c r="AK150" s="638">
        <f>ROUND(S150*(1+AK$1),2)</f>
        <v>0</v>
      </c>
      <c r="AL150" s="638"/>
      <c r="AM150" s="638">
        <f t="shared" ref="AM150:AO152" si="319">ROUND(U150*(1+AM$1),2)</f>
        <v>0</v>
      </c>
      <c r="AN150" s="638">
        <f t="shared" si="319"/>
        <v>0</v>
      </c>
      <c r="AO150" s="638">
        <f t="shared" si="319"/>
        <v>0.7</v>
      </c>
      <c r="AP150" s="614"/>
      <c r="AQ150" s="694">
        <f t="shared" ref="AQ150:AU152" si="320">IF(AND(AE150&lt;&gt;0,AK150=0),#VALUE!,AE150*AK150)</f>
        <v>0</v>
      </c>
      <c r="AR150" s="694">
        <f t="shared" si="320"/>
        <v>0</v>
      </c>
      <c r="AS150" s="694">
        <f t="shared" si="320"/>
        <v>0</v>
      </c>
      <c r="AT150" s="694">
        <f t="shared" si="320"/>
        <v>0</v>
      </c>
      <c r="AU150" s="694">
        <f t="shared" si="320"/>
        <v>0</v>
      </c>
      <c r="AV150" s="694">
        <f>SUM(AR150)-SUM(Z150)</f>
        <v>0</v>
      </c>
      <c r="AW150" s="795" t="e">
        <f>AV150/Z150</f>
        <v>#DIV/0!</v>
      </c>
      <c r="AX150" s="701">
        <v>6</v>
      </c>
      <c r="AY150" s="702"/>
      <c r="AZ150" s="702"/>
      <c r="BA150" s="702"/>
      <c r="BB150" s="702"/>
      <c r="BC150" s="582"/>
      <c r="BD150" s="582"/>
      <c r="BE150" s="588">
        <f>ROUND(AX150*$BE$2,2)+ROUND(AX150*$BE$1,2)</f>
        <v>9.999999999999995E-3</v>
      </c>
      <c r="BF150" s="578"/>
      <c r="BG150" s="578"/>
      <c r="BH150" s="578"/>
      <c r="BI150" s="578"/>
      <c r="BJ150" s="578">
        <f>ROUND((W150*$BF$2)+$BE150-BC150,2)</f>
        <v>0.67</v>
      </c>
      <c r="BK150" s="689"/>
      <c r="BL150" s="689"/>
      <c r="BM150" s="586">
        <f>AK150*$BM$1</f>
        <v>0</v>
      </c>
      <c r="BN150" s="586">
        <f>AL150*$BM$1</f>
        <v>0</v>
      </c>
      <c r="BO150" s="586">
        <f>AM150*$BM$1</f>
        <v>0</v>
      </c>
      <c r="BP150" s="586">
        <f>AN150*$BM$1</f>
        <v>0</v>
      </c>
      <c r="BQ150" s="586">
        <f>AO150*$BM$1</f>
        <v>0.71056999999999992</v>
      </c>
      <c r="BR150" s="689"/>
      <c r="BS150" s="578">
        <f>BM150-AY150</f>
        <v>0</v>
      </c>
      <c r="BT150" s="578">
        <f>BN150-AZ150</f>
        <v>0</v>
      </c>
      <c r="BU150" s="578">
        <f>BO150-BA150</f>
        <v>0</v>
      </c>
      <c r="BV150" s="578">
        <f>BP150-BB150</f>
        <v>0</v>
      </c>
      <c r="BW150" s="578">
        <f>BQ150-BC150</f>
        <v>0.71056999999999992</v>
      </c>
      <c r="BX150" s="689"/>
      <c r="BY150" s="689"/>
      <c r="BZ150" s="689"/>
      <c r="CA150" s="689"/>
      <c r="CB150" s="689"/>
      <c r="CC150" s="689"/>
      <c r="CD150" s="689"/>
      <c r="CE150" s="689"/>
      <c r="CF150" s="689"/>
    </row>
    <row r="151" spans="2:85">
      <c r="I151" s="614" t="s">
        <v>453</v>
      </c>
      <c r="J151" s="614" t="s">
        <v>131</v>
      </c>
      <c r="K151" s="619" t="s">
        <v>823</v>
      </c>
      <c r="L151" s="620" t="s">
        <v>825</v>
      </c>
      <c r="M151" s="636">
        <f t="shared" si="316"/>
        <v>0</v>
      </c>
      <c r="N151" s="636">
        <f t="shared" si="316"/>
        <v>0</v>
      </c>
      <c r="O151" s="636">
        <f t="shared" si="316"/>
        <v>0</v>
      </c>
      <c r="P151" s="636">
        <f t="shared" si="316"/>
        <v>0</v>
      </c>
      <c r="Q151" s="636">
        <f t="shared" si="316"/>
        <v>0</v>
      </c>
      <c r="R151" s="636">
        <f>IF(SUM(M151:Q151)&gt;0,0,1)</f>
        <v>1</v>
      </c>
      <c r="S151" s="637">
        <v>0</v>
      </c>
      <c r="T151" s="637">
        <v>0</v>
      </c>
      <c r="U151" s="637">
        <v>0</v>
      </c>
      <c r="V151" s="637">
        <v>0</v>
      </c>
      <c r="W151" s="637">
        <v>0.98</v>
      </c>
      <c r="X151" s="614"/>
      <c r="Y151" s="694">
        <f t="shared" si="317"/>
        <v>0</v>
      </c>
      <c r="Z151" s="694">
        <f t="shared" si="317"/>
        <v>0</v>
      </c>
      <c r="AA151" s="694">
        <f t="shared" si="317"/>
        <v>0</v>
      </c>
      <c r="AB151" s="694">
        <f t="shared" si="317"/>
        <v>0</v>
      </c>
      <c r="AC151" s="694">
        <f t="shared" si="317"/>
        <v>0</v>
      </c>
      <c r="AD151" s="614"/>
      <c r="AE151" s="636">
        <f t="shared" si="318"/>
        <v>0</v>
      </c>
      <c r="AF151" s="636">
        <f t="shared" si="318"/>
        <v>0</v>
      </c>
      <c r="AG151" s="636">
        <f t="shared" si="318"/>
        <v>0</v>
      </c>
      <c r="AH151" s="636">
        <f t="shared" si="318"/>
        <v>0</v>
      </c>
      <c r="AI151" s="636">
        <f t="shared" si="318"/>
        <v>0</v>
      </c>
      <c r="AJ151" s="614"/>
      <c r="AK151" s="638">
        <f>ROUND(S151*(1+AK$1),2)</f>
        <v>0</v>
      </c>
      <c r="AL151" s="638"/>
      <c r="AM151" s="638">
        <f t="shared" si="319"/>
        <v>0</v>
      </c>
      <c r="AN151" s="638">
        <f t="shared" si="319"/>
        <v>0</v>
      </c>
      <c r="AO151" s="638">
        <f t="shared" si="319"/>
        <v>1.06</v>
      </c>
      <c r="AP151" s="614"/>
      <c r="AQ151" s="694">
        <f t="shared" si="320"/>
        <v>0</v>
      </c>
      <c r="AR151" s="694">
        <f t="shared" si="320"/>
        <v>0</v>
      </c>
      <c r="AS151" s="694">
        <f t="shared" si="320"/>
        <v>0</v>
      </c>
      <c r="AT151" s="694">
        <f t="shared" si="320"/>
        <v>0</v>
      </c>
      <c r="AU151" s="694">
        <f t="shared" si="320"/>
        <v>0</v>
      </c>
      <c r="AV151" s="694">
        <f>SUM(AR151)-SUM(Z151)</f>
        <v>0</v>
      </c>
      <c r="AW151" s="795" t="e">
        <f>AV151/Z151</f>
        <v>#DIV/0!</v>
      </c>
      <c r="AX151" s="701">
        <v>9</v>
      </c>
      <c r="AY151" s="702"/>
      <c r="AZ151" s="702"/>
      <c r="BA151" s="702"/>
      <c r="BB151" s="702"/>
      <c r="BC151" s="582"/>
      <c r="BD151" s="582"/>
      <c r="BE151" s="588">
        <f>ROUND(AX151*$BE$2,2)+ROUND(AX151*$BE$1,2)</f>
        <v>2.0000000000000004E-2</v>
      </c>
      <c r="BF151" s="578"/>
      <c r="BG151" s="578"/>
      <c r="BH151" s="578"/>
      <c r="BI151" s="578"/>
      <c r="BJ151" s="578">
        <f>ROUND((W151*$BF$2)+$BE151-BC151,2)</f>
        <v>1.01</v>
      </c>
      <c r="BK151" s="689"/>
      <c r="BL151" s="689"/>
      <c r="BM151" s="586">
        <f t="shared" ref="BM151:BP152" si="321">AK151*$BM$1</f>
        <v>0</v>
      </c>
      <c r="BN151" s="586">
        <f t="shared" si="321"/>
        <v>0</v>
      </c>
      <c r="BO151" s="586">
        <f t="shared" si="321"/>
        <v>0</v>
      </c>
      <c r="BP151" s="586">
        <f t="shared" si="321"/>
        <v>0</v>
      </c>
      <c r="BQ151" s="586">
        <f t="shared" ref="BQ151" si="322">AO151*$BM$1</f>
        <v>1.076006</v>
      </c>
      <c r="BR151" s="689"/>
      <c r="BS151" s="578">
        <f t="shared" ref="BS151:BV152" si="323">BM151-AY151</f>
        <v>0</v>
      </c>
      <c r="BT151" s="578">
        <f t="shared" si="323"/>
        <v>0</v>
      </c>
      <c r="BU151" s="578">
        <f t="shared" si="323"/>
        <v>0</v>
      </c>
      <c r="BV151" s="578">
        <f t="shared" si="323"/>
        <v>0</v>
      </c>
      <c r="BW151" s="578">
        <f t="shared" ref="BW151" si="324">BQ151-BC151</f>
        <v>1.076006</v>
      </c>
      <c r="BX151" s="689"/>
      <c r="BY151" s="689"/>
      <c r="BZ151" s="689"/>
      <c r="CA151" s="689"/>
      <c r="CB151" s="689"/>
      <c r="CC151" s="689"/>
      <c r="CD151" s="689"/>
      <c r="CE151" s="689"/>
      <c r="CF151" s="689"/>
    </row>
    <row r="152" spans="2:85">
      <c r="I152" s="614" t="s">
        <v>453</v>
      </c>
      <c r="J152" s="614" t="s">
        <v>131</v>
      </c>
      <c r="K152" s="619" t="s">
        <v>134</v>
      </c>
      <c r="L152" s="620">
        <v>495</v>
      </c>
      <c r="M152" s="636">
        <f t="shared" si="316"/>
        <v>0</v>
      </c>
      <c r="N152" s="636">
        <f t="shared" si="316"/>
        <v>0</v>
      </c>
      <c r="O152" s="636">
        <f t="shared" si="316"/>
        <v>0</v>
      </c>
      <c r="P152" s="636">
        <f t="shared" si="316"/>
        <v>0</v>
      </c>
      <c r="Q152" s="636">
        <f t="shared" si="316"/>
        <v>0</v>
      </c>
      <c r="R152" s="636">
        <f>IF(SUM(M152:Q152)&gt;0,0,1)</f>
        <v>1</v>
      </c>
      <c r="S152" s="637">
        <v>0</v>
      </c>
      <c r="T152" s="637">
        <v>0</v>
      </c>
      <c r="U152" s="637">
        <v>0</v>
      </c>
      <c r="V152" s="637">
        <v>0</v>
      </c>
      <c r="W152" s="637">
        <v>5.01</v>
      </c>
      <c r="X152" s="614"/>
      <c r="Y152" s="694">
        <f t="shared" si="317"/>
        <v>0</v>
      </c>
      <c r="Z152" s="694">
        <f t="shared" si="317"/>
        <v>0</v>
      </c>
      <c r="AA152" s="694">
        <f t="shared" si="317"/>
        <v>0</v>
      </c>
      <c r="AB152" s="694">
        <f t="shared" si="317"/>
        <v>0</v>
      </c>
      <c r="AC152" s="694">
        <f t="shared" si="317"/>
        <v>0</v>
      </c>
      <c r="AD152" s="614"/>
      <c r="AE152" s="636">
        <f t="shared" si="318"/>
        <v>0</v>
      </c>
      <c r="AF152" s="636">
        <f t="shared" si="318"/>
        <v>0</v>
      </c>
      <c r="AG152" s="636">
        <f t="shared" si="318"/>
        <v>0</v>
      </c>
      <c r="AH152" s="636">
        <f t="shared" si="318"/>
        <v>0</v>
      </c>
      <c r="AI152" s="636">
        <f t="shared" si="318"/>
        <v>0</v>
      </c>
      <c r="AJ152" s="614"/>
      <c r="AK152" s="638">
        <f>ROUND(S152*(1+AK$1),2)</f>
        <v>0</v>
      </c>
      <c r="AL152" s="638">
        <f>ROUND(T152*(1+AL$1),2)</f>
        <v>0</v>
      </c>
      <c r="AM152" s="638">
        <f t="shared" si="319"/>
        <v>0</v>
      </c>
      <c r="AN152" s="638">
        <f t="shared" si="319"/>
        <v>0</v>
      </c>
      <c r="AO152" s="638">
        <f t="shared" si="319"/>
        <v>5.43</v>
      </c>
      <c r="AP152" s="614"/>
      <c r="AQ152" s="694">
        <f t="shared" si="320"/>
        <v>0</v>
      </c>
      <c r="AR152" s="694">
        <f t="shared" si="320"/>
        <v>0</v>
      </c>
      <c r="AS152" s="694">
        <f t="shared" si="320"/>
        <v>0</v>
      </c>
      <c r="AT152" s="694">
        <f t="shared" si="320"/>
        <v>0</v>
      </c>
      <c r="AU152" s="694">
        <f t="shared" si="320"/>
        <v>0</v>
      </c>
      <c r="AV152" s="694">
        <f>SUM(AR152)-SUM(Z152)</f>
        <v>0</v>
      </c>
      <c r="AW152" s="795" t="e">
        <f>AV152/Z152</f>
        <v>#DIV/0!</v>
      </c>
      <c r="AX152" s="701">
        <v>49</v>
      </c>
      <c r="AY152" s="702"/>
      <c r="AZ152" s="702"/>
      <c r="BA152" s="702"/>
      <c r="BB152" s="702"/>
      <c r="BC152" s="702"/>
      <c r="BD152" s="702"/>
      <c r="BE152" s="703">
        <f>ROUND(AX152*$BE$2,2)+ROUND(AX152*$BE$1,2)</f>
        <v>0.1100000000000001</v>
      </c>
      <c r="BF152" s="696"/>
      <c r="BG152" s="696"/>
      <c r="BH152" s="696"/>
      <c r="BI152" s="696"/>
      <c r="BJ152" s="696">
        <f>ROUND((W152*$BF$2)+$BE152-BC152,2)</f>
        <v>5.2</v>
      </c>
      <c r="BK152" s="392"/>
      <c r="BL152" s="392"/>
      <c r="BM152" s="279">
        <f t="shared" si="321"/>
        <v>0</v>
      </c>
      <c r="BN152" s="279">
        <f t="shared" si="321"/>
        <v>0</v>
      </c>
      <c r="BO152" s="279">
        <f t="shared" si="321"/>
        <v>0</v>
      </c>
      <c r="BP152" s="279">
        <f t="shared" si="321"/>
        <v>0</v>
      </c>
      <c r="BQ152" s="279">
        <f>AO152*$BM$1</f>
        <v>5.5119929999999995</v>
      </c>
      <c r="BR152" s="392"/>
      <c r="BS152" s="54">
        <f t="shared" si="323"/>
        <v>0</v>
      </c>
      <c r="BT152" s="54">
        <f t="shared" si="323"/>
        <v>0</v>
      </c>
      <c r="BU152" s="54">
        <f t="shared" si="323"/>
        <v>0</v>
      </c>
      <c r="BV152" s="54">
        <f t="shared" si="323"/>
        <v>0</v>
      </c>
      <c r="BW152" s="54">
        <f>BQ152-BC152</f>
        <v>5.5119929999999995</v>
      </c>
    </row>
  </sheetData>
  <phoneticPr fontId="15" type="noConversion"/>
  <conditionalFormatting sqref="AI103 Q103">
    <cfRule type="cellIs" dxfId="18" priority="26" stopIfTrue="1" operator="notEqual">
      <formula>0</formula>
    </cfRule>
  </conditionalFormatting>
  <conditionalFormatting sqref="R106 R142:R146 R108:R117 R120:R140 R4 R27:R100 R148:R152">
    <cfRule type="cellIs" dxfId="17" priority="27" stopIfTrue="1" operator="equal">
      <formula>1</formula>
    </cfRule>
  </conditionalFormatting>
  <conditionalFormatting sqref="BF142:BJ144 BF75:BJ75 BF91:BJ92 BF95:BJ106 BF121:BJ125 BF127:BJ140 BF108:BJ117 BF4:BJ4 BF77:BJ88 BF27:BJ73 BF152:BJ152">
    <cfRule type="expression" dxfId="16" priority="28" stopIfTrue="1">
      <formula>ABS(BF4)&gt;0.005</formula>
    </cfRule>
  </conditionalFormatting>
  <conditionalFormatting sqref="BF120:BJ120">
    <cfRule type="expression" dxfId="15" priority="23" stopIfTrue="1">
      <formula>ABS(BF120)&gt;0.005</formula>
    </cfRule>
  </conditionalFormatting>
  <conditionalFormatting sqref="BF74:BJ74">
    <cfRule type="expression" dxfId="14" priority="21" stopIfTrue="1">
      <formula>ABS(BF74)&gt;0.005</formula>
    </cfRule>
  </conditionalFormatting>
  <conditionalFormatting sqref="BF76:BJ76">
    <cfRule type="expression" dxfId="13" priority="19" stopIfTrue="1">
      <formula>ABS(BF76)&gt;0.005</formula>
    </cfRule>
  </conditionalFormatting>
  <conditionalFormatting sqref="BF94:BJ94">
    <cfRule type="expression" dxfId="12" priority="16" stopIfTrue="1">
      <formula>ABS(BF94)&gt;0.005</formula>
    </cfRule>
  </conditionalFormatting>
  <conditionalFormatting sqref="BF148:BG148">
    <cfRule type="expression" dxfId="11" priority="14" stopIfTrue="1">
      <formula>ABS(BF148)&gt;0.005</formula>
    </cfRule>
  </conditionalFormatting>
  <conditionalFormatting sqref="BF149:BG149">
    <cfRule type="expression" dxfId="10" priority="13" stopIfTrue="1">
      <formula>ABS(BF149)&gt;0.005</formula>
    </cfRule>
  </conditionalFormatting>
  <conditionalFormatting sqref="BF145:BJ145">
    <cfRule type="expression" dxfId="9" priority="12" stopIfTrue="1">
      <formula>ABS(BF145)&gt;0.005</formula>
    </cfRule>
  </conditionalFormatting>
  <conditionalFormatting sqref="BF146:BJ146">
    <cfRule type="expression" dxfId="8" priority="10" stopIfTrue="1">
      <formula>ABS(BF146)&gt;0.005</formula>
    </cfRule>
  </conditionalFormatting>
  <conditionalFormatting sqref="BF150:BJ150">
    <cfRule type="expression" dxfId="7" priority="7" stopIfTrue="1">
      <formula>ABS(BF150)&gt;0.005</formula>
    </cfRule>
  </conditionalFormatting>
  <conditionalFormatting sqref="BF151:BJ151">
    <cfRule type="expression" dxfId="6" priority="6" stopIfTrue="1">
      <formula>ABS(BF151)&gt;0.005</formula>
    </cfRule>
  </conditionalFormatting>
  <conditionalFormatting sqref="R118:R119">
    <cfRule type="cellIs" dxfId="5" priority="4" stopIfTrue="1" operator="equal">
      <formula>1</formula>
    </cfRule>
  </conditionalFormatting>
  <conditionalFormatting sqref="BF119:BJ119">
    <cfRule type="expression" dxfId="4" priority="5" stopIfTrue="1">
      <formula>ABS(BF119)&gt;0.005</formula>
    </cfRule>
  </conditionalFormatting>
  <conditionalFormatting sqref="BF118:BJ118">
    <cfRule type="expression" dxfId="3" priority="3" stopIfTrue="1">
      <formula>ABS(BF118)&gt;0.005</formula>
    </cfRule>
  </conditionalFormatting>
  <conditionalFormatting sqref="R5:R26">
    <cfRule type="cellIs" dxfId="2" priority="2" stopIfTrue="1" operator="equal">
      <formula>1</formula>
    </cfRule>
  </conditionalFormatting>
  <conditionalFormatting sqref="BF5:BJ26">
    <cfRule type="expression" dxfId="1" priority="1" stopIfTrue="1">
      <formula>ABS(BF5)&gt;0.005</formula>
    </cfRule>
  </conditionalFormatting>
  <pageMargins left="0.19" right="0" top="0.5" bottom="0" header="0.5" footer="0"/>
  <pageSetup scale="44"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O103"/>
  <sheetViews>
    <sheetView showGridLines="0" zoomScaleNormal="100" workbookViewId="0">
      <pane xSplit="12" ySplit="3" topLeftCell="M4" activePane="bottomRight" state="frozen"/>
      <selection activeCell="H66" sqref="H66"/>
      <selection pane="topRight" activeCell="H66" sqref="H66"/>
      <selection pane="bottomLeft" activeCell="H66" sqref="H66"/>
      <selection pane="bottomRight" activeCell="H66" sqref="H66"/>
    </sheetView>
  </sheetViews>
  <sheetFormatPr defaultRowHeight="13.2"/>
  <cols>
    <col min="1" max="1" width="12.5546875" customWidth="1"/>
    <col min="2" max="2" width="6.6640625" style="35" customWidth="1"/>
    <col min="3" max="3" width="7.5546875" style="35" customWidth="1"/>
    <col min="4" max="4" width="10.44140625" style="35" customWidth="1"/>
    <col min="5" max="5" width="12.33203125" customWidth="1"/>
    <col min="6" max="6" width="1.6640625" customWidth="1"/>
    <col min="7" max="7" width="9.6640625" customWidth="1"/>
    <col min="8" max="8" width="4.6640625" customWidth="1"/>
    <col min="9" max="9" width="15.6640625" customWidth="1"/>
    <col min="10" max="10" width="26.6640625" customWidth="1"/>
    <col min="11" max="11" width="6.6640625" style="59" customWidth="1"/>
    <col min="12" max="12" width="7.5546875" customWidth="1"/>
    <col min="13" max="14" width="6.6640625" customWidth="1"/>
    <col min="15" max="15" width="2.6640625" customWidth="1"/>
    <col min="16" max="17" width="7.5546875" bestFit="1" customWidth="1"/>
    <col min="18" max="18" width="2.6640625" customWidth="1"/>
    <col min="19" max="19" width="10.33203125" customWidth="1"/>
    <col min="20" max="20" width="9.44140625" customWidth="1"/>
    <col min="21" max="21" width="8.33203125" style="379" customWidth="1"/>
    <col min="22" max="23" width="6.6640625" style="379" hidden="1" customWidth="1"/>
    <col min="24" max="24" width="25.33203125" style="379" hidden="1" customWidth="1"/>
    <col min="25" max="25" width="8.33203125" style="379" hidden="1" customWidth="1"/>
    <col min="26" max="26" width="10.6640625" hidden="1" customWidth="1"/>
    <col min="27" max="27" width="6.6640625" hidden="1" customWidth="1"/>
    <col min="28" max="28" width="6.44140625" hidden="1" customWidth="1"/>
    <col min="29" max="29" width="7" customWidth="1"/>
    <col min="30" max="31" width="7.5546875" bestFit="1" customWidth="1"/>
    <col min="32" max="32" width="2.6640625" customWidth="1"/>
    <col min="33" max="33" width="13.6640625" bestFit="1" customWidth="1"/>
    <col min="34" max="34" width="9.44140625" bestFit="1" customWidth="1"/>
  </cols>
  <sheetData>
    <row r="1" spans="1:34" ht="17.399999999999999">
      <c r="A1" s="61" t="s">
        <v>152</v>
      </c>
      <c r="I1" s="743" t="s">
        <v>904</v>
      </c>
      <c r="S1" s="81" t="s">
        <v>153</v>
      </c>
      <c r="T1" s="55"/>
      <c r="U1" s="55"/>
      <c r="Y1" s="55"/>
      <c r="Z1" s="84">
        <f>SL_RateIncr</f>
        <v>0</v>
      </c>
      <c r="AC1" s="59" t="s">
        <v>423</v>
      </c>
      <c r="AD1" s="182">
        <f>'Lighting summary'!L16</f>
        <v>8.3000000000000004E-2</v>
      </c>
      <c r="AE1" s="182"/>
      <c r="AG1" s="81" t="s">
        <v>153</v>
      </c>
      <c r="AH1" s="55"/>
    </row>
    <row r="2" spans="1:34" ht="13.8">
      <c r="A2" s="63" t="str">
        <f>'St Lts'!A2</f>
        <v>MDM-10069 Report as of 3/31/20</v>
      </c>
      <c r="M2" s="64" t="s">
        <v>383</v>
      </c>
      <c r="N2" s="65"/>
      <c r="P2" s="64" t="s">
        <v>154</v>
      </c>
      <c r="Q2" s="65"/>
      <c r="S2" s="64" t="s">
        <v>155</v>
      </c>
      <c r="T2" s="65"/>
      <c r="U2" s="65"/>
      <c r="V2" s="64" t="s">
        <v>383</v>
      </c>
      <c r="W2" s="65"/>
      <c r="Y2" s="383"/>
      <c r="AA2" s="64" t="s">
        <v>127</v>
      </c>
      <c r="AB2" s="65"/>
      <c r="AD2" s="64" t="s">
        <v>209</v>
      </c>
      <c r="AE2" s="65"/>
      <c r="AG2" s="64" t="s">
        <v>210</v>
      </c>
      <c r="AH2" s="65"/>
    </row>
    <row r="3" spans="1:34" ht="12.75" customHeight="1" thickBot="1">
      <c r="A3" s="63"/>
      <c r="I3" s="66" t="s">
        <v>115</v>
      </c>
      <c r="J3" s="66" t="s">
        <v>116</v>
      </c>
      <c r="K3" s="67" t="s">
        <v>117</v>
      </c>
      <c r="L3" s="66" t="s">
        <v>118</v>
      </c>
      <c r="M3" s="68" t="s">
        <v>156</v>
      </c>
      <c r="N3" s="68" t="s">
        <v>157</v>
      </c>
      <c r="P3" s="68" t="s">
        <v>156</v>
      </c>
      <c r="Q3" s="68" t="s">
        <v>157</v>
      </c>
      <c r="S3" s="68" t="s">
        <v>156</v>
      </c>
      <c r="T3" s="68" t="s">
        <v>157</v>
      </c>
      <c r="U3" s="68"/>
      <c r="V3" s="68" t="s">
        <v>156</v>
      </c>
      <c r="W3" s="68" t="s">
        <v>157</v>
      </c>
      <c r="Y3" s="384"/>
      <c r="AA3" s="68" t="s">
        <v>156</v>
      </c>
      <c r="AB3" s="68" t="s">
        <v>157</v>
      </c>
      <c r="AD3" s="68" t="s">
        <v>156</v>
      </c>
      <c r="AE3" s="68" t="s">
        <v>157</v>
      </c>
      <c r="AG3" s="68" t="s">
        <v>156</v>
      </c>
      <c r="AH3" s="68" t="s">
        <v>157</v>
      </c>
    </row>
    <row r="4" spans="1:34" ht="12.75" customHeight="1">
      <c r="H4" s="551"/>
      <c r="I4" t="s">
        <v>111</v>
      </c>
      <c r="J4" t="s">
        <v>160</v>
      </c>
      <c r="K4" s="59" t="s">
        <v>143</v>
      </c>
      <c r="L4" s="97" t="s">
        <v>161</v>
      </c>
      <c r="M4" s="69">
        <f t="shared" ref="M4:N23" si="0">SUMIF($G:$G,TEXT(M$3,"000")&amp;TEXT($L4,"000"),$E:$E)</f>
        <v>101</v>
      </c>
      <c r="N4" s="69">
        <f t="shared" si="0"/>
        <v>3</v>
      </c>
      <c r="P4" s="591">
        <v>22.77</v>
      </c>
      <c r="Q4" s="314">
        <f t="shared" ref="Q4:Q39" si="1">P4</f>
        <v>22.77</v>
      </c>
      <c r="S4" s="70">
        <f>IF(AND(M4&lt;&gt;0,P4=0),#VALUE!,M4*P4)</f>
        <v>2299.77</v>
      </c>
      <c r="T4" s="70">
        <f t="shared" ref="T4:T52" si="2">IF(AND(N4&lt;&gt;0,Q4=0),#VALUE!,N4*Q4)</f>
        <v>68.31</v>
      </c>
      <c r="U4" s="70"/>
      <c r="V4" s="69">
        <f t="shared" ref="V4:W23" si="3">SUMIF($G:$G,TEXT(V$3,"000")&amp;TEXT($L4,"000"),$E:$E)</f>
        <v>101</v>
      </c>
      <c r="W4" s="69">
        <f t="shared" si="3"/>
        <v>3</v>
      </c>
      <c r="Y4" s="70"/>
      <c r="AA4" s="69">
        <f t="shared" ref="AA4:AB52" si="4">M4</f>
        <v>101</v>
      </c>
      <c r="AB4" s="69">
        <f t="shared" si="4"/>
        <v>3</v>
      </c>
      <c r="AD4" s="435">
        <f t="shared" ref="AD4:AD28" si="5">ROUND(P4*(1+AD$1),2)</f>
        <v>24.66</v>
      </c>
      <c r="AE4" s="83">
        <f>AD4</f>
        <v>24.66</v>
      </c>
      <c r="AG4" s="70">
        <f t="shared" ref="AG4:AG52" si="6">IF(AND(AA4&lt;&gt;0,AD4=0),#VALUE!,AA4*AD4)</f>
        <v>2490.66</v>
      </c>
      <c r="AH4" s="70">
        <f t="shared" ref="AH4:AH52" si="7">IF(AND(AB4&lt;&gt;0,AE4=0),#VALUE!,AB4*AE4)</f>
        <v>73.98</v>
      </c>
    </row>
    <row r="5" spans="1:34" ht="12.75" customHeight="1">
      <c r="B5" s="45" t="s">
        <v>125</v>
      </c>
      <c r="C5" s="45" t="s">
        <v>118</v>
      </c>
      <c r="D5" s="45" t="s">
        <v>126</v>
      </c>
      <c r="E5" s="71" t="s">
        <v>127</v>
      </c>
      <c r="F5" s="59"/>
      <c r="G5" s="59"/>
      <c r="H5" s="551"/>
      <c r="I5" t="s">
        <v>111</v>
      </c>
      <c r="J5" t="s">
        <v>162</v>
      </c>
      <c r="K5" s="59" t="s">
        <v>134</v>
      </c>
      <c r="L5" s="97" t="s">
        <v>163</v>
      </c>
      <c r="M5" s="69">
        <f t="shared" si="0"/>
        <v>17</v>
      </c>
      <c r="N5" s="69">
        <f t="shared" si="0"/>
        <v>2</v>
      </c>
      <c r="P5" s="591">
        <v>29.74</v>
      </c>
      <c r="Q5" s="314">
        <f t="shared" si="1"/>
        <v>29.74</v>
      </c>
      <c r="S5" s="70">
        <f t="shared" ref="S5:S52" si="8">IF(AND(M5&lt;&gt;0,P5=0),#VALUE!,M5*P5)</f>
        <v>505.58</v>
      </c>
      <c r="T5" s="70">
        <f t="shared" si="2"/>
        <v>59.48</v>
      </c>
      <c r="U5" s="70"/>
      <c r="V5" s="69">
        <f t="shared" si="3"/>
        <v>17</v>
      </c>
      <c r="W5" s="69">
        <f t="shared" si="3"/>
        <v>2</v>
      </c>
      <c r="Y5" s="70"/>
      <c r="AA5" s="69">
        <f t="shared" si="4"/>
        <v>17</v>
      </c>
      <c r="AB5" s="69">
        <f t="shared" si="4"/>
        <v>2</v>
      </c>
      <c r="AD5" s="435">
        <f t="shared" si="5"/>
        <v>32.21</v>
      </c>
      <c r="AE5" s="83">
        <f t="shared" ref="AE5:AE29" si="9">AD5</f>
        <v>32.21</v>
      </c>
      <c r="AG5" s="70">
        <f t="shared" si="6"/>
        <v>547.57000000000005</v>
      </c>
      <c r="AH5" s="70">
        <f t="shared" si="7"/>
        <v>64.42</v>
      </c>
    </row>
    <row r="6" spans="1:34" ht="12.75" customHeight="1">
      <c r="I6" t="s">
        <v>111</v>
      </c>
      <c r="J6" t="s">
        <v>168</v>
      </c>
      <c r="K6" s="59" t="s">
        <v>134</v>
      </c>
      <c r="L6" s="97" t="s">
        <v>167</v>
      </c>
      <c r="M6" s="69">
        <f t="shared" si="0"/>
        <v>386</v>
      </c>
      <c r="N6" s="69">
        <f t="shared" si="0"/>
        <v>491</v>
      </c>
      <c r="P6" s="591">
        <v>14.12</v>
      </c>
      <c r="Q6" s="314">
        <f t="shared" si="1"/>
        <v>14.12</v>
      </c>
      <c r="S6" s="70">
        <f t="shared" si="8"/>
        <v>5450.32</v>
      </c>
      <c r="T6" s="70">
        <f>IF(AND(N6&lt;&gt;0,Q6=0),#VALUE!,N6*Q6)</f>
        <v>6932.9199999999992</v>
      </c>
      <c r="U6" s="70"/>
      <c r="V6" s="69">
        <f t="shared" si="3"/>
        <v>386</v>
      </c>
      <c r="W6" s="69">
        <f t="shared" si="3"/>
        <v>491</v>
      </c>
      <c r="Y6" s="70"/>
      <c r="AA6" s="69">
        <f t="shared" si="4"/>
        <v>386</v>
      </c>
      <c r="AB6" s="69">
        <f t="shared" si="4"/>
        <v>491</v>
      </c>
      <c r="AD6" s="435">
        <f t="shared" si="5"/>
        <v>15.29</v>
      </c>
      <c r="AE6" s="83">
        <f t="shared" si="9"/>
        <v>15.29</v>
      </c>
      <c r="AG6" s="70">
        <f t="shared" si="6"/>
        <v>5901.94</v>
      </c>
      <c r="AH6" s="70">
        <f t="shared" si="7"/>
        <v>7507.3899999999994</v>
      </c>
    </row>
    <row r="7" spans="1:34" ht="12.75" customHeight="1">
      <c r="B7" s="35" t="s">
        <v>164</v>
      </c>
      <c r="C7" s="72" t="s">
        <v>156</v>
      </c>
      <c r="D7" s="584" t="s">
        <v>630</v>
      </c>
      <c r="E7" s="562">
        <v>3</v>
      </c>
      <c r="F7" s="73"/>
      <c r="G7" s="73" t="str">
        <f t="shared" ref="G7:G31" si="10">IF(OR(ISBLANK(C7),ISBLANK(D7)),"",TEXT(C7,"000")&amp;TEXT(D7,"000"))</f>
        <v>047HAGL</v>
      </c>
      <c r="H7" s="418"/>
      <c r="I7" t="s">
        <v>111</v>
      </c>
      <c r="J7" t="s">
        <v>168</v>
      </c>
      <c r="K7" s="59" t="s">
        <v>142</v>
      </c>
      <c r="L7" s="97" t="s">
        <v>169</v>
      </c>
      <c r="M7" s="69">
        <f t="shared" si="0"/>
        <v>860</v>
      </c>
      <c r="N7" s="69">
        <f t="shared" si="0"/>
        <v>398</v>
      </c>
      <c r="P7" s="591">
        <v>20.05</v>
      </c>
      <c r="Q7" s="314">
        <f t="shared" si="1"/>
        <v>20.05</v>
      </c>
      <c r="S7" s="70">
        <f t="shared" si="8"/>
        <v>17243</v>
      </c>
      <c r="T7" s="70">
        <f t="shared" si="2"/>
        <v>7979.9000000000005</v>
      </c>
      <c r="U7" s="70"/>
      <c r="V7" s="69">
        <f t="shared" si="3"/>
        <v>860</v>
      </c>
      <c r="W7" s="69">
        <f t="shared" si="3"/>
        <v>398</v>
      </c>
      <c r="Y7" s="70"/>
      <c r="AA7" s="69">
        <f t="shared" si="4"/>
        <v>860</v>
      </c>
      <c r="AB7" s="69">
        <f t="shared" si="4"/>
        <v>398</v>
      </c>
      <c r="AD7" s="435">
        <f t="shared" si="5"/>
        <v>21.71</v>
      </c>
      <c r="AE7" s="83">
        <f t="shared" si="9"/>
        <v>21.71</v>
      </c>
      <c r="AG7" s="70">
        <f t="shared" si="6"/>
        <v>18670.600000000002</v>
      </c>
      <c r="AH7" s="70">
        <f t="shared" si="7"/>
        <v>8640.58</v>
      </c>
    </row>
    <row r="8" spans="1:34" ht="12.75" customHeight="1">
      <c r="A8" s="654"/>
      <c r="B8" s="540" t="s">
        <v>164</v>
      </c>
      <c r="C8" s="72" t="s">
        <v>156</v>
      </c>
      <c r="D8" s="540" t="s">
        <v>161</v>
      </c>
      <c r="E8" s="563">
        <v>101</v>
      </c>
      <c r="F8" s="73"/>
      <c r="G8" s="73" t="str">
        <f>IF(OR(ISBLANK(C8),ISBLANK(D8)),"",TEXT(C8,"000")&amp;TEXT(D8,"000"))</f>
        <v>047HAH</v>
      </c>
      <c r="H8" s="418"/>
      <c r="I8" t="s">
        <v>111</v>
      </c>
      <c r="J8" t="s">
        <v>168</v>
      </c>
      <c r="K8" s="59" t="s">
        <v>147</v>
      </c>
      <c r="L8" s="97" t="s">
        <v>170</v>
      </c>
      <c r="M8" s="69">
        <f t="shared" si="0"/>
        <v>119</v>
      </c>
      <c r="N8" s="69">
        <f t="shared" si="0"/>
        <v>8</v>
      </c>
      <c r="P8" s="591">
        <v>27.7</v>
      </c>
      <c r="Q8" s="314">
        <f t="shared" si="1"/>
        <v>27.7</v>
      </c>
      <c r="S8" s="70">
        <f t="shared" si="8"/>
        <v>3296.2999999999997</v>
      </c>
      <c r="T8" s="70">
        <f t="shared" si="2"/>
        <v>221.6</v>
      </c>
      <c r="U8" s="70"/>
      <c r="V8" s="69">
        <f t="shared" si="3"/>
        <v>119</v>
      </c>
      <c r="W8" s="69">
        <f t="shared" si="3"/>
        <v>8</v>
      </c>
      <c r="Y8" s="70"/>
      <c r="AA8" s="69">
        <f t="shared" si="4"/>
        <v>119</v>
      </c>
      <c r="AB8" s="69">
        <f t="shared" si="4"/>
        <v>8</v>
      </c>
      <c r="AD8" s="435">
        <f>ROUND(P8*(1+AD$1),2)</f>
        <v>30</v>
      </c>
      <c r="AE8" s="83">
        <f t="shared" si="9"/>
        <v>30</v>
      </c>
      <c r="AG8" s="70">
        <f t="shared" si="6"/>
        <v>3570</v>
      </c>
      <c r="AH8" s="70">
        <f t="shared" si="7"/>
        <v>240</v>
      </c>
    </row>
    <row r="9" spans="1:34">
      <c r="B9" s="35" t="s">
        <v>164</v>
      </c>
      <c r="C9" s="72" t="s">
        <v>156</v>
      </c>
      <c r="D9" s="35" t="s">
        <v>163</v>
      </c>
      <c r="E9" s="562">
        <v>17</v>
      </c>
      <c r="F9" s="73"/>
      <c r="G9" s="73" t="str">
        <f>IF(OR(ISBLANK(C9),ISBLANK(D9)),"",TEXT(C9,"000")&amp;TEXT(D9,"000"))</f>
        <v>047HAI</v>
      </c>
      <c r="H9" s="418"/>
      <c r="I9" t="s">
        <v>111</v>
      </c>
      <c r="J9" s="635" t="s">
        <v>647</v>
      </c>
      <c r="K9" s="59" t="s">
        <v>142</v>
      </c>
      <c r="L9" s="97" t="s">
        <v>171</v>
      </c>
      <c r="M9" s="69">
        <f t="shared" si="0"/>
        <v>560</v>
      </c>
      <c r="N9" s="69">
        <f t="shared" si="0"/>
        <v>175</v>
      </c>
      <c r="P9" s="591">
        <v>27.86</v>
      </c>
      <c r="Q9" s="314">
        <f t="shared" si="1"/>
        <v>27.86</v>
      </c>
      <c r="S9" s="70">
        <f t="shared" si="8"/>
        <v>15601.6</v>
      </c>
      <c r="T9" s="70">
        <f t="shared" si="2"/>
        <v>4875.5</v>
      </c>
      <c r="U9" s="70"/>
      <c r="V9" s="69">
        <f t="shared" si="3"/>
        <v>560</v>
      </c>
      <c r="W9" s="69">
        <f t="shared" si="3"/>
        <v>175</v>
      </c>
      <c r="Y9" s="70"/>
      <c r="AA9" s="69">
        <f t="shared" si="4"/>
        <v>560</v>
      </c>
      <c r="AB9" s="69">
        <f t="shared" si="4"/>
        <v>175</v>
      </c>
      <c r="AD9" s="435">
        <f t="shared" si="5"/>
        <v>30.17</v>
      </c>
      <c r="AE9" s="83">
        <f t="shared" si="9"/>
        <v>30.17</v>
      </c>
      <c r="AG9" s="70">
        <f t="shared" si="6"/>
        <v>16895.2</v>
      </c>
      <c r="AH9" s="70">
        <f t="shared" si="7"/>
        <v>5279.75</v>
      </c>
    </row>
    <row r="10" spans="1:34">
      <c r="B10" s="35" t="s">
        <v>164</v>
      </c>
      <c r="C10" s="72" t="s">
        <v>156</v>
      </c>
      <c r="D10" s="35" t="s">
        <v>167</v>
      </c>
      <c r="E10" s="562">
        <v>386</v>
      </c>
      <c r="F10" s="73"/>
      <c r="G10" s="73" t="str">
        <f t="shared" si="10"/>
        <v>047HPA</v>
      </c>
      <c r="H10" s="418"/>
      <c r="I10" t="s">
        <v>111</v>
      </c>
      <c r="J10" s="635" t="s">
        <v>647</v>
      </c>
      <c r="K10" s="59" t="s">
        <v>134</v>
      </c>
      <c r="L10" s="97" t="s">
        <v>173</v>
      </c>
      <c r="M10" s="69">
        <f t="shared" si="0"/>
        <v>280</v>
      </c>
      <c r="N10" s="69">
        <f t="shared" si="0"/>
        <v>202</v>
      </c>
      <c r="P10" s="591">
        <v>20.68</v>
      </c>
      <c r="Q10" s="314">
        <f t="shared" si="1"/>
        <v>20.68</v>
      </c>
      <c r="S10" s="70">
        <f t="shared" si="8"/>
        <v>5790.4</v>
      </c>
      <c r="T10" s="70">
        <f t="shared" si="2"/>
        <v>4177.3599999999997</v>
      </c>
      <c r="U10" s="70"/>
      <c r="V10" s="69">
        <f t="shared" si="3"/>
        <v>280</v>
      </c>
      <c r="W10" s="69">
        <f t="shared" si="3"/>
        <v>202</v>
      </c>
      <c r="Y10" s="70"/>
      <c r="AA10" s="69">
        <f t="shared" si="4"/>
        <v>280</v>
      </c>
      <c r="AB10" s="69">
        <f t="shared" si="4"/>
        <v>202</v>
      </c>
      <c r="AD10" s="435">
        <f t="shared" si="5"/>
        <v>22.4</v>
      </c>
      <c r="AE10" s="83">
        <f t="shared" si="9"/>
        <v>22.4</v>
      </c>
      <c r="AG10" s="70">
        <f t="shared" si="6"/>
        <v>6272</v>
      </c>
      <c r="AH10" s="70">
        <f t="shared" si="7"/>
        <v>4524.7999999999993</v>
      </c>
    </row>
    <row r="11" spans="1:34">
      <c r="B11" s="35" t="s">
        <v>164</v>
      </c>
      <c r="C11" s="72" t="s">
        <v>156</v>
      </c>
      <c r="D11" s="35" t="s">
        <v>169</v>
      </c>
      <c r="E11" s="562">
        <v>860</v>
      </c>
      <c r="F11" s="73"/>
      <c r="G11" s="73" t="str">
        <f t="shared" si="10"/>
        <v>047HPB</v>
      </c>
      <c r="H11" s="418"/>
      <c r="I11" t="s">
        <v>111</v>
      </c>
      <c r="J11" s="635" t="s">
        <v>647</v>
      </c>
      <c r="K11" s="59" t="s">
        <v>147</v>
      </c>
      <c r="L11" s="97" t="s">
        <v>174</v>
      </c>
      <c r="M11" s="69">
        <f t="shared" si="0"/>
        <v>45</v>
      </c>
      <c r="N11" s="69">
        <f t="shared" si="0"/>
        <v>4</v>
      </c>
      <c r="P11" s="591">
        <v>35.6</v>
      </c>
      <c r="Q11" s="314">
        <f t="shared" si="1"/>
        <v>35.6</v>
      </c>
      <c r="S11" s="70">
        <f t="shared" si="8"/>
        <v>1602</v>
      </c>
      <c r="T11" s="70">
        <f t="shared" si="2"/>
        <v>142.4</v>
      </c>
      <c r="U11" s="70"/>
      <c r="V11" s="69">
        <f t="shared" si="3"/>
        <v>45</v>
      </c>
      <c r="W11" s="69">
        <f t="shared" si="3"/>
        <v>4</v>
      </c>
      <c r="Y11" s="70"/>
      <c r="AA11" s="69">
        <f t="shared" si="4"/>
        <v>45</v>
      </c>
      <c r="AB11" s="69">
        <f t="shared" si="4"/>
        <v>4</v>
      </c>
      <c r="AD11" s="435">
        <f t="shared" si="5"/>
        <v>38.549999999999997</v>
      </c>
      <c r="AE11" s="83">
        <f t="shared" si="9"/>
        <v>38.549999999999997</v>
      </c>
      <c r="AG11" s="70">
        <f t="shared" si="6"/>
        <v>1734.7499999999998</v>
      </c>
      <c r="AH11" s="70">
        <f t="shared" si="7"/>
        <v>154.19999999999999</v>
      </c>
    </row>
    <row r="12" spans="1:34">
      <c r="B12" s="35" t="s">
        <v>164</v>
      </c>
      <c r="C12" s="72" t="s">
        <v>156</v>
      </c>
      <c r="D12" s="35" t="s">
        <v>170</v>
      </c>
      <c r="E12" s="562">
        <v>119</v>
      </c>
      <c r="F12" s="73"/>
      <c r="G12" s="73" t="str">
        <f t="shared" si="10"/>
        <v>047HPC</v>
      </c>
      <c r="H12" s="418"/>
      <c r="I12" t="s">
        <v>111</v>
      </c>
      <c r="J12" s="635" t="s">
        <v>769</v>
      </c>
      <c r="K12" s="59" t="s">
        <v>142</v>
      </c>
      <c r="L12" s="97" t="s">
        <v>175</v>
      </c>
      <c r="M12" s="69">
        <f t="shared" si="0"/>
        <v>41</v>
      </c>
      <c r="N12" s="69">
        <f t="shared" si="0"/>
        <v>7</v>
      </c>
      <c r="P12" s="591">
        <v>34.979999999999997</v>
      </c>
      <c r="Q12" s="314">
        <f t="shared" si="1"/>
        <v>34.979999999999997</v>
      </c>
      <c r="S12" s="70">
        <f t="shared" si="8"/>
        <v>1434.1799999999998</v>
      </c>
      <c r="T12" s="70">
        <f t="shared" si="2"/>
        <v>244.85999999999999</v>
      </c>
      <c r="U12" s="70"/>
      <c r="V12" s="69">
        <f t="shared" si="3"/>
        <v>41</v>
      </c>
      <c r="W12" s="69">
        <f t="shared" si="3"/>
        <v>7</v>
      </c>
      <c r="Y12" s="70"/>
      <c r="AA12" s="69">
        <f t="shared" si="4"/>
        <v>41</v>
      </c>
      <c r="AB12" s="69">
        <f t="shared" si="4"/>
        <v>7</v>
      </c>
      <c r="AD12" s="435">
        <f t="shared" si="5"/>
        <v>37.880000000000003</v>
      </c>
      <c r="AE12" s="83">
        <f t="shared" si="9"/>
        <v>37.880000000000003</v>
      </c>
      <c r="AG12" s="70">
        <f t="shared" si="6"/>
        <v>1553.0800000000002</v>
      </c>
      <c r="AH12" s="70">
        <f t="shared" si="7"/>
        <v>265.16000000000003</v>
      </c>
    </row>
    <row r="13" spans="1:34">
      <c r="B13" s="35" t="s">
        <v>164</v>
      </c>
      <c r="C13" s="72" t="s">
        <v>156</v>
      </c>
      <c r="D13" s="35" t="s">
        <v>171</v>
      </c>
      <c r="E13" s="562">
        <v>560</v>
      </c>
      <c r="F13" s="75"/>
      <c r="G13" s="73" t="str">
        <f t="shared" si="10"/>
        <v>047HPD</v>
      </c>
      <c r="H13" s="418"/>
      <c r="I13" t="s">
        <v>111</v>
      </c>
      <c r="J13" t="s">
        <v>177</v>
      </c>
      <c r="K13" s="59" t="s">
        <v>142</v>
      </c>
      <c r="L13" s="97" t="s">
        <v>178</v>
      </c>
      <c r="M13" s="69">
        <f t="shared" si="0"/>
        <v>1</v>
      </c>
      <c r="N13" s="69">
        <f t="shared" si="0"/>
        <v>1</v>
      </c>
      <c r="P13" s="591">
        <v>30.3</v>
      </c>
      <c r="Q13" s="314">
        <f t="shared" si="1"/>
        <v>30.3</v>
      </c>
      <c r="S13" s="70">
        <f t="shared" si="8"/>
        <v>30.3</v>
      </c>
      <c r="T13" s="70">
        <f t="shared" si="2"/>
        <v>30.3</v>
      </c>
      <c r="U13" s="70"/>
      <c r="V13" s="69">
        <f t="shared" si="3"/>
        <v>1</v>
      </c>
      <c r="W13" s="69">
        <f t="shared" si="3"/>
        <v>1</v>
      </c>
      <c r="Y13" s="70"/>
      <c r="AA13" s="69">
        <f t="shared" si="4"/>
        <v>1</v>
      </c>
      <c r="AB13" s="69">
        <f t="shared" si="4"/>
        <v>1</v>
      </c>
      <c r="AD13" s="435">
        <f t="shared" si="5"/>
        <v>32.81</v>
      </c>
      <c r="AE13" s="83">
        <f t="shared" si="9"/>
        <v>32.81</v>
      </c>
      <c r="AG13" s="70">
        <f t="shared" si="6"/>
        <v>32.81</v>
      </c>
      <c r="AH13" s="70">
        <f t="shared" si="7"/>
        <v>32.81</v>
      </c>
    </row>
    <row r="14" spans="1:34">
      <c r="B14" s="35" t="s">
        <v>164</v>
      </c>
      <c r="C14" s="72" t="s">
        <v>156</v>
      </c>
      <c r="D14" s="35" t="s">
        <v>173</v>
      </c>
      <c r="E14" s="562">
        <v>280</v>
      </c>
      <c r="F14" s="73"/>
      <c r="G14" s="73" t="str">
        <f t="shared" si="10"/>
        <v>047HPE</v>
      </c>
      <c r="H14" s="418"/>
      <c r="I14" t="s">
        <v>111</v>
      </c>
      <c r="J14" t="s">
        <v>180</v>
      </c>
      <c r="K14" s="59" t="s">
        <v>134</v>
      </c>
      <c r="L14" s="97" t="s">
        <v>176</v>
      </c>
      <c r="M14" s="69">
        <f t="shared" si="0"/>
        <v>96</v>
      </c>
      <c r="N14" s="69">
        <f t="shared" si="0"/>
        <v>135</v>
      </c>
      <c r="P14" s="591">
        <v>20.68</v>
      </c>
      <c r="Q14" s="314">
        <f t="shared" si="1"/>
        <v>20.68</v>
      </c>
      <c r="S14" s="70">
        <f t="shared" si="8"/>
        <v>1985.28</v>
      </c>
      <c r="T14" s="70">
        <f t="shared" si="2"/>
        <v>2791.8</v>
      </c>
      <c r="U14" s="70"/>
      <c r="V14" s="69">
        <f t="shared" si="3"/>
        <v>96</v>
      </c>
      <c r="W14" s="69">
        <f t="shared" si="3"/>
        <v>135</v>
      </c>
      <c r="Y14" s="70"/>
      <c r="AA14" s="69">
        <f t="shared" si="4"/>
        <v>96</v>
      </c>
      <c r="AB14" s="69">
        <f t="shared" si="4"/>
        <v>135</v>
      </c>
      <c r="AD14" s="435">
        <f t="shared" si="5"/>
        <v>22.4</v>
      </c>
      <c r="AE14" s="83">
        <f t="shared" si="9"/>
        <v>22.4</v>
      </c>
      <c r="AG14" s="70">
        <f t="shared" si="6"/>
        <v>2150.3999999999996</v>
      </c>
      <c r="AH14" s="70">
        <f t="shared" si="7"/>
        <v>3024</v>
      </c>
    </row>
    <row r="15" spans="1:34">
      <c r="B15" s="35" t="s">
        <v>164</v>
      </c>
      <c r="C15" s="72" t="s">
        <v>156</v>
      </c>
      <c r="D15" s="35" t="s">
        <v>174</v>
      </c>
      <c r="E15" s="562">
        <v>45</v>
      </c>
      <c r="F15" s="73"/>
      <c r="G15" s="73" t="str">
        <f t="shared" si="10"/>
        <v>047HPG</v>
      </c>
      <c r="H15" s="418"/>
      <c r="I15" t="s">
        <v>111</v>
      </c>
      <c r="J15" t="s">
        <v>182</v>
      </c>
      <c r="K15" s="59" t="s">
        <v>142</v>
      </c>
      <c r="L15" s="97" t="s">
        <v>179</v>
      </c>
      <c r="M15" s="69">
        <f t="shared" si="0"/>
        <v>13</v>
      </c>
      <c r="N15" s="69">
        <f t="shared" si="0"/>
        <v>0</v>
      </c>
      <c r="P15" s="591">
        <v>59.28</v>
      </c>
      <c r="Q15" s="314">
        <f t="shared" si="1"/>
        <v>59.28</v>
      </c>
      <c r="S15" s="70">
        <f t="shared" si="8"/>
        <v>770.64</v>
      </c>
      <c r="T15" s="70">
        <f t="shared" si="2"/>
        <v>0</v>
      </c>
      <c r="U15" s="70"/>
      <c r="V15" s="69">
        <f t="shared" si="3"/>
        <v>13</v>
      </c>
      <c r="W15" s="69">
        <f t="shared" si="3"/>
        <v>0</v>
      </c>
      <c r="Y15" s="70"/>
      <c r="AA15" s="69">
        <f t="shared" si="4"/>
        <v>13</v>
      </c>
      <c r="AB15" s="69">
        <f t="shared" si="4"/>
        <v>0</v>
      </c>
      <c r="AD15" s="435">
        <f t="shared" si="5"/>
        <v>64.2</v>
      </c>
      <c r="AE15" s="83">
        <f t="shared" si="9"/>
        <v>64.2</v>
      </c>
      <c r="AG15" s="70">
        <f t="shared" si="6"/>
        <v>834.6</v>
      </c>
      <c r="AH15" s="70">
        <f t="shared" si="7"/>
        <v>0</v>
      </c>
    </row>
    <row r="16" spans="1:34">
      <c r="B16" s="35" t="s">
        <v>164</v>
      </c>
      <c r="C16" s="72" t="s">
        <v>156</v>
      </c>
      <c r="D16" s="35" t="s">
        <v>175</v>
      </c>
      <c r="E16" s="562">
        <v>41</v>
      </c>
      <c r="F16" s="73"/>
      <c r="G16" s="73" t="str">
        <f t="shared" si="10"/>
        <v>047HPL</v>
      </c>
      <c r="H16" s="418"/>
      <c r="I16" t="s">
        <v>133</v>
      </c>
      <c r="J16" t="s">
        <v>168</v>
      </c>
      <c r="K16" s="59">
        <v>7000</v>
      </c>
      <c r="L16" s="97" t="s">
        <v>181</v>
      </c>
      <c r="M16" s="69">
        <f t="shared" si="0"/>
        <v>92</v>
      </c>
      <c r="N16" s="69">
        <f t="shared" si="0"/>
        <v>198</v>
      </c>
      <c r="P16" s="591">
        <v>16.239999999999998</v>
      </c>
      <c r="Q16" s="314">
        <f t="shared" si="1"/>
        <v>16.239999999999998</v>
      </c>
      <c r="S16" s="70">
        <f t="shared" si="8"/>
        <v>1494.08</v>
      </c>
      <c r="T16" s="70">
        <f t="shared" si="2"/>
        <v>3215.5199999999995</v>
      </c>
      <c r="U16" s="70"/>
      <c r="V16" s="69">
        <f t="shared" si="3"/>
        <v>92</v>
      </c>
      <c r="W16" s="69">
        <f t="shared" si="3"/>
        <v>198</v>
      </c>
      <c r="Y16" s="70"/>
      <c r="AA16" s="69">
        <f t="shared" si="4"/>
        <v>92</v>
      </c>
      <c r="AB16" s="69">
        <f t="shared" si="4"/>
        <v>198</v>
      </c>
      <c r="AD16" s="435">
        <f t="shared" si="5"/>
        <v>17.59</v>
      </c>
      <c r="AE16" s="83">
        <f t="shared" si="9"/>
        <v>17.59</v>
      </c>
      <c r="AG16" s="70">
        <f t="shared" si="6"/>
        <v>1618.28</v>
      </c>
      <c r="AH16" s="70">
        <f t="shared" si="7"/>
        <v>3482.82</v>
      </c>
    </row>
    <row r="17" spans="2:68">
      <c r="B17" s="35" t="s">
        <v>164</v>
      </c>
      <c r="C17" s="72" t="s">
        <v>156</v>
      </c>
      <c r="D17" s="35" t="s">
        <v>178</v>
      </c>
      <c r="E17" s="562">
        <v>1</v>
      </c>
      <c r="F17" s="73"/>
      <c r="G17" s="73" t="str">
        <f>IF(OR(ISBLANK(C17),ISBLANK(D17)),"",TEXT(C17,"000")&amp;TEXT(D17,"000"))</f>
        <v>047HPO</v>
      </c>
      <c r="H17" s="418"/>
      <c r="I17" t="s">
        <v>133</v>
      </c>
      <c r="J17" t="s">
        <v>168</v>
      </c>
      <c r="K17" s="59">
        <v>10000</v>
      </c>
      <c r="L17" s="97" t="s">
        <v>183</v>
      </c>
      <c r="M17" s="69">
        <f t="shared" si="0"/>
        <v>134</v>
      </c>
      <c r="N17" s="69">
        <f t="shared" si="0"/>
        <v>209</v>
      </c>
      <c r="P17" s="591">
        <v>19.46</v>
      </c>
      <c r="Q17" s="314">
        <f t="shared" si="1"/>
        <v>19.46</v>
      </c>
      <c r="S17" s="70">
        <f t="shared" si="8"/>
        <v>2607.6400000000003</v>
      </c>
      <c r="T17" s="70">
        <f t="shared" si="2"/>
        <v>4067.1400000000003</v>
      </c>
      <c r="U17" s="70"/>
      <c r="V17" s="69">
        <f t="shared" si="3"/>
        <v>134</v>
      </c>
      <c r="W17" s="69">
        <f t="shared" si="3"/>
        <v>209</v>
      </c>
      <c r="Y17" s="70"/>
      <c r="AA17" s="69">
        <f t="shared" si="4"/>
        <v>134</v>
      </c>
      <c r="AB17" s="69">
        <f t="shared" si="4"/>
        <v>209</v>
      </c>
      <c r="AD17" s="435">
        <f t="shared" si="5"/>
        <v>21.08</v>
      </c>
      <c r="AE17" s="83">
        <f t="shared" si="9"/>
        <v>21.08</v>
      </c>
      <c r="AG17" s="70">
        <f t="shared" si="6"/>
        <v>2824.72</v>
      </c>
      <c r="AH17" s="70">
        <f t="shared" si="7"/>
        <v>4405.7199999999993</v>
      </c>
    </row>
    <row r="18" spans="2:68">
      <c r="B18" s="35" t="s">
        <v>164</v>
      </c>
      <c r="C18" s="72" t="s">
        <v>156</v>
      </c>
      <c r="D18" s="35" t="s">
        <v>176</v>
      </c>
      <c r="E18" s="562">
        <v>96</v>
      </c>
      <c r="F18" s="73"/>
      <c r="G18" s="73" t="str">
        <f t="shared" si="10"/>
        <v>047HPS</v>
      </c>
      <c r="H18" s="418"/>
      <c r="I18" t="s">
        <v>133</v>
      </c>
      <c r="J18" t="s">
        <v>168</v>
      </c>
      <c r="K18" s="59">
        <v>20000</v>
      </c>
      <c r="L18" s="97" t="s">
        <v>184</v>
      </c>
      <c r="M18" s="69">
        <f t="shared" si="0"/>
        <v>247</v>
      </c>
      <c r="N18" s="69">
        <f t="shared" si="0"/>
        <v>15</v>
      </c>
      <c r="P18" s="591">
        <v>27.67</v>
      </c>
      <c r="Q18" s="314">
        <f t="shared" si="1"/>
        <v>27.67</v>
      </c>
      <c r="S18" s="70">
        <f t="shared" si="8"/>
        <v>6834.4900000000007</v>
      </c>
      <c r="T18" s="70">
        <f t="shared" si="2"/>
        <v>415.05</v>
      </c>
      <c r="U18" s="70"/>
      <c r="V18" s="69">
        <f t="shared" si="3"/>
        <v>247</v>
      </c>
      <c r="W18" s="69">
        <f t="shared" si="3"/>
        <v>15</v>
      </c>
      <c r="Y18" s="70"/>
      <c r="AA18" s="69">
        <f t="shared" si="4"/>
        <v>247</v>
      </c>
      <c r="AB18" s="69">
        <f t="shared" si="4"/>
        <v>15</v>
      </c>
      <c r="AD18" s="435">
        <f t="shared" si="5"/>
        <v>29.97</v>
      </c>
      <c r="AE18" s="83">
        <f t="shared" si="9"/>
        <v>29.97</v>
      </c>
      <c r="AG18" s="70">
        <f t="shared" si="6"/>
        <v>7402.59</v>
      </c>
      <c r="AH18" s="70">
        <f t="shared" si="7"/>
        <v>449.54999999999995</v>
      </c>
    </row>
    <row r="19" spans="2:68">
      <c r="B19" s="35" t="s">
        <v>164</v>
      </c>
      <c r="C19" s="72" t="s">
        <v>156</v>
      </c>
      <c r="D19" s="35" t="s">
        <v>179</v>
      </c>
      <c r="E19" s="562">
        <v>13</v>
      </c>
      <c r="F19" s="73"/>
      <c r="G19" s="73" t="str">
        <f t="shared" si="10"/>
        <v>047HPY</v>
      </c>
      <c r="H19" s="418"/>
      <c r="I19" t="s">
        <v>133</v>
      </c>
      <c r="J19" t="s">
        <v>172</v>
      </c>
      <c r="K19" s="59">
        <v>7000</v>
      </c>
      <c r="L19" s="97" t="s">
        <v>185</v>
      </c>
      <c r="M19" s="69">
        <f t="shared" si="0"/>
        <v>35</v>
      </c>
      <c r="N19" s="69">
        <f t="shared" si="0"/>
        <v>87</v>
      </c>
      <c r="P19" s="591">
        <v>20.27</v>
      </c>
      <c r="Q19" s="314">
        <f t="shared" si="1"/>
        <v>20.27</v>
      </c>
      <c r="S19" s="70">
        <f t="shared" si="8"/>
        <v>709.44999999999993</v>
      </c>
      <c r="T19" s="70">
        <f t="shared" si="2"/>
        <v>1763.49</v>
      </c>
      <c r="U19" s="70"/>
      <c r="V19" s="69">
        <f t="shared" si="3"/>
        <v>35</v>
      </c>
      <c r="W19" s="69">
        <f t="shared" si="3"/>
        <v>87</v>
      </c>
      <c r="Y19" s="70"/>
      <c r="AA19" s="69">
        <f t="shared" si="4"/>
        <v>35</v>
      </c>
      <c r="AB19" s="69">
        <f t="shared" si="4"/>
        <v>87</v>
      </c>
      <c r="AD19" s="435">
        <f t="shared" si="5"/>
        <v>21.95</v>
      </c>
      <c r="AE19" s="83">
        <f t="shared" si="9"/>
        <v>21.95</v>
      </c>
      <c r="AG19" s="70">
        <f t="shared" si="6"/>
        <v>768.25</v>
      </c>
      <c r="AH19" s="70">
        <f t="shared" si="7"/>
        <v>1909.6499999999999</v>
      </c>
    </row>
    <row r="20" spans="2:68">
      <c r="B20" s="540" t="s">
        <v>164</v>
      </c>
      <c r="C20" s="402" t="s">
        <v>156</v>
      </c>
      <c r="D20" s="584" t="s">
        <v>847</v>
      </c>
      <c r="E20" s="563">
        <v>1</v>
      </c>
      <c r="F20" s="73"/>
      <c r="G20" s="73" t="str">
        <f t="shared" ref="G20" si="11">IF(OR(ISBLANK(C20),ISBLANK(D20)),"",TEXT(C20,"000")&amp;TEXT(D20,"000"))</f>
        <v>047HAIL</v>
      </c>
      <c r="H20" s="418"/>
      <c r="I20" t="s">
        <v>133</v>
      </c>
      <c r="J20" t="s">
        <v>172</v>
      </c>
      <c r="K20" s="59">
        <v>10000</v>
      </c>
      <c r="L20" s="97" t="s">
        <v>186</v>
      </c>
      <c r="M20" s="69">
        <f t="shared" si="0"/>
        <v>45</v>
      </c>
      <c r="N20" s="69">
        <f t="shared" si="0"/>
        <v>43</v>
      </c>
      <c r="P20" s="591">
        <v>23.53</v>
      </c>
      <c r="Q20" s="314">
        <f t="shared" si="1"/>
        <v>23.53</v>
      </c>
      <c r="S20" s="70">
        <f t="shared" si="8"/>
        <v>1058.8500000000001</v>
      </c>
      <c r="T20" s="70">
        <f t="shared" si="2"/>
        <v>1011.7900000000001</v>
      </c>
      <c r="U20" s="70"/>
      <c r="V20" s="69">
        <f t="shared" si="3"/>
        <v>45</v>
      </c>
      <c r="W20" s="69">
        <f t="shared" si="3"/>
        <v>43</v>
      </c>
      <c r="Y20" s="70"/>
      <c r="AA20" s="69">
        <f t="shared" si="4"/>
        <v>45</v>
      </c>
      <c r="AB20" s="69">
        <f t="shared" si="4"/>
        <v>43</v>
      </c>
      <c r="AD20" s="435">
        <f t="shared" si="5"/>
        <v>25.48</v>
      </c>
      <c r="AE20" s="83">
        <f t="shared" si="9"/>
        <v>25.48</v>
      </c>
      <c r="AG20" s="70">
        <f t="shared" si="6"/>
        <v>1146.5999999999999</v>
      </c>
      <c r="AH20" s="70">
        <f t="shared" si="7"/>
        <v>1095.6400000000001</v>
      </c>
    </row>
    <row r="21" spans="2:68">
      <c r="B21" s="540" t="s">
        <v>164</v>
      </c>
      <c r="C21" s="72" t="s">
        <v>156</v>
      </c>
      <c r="D21" s="540" t="s">
        <v>811</v>
      </c>
      <c r="E21" s="563">
        <v>60</v>
      </c>
      <c r="F21" s="73"/>
      <c r="G21" s="73" t="str">
        <f t="shared" si="10"/>
        <v>047HAML</v>
      </c>
      <c r="H21" s="418"/>
      <c r="I21" t="s">
        <v>133</v>
      </c>
      <c r="J21" t="s">
        <v>172</v>
      </c>
      <c r="K21" s="59">
        <v>20000</v>
      </c>
      <c r="L21" s="97" t="s">
        <v>187</v>
      </c>
      <c r="M21" s="69">
        <f t="shared" si="0"/>
        <v>120</v>
      </c>
      <c r="N21" s="69">
        <f t="shared" si="0"/>
        <v>17</v>
      </c>
      <c r="P21" s="591">
        <v>31.77</v>
      </c>
      <c r="Q21" s="314">
        <f t="shared" si="1"/>
        <v>31.77</v>
      </c>
      <c r="S21" s="70">
        <f t="shared" si="8"/>
        <v>3812.4</v>
      </c>
      <c r="T21" s="70">
        <f t="shared" si="2"/>
        <v>540.09</v>
      </c>
      <c r="U21" s="70"/>
      <c r="V21" s="69">
        <f t="shared" si="3"/>
        <v>120</v>
      </c>
      <c r="W21" s="69">
        <f t="shared" si="3"/>
        <v>17</v>
      </c>
      <c r="Y21" s="70"/>
      <c r="AA21" s="69">
        <f t="shared" si="4"/>
        <v>120</v>
      </c>
      <c r="AB21" s="69">
        <f t="shared" si="4"/>
        <v>17</v>
      </c>
      <c r="AD21" s="435">
        <f t="shared" si="5"/>
        <v>34.409999999999997</v>
      </c>
      <c r="AE21" s="83">
        <f t="shared" si="9"/>
        <v>34.409999999999997</v>
      </c>
      <c r="AG21" s="70">
        <f t="shared" si="6"/>
        <v>4129.2</v>
      </c>
      <c r="AH21" s="70">
        <f t="shared" si="7"/>
        <v>584.96999999999991</v>
      </c>
    </row>
    <row r="22" spans="2:68">
      <c r="B22" s="540" t="s">
        <v>164</v>
      </c>
      <c r="C22" s="72" t="s">
        <v>156</v>
      </c>
      <c r="D22" s="540" t="s">
        <v>812</v>
      </c>
      <c r="E22" s="563">
        <v>16</v>
      </c>
      <c r="F22" s="73"/>
      <c r="G22" s="73" t="str">
        <f t="shared" si="10"/>
        <v>047HANL</v>
      </c>
      <c r="H22" s="418"/>
      <c r="I22" t="s">
        <v>133</v>
      </c>
      <c r="J22" t="s">
        <v>190</v>
      </c>
      <c r="K22" s="59">
        <v>10000</v>
      </c>
      <c r="L22" s="97" t="s">
        <v>188</v>
      </c>
      <c r="M22" s="69">
        <f t="shared" si="0"/>
        <v>0</v>
      </c>
      <c r="N22" s="69">
        <f t="shared" si="0"/>
        <v>5</v>
      </c>
      <c r="P22" s="591">
        <v>29.71</v>
      </c>
      <c r="Q22" s="314">
        <f t="shared" si="1"/>
        <v>29.71</v>
      </c>
      <c r="S22" s="70">
        <f t="shared" si="8"/>
        <v>0</v>
      </c>
      <c r="T22" s="70">
        <f t="shared" si="2"/>
        <v>148.55000000000001</v>
      </c>
      <c r="U22" s="70"/>
      <c r="V22" s="69">
        <f t="shared" si="3"/>
        <v>0</v>
      </c>
      <c r="W22" s="69">
        <f t="shared" si="3"/>
        <v>5</v>
      </c>
      <c r="Y22" s="70"/>
      <c r="AA22" s="69">
        <f t="shared" si="4"/>
        <v>0</v>
      </c>
      <c r="AB22" s="69">
        <f t="shared" si="4"/>
        <v>5</v>
      </c>
      <c r="AD22" s="435">
        <f t="shared" si="5"/>
        <v>32.18</v>
      </c>
      <c r="AE22" s="83">
        <f t="shared" si="9"/>
        <v>32.18</v>
      </c>
      <c r="AG22" s="70">
        <f t="shared" si="6"/>
        <v>0</v>
      </c>
      <c r="AH22" s="70">
        <f t="shared" si="7"/>
        <v>160.9</v>
      </c>
    </row>
    <row r="23" spans="2:68">
      <c r="B23" s="540" t="s">
        <v>164</v>
      </c>
      <c r="C23" s="402" t="s">
        <v>156</v>
      </c>
      <c r="D23" s="584" t="s">
        <v>848</v>
      </c>
      <c r="E23" s="563">
        <v>2</v>
      </c>
      <c r="F23" s="73"/>
      <c r="G23" s="73" t="str">
        <f t="shared" ref="G23" si="12">IF(OR(ISBLANK(C23),ISBLANK(D23)),"",TEXT(C23,"000")&amp;TEXT(D23,"000"))</f>
        <v>047HAOL</v>
      </c>
      <c r="H23" s="418"/>
      <c r="I23" t="s">
        <v>133</v>
      </c>
      <c r="J23" t="s">
        <v>190</v>
      </c>
      <c r="K23" s="59">
        <v>20000</v>
      </c>
      <c r="L23" s="97" t="s">
        <v>189</v>
      </c>
      <c r="M23" s="69">
        <f t="shared" si="0"/>
        <v>1</v>
      </c>
      <c r="N23" s="69">
        <f t="shared" si="0"/>
        <v>0</v>
      </c>
      <c r="P23" s="591">
        <v>37.89</v>
      </c>
      <c r="Q23" s="314">
        <f t="shared" si="1"/>
        <v>37.89</v>
      </c>
      <c r="S23" s="70">
        <f t="shared" si="8"/>
        <v>37.89</v>
      </c>
      <c r="T23" s="70">
        <f t="shared" si="2"/>
        <v>0</v>
      </c>
      <c r="U23" s="70"/>
      <c r="V23" s="69">
        <f t="shared" si="3"/>
        <v>1</v>
      </c>
      <c r="W23" s="69">
        <f t="shared" si="3"/>
        <v>0</v>
      </c>
      <c r="Y23" s="70"/>
      <c r="AA23" s="69">
        <f t="shared" si="4"/>
        <v>1</v>
      </c>
      <c r="AB23" s="69">
        <f t="shared" si="4"/>
        <v>0</v>
      </c>
      <c r="AD23" s="435">
        <f t="shared" si="5"/>
        <v>41.03</v>
      </c>
      <c r="AE23" s="83">
        <f t="shared" si="9"/>
        <v>41.03</v>
      </c>
      <c r="AG23" s="70">
        <f t="shared" si="6"/>
        <v>41.03</v>
      </c>
      <c r="AH23" s="70">
        <f t="shared" si="7"/>
        <v>0</v>
      </c>
    </row>
    <row r="24" spans="2:68">
      <c r="B24" s="540" t="s">
        <v>164</v>
      </c>
      <c r="C24" s="72" t="s">
        <v>156</v>
      </c>
      <c r="D24" s="540" t="s">
        <v>631</v>
      </c>
      <c r="E24" s="563">
        <v>5</v>
      </c>
      <c r="F24" s="73"/>
      <c r="G24" s="73" t="str">
        <f>IF(OR(ISBLANK(C24),ISBLANK(D24)),"",TEXT(C24,"000")&amp;TEXT(D24,"000"))</f>
        <v>047HAPL</v>
      </c>
      <c r="H24" s="418"/>
      <c r="I24" t="s">
        <v>133</v>
      </c>
      <c r="J24" t="s">
        <v>195</v>
      </c>
      <c r="K24" s="59">
        <v>7000</v>
      </c>
      <c r="L24" s="97" t="s">
        <v>192</v>
      </c>
      <c r="M24" s="69">
        <f t="shared" ref="M24:N43" si="13">SUMIF($G:$G,TEXT(M$3,"000")&amp;TEXT($L24,"000"),$E:$E)</f>
        <v>2</v>
      </c>
      <c r="N24" s="69">
        <f t="shared" si="13"/>
        <v>0</v>
      </c>
      <c r="P24" s="591">
        <v>27.71</v>
      </c>
      <c r="Q24" s="314">
        <f t="shared" si="1"/>
        <v>27.71</v>
      </c>
      <c r="S24" s="70">
        <f t="shared" si="8"/>
        <v>55.42</v>
      </c>
      <c r="T24" s="70">
        <f t="shared" si="2"/>
        <v>0</v>
      </c>
      <c r="U24" s="70"/>
      <c r="V24" s="69">
        <f t="shared" ref="V24:W43" si="14">SUMIF($G:$G,TEXT(V$3,"000")&amp;TEXT($L24,"000"),$E:$E)</f>
        <v>2</v>
      </c>
      <c r="W24" s="69">
        <f t="shared" si="14"/>
        <v>0</v>
      </c>
      <c r="Y24" s="70"/>
      <c r="AA24" s="69">
        <f t="shared" si="4"/>
        <v>2</v>
      </c>
      <c r="AB24" s="69">
        <f t="shared" si="4"/>
        <v>0</v>
      </c>
      <c r="AD24" s="435">
        <f t="shared" si="5"/>
        <v>30.01</v>
      </c>
      <c r="AE24" s="83">
        <f t="shared" si="9"/>
        <v>30.01</v>
      </c>
      <c r="AG24" s="70">
        <f t="shared" si="6"/>
        <v>60.02</v>
      </c>
      <c r="AH24" s="70">
        <f t="shared" si="7"/>
        <v>0</v>
      </c>
    </row>
    <row r="25" spans="2:68">
      <c r="B25" s="540" t="s">
        <v>164</v>
      </c>
      <c r="C25" s="402" t="s">
        <v>156</v>
      </c>
      <c r="D25" s="584" t="s">
        <v>939</v>
      </c>
      <c r="E25" s="563">
        <v>19</v>
      </c>
      <c r="F25" s="73"/>
      <c r="G25" s="73" t="str">
        <f>IF(OR(ISBLANK(C25),ISBLANK(D25)),"",TEXT(C25,"000")&amp;TEXT(D25,"000"))</f>
        <v>047HARL</v>
      </c>
      <c r="H25" s="418"/>
      <c r="I25" t="s">
        <v>133</v>
      </c>
      <c r="J25" t="s">
        <v>195</v>
      </c>
      <c r="K25" s="59">
        <v>10000</v>
      </c>
      <c r="L25" s="97" t="s">
        <v>193</v>
      </c>
      <c r="M25" s="69">
        <f t="shared" si="13"/>
        <v>0</v>
      </c>
      <c r="N25" s="69">
        <f t="shared" si="13"/>
        <v>25</v>
      </c>
      <c r="P25" s="591">
        <v>30.97</v>
      </c>
      <c r="Q25" s="314">
        <f t="shared" si="1"/>
        <v>30.97</v>
      </c>
      <c r="S25" s="70">
        <f t="shared" si="8"/>
        <v>0</v>
      </c>
      <c r="T25" s="70">
        <f t="shared" si="2"/>
        <v>774.25</v>
      </c>
      <c r="U25" s="70"/>
      <c r="V25" s="69">
        <f t="shared" si="14"/>
        <v>0</v>
      </c>
      <c r="W25" s="69">
        <f t="shared" si="14"/>
        <v>25</v>
      </c>
      <c r="Y25" s="70"/>
      <c r="AA25" s="69">
        <f t="shared" si="4"/>
        <v>0</v>
      </c>
      <c r="AB25" s="69">
        <f t="shared" si="4"/>
        <v>25</v>
      </c>
      <c r="AD25" s="435">
        <f t="shared" si="5"/>
        <v>33.54</v>
      </c>
      <c r="AE25" s="83">
        <f t="shared" si="9"/>
        <v>33.54</v>
      </c>
      <c r="AG25" s="70">
        <f t="shared" si="6"/>
        <v>0</v>
      </c>
      <c r="AH25" s="70">
        <f t="shared" si="7"/>
        <v>838.5</v>
      </c>
    </row>
    <row r="26" spans="2:68">
      <c r="B26" s="540" t="s">
        <v>164</v>
      </c>
      <c r="C26" s="72" t="s">
        <v>156</v>
      </c>
      <c r="D26" s="540" t="s">
        <v>622</v>
      </c>
      <c r="E26" s="563">
        <v>517</v>
      </c>
      <c r="F26" s="73"/>
      <c r="G26" s="73" t="str">
        <f t="shared" si="10"/>
        <v>047HPAL</v>
      </c>
      <c r="H26" s="418"/>
      <c r="I26" t="s">
        <v>133</v>
      </c>
      <c r="J26" t="s">
        <v>195</v>
      </c>
      <c r="K26" s="59">
        <v>20000</v>
      </c>
      <c r="L26" s="97" t="s">
        <v>194</v>
      </c>
      <c r="M26" s="69">
        <f t="shared" si="13"/>
        <v>2</v>
      </c>
      <c r="N26" s="69">
        <f t="shared" si="13"/>
        <v>0</v>
      </c>
      <c r="P26" s="591">
        <v>39.17</v>
      </c>
      <c r="Q26" s="314">
        <f t="shared" si="1"/>
        <v>39.17</v>
      </c>
      <c r="S26" s="70">
        <f t="shared" si="8"/>
        <v>78.34</v>
      </c>
      <c r="T26" s="70">
        <f t="shared" si="2"/>
        <v>0</v>
      </c>
      <c r="U26" s="70"/>
      <c r="V26" s="69">
        <f t="shared" si="14"/>
        <v>2</v>
      </c>
      <c r="W26" s="69">
        <f t="shared" si="14"/>
        <v>0</v>
      </c>
      <c r="Y26" s="70"/>
      <c r="AA26" s="69">
        <f t="shared" si="4"/>
        <v>2</v>
      </c>
      <c r="AB26" s="69">
        <f t="shared" si="4"/>
        <v>0</v>
      </c>
      <c r="AD26" s="435">
        <f t="shared" si="5"/>
        <v>42.42</v>
      </c>
      <c r="AE26" s="83">
        <f t="shared" si="9"/>
        <v>42.42</v>
      </c>
      <c r="AG26" s="70">
        <f t="shared" si="6"/>
        <v>84.84</v>
      </c>
      <c r="AH26" s="70">
        <f t="shared" si="7"/>
        <v>0</v>
      </c>
    </row>
    <row r="27" spans="2:68">
      <c r="B27" s="540" t="s">
        <v>164</v>
      </c>
      <c r="C27" s="72" t="s">
        <v>156</v>
      </c>
      <c r="D27" s="540" t="s">
        <v>623</v>
      </c>
      <c r="E27" s="563">
        <v>470</v>
      </c>
      <c r="F27" s="73"/>
      <c r="G27" s="73" t="str">
        <f t="shared" si="10"/>
        <v>047HPBL</v>
      </c>
      <c r="H27" s="418"/>
      <c r="I27" s="19" t="s">
        <v>133</v>
      </c>
      <c r="J27" s="19" t="s">
        <v>431</v>
      </c>
      <c r="K27" s="86">
        <v>7000</v>
      </c>
      <c r="L27" s="321" t="s">
        <v>430</v>
      </c>
      <c r="M27" s="69">
        <f t="shared" si="13"/>
        <v>0</v>
      </c>
      <c r="N27" s="69">
        <f t="shared" si="13"/>
        <v>2</v>
      </c>
      <c r="O27" s="320"/>
      <c r="P27" s="591">
        <v>8.1199999999999992</v>
      </c>
      <c r="Q27" s="314">
        <f t="shared" si="1"/>
        <v>8.1199999999999992</v>
      </c>
      <c r="R27" s="320"/>
      <c r="S27" s="70">
        <f t="shared" si="8"/>
        <v>0</v>
      </c>
      <c r="T27" s="70">
        <f t="shared" si="2"/>
        <v>16.239999999999998</v>
      </c>
      <c r="U27" s="70"/>
      <c r="V27" s="69">
        <f t="shared" si="14"/>
        <v>0</v>
      </c>
      <c r="W27" s="69">
        <f t="shared" si="14"/>
        <v>2</v>
      </c>
      <c r="Y27" s="70"/>
      <c r="Z27" s="320"/>
      <c r="AA27" s="69">
        <f t="shared" si="4"/>
        <v>0</v>
      </c>
      <c r="AB27" s="69">
        <f t="shared" si="4"/>
        <v>2</v>
      </c>
      <c r="AC27" s="320"/>
      <c r="AD27" s="435">
        <f>AD16/2</f>
        <v>8.7949999999999999</v>
      </c>
      <c r="AE27" s="83">
        <f t="shared" si="9"/>
        <v>8.7949999999999999</v>
      </c>
      <c r="AF27" s="320"/>
      <c r="AG27" s="70">
        <f t="shared" si="6"/>
        <v>0</v>
      </c>
      <c r="AH27" s="70">
        <f t="shared" si="7"/>
        <v>17.59</v>
      </c>
      <c r="AI27" s="320"/>
    </row>
    <row r="28" spans="2:68">
      <c r="B28" s="540" t="s">
        <v>164</v>
      </c>
      <c r="C28" s="72" t="s">
        <v>156</v>
      </c>
      <c r="D28" s="540" t="s">
        <v>645</v>
      </c>
      <c r="E28" s="563">
        <v>115</v>
      </c>
      <c r="F28" s="73"/>
      <c r="G28" s="73" t="str">
        <f t="shared" si="10"/>
        <v>047HPCL</v>
      </c>
      <c r="H28" s="418"/>
      <c r="I28" t="s">
        <v>201</v>
      </c>
      <c r="J28" s="635" t="s">
        <v>647</v>
      </c>
      <c r="K28" s="59" t="s">
        <v>202</v>
      </c>
      <c r="L28" s="97" t="s">
        <v>197</v>
      </c>
      <c r="M28" s="69">
        <f t="shared" si="13"/>
        <v>53</v>
      </c>
      <c r="N28" s="69">
        <f t="shared" si="13"/>
        <v>2</v>
      </c>
      <c r="P28" s="591">
        <v>6.54</v>
      </c>
      <c r="Q28" s="314">
        <f t="shared" si="1"/>
        <v>6.54</v>
      </c>
      <c r="S28" s="70">
        <f t="shared" si="8"/>
        <v>346.62</v>
      </c>
      <c r="T28" s="70">
        <f t="shared" si="2"/>
        <v>13.08</v>
      </c>
      <c r="U28" s="70"/>
      <c r="V28" s="69">
        <f t="shared" si="14"/>
        <v>53</v>
      </c>
      <c r="W28" s="69">
        <f t="shared" si="14"/>
        <v>2</v>
      </c>
      <c r="Y28" s="70"/>
      <c r="AA28" s="69">
        <f t="shared" si="4"/>
        <v>53</v>
      </c>
      <c r="AB28" s="69">
        <f t="shared" si="4"/>
        <v>2</v>
      </c>
      <c r="AD28" s="435">
        <f t="shared" si="5"/>
        <v>7.08</v>
      </c>
      <c r="AE28" s="83">
        <f t="shared" si="9"/>
        <v>7.08</v>
      </c>
      <c r="AG28" s="70">
        <f t="shared" si="6"/>
        <v>375.24</v>
      </c>
      <c r="AH28" s="70">
        <f t="shared" si="7"/>
        <v>14.16</v>
      </c>
    </row>
    <row r="29" spans="2:68">
      <c r="B29" s="540" t="s">
        <v>164</v>
      </c>
      <c r="C29" s="72" t="s">
        <v>156</v>
      </c>
      <c r="D29" s="540" t="s">
        <v>626</v>
      </c>
      <c r="E29" s="563">
        <v>428</v>
      </c>
      <c r="F29" s="73"/>
      <c r="G29" s="73" t="str">
        <f t="shared" si="10"/>
        <v>047HPDL</v>
      </c>
      <c r="H29" s="418"/>
      <c r="I29" s="598" t="s">
        <v>617</v>
      </c>
      <c r="J29" s="598" t="str">
        <f>J6</f>
        <v>on existing standard</v>
      </c>
      <c r="K29" s="598" t="s">
        <v>132</v>
      </c>
      <c r="L29" s="581" t="s">
        <v>622</v>
      </c>
      <c r="M29" s="580">
        <f t="shared" si="13"/>
        <v>517</v>
      </c>
      <c r="N29" s="580">
        <f t="shared" si="13"/>
        <v>844</v>
      </c>
      <c r="O29" s="598"/>
      <c r="P29" s="621">
        <f>P6</f>
        <v>14.12</v>
      </c>
      <c r="Q29" s="314">
        <f t="shared" si="1"/>
        <v>14.12</v>
      </c>
      <c r="R29" s="598"/>
      <c r="S29" s="70">
        <f t="shared" ref="S29:S39" si="15">IF(AND(M29&lt;&gt;0,P29=0),#VALUE!,M29*P29)</f>
        <v>7300.04</v>
      </c>
      <c r="T29" s="70">
        <f t="shared" ref="T29:T39" si="16">IF(AND(N29&lt;&gt;0,Q29=0),#VALUE!,N29*Q29)</f>
        <v>11917.279999999999</v>
      </c>
      <c r="U29" s="70"/>
      <c r="V29" s="580">
        <f t="shared" si="14"/>
        <v>517</v>
      </c>
      <c r="W29" s="580">
        <f t="shared" si="14"/>
        <v>844</v>
      </c>
      <c r="X29" s="598"/>
      <c r="Y29" s="70"/>
      <c r="Z29" s="598"/>
      <c r="AA29" s="580">
        <f t="shared" ref="AA29:AA39" si="17">M29</f>
        <v>517</v>
      </c>
      <c r="AB29" s="580">
        <f t="shared" ref="AB29:AB49" si="18">N29</f>
        <v>844</v>
      </c>
      <c r="AC29" s="598"/>
      <c r="AD29" s="585">
        <f>AD6</f>
        <v>15.29</v>
      </c>
      <c r="AE29" s="83">
        <f t="shared" si="9"/>
        <v>15.29</v>
      </c>
      <c r="AF29" s="598"/>
      <c r="AG29" s="70">
        <f>IF(AND(AA29&lt;&gt;0,AD29=0),#VALUE!,AA29*AD29)</f>
        <v>7904.9299999999994</v>
      </c>
      <c r="AH29" s="70">
        <f>IF(AND(AB29&lt;&gt;0,AE29=0),#VALUE!,AB29*AE29)</f>
        <v>12904.759999999998</v>
      </c>
      <c r="AI29" s="598"/>
      <c r="AJ29" s="598"/>
      <c r="AK29" s="598"/>
      <c r="AL29" s="598"/>
      <c r="AM29" s="598"/>
      <c r="AN29" s="598"/>
      <c r="AO29" s="598"/>
      <c r="AP29" s="598"/>
      <c r="AQ29" s="598"/>
      <c r="AR29" s="598"/>
      <c r="AS29" s="598"/>
      <c r="AT29" s="598"/>
      <c r="AU29" s="598"/>
      <c r="AV29" s="598"/>
      <c r="AW29" s="598"/>
      <c r="AX29" s="598"/>
      <c r="AY29" s="598"/>
      <c r="AZ29" s="598"/>
      <c r="BA29" s="598"/>
      <c r="BB29" s="598"/>
    </row>
    <row r="30" spans="2:68">
      <c r="B30" s="540" t="s">
        <v>164</v>
      </c>
      <c r="C30" s="72" t="s">
        <v>156</v>
      </c>
      <c r="D30" s="540" t="s">
        <v>625</v>
      </c>
      <c r="E30" s="563">
        <v>376</v>
      </c>
      <c r="F30" s="73"/>
      <c r="G30" s="73" t="str">
        <f t="shared" si="10"/>
        <v>047HPEL</v>
      </c>
      <c r="H30" s="418"/>
      <c r="I30" s="598" t="s">
        <v>617</v>
      </c>
      <c r="J30" s="598" t="str">
        <f>J7</f>
        <v>on existing standard</v>
      </c>
      <c r="K30" s="598" t="s">
        <v>614</v>
      </c>
      <c r="L30" s="581" t="s">
        <v>623</v>
      </c>
      <c r="M30" s="580">
        <f t="shared" si="13"/>
        <v>470</v>
      </c>
      <c r="N30" s="580">
        <f t="shared" si="13"/>
        <v>114</v>
      </c>
      <c r="O30" s="598"/>
      <c r="P30" s="621">
        <f>P7</f>
        <v>20.05</v>
      </c>
      <c r="Q30" s="314">
        <f t="shared" si="1"/>
        <v>20.05</v>
      </c>
      <c r="R30" s="598"/>
      <c r="S30" s="70">
        <f t="shared" si="15"/>
        <v>9423.5</v>
      </c>
      <c r="T30" s="70">
        <f t="shared" si="16"/>
        <v>2285.7000000000003</v>
      </c>
      <c r="U30" s="70"/>
      <c r="V30" s="580">
        <f t="shared" si="14"/>
        <v>470</v>
      </c>
      <c r="W30" s="580">
        <f t="shared" si="14"/>
        <v>114</v>
      </c>
      <c r="X30" s="598"/>
      <c r="Y30" s="70"/>
      <c r="Z30" s="598"/>
      <c r="AA30" s="580">
        <f t="shared" si="17"/>
        <v>470</v>
      </c>
      <c r="AB30" s="580">
        <f t="shared" si="18"/>
        <v>114</v>
      </c>
      <c r="AC30" s="598"/>
      <c r="AD30" s="585">
        <f>AD7</f>
        <v>21.71</v>
      </c>
      <c r="AE30" s="585">
        <f>AE7</f>
        <v>21.71</v>
      </c>
      <c r="AF30" s="598"/>
      <c r="AG30" s="70">
        <f t="shared" ref="AG30:AG38" si="19">IF(AND(AA30&lt;&gt;0,AD30=0),#VALUE!,AA30*AD30)</f>
        <v>10203.700000000001</v>
      </c>
      <c r="AH30" s="70">
        <f t="shared" ref="AH30:AH39" si="20">IF(AND(AB30&lt;&gt;0,AE30=0),#VALUE!,AB30*AE30)</f>
        <v>2474.94</v>
      </c>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row>
    <row r="31" spans="2:68">
      <c r="B31" s="540" t="s">
        <v>164</v>
      </c>
      <c r="C31" s="72" t="s">
        <v>156</v>
      </c>
      <c r="D31" s="540" t="s">
        <v>646</v>
      </c>
      <c r="E31" s="563">
        <v>90</v>
      </c>
      <c r="F31" s="73"/>
      <c r="G31" s="73" t="str">
        <f t="shared" si="10"/>
        <v>047HPGL</v>
      </c>
      <c r="H31" s="418"/>
      <c r="I31" s="683" t="s">
        <v>617</v>
      </c>
      <c r="J31" s="683" t="str">
        <f>J8</f>
        <v>on existing standard</v>
      </c>
      <c r="K31" s="683" t="s">
        <v>809</v>
      </c>
      <c r="L31" s="581" t="s">
        <v>645</v>
      </c>
      <c r="M31" s="580">
        <f t="shared" si="13"/>
        <v>115</v>
      </c>
      <c r="N31" s="580">
        <f t="shared" si="13"/>
        <v>6</v>
      </c>
      <c r="O31" s="683"/>
      <c r="P31" s="621">
        <f>P8</f>
        <v>27.7</v>
      </c>
      <c r="Q31" s="314">
        <f>P31</f>
        <v>27.7</v>
      </c>
      <c r="R31" s="683"/>
      <c r="S31" s="70">
        <f>IF(AND(M31&lt;&gt;0,P31=0),#VALUE!,M31*P31)</f>
        <v>3185.5</v>
      </c>
      <c r="T31" s="70">
        <f>IF(AND(N31&lt;&gt;0,Q31=0),#VALUE!,N31*Q31)</f>
        <v>166.2</v>
      </c>
      <c r="U31" s="70"/>
      <c r="V31" s="580">
        <f t="shared" si="14"/>
        <v>115</v>
      </c>
      <c r="W31" s="580">
        <f t="shared" si="14"/>
        <v>6</v>
      </c>
      <c r="X31" s="683"/>
      <c r="Y31" s="70"/>
      <c r="Z31" s="683"/>
      <c r="AA31" s="580">
        <f>M31</f>
        <v>115</v>
      </c>
      <c r="AB31" s="580">
        <f>N31</f>
        <v>6</v>
      </c>
      <c r="AC31" s="683"/>
      <c r="AD31" s="585">
        <f>AD8</f>
        <v>30</v>
      </c>
      <c r="AE31" s="585">
        <f>AE8</f>
        <v>30</v>
      </c>
      <c r="AF31" s="683"/>
      <c r="AG31" s="70">
        <f>IF(AND(AA31&lt;&gt;0,AD31=0),#VALUE!,AA31*AD31)</f>
        <v>3450</v>
      </c>
      <c r="AH31" s="70">
        <f>IF(AND(AB31&lt;&gt;0,AE31=0),#VALUE!,AB31*AE31)</f>
        <v>180</v>
      </c>
      <c r="AI31" s="683"/>
      <c r="AJ31" s="683"/>
      <c r="AK31" s="683"/>
      <c r="AL31" s="683"/>
      <c r="AM31" s="683"/>
      <c r="AN31" s="683"/>
      <c r="AO31" s="683"/>
      <c r="AP31" s="683"/>
      <c r="AQ31" s="683"/>
      <c r="AR31" s="683"/>
      <c r="AS31" s="683"/>
      <c r="AT31" s="683"/>
      <c r="AU31" s="683"/>
      <c r="AV31" s="683"/>
      <c r="AW31" s="683"/>
      <c r="AX31" s="683"/>
      <c r="AY31" s="683"/>
      <c r="AZ31" s="683"/>
      <c r="BA31" s="683"/>
      <c r="BB31" s="683"/>
      <c r="BC31" s="598"/>
      <c r="BD31" s="598"/>
      <c r="BE31" s="598"/>
      <c r="BF31" s="598"/>
      <c r="BG31" s="598"/>
      <c r="BH31" s="598"/>
      <c r="BI31" s="598"/>
      <c r="BJ31" s="598"/>
      <c r="BK31" s="598"/>
      <c r="BL31" s="598"/>
      <c r="BM31" s="598"/>
      <c r="BN31" s="598"/>
      <c r="BO31" s="598"/>
      <c r="BP31" s="598"/>
    </row>
    <row r="32" spans="2:68">
      <c r="B32" s="540" t="s">
        <v>164</v>
      </c>
      <c r="C32" s="72" t="s">
        <v>156</v>
      </c>
      <c r="D32" s="540" t="s">
        <v>813</v>
      </c>
      <c r="E32" s="563">
        <v>1</v>
      </c>
      <c r="F32" s="73"/>
      <c r="G32" s="73" t="str">
        <f t="shared" ref="G32:G49" si="21">IF(OR(ISBLANK(C32),ISBLANK(D32)),"",TEXT(C32,"000")&amp;TEXT(D32,"000"))</f>
        <v>047HPKL</v>
      </c>
      <c r="H32" s="418"/>
      <c r="I32" s="598" t="s">
        <v>617</v>
      </c>
      <c r="J32" s="598" t="str">
        <f>J14</f>
        <v>20' fiberglass pole</v>
      </c>
      <c r="K32" s="598" t="s">
        <v>132</v>
      </c>
      <c r="L32" s="581" t="s">
        <v>624</v>
      </c>
      <c r="M32" s="580">
        <f t="shared" si="13"/>
        <v>16</v>
      </c>
      <c r="N32" s="580">
        <f t="shared" si="13"/>
        <v>105</v>
      </c>
      <c r="O32" s="598"/>
      <c r="P32" s="621">
        <f>P14</f>
        <v>20.68</v>
      </c>
      <c r="Q32" s="314">
        <f t="shared" si="1"/>
        <v>20.68</v>
      </c>
      <c r="R32" s="598"/>
      <c r="S32" s="70">
        <f t="shared" si="15"/>
        <v>330.88</v>
      </c>
      <c r="T32" s="70">
        <f t="shared" si="16"/>
        <v>2171.4</v>
      </c>
      <c r="U32" s="70"/>
      <c r="V32" s="580">
        <f t="shared" si="14"/>
        <v>16</v>
      </c>
      <c r="W32" s="580">
        <f t="shared" si="14"/>
        <v>105</v>
      </c>
      <c r="X32" s="598"/>
      <c r="Y32" s="70"/>
      <c r="Z32" s="598"/>
      <c r="AA32" s="580">
        <f t="shared" si="17"/>
        <v>16</v>
      </c>
      <c r="AB32" s="580">
        <f t="shared" si="18"/>
        <v>105</v>
      </c>
      <c r="AC32" s="598"/>
      <c r="AD32" s="585">
        <f>AD14</f>
        <v>22.4</v>
      </c>
      <c r="AE32" s="585">
        <f>AE14</f>
        <v>22.4</v>
      </c>
      <c r="AF32" s="598"/>
      <c r="AG32" s="70">
        <f t="shared" si="19"/>
        <v>358.4</v>
      </c>
      <c r="AH32" s="70">
        <f t="shared" si="20"/>
        <v>2352</v>
      </c>
      <c r="AI32" s="598"/>
      <c r="AJ32" s="598"/>
      <c r="AK32" s="598"/>
      <c r="AL32" s="598"/>
      <c r="AM32" s="598"/>
      <c r="AN32" s="598"/>
      <c r="AO32" s="598"/>
      <c r="AP32" s="598"/>
      <c r="AQ32" s="598"/>
      <c r="AR32" s="598"/>
      <c r="AS32" s="598"/>
      <c r="AT32" s="598"/>
      <c r="AU32" s="598"/>
      <c r="AV32" s="598"/>
      <c r="AW32" s="598"/>
      <c r="AX32" s="598"/>
      <c r="AY32" s="598"/>
      <c r="AZ32" s="598"/>
      <c r="BA32" s="598"/>
      <c r="BB32" s="598"/>
      <c r="BC32" s="683"/>
      <c r="BD32" s="683"/>
      <c r="BE32" s="683"/>
      <c r="BF32" s="683"/>
      <c r="BG32" s="683"/>
      <c r="BH32" s="683"/>
      <c r="BI32" s="598"/>
      <c r="BJ32" s="598"/>
      <c r="BK32" s="598"/>
      <c r="BL32" s="598"/>
      <c r="BM32" s="598"/>
      <c r="BN32" s="598"/>
      <c r="BO32" s="598"/>
      <c r="BP32" s="598"/>
    </row>
    <row r="33" spans="1:93">
      <c r="B33" s="540" t="s">
        <v>164</v>
      </c>
      <c r="C33" s="72" t="s">
        <v>156</v>
      </c>
      <c r="D33" s="540" t="s">
        <v>628</v>
      </c>
      <c r="E33" s="563">
        <v>12</v>
      </c>
      <c r="F33" s="73"/>
      <c r="G33" s="73" t="str">
        <f t="shared" si="21"/>
        <v>047HPLL</v>
      </c>
      <c r="H33" s="418"/>
      <c r="I33" s="598" t="s">
        <v>617</v>
      </c>
      <c r="J33" s="598" t="str">
        <f>J10</f>
        <v>35' wood pole</v>
      </c>
      <c r="K33" s="598" t="s">
        <v>132</v>
      </c>
      <c r="L33" s="581" t="s">
        <v>625</v>
      </c>
      <c r="M33" s="580">
        <f t="shared" si="13"/>
        <v>376</v>
      </c>
      <c r="N33" s="580">
        <f t="shared" si="13"/>
        <v>415</v>
      </c>
      <c r="O33" s="598"/>
      <c r="P33" s="621">
        <f>P10</f>
        <v>20.68</v>
      </c>
      <c r="Q33" s="314">
        <f t="shared" si="1"/>
        <v>20.68</v>
      </c>
      <c r="R33" s="598"/>
      <c r="S33" s="70">
        <f t="shared" si="15"/>
        <v>7775.68</v>
      </c>
      <c r="T33" s="70">
        <f t="shared" si="16"/>
        <v>8582.2000000000007</v>
      </c>
      <c r="U33" s="70"/>
      <c r="V33" s="580">
        <f t="shared" si="14"/>
        <v>376</v>
      </c>
      <c r="W33" s="580">
        <f t="shared" si="14"/>
        <v>415</v>
      </c>
      <c r="X33" s="598"/>
      <c r="Y33" s="70"/>
      <c r="Z33" s="598"/>
      <c r="AA33" s="580">
        <f t="shared" si="17"/>
        <v>376</v>
      </c>
      <c r="AB33" s="580">
        <f t="shared" si="18"/>
        <v>415</v>
      </c>
      <c r="AC33" s="598"/>
      <c r="AD33" s="585">
        <f>AD10</f>
        <v>22.4</v>
      </c>
      <c r="AE33" s="585">
        <f>AE10</f>
        <v>22.4</v>
      </c>
      <c r="AF33" s="598"/>
      <c r="AG33" s="70">
        <f t="shared" si="19"/>
        <v>8422.4</v>
      </c>
      <c r="AH33" s="70">
        <f t="shared" si="20"/>
        <v>9296</v>
      </c>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683"/>
      <c r="BJ33" s="683"/>
      <c r="BK33" s="683"/>
      <c r="BL33" s="683"/>
      <c r="BM33" s="683"/>
      <c r="BN33" s="683"/>
      <c r="BO33" s="683"/>
      <c r="BP33" s="598"/>
    </row>
    <row r="34" spans="1:93">
      <c r="B34" s="540" t="s">
        <v>164</v>
      </c>
      <c r="C34" s="72" t="s">
        <v>156</v>
      </c>
      <c r="D34" s="540" t="s">
        <v>624</v>
      </c>
      <c r="E34" s="563">
        <v>16</v>
      </c>
      <c r="F34" s="73"/>
      <c r="G34" s="73" t="str">
        <f t="shared" si="21"/>
        <v>047HPSL</v>
      </c>
      <c r="H34" s="418"/>
      <c r="I34" s="598" t="s">
        <v>617</v>
      </c>
      <c r="J34" s="598" t="str">
        <f>J9</f>
        <v>35' wood pole</v>
      </c>
      <c r="K34" s="598" t="s">
        <v>614</v>
      </c>
      <c r="L34" s="581" t="s">
        <v>626</v>
      </c>
      <c r="M34" s="580">
        <f t="shared" si="13"/>
        <v>428</v>
      </c>
      <c r="N34" s="580">
        <f t="shared" si="13"/>
        <v>75</v>
      </c>
      <c r="O34" s="598"/>
      <c r="P34" s="621">
        <f>P9</f>
        <v>27.86</v>
      </c>
      <c r="Q34" s="314">
        <f t="shared" si="1"/>
        <v>27.86</v>
      </c>
      <c r="R34" s="598"/>
      <c r="S34" s="70">
        <f t="shared" si="15"/>
        <v>11924.08</v>
      </c>
      <c r="T34" s="70">
        <f t="shared" si="16"/>
        <v>2089.5</v>
      </c>
      <c r="U34" s="70"/>
      <c r="V34" s="580">
        <f t="shared" si="14"/>
        <v>428</v>
      </c>
      <c r="W34" s="580">
        <f t="shared" si="14"/>
        <v>75</v>
      </c>
      <c r="X34" s="598"/>
      <c r="Y34" s="70"/>
      <c r="Z34" s="598"/>
      <c r="AA34" s="580">
        <f t="shared" si="17"/>
        <v>428</v>
      </c>
      <c r="AB34" s="580">
        <f t="shared" si="18"/>
        <v>75</v>
      </c>
      <c r="AC34" s="598"/>
      <c r="AD34" s="585">
        <f>AD9</f>
        <v>30.17</v>
      </c>
      <c r="AE34" s="585">
        <f>AE9</f>
        <v>30.17</v>
      </c>
      <c r="AF34" s="598"/>
      <c r="AG34" s="70">
        <f t="shared" si="19"/>
        <v>12912.76</v>
      </c>
      <c r="AH34" s="70">
        <f t="shared" si="20"/>
        <v>2262.75</v>
      </c>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row>
    <row r="35" spans="1:93">
      <c r="B35" s="540" t="s">
        <v>164</v>
      </c>
      <c r="C35" s="72" t="s">
        <v>156</v>
      </c>
      <c r="D35" s="540" t="s">
        <v>629</v>
      </c>
      <c r="E35" s="563">
        <v>5</v>
      </c>
      <c r="F35" s="73"/>
      <c r="G35" s="73" t="str">
        <f t="shared" si="21"/>
        <v>047HPYL</v>
      </c>
      <c r="H35" s="418"/>
      <c r="I35" s="598" t="s">
        <v>617</v>
      </c>
      <c r="J35" s="598" t="str">
        <f>J13</f>
        <v>25' steel pole</v>
      </c>
      <c r="K35" s="598" t="s">
        <v>614</v>
      </c>
      <c r="L35" s="581" t="s">
        <v>627</v>
      </c>
      <c r="M35" s="580">
        <f t="shared" si="13"/>
        <v>0</v>
      </c>
      <c r="N35" s="580">
        <f t="shared" si="13"/>
        <v>5</v>
      </c>
      <c r="O35" s="598"/>
      <c r="P35" s="621">
        <f>P13</f>
        <v>30.3</v>
      </c>
      <c r="Q35" s="314">
        <f t="shared" si="1"/>
        <v>30.3</v>
      </c>
      <c r="R35" s="598"/>
      <c r="S35" s="70">
        <f t="shared" si="15"/>
        <v>0</v>
      </c>
      <c r="T35" s="70">
        <f t="shared" si="16"/>
        <v>151.5</v>
      </c>
      <c r="U35" s="70"/>
      <c r="V35" s="580">
        <f t="shared" si="14"/>
        <v>0</v>
      </c>
      <c r="W35" s="580">
        <f t="shared" si="14"/>
        <v>5</v>
      </c>
      <c r="X35" s="598"/>
      <c r="Y35" s="70"/>
      <c r="Z35" s="598"/>
      <c r="AA35" s="580">
        <f t="shared" si="17"/>
        <v>0</v>
      </c>
      <c r="AB35" s="580">
        <f t="shared" si="18"/>
        <v>5</v>
      </c>
      <c r="AC35" s="598"/>
      <c r="AD35" s="585">
        <f>AD13</f>
        <v>32.81</v>
      </c>
      <c r="AE35" s="585">
        <f>AE13</f>
        <v>32.81</v>
      </c>
      <c r="AF35" s="598"/>
      <c r="AG35" s="70">
        <f t="shared" si="19"/>
        <v>0</v>
      </c>
      <c r="AH35" s="70">
        <f t="shared" si="20"/>
        <v>164.05</v>
      </c>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row>
    <row r="36" spans="1:93">
      <c r="B36" s="540" t="s">
        <v>164</v>
      </c>
      <c r="C36" s="402" t="s">
        <v>156</v>
      </c>
      <c r="D36" s="584" t="s">
        <v>940</v>
      </c>
      <c r="E36" s="557">
        <v>46</v>
      </c>
      <c r="F36" s="73"/>
      <c r="G36" s="73" t="str">
        <f t="shared" si="21"/>
        <v>047HPZL</v>
      </c>
      <c r="H36" s="418"/>
      <c r="I36" s="598" t="s">
        <v>617</v>
      </c>
      <c r="J36" s="598" t="str">
        <f>J12</f>
        <v>30' steel pole</v>
      </c>
      <c r="K36" s="598" t="s">
        <v>614</v>
      </c>
      <c r="L36" s="581" t="s">
        <v>628</v>
      </c>
      <c r="M36" s="580">
        <f t="shared" si="13"/>
        <v>12</v>
      </c>
      <c r="N36" s="580">
        <f t="shared" si="13"/>
        <v>4</v>
      </c>
      <c r="O36" s="598"/>
      <c r="P36" s="621">
        <f>P12</f>
        <v>34.979999999999997</v>
      </c>
      <c r="Q36" s="314">
        <f t="shared" si="1"/>
        <v>34.979999999999997</v>
      </c>
      <c r="R36" s="598"/>
      <c r="S36" s="70">
        <f t="shared" si="15"/>
        <v>419.76</v>
      </c>
      <c r="T36" s="70">
        <f t="shared" si="16"/>
        <v>139.91999999999999</v>
      </c>
      <c r="U36" s="70"/>
      <c r="V36" s="580">
        <f t="shared" si="14"/>
        <v>12</v>
      </c>
      <c r="W36" s="580">
        <f t="shared" si="14"/>
        <v>4</v>
      </c>
      <c r="X36" s="598"/>
      <c r="Y36" s="70"/>
      <c r="Z36" s="598"/>
      <c r="AA36" s="580">
        <f t="shared" si="17"/>
        <v>12</v>
      </c>
      <c r="AB36" s="580">
        <f t="shared" si="18"/>
        <v>4</v>
      </c>
      <c r="AC36" s="598"/>
      <c r="AD36" s="585">
        <f>AD12</f>
        <v>37.880000000000003</v>
      </c>
      <c r="AE36" s="585">
        <f>AE12</f>
        <v>37.880000000000003</v>
      </c>
      <c r="AF36" s="598"/>
      <c r="AG36" s="70">
        <f t="shared" si="19"/>
        <v>454.56000000000006</v>
      </c>
      <c r="AH36" s="70">
        <f t="shared" si="20"/>
        <v>151.52000000000001</v>
      </c>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8"/>
      <c r="BP36" s="59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row>
    <row r="37" spans="1:93">
      <c r="A37" s="654"/>
      <c r="B37" s="35" t="s">
        <v>164</v>
      </c>
      <c r="C37" s="72" t="s">
        <v>156</v>
      </c>
      <c r="D37" s="35" t="s">
        <v>181</v>
      </c>
      <c r="E37" s="562">
        <v>92</v>
      </c>
      <c r="F37" s="73"/>
      <c r="G37" s="73" t="str">
        <f t="shared" si="21"/>
        <v>047MVA</v>
      </c>
      <c r="H37" s="418"/>
      <c r="I37" s="598" t="s">
        <v>617</v>
      </c>
      <c r="J37" s="598" t="str">
        <f>J15</f>
        <v>30' steel pole w/2 arms</v>
      </c>
      <c r="K37" s="598" t="s">
        <v>614</v>
      </c>
      <c r="L37" s="581" t="s">
        <v>629</v>
      </c>
      <c r="M37" s="580">
        <f t="shared" si="13"/>
        <v>5</v>
      </c>
      <c r="N37" s="580">
        <f t="shared" si="13"/>
        <v>0</v>
      </c>
      <c r="O37" s="598"/>
      <c r="P37" s="621">
        <f>P15</f>
        <v>59.28</v>
      </c>
      <c r="Q37" s="314">
        <f t="shared" si="1"/>
        <v>59.28</v>
      </c>
      <c r="R37" s="598"/>
      <c r="S37" s="70">
        <f t="shared" si="15"/>
        <v>296.39999999999998</v>
      </c>
      <c r="T37" s="70">
        <f t="shared" si="16"/>
        <v>0</v>
      </c>
      <c r="U37" s="70"/>
      <c r="V37" s="580">
        <f t="shared" si="14"/>
        <v>5</v>
      </c>
      <c r="W37" s="580">
        <f t="shared" si="14"/>
        <v>0</v>
      </c>
      <c r="X37" s="598"/>
      <c r="Y37" s="70"/>
      <c r="Z37" s="598"/>
      <c r="AA37" s="580">
        <f t="shared" si="17"/>
        <v>5</v>
      </c>
      <c r="AB37" s="580">
        <f t="shared" si="18"/>
        <v>0</v>
      </c>
      <c r="AC37" s="598"/>
      <c r="AD37" s="585">
        <f>AD15</f>
        <v>64.2</v>
      </c>
      <c r="AE37" s="585">
        <f>AE15</f>
        <v>64.2</v>
      </c>
      <c r="AF37" s="598"/>
      <c r="AG37" s="70">
        <f t="shared" si="19"/>
        <v>321</v>
      </c>
      <c r="AH37" s="70">
        <f t="shared" si="20"/>
        <v>0</v>
      </c>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row>
    <row r="38" spans="1:93">
      <c r="B38" s="35" t="s">
        <v>164</v>
      </c>
      <c r="C38" s="72" t="s">
        <v>156</v>
      </c>
      <c r="D38" s="35" t="s">
        <v>183</v>
      </c>
      <c r="E38" s="562">
        <v>134</v>
      </c>
      <c r="F38" s="73"/>
      <c r="G38" s="73" t="str">
        <f t="shared" si="21"/>
        <v>047MVB</v>
      </c>
      <c r="H38" s="418"/>
      <c r="I38" s="598" t="s">
        <v>617</v>
      </c>
      <c r="J38" s="598" t="str">
        <f>J97</f>
        <v>Granville w/16' decorative pole</v>
      </c>
      <c r="K38" s="598" t="s">
        <v>132</v>
      </c>
      <c r="L38" s="581" t="s">
        <v>630</v>
      </c>
      <c r="M38" s="580">
        <f t="shared" si="13"/>
        <v>3</v>
      </c>
      <c r="N38" s="580">
        <f t="shared" si="13"/>
        <v>0</v>
      </c>
      <c r="O38" s="598"/>
      <c r="P38" s="591">
        <v>30.78</v>
      </c>
      <c r="Q38" s="314">
        <f t="shared" si="1"/>
        <v>30.78</v>
      </c>
      <c r="R38" s="598"/>
      <c r="S38" s="70">
        <f t="shared" si="15"/>
        <v>92.34</v>
      </c>
      <c r="T38" s="70">
        <f t="shared" si="16"/>
        <v>0</v>
      </c>
      <c r="U38" s="70"/>
      <c r="V38" s="580">
        <f t="shared" si="14"/>
        <v>3</v>
      </c>
      <c r="W38" s="580">
        <f t="shared" si="14"/>
        <v>0</v>
      </c>
      <c r="X38" s="598"/>
      <c r="Y38" s="70"/>
      <c r="Z38" s="598"/>
      <c r="AA38" s="580">
        <f t="shared" si="17"/>
        <v>3</v>
      </c>
      <c r="AB38" s="580">
        <f t="shared" si="18"/>
        <v>0</v>
      </c>
      <c r="AC38" s="598"/>
      <c r="AD38" s="585">
        <f t="shared" ref="AD38:AD39" si="22">ROUND(P38*(1+AD$1),2)</f>
        <v>33.33</v>
      </c>
      <c r="AE38" s="585">
        <f t="shared" ref="AE38:AE39" si="23">AD38</f>
        <v>33.33</v>
      </c>
      <c r="AF38" s="598"/>
      <c r="AG38" s="70">
        <f t="shared" si="19"/>
        <v>99.99</v>
      </c>
      <c r="AH38" s="70">
        <f t="shared" si="20"/>
        <v>0</v>
      </c>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8"/>
      <c r="BW38" s="598"/>
      <c r="BX38" s="598"/>
      <c r="BY38" s="598"/>
      <c r="BZ38" s="598"/>
      <c r="CA38" s="598"/>
      <c r="CB38" s="598"/>
      <c r="CC38" s="598"/>
      <c r="CD38" s="598"/>
      <c r="CE38" s="598"/>
      <c r="CF38" s="598"/>
      <c r="CG38" s="598"/>
      <c r="CH38" s="598"/>
      <c r="CI38" s="598"/>
      <c r="CJ38" s="598"/>
      <c r="CK38" s="598"/>
      <c r="CL38" s="598"/>
      <c r="CM38" s="598"/>
      <c r="CN38" s="598"/>
      <c r="CO38" s="598"/>
    </row>
    <row r="39" spans="1:93">
      <c r="A39" s="676"/>
      <c r="B39" s="35" t="s">
        <v>164</v>
      </c>
      <c r="C39" s="72" t="s">
        <v>156</v>
      </c>
      <c r="D39" s="35" t="s">
        <v>184</v>
      </c>
      <c r="E39" s="562">
        <v>247</v>
      </c>
      <c r="F39" s="73"/>
      <c r="G39" s="73" t="str">
        <f t="shared" si="21"/>
        <v>047MVC</v>
      </c>
      <c r="H39" s="418"/>
      <c r="I39" s="598" t="s">
        <v>617</v>
      </c>
      <c r="J39" s="598" t="str">
        <f>J98</f>
        <v>Post Top w/16' decorative pole</v>
      </c>
      <c r="K39" s="598" t="s">
        <v>132</v>
      </c>
      <c r="L39" s="581" t="s">
        <v>631</v>
      </c>
      <c r="M39" s="580">
        <f t="shared" si="13"/>
        <v>5</v>
      </c>
      <c r="N39" s="580">
        <f t="shared" si="13"/>
        <v>3</v>
      </c>
      <c r="O39" s="598"/>
      <c r="P39" s="591">
        <v>29.36</v>
      </c>
      <c r="Q39" s="314">
        <f t="shared" si="1"/>
        <v>29.36</v>
      </c>
      <c r="R39" s="598"/>
      <c r="S39" s="70">
        <f t="shared" si="15"/>
        <v>146.80000000000001</v>
      </c>
      <c r="T39" s="70">
        <f t="shared" si="16"/>
        <v>88.08</v>
      </c>
      <c r="U39" s="70"/>
      <c r="V39" s="580">
        <f t="shared" si="14"/>
        <v>5</v>
      </c>
      <c r="W39" s="580">
        <f t="shared" si="14"/>
        <v>3</v>
      </c>
      <c r="X39" s="598"/>
      <c r="Y39" s="70"/>
      <c r="Z39" s="598"/>
      <c r="AA39" s="580">
        <f t="shared" si="17"/>
        <v>5</v>
      </c>
      <c r="AB39" s="580">
        <f t="shared" si="18"/>
        <v>3</v>
      </c>
      <c r="AC39" s="598"/>
      <c r="AD39" s="585">
        <f t="shared" si="22"/>
        <v>31.8</v>
      </c>
      <c r="AE39" s="585">
        <f t="shared" si="23"/>
        <v>31.8</v>
      </c>
      <c r="AF39" s="598"/>
      <c r="AG39" s="70">
        <f>IF(AND(AA39&lt;&gt;0,AD39=0),#VALUE!,AA39*AD39)</f>
        <v>159</v>
      </c>
      <c r="AH39" s="70">
        <f t="shared" si="20"/>
        <v>95.4</v>
      </c>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c r="BS39" s="598"/>
      <c r="BT39" s="598"/>
      <c r="BU39" s="598"/>
      <c r="BV39" s="598"/>
      <c r="BW39" s="598"/>
      <c r="BX39" s="598"/>
      <c r="BY39" s="598"/>
      <c r="BZ39" s="598"/>
      <c r="CA39" s="598"/>
      <c r="CB39" s="598"/>
      <c r="CC39" s="598"/>
      <c r="CD39" s="598"/>
      <c r="CE39" s="598"/>
      <c r="CF39" s="598"/>
      <c r="CG39" s="598"/>
      <c r="CH39" s="598"/>
      <c r="CI39" s="598"/>
      <c r="CJ39" s="598"/>
      <c r="CK39" s="598"/>
      <c r="CL39" s="598"/>
      <c r="CM39" s="598"/>
      <c r="CN39" s="598"/>
      <c r="CO39" s="598"/>
    </row>
    <row r="40" spans="1:93">
      <c r="B40" s="35" t="s">
        <v>164</v>
      </c>
      <c r="C40" s="72" t="s">
        <v>156</v>
      </c>
      <c r="D40" s="35" t="s">
        <v>185</v>
      </c>
      <c r="E40" s="562">
        <v>35</v>
      </c>
      <c r="F40" s="73"/>
      <c r="G40" s="73" t="str">
        <f t="shared" si="21"/>
        <v>047MVD</v>
      </c>
      <c r="H40" s="418"/>
      <c r="I40" s="683" t="s">
        <v>617</v>
      </c>
      <c r="J40" s="683" t="s">
        <v>814</v>
      </c>
      <c r="K40" s="683" t="s">
        <v>132</v>
      </c>
      <c r="L40" s="321" t="s">
        <v>810</v>
      </c>
      <c r="M40" s="580">
        <f t="shared" si="13"/>
        <v>0</v>
      </c>
      <c r="N40" s="580">
        <f t="shared" si="13"/>
        <v>8</v>
      </c>
      <c r="O40" s="683"/>
      <c r="P40" s="591">
        <v>29.05</v>
      </c>
      <c r="Q40" s="314">
        <f t="shared" ref="Q40:Q47" si="24">P40</f>
        <v>29.05</v>
      </c>
      <c r="R40" s="683"/>
      <c r="S40" s="70">
        <f t="shared" ref="S40:T49" si="25">IF(AND(M40&lt;&gt;0,P40=0),#VALUE!,M40*P40)</f>
        <v>0</v>
      </c>
      <c r="T40" s="70">
        <f t="shared" si="25"/>
        <v>232.4</v>
      </c>
      <c r="U40" s="70"/>
      <c r="V40" s="580">
        <f t="shared" si="14"/>
        <v>0</v>
      </c>
      <c r="W40" s="580">
        <f t="shared" si="14"/>
        <v>8</v>
      </c>
      <c r="X40" s="683"/>
      <c r="Y40" s="70"/>
      <c r="Z40" s="683"/>
      <c r="AA40" s="580">
        <f t="shared" ref="AA40:AB49" si="26">M40</f>
        <v>0</v>
      </c>
      <c r="AB40" s="580">
        <f t="shared" si="26"/>
        <v>8</v>
      </c>
      <c r="AC40" s="683"/>
      <c r="AD40" s="585">
        <f t="shared" ref="AD40" si="27">ROUND(P40*(1+AD$1),2)</f>
        <v>31.46</v>
      </c>
      <c r="AE40" s="83">
        <f t="shared" ref="AE40" si="28">AD40</f>
        <v>31.46</v>
      </c>
      <c r="AF40" s="683"/>
      <c r="AG40" s="70">
        <f t="shared" ref="AG40:AH49" si="29">IF(AND(AA40&lt;&gt;0,AD40=0),#VALUE!,AA40*AD40)</f>
        <v>0</v>
      </c>
      <c r="AH40" s="70">
        <f t="shared" si="29"/>
        <v>251.68</v>
      </c>
      <c r="AI40" s="683"/>
      <c r="AJ40" s="683"/>
      <c r="AK40" s="683"/>
      <c r="AL40" s="683"/>
      <c r="AM40" s="683"/>
      <c r="AN40" s="683"/>
      <c r="AO40" s="683"/>
      <c r="AP40" s="683"/>
      <c r="AQ40" s="683"/>
      <c r="AR40" s="683"/>
      <c r="AS40" s="683"/>
      <c r="AT40" s="683"/>
      <c r="AU40" s="683"/>
      <c r="AV40" s="683"/>
      <c r="AW40" s="683"/>
      <c r="AX40" s="683"/>
      <c r="AY40" s="683"/>
      <c r="AZ40" s="683"/>
      <c r="BA40" s="683"/>
      <c r="BB40" s="683"/>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8"/>
      <c r="CH40" s="598"/>
      <c r="CI40" s="598"/>
      <c r="CJ40" s="598"/>
      <c r="CK40" s="598"/>
      <c r="CL40" s="598"/>
      <c r="CM40" s="598"/>
      <c r="CN40" s="598"/>
      <c r="CO40" s="598"/>
    </row>
    <row r="41" spans="1:93">
      <c r="A41" s="676"/>
      <c r="B41" s="35" t="s">
        <v>164</v>
      </c>
      <c r="C41" s="72" t="s">
        <v>156</v>
      </c>
      <c r="D41" s="35" t="s">
        <v>186</v>
      </c>
      <c r="E41" s="562">
        <v>45</v>
      </c>
      <c r="F41" s="73"/>
      <c r="G41" s="73" t="str">
        <f t="shared" si="21"/>
        <v>047MVE</v>
      </c>
      <c r="H41" s="418"/>
      <c r="I41" s="683" t="s">
        <v>617</v>
      </c>
      <c r="J41" s="683" t="s">
        <v>160</v>
      </c>
      <c r="K41" s="683" t="s">
        <v>815</v>
      </c>
      <c r="L41" s="321" t="s">
        <v>811</v>
      </c>
      <c r="M41" s="580">
        <f t="shared" si="13"/>
        <v>60</v>
      </c>
      <c r="N41" s="580">
        <f t="shared" si="13"/>
        <v>12</v>
      </c>
      <c r="O41" s="683"/>
      <c r="P41" s="591">
        <v>15.67</v>
      </c>
      <c r="Q41" s="314">
        <f t="shared" si="24"/>
        <v>15.67</v>
      </c>
      <c r="R41" s="683"/>
      <c r="S41" s="70">
        <f t="shared" si="25"/>
        <v>940.2</v>
      </c>
      <c r="T41" s="70">
        <f t="shared" si="25"/>
        <v>188.04</v>
      </c>
      <c r="U41" s="70"/>
      <c r="V41" s="580">
        <f t="shared" si="14"/>
        <v>60</v>
      </c>
      <c r="W41" s="580">
        <f t="shared" si="14"/>
        <v>12</v>
      </c>
      <c r="X41" s="683"/>
      <c r="Y41" s="70"/>
      <c r="Z41" s="683"/>
      <c r="AA41" s="580">
        <f t="shared" si="26"/>
        <v>60</v>
      </c>
      <c r="AB41" s="580">
        <f t="shared" si="26"/>
        <v>12</v>
      </c>
      <c r="AC41" s="683"/>
      <c r="AD41" s="585">
        <f t="shared" ref="AD41:AD47" si="30">ROUND(P41*(1+AD$1),2)</f>
        <v>16.97</v>
      </c>
      <c r="AE41" s="83">
        <f t="shared" ref="AE41:AE47" si="31">AD41</f>
        <v>16.97</v>
      </c>
      <c r="AF41" s="683"/>
      <c r="AG41" s="70">
        <f>IF(AND(AA41&lt;&gt;0,AD41=0),#VALUE!,AA41*AD41)</f>
        <v>1018.1999999999999</v>
      </c>
      <c r="AH41" s="70">
        <f t="shared" si="29"/>
        <v>203.64</v>
      </c>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598"/>
      <c r="BJ41" s="598"/>
      <c r="BK41" s="598"/>
      <c r="BL41" s="598"/>
      <c r="BM41" s="598"/>
      <c r="BN41" s="598"/>
      <c r="BO41" s="598"/>
      <c r="BP41" s="598"/>
      <c r="BQ41" s="598"/>
      <c r="BR41" s="598"/>
      <c r="BS41" s="598"/>
      <c r="BT41" s="598"/>
      <c r="BU41" s="598"/>
      <c r="BV41" s="598"/>
      <c r="BW41" s="598"/>
      <c r="BX41" s="598"/>
      <c r="BY41" s="598"/>
      <c r="BZ41" s="598"/>
      <c r="CA41" s="598"/>
      <c r="CB41" s="598"/>
      <c r="CC41" s="598"/>
      <c r="CD41" s="598"/>
      <c r="CE41" s="598"/>
      <c r="CF41" s="598"/>
      <c r="CG41" s="598"/>
      <c r="CH41" s="598"/>
      <c r="CI41" s="598"/>
      <c r="CJ41" s="598"/>
      <c r="CK41" s="598"/>
      <c r="CL41" s="598"/>
      <c r="CM41" s="598"/>
      <c r="CN41" s="598"/>
      <c r="CO41" s="598"/>
    </row>
    <row r="42" spans="1:93">
      <c r="B42" s="35" t="s">
        <v>164</v>
      </c>
      <c r="C42" s="72" t="s">
        <v>156</v>
      </c>
      <c r="D42" s="35" t="s">
        <v>187</v>
      </c>
      <c r="E42" s="562">
        <v>120</v>
      </c>
      <c r="F42" s="73"/>
      <c r="G42" s="73" t="str">
        <f t="shared" si="21"/>
        <v>047MVF</v>
      </c>
      <c r="H42" s="418"/>
      <c r="I42" s="683" t="s">
        <v>617</v>
      </c>
      <c r="J42" s="683" t="s">
        <v>816</v>
      </c>
      <c r="K42" s="683" t="s">
        <v>815</v>
      </c>
      <c r="L42" s="321" t="s">
        <v>812</v>
      </c>
      <c r="M42" s="580">
        <f t="shared" si="13"/>
        <v>16</v>
      </c>
      <c r="N42" s="580">
        <f t="shared" si="13"/>
        <v>2</v>
      </c>
      <c r="O42" s="683"/>
      <c r="P42" s="591">
        <v>22.21</v>
      </c>
      <c r="Q42" s="314">
        <f t="shared" si="24"/>
        <v>22.21</v>
      </c>
      <c r="R42" s="683"/>
      <c r="S42" s="70">
        <f t="shared" si="25"/>
        <v>355.36</v>
      </c>
      <c r="T42" s="70">
        <f t="shared" si="25"/>
        <v>44.42</v>
      </c>
      <c r="U42" s="70"/>
      <c r="V42" s="580">
        <f t="shared" si="14"/>
        <v>16</v>
      </c>
      <c r="W42" s="580">
        <f t="shared" si="14"/>
        <v>2</v>
      </c>
      <c r="X42" s="683"/>
      <c r="Y42" s="70"/>
      <c r="Z42" s="683"/>
      <c r="AA42" s="580">
        <f>M42</f>
        <v>16</v>
      </c>
      <c r="AB42" s="580">
        <f t="shared" si="26"/>
        <v>2</v>
      </c>
      <c r="AC42" s="683"/>
      <c r="AD42" s="585">
        <f t="shared" si="30"/>
        <v>24.05</v>
      </c>
      <c r="AE42" s="83">
        <f t="shared" si="31"/>
        <v>24.05</v>
      </c>
      <c r="AF42" s="683"/>
      <c r="AG42" s="70">
        <f t="shared" si="29"/>
        <v>384.8</v>
      </c>
      <c r="AH42" s="70">
        <f t="shared" si="29"/>
        <v>48.1</v>
      </c>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598"/>
      <c r="BR42" s="598"/>
      <c r="BS42" s="598"/>
      <c r="BT42" s="598"/>
      <c r="BU42" s="598"/>
      <c r="BV42" s="598"/>
      <c r="BW42" s="598"/>
      <c r="BX42" s="598"/>
      <c r="BY42" s="598"/>
      <c r="BZ42" s="598"/>
      <c r="CA42" s="598"/>
      <c r="CB42" s="598"/>
      <c r="CC42" s="598"/>
      <c r="CD42" s="598"/>
      <c r="CE42" s="598"/>
      <c r="CF42" s="598"/>
      <c r="CG42" s="598"/>
      <c r="CH42" s="598"/>
      <c r="CI42" s="598"/>
      <c r="CJ42" s="598"/>
      <c r="CK42" s="598"/>
      <c r="CL42" s="598"/>
      <c r="CM42" s="598"/>
      <c r="CN42" s="598"/>
      <c r="CO42" s="598"/>
    </row>
    <row r="43" spans="1:93">
      <c r="B43" s="35" t="s">
        <v>164</v>
      </c>
      <c r="C43" s="72" t="s">
        <v>156</v>
      </c>
      <c r="D43" s="35" t="s">
        <v>188</v>
      </c>
      <c r="E43" s="710"/>
      <c r="F43" s="73"/>
      <c r="G43" s="73" t="str">
        <f t="shared" si="21"/>
        <v>047MVH</v>
      </c>
      <c r="H43" s="418"/>
      <c r="I43" s="692" t="s">
        <v>617</v>
      </c>
      <c r="J43" s="692" t="s">
        <v>850</v>
      </c>
      <c r="K43" s="692" t="s">
        <v>132</v>
      </c>
      <c r="L43" s="321" t="s">
        <v>847</v>
      </c>
      <c r="M43" s="580">
        <f t="shared" si="13"/>
        <v>1</v>
      </c>
      <c r="N43" s="580">
        <f t="shared" si="13"/>
        <v>0</v>
      </c>
      <c r="O43" s="692"/>
      <c r="P43" s="591">
        <v>29.74</v>
      </c>
      <c r="Q43" s="314">
        <f t="shared" si="24"/>
        <v>29.74</v>
      </c>
      <c r="R43" s="692"/>
      <c r="S43" s="70">
        <f t="shared" si="25"/>
        <v>29.74</v>
      </c>
      <c r="T43" s="70">
        <f t="shared" si="25"/>
        <v>0</v>
      </c>
      <c r="U43" s="70"/>
      <c r="V43" s="580">
        <f t="shared" si="14"/>
        <v>1</v>
      </c>
      <c r="W43" s="580">
        <f t="shared" si="14"/>
        <v>0</v>
      </c>
      <c r="X43" s="692"/>
      <c r="Y43" s="70"/>
      <c r="Z43" s="692"/>
      <c r="AA43" s="580">
        <f t="shared" ref="AA43:AA46" si="32">M43</f>
        <v>1</v>
      </c>
      <c r="AB43" s="580">
        <f t="shared" ref="AB43:AB46" si="33">N43</f>
        <v>0</v>
      </c>
      <c r="AC43" s="692"/>
      <c r="AD43" s="585">
        <f t="shared" ref="AD43:AD46" si="34">ROUND(P43*(1+AD$1),2)</f>
        <v>32.21</v>
      </c>
      <c r="AE43" s="83">
        <f t="shared" ref="AE43:AE46" si="35">AD43</f>
        <v>32.21</v>
      </c>
      <c r="AF43" s="692"/>
      <c r="AG43" s="70">
        <f t="shared" ref="AG43:AG46" si="36">IF(AND(AA43&lt;&gt;0,AD43=0),#VALUE!,AA43*AD43)</f>
        <v>32.21</v>
      </c>
      <c r="AH43" s="70">
        <f t="shared" ref="AH43:AH46" si="37">IF(AND(AB43&lt;&gt;0,AE43=0),#VALUE!,AB43*AE43)</f>
        <v>0</v>
      </c>
      <c r="AI43" s="692"/>
      <c r="AJ43" s="692"/>
      <c r="AK43" s="692"/>
      <c r="AL43" s="692"/>
      <c r="AM43" s="692"/>
      <c r="AN43" s="692"/>
      <c r="AO43" s="692"/>
      <c r="AP43" s="692"/>
      <c r="AQ43" s="692"/>
      <c r="AR43" s="692"/>
      <c r="AS43" s="692"/>
      <c r="AT43" s="692"/>
      <c r="AU43" s="692"/>
      <c r="AV43" s="692"/>
      <c r="AW43" s="692"/>
      <c r="AX43" s="692"/>
      <c r="AY43" s="692"/>
      <c r="AZ43" s="692"/>
      <c r="BA43" s="692"/>
      <c r="BB43" s="692"/>
      <c r="BC43" s="683"/>
      <c r="BD43" s="683"/>
      <c r="BE43" s="683"/>
      <c r="BF43" s="683"/>
      <c r="BG43" s="683"/>
      <c r="BH43" s="683"/>
      <c r="BI43" s="683"/>
      <c r="BJ43" s="683"/>
      <c r="BK43" s="683"/>
      <c r="BL43" s="683"/>
      <c r="BM43" s="683"/>
      <c r="BN43" s="683"/>
      <c r="BO43" s="683"/>
      <c r="BP43" s="683"/>
      <c r="BQ43" s="598"/>
      <c r="BR43" s="598"/>
      <c r="BS43" s="598"/>
      <c r="BT43" s="598"/>
      <c r="BU43" s="598"/>
      <c r="BV43" s="598"/>
      <c r="BW43" s="598"/>
      <c r="BX43" s="598"/>
      <c r="BY43" s="598"/>
      <c r="BZ43" s="598"/>
      <c r="CA43" s="598"/>
      <c r="CB43" s="598"/>
      <c r="CC43" s="598"/>
      <c r="CD43" s="598"/>
      <c r="CE43" s="598"/>
      <c r="CF43" s="598"/>
      <c r="CG43" s="598"/>
      <c r="CH43" s="598"/>
      <c r="CI43" s="598"/>
      <c r="CJ43" s="598"/>
      <c r="CK43" s="598"/>
      <c r="CL43" s="598"/>
      <c r="CM43" s="598"/>
      <c r="CN43" s="598"/>
      <c r="CO43" s="598"/>
    </row>
    <row r="44" spans="1:93">
      <c r="A44" s="676"/>
      <c r="B44" s="35" t="s">
        <v>164</v>
      </c>
      <c r="C44" s="72" t="s">
        <v>156</v>
      </c>
      <c r="D44" s="35" t="s">
        <v>189</v>
      </c>
      <c r="E44" s="562">
        <v>1</v>
      </c>
      <c r="F44" s="73"/>
      <c r="G44" s="73" t="str">
        <f t="shared" si="21"/>
        <v>047MVI</v>
      </c>
      <c r="H44" s="418"/>
      <c r="I44" s="692" t="s">
        <v>617</v>
      </c>
      <c r="J44" s="692" t="s">
        <v>851</v>
      </c>
      <c r="K44" s="692" t="s">
        <v>132</v>
      </c>
      <c r="L44" s="321" t="s">
        <v>848</v>
      </c>
      <c r="M44" s="580">
        <f t="shared" ref="M44:N52" si="38">SUMIF($G:$G,TEXT(M$3,"000")&amp;TEXT($L44,"000"),$E:$E)</f>
        <v>2</v>
      </c>
      <c r="N44" s="580">
        <f t="shared" si="38"/>
        <v>3</v>
      </c>
      <c r="O44" s="692"/>
      <c r="P44" s="591">
        <v>27.03</v>
      </c>
      <c r="Q44" s="314">
        <f t="shared" si="24"/>
        <v>27.03</v>
      </c>
      <c r="R44" s="692"/>
      <c r="S44" s="70">
        <f t="shared" ref="S44:S46" si="39">IF(AND(M44&lt;&gt;0,P44=0),#VALUE!,M44*P44)</f>
        <v>54.06</v>
      </c>
      <c r="T44" s="70">
        <f t="shared" ref="T44:T46" si="40">IF(AND(N44&lt;&gt;0,Q44=0),#VALUE!,N44*Q44)</f>
        <v>81.09</v>
      </c>
      <c r="U44" s="70"/>
      <c r="V44" s="580">
        <f t="shared" ref="V44:W52" si="41">SUMIF($G:$G,TEXT(V$3,"000")&amp;TEXT($L44,"000"),$E:$E)</f>
        <v>2</v>
      </c>
      <c r="W44" s="580">
        <f t="shared" si="41"/>
        <v>3</v>
      </c>
      <c r="X44" s="692"/>
      <c r="Y44" s="70"/>
      <c r="Z44" s="692"/>
      <c r="AA44" s="580">
        <f t="shared" si="32"/>
        <v>2</v>
      </c>
      <c r="AB44" s="580">
        <f t="shared" si="33"/>
        <v>3</v>
      </c>
      <c r="AC44" s="692"/>
      <c r="AD44" s="585">
        <f t="shared" si="34"/>
        <v>29.27</v>
      </c>
      <c r="AE44" s="83">
        <f t="shared" si="35"/>
        <v>29.27</v>
      </c>
      <c r="AF44" s="692"/>
      <c r="AG44" s="70">
        <f t="shared" si="36"/>
        <v>58.54</v>
      </c>
      <c r="AH44" s="70">
        <f t="shared" si="37"/>
        <v>87.81</v>
      </c>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83"/>
      <c r="BJ44" s="683"/>
      <c r="BK44" s="683"/>
      <c r="BL44" s="683"/>
      <c r="BM44" s="683"/>
      <c r="BN44" s="683"/>
      <c r="BO44" s="683"/>
      <c r="BP44" s="683"/>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598"/>
    </row>
    <row r="45" spans="1:93">
      <c r="B45" s="35" t="s">
        <v>164</v>
      </c>
      <c r="C45" s="72" t="s">
        <v>156</v>
      </c>
      <c r="D45" s="35" t="s">
        <v>192</v>
      </c>
      <c r="E45" s="562">
        <v>2</v>
      </c>
      <c r="F45" s="73"/>
      <c r="G45" s="73" t="str">
        <f t="shared" si="21"/>
        <v>047MVJ</v>
      </c>
      <c r="H45" s="419"/>
      <c r="I45" s="759" t="s">
        <v>617</v>
      </c>
      <c r="J45" s="434" t="s">
        <v>942</v>
      </c>
      <c r="K45" s="434" t="s">
        <v>639</v>
      </c>
      <c r="L45" s="321" t="s">
        <v>939</v>
      </c>
      <c r="M45" s="580">
        <f t="shared" si="38"/>
        <v>19</v>
      </c>
      <c r="N45" s="580">
        <f t="shared" si="38"/>
        <v>0</v>
      </c>
      <c r="O45" s="759"/>
      <c r="P45" s="591">
        <v>18.559999999999999</v>
      </c>
      <c r="Q45" s="314">
        <f t="shared" ref="Q45" si="42">P45</f>
        <v>18.559999999999999</v>
      </c>
      <c r="R45" s="759"/>
      <c r="S45" s="70">
        <f t="shared" ref="S45" si="43">IF(AND(M45&lt;&gt;0,P45=0),#VALUE!,M45*P45)</f>
        <v>352.64</v>
      </c>
      <c r="T45" s="70">
        <f t="shared" ref="T45" si="44">IF(AND(N45&lt;&gt;0,Q45=0),#VALUE!,N45*Q45)</f>
        <v>0</v>
      </c>
      <c r="U45" s="70"/>
      <c r="V45" s="580">
        <f t="shared" si="41"/>
        <v>19</v>
      </c>
      <c r="W45" s="580">
        <f t="shared" si="41"/>
        <v>0</v>
      </c>
      <c r="X45" s="759"/>
      <c r="Y45" s="70"/>
      <c r="Z45" s="759"/>
      <c r="AA45" s="580">
        <f t="shared" ref="AA45" si="45">M45</f>
        <v>19</v>
      </c>
      <c r="AB45" s="580">
        <f t="shared" ref="AB45" si="46">N45</f>
        <v>0</v>
      </c>
      <c r="AC45" s="759"/>
      <c r="AD45" s="585">
        <f t="shared" ref="AD45" si="47">ROUND(P45*(1+AD$1),2)</f>
        <v>20.100000000000001</v>
      </c>
      <c r="AE45" s="585">
        <f t="shared" ref="AE45" si="48">AD45</f>
        <v>20.100000000000001</v>
      </c>
      <c r="AF45" s="759"/>
      <c r="AG45" s="70">
        <f t="shared" ref="AG45" si="49">IF(AND(AA45&lt;&gt;0,AD45=0),#VALUE!,AA45*AD45)</f>
        <v>381.90000000000003</v>
      </c>
      <c r="AH45" s="70">
        <f t="shared" ref="AH45" si="50">IF(AND(AB45&lt;&gt;0,AE45=0),#VALUE!,AB45*AE45)</f>
        <v>0</v>
      </c>
      <c r="AI45" s="759"/>
      <c r="AJ45" s="759"/>
      <c r="AK45" s="759"/>
      <c r="AL45" s="759"/>
      <c r="AM45" s="759"/>
      <c r="AN45" s="759"/>
      <c r="AO45" s="759"/>
      <c r="AP45" s="759"/>
      <c r="AQ45" s="759"/>
      <c r="AR45" s="759"/>
      <c r="AS45" s="759"/>
      <c r="AT45" s="759"/>
      <c r="AU45" s="759"/>
      <c r="AV45" s="759"/>
      <c r="AW45" s="759"/>
      <c r="AX45" s="759"/>
      <c r="AY45" s="759"/>
      <c r="AZ45" s="759"/>
      <c r="BA45" s="759"/>
      <c r="BB45" s="759"/>
      <c r="BC45" s="692"/>
      <c r="BD45" s="692"/>
      <c r="BE45" s="692"/>
      <c r="BF45" s="692"/>
      <c r="BG45" s="692"/>
      <c r="BH45" s="692"/>
      <c r="BI45" s="692"/>
      <c r="BJ45" s="692"/>
      <c r="BK45" s="692"/>
      <c r="BL45" s="692"/>
      <c r="BM45" s="692"/>
      <c r="BN45" s="692"/>
      <c r="BO45" s="692"/>
      <c r="BP45" s="692"/>
      <c r="BQ45" s="683"/>
      <c r="BR45" s="683"/>
      <c r="BS45" s="683"/>
      <c r="BT45" s="683"/>
      <c r="BU45" s="598"/>
      <c r="BV45" s="598"/>
      <c r="BW45" s="598"/>
      <c r="BX45" s="598"/>
      <c r="BY45" s="598"/>
      <c r="BZ45" s="598"/>
      <c r="CA45" s="598"/>
      <c r="CB45" s="598"/>
      <c r="CC45" s="598"/>
      <c r="CD45" s="598"/>
      <c r="CE45" s="598"/>
      <c r="CF45" s="598"/>
      <c r="CG45" s="598"/>
      <c r="CH45" s="598"/>
      <c r="CI45" s="598"/>
      <c r="CJ45" s="598"/>
      <c r="CK45" s="598"/>
      <c r="CL45" s="598"/>
      <c r="CM45" s="598"/>
      <c r="CN45" s="598"/>
      <c r="CO45" s="598"/>
    </row>
    <row r="46" spans="1:93">
      <c r="A46" s="676"/>
      <c r="B46" s="35" t="s">
        <v>164</v>
      </c>
      <c r="C46" s="72" t="s">
        <v>156</v>
      </c>
      <c r="D46" s="35" t="s">
        <v>193</v>
      </c>
      <c r="E46" s="562"/>
      <c r="F46" s="73"/>
      <c r="G46" s="73" t="str">
        <f t="shared" si="21"/>
        <v>047MVK</v>
      </c>
      <c r="H46" s="418"/>
      <c r="I46" s="692" t="s">
        <v>617</v>
      </c>
      <c r="J46" s="692" t="s">
        <v>852</v>
      </c>
      <c r="K46" s="692" t="s">
        <v>614</v>
      </c>
      <c r="L46" s="321" t="s">
        <v>849</v>
      </c>
      <c r="M46" s="580">
        <f t="shared" si="38"/>
        <v>0</v>
      </c>
      <c r="N46" s="580">
        <f t="shared" si="38"/>
        <v>0</v>
      </c>
      <c r="O46" s="692"/>
      <c r="P46" s="591">
        <v>29.78</v>
      </c>
      <c r="Q46" s="314">
        <f t="shared" si="24"/>
        <v>29.78</v>
      </c>
      <c r="R46" s="692"/>
      <c r="S46" s="70">
        <f t="shared" si="39"/>
        <v>0</v>
      </c>
      <c r="T46" s="70">
        <f t="shared" si="40"/>
        <v>0</v>
      </c>
      <c r="U46" s="70"/>
      <c r="V46" s="580">
        <f t="shared" si="41"/>
        <v>0</v>
      </c>
      <c r="W46" s="580">
        <f t="shared" si="41"/>
        <v>0</v>
      </c>
      <c r="X46" s="692"/>
      <c r="Y46" s="70"/>
      <c r="Z46" s="692"/>
      <c r="AA46" s="580">
        <f t="shared" si="32"/>
        <v>0</v>
      </c>
      <c r="AB46" s="580">
        <f t="shared" si="33"/>
        <v>0</v>
      </c>
      <c r="AC46" s="692"/>
      <c r="AD46" s="585">
        <f t="shared" si="34"/>
        <v>32.25</v>
      </c>
      <c r="AE46" s="83">
        <f t="shared" si="35"/>
        <v>32.25</v>
      </c>
      <c r="AF46" s="692"/>
      <c r="AG46" s="70">
        <f t="shared" si="36"/>
        <v>0</v>
      </c>
      <c r="AH46" s="70">
        <f t="shared" si="37"/>
        <v>0</v>
      </c>
      <c r="AI46" s="692"/>
      <c r="AJ46" s="692"/>
      <c r="AK46" s="692"/>
      <c r="AL46" s="692"/>
      <c r="AM46" s="692"/>
      <c r="AN46" s="692"/>
      <c r="AO46" s="692"/>
      <c r="AP46" s="692"/>
      <c r="AQ46" s="692"/>
      <c r="AR46" s="692"/>
      <c r="AS46" s="692"/>
      <c r="AT46" s="692"/>
      <c r="AU46" s="692"/>
      <c r="AV46" s="692"/>
      <c r="AW46" s="692"/>
      <c r="AX46" s="692"/>
      <c r="AY46" s="692"/>
      <c r="AZ46" s="692"/>
      <c r="BA46" s="692"/>
      <c r="BB46" s="692"/>
      <c r="BC46" s="759"/>
      <c r="BD46" s="759"/>
      <c r="BE46" s="759"/>
      <c r="BF46" s="759"/>
      <c r="BG46" s="759"/>
      <c r="BH46" s="692"/>
      <c r="BI46" s="692"/>
      <c r="BJ46" s="692"/>
      <c r="BK46" s="692"/>
      <c r="BL46" s="692"/>
      <c r="BM46" s="692"/>
      <c r="BN46" s="692"/>
      <c r="BO46" s="692"/>
      <c r="BP46" s="692"/>
      <c r="BQ46" s="683"/>
      <c r="BR46" s="683"/>
      <c r="BS46" s="683"/>
      <c r="BT46" s="683"/>
      <c r="BU46" s="683"/>
      <c r="BV46" s="683"/>
      <c r="BW46" s="683"/>
      <c r="BX46" s="683"/>
      <c r="BY46" s="598"/>
      <c r="BZ46" s="598"/>
      <c r="CA46" s="598"/>
      <c r="CB46" s="598"/>
      <c r="CC46" s="598"/>
      <c r="CD46" s="598"/>
      <c r="CE46" s="598"/>
      <c r="CF46" s="598"/>
      <c r="CG46" s="598"/>
      <c r="CH46" s="598"/>
      <c r="CI46" s="598"/>
      <c r="CJ46" s="598"/>
      <c r="CK46" s="598"/>
      <c r="CL46" s="598"/>
      <c r="CM46" s="598"/>
      <c r="CN46" s="598"/>
      <c r="CO46" s="598"/>
    </row>
    <row r="47" spans="1:93">
      <c r="B47" s="35" t="s">
        <v>164</v>
      </c>
      <c r="C47" s="72" t="s">
        <v>156</v>
      </c>
      <c r="D47" s="35" t="s">
        <v>194</v>
      </c>
      <c r="E47" s="562">
        <v>2</v>
      </c>
      <c r="F47" s="73"/>
      <c r="G47" s="73" t="str">
        <f t="shared" si="21"/>
        <v>047MVL</v>
      </c>
      <c r="H47" s="418"/>
      <c r="I47" s="683" t="s">
        <v>617</v>
      </c>
      <c r="J47" s="683" t="s">
        <v>817</v>
      </c>
      <c r="K47" s="683" t="s">
        <v>132</v>
      </c>
      <c r="L47" s="321" t="s">
        <v>813</v>
      </c>
      <c r="M47" s="580">
        <f t="shared" si="38"/>
        <v>1</v>
      </c>
      <c r="N47" s="580">
        <f t="shared" si="38"/>
        <v>0</v>
      </c>
      <c r="O47" s="683"/>
      <c r="P47" s="591">
        <v>29.05</v>
      </c>
      <c r="Q47" s="314">
        <f t="shared" si="24"/>
        <v>29.05</v>
      </c>
      <c r="R47" s="683"/>
      <c r="S47" s="70">
        <f t="shared" si="25"/>
        <v>29.05</v>
      </c>
      <c r="T47" s="70">
        <f t="shared" si="25"/>
        <v>0</v>
      </c>
      <c r="U47" s="70"/>
      <c r="V47" s="580">
        <f t="shared" si="41"/>
        <v>1</v>
      </c>
      <c r="W47" s="580">
        <f t="shared" si="41"/>
        <v>0</v>
      </c>
      <c r="X47" s="683"/>
      <c r="Y47" s="70"/>
      <c r="Z47" s="683"/>
      <c r="AA47" s="580">
        <f t="shared" si="26"/>
        <v>1</v>
      </c>
      <c r="AB47" s="580">
        <f t="shared" si="26"/>
        <v>0</v>
      </c>
      <c r="AC47" s="683"/>
      <c r="AD47" s="585">
        <f t="shared" si="30"/>
        <v>31.46</v>
      </c>
      <c r="AE47" s="83">
        <f t="shared" si="31"/>
        <v>31.46</v>
      </c>
      <c r="AF47" s="683"/>
      <c r="AG47" s="70">
        <f>IF(AND(AA47&lt;&gt;0,AD47=0),#VALUE!,AA47*AD47)</f>
        <v>31.46</v>
      </c>
      <c r="AH47" s="70">
        <f t="shared" si="29"/>
        <v>0</v>
      </c>
      <c r="AI47" s="683"/>
      <c r="AJ47" s="683"/>
      <c r="AK47" s="683"/>
      <c r="AL47" s="683"/>
      <c r="AM47" s="683"/>
      <c r="AN47" s="683"/>
      <c r="AO47" s="683"/>
      <c r="AP47" s="683"/>
      <c r="AQ47" s="683"/>
      <c r="AR47" s="683"/>
      <c r="AS47" s="683"/>
      <c r="AT47" s="683"/>
      <c r="AU47" s="683"/>
      <c r="AV47" s="683"/>
      <c r="AW47" s="683"/>
      <c r="AX47" s="683"/>
      <c r="AY47" s="683"/>
      <c r="AZ47" s="683"/>
      <c r="BA47" s="683"/>
      <c r="BB47" s="683"/>
      <c r="BC47" s="692"/>
      <c r="BD47" s="692"/>
      <c r="BE47" s="692"/>
      <c r="BF47" s="692"/>
      <c r="BG47" s="692"/>
      <c r="BH47" s="683"/>
      <c r="BI47" s="692"/>
      <c r="BJ47" s="692"/>
      <c r="BK47" s="692"/>
      <c r="BL47" s="692"/>
      <c r="BM47" s="692"/>
      <c r="BN47" s="692"/>
      <c r="BO47" s="692"/>
      <c r="BP47" s="692"/>
      <c r="BQ47" s="683"/>
      <c r="BR47" s="683"/>
      <c r="BS47" s="683"/>
      <c r="BT47" s="683"/>
      <c r="BU47" s="683"/>
      <c r="BV47" s="683"/>
      <c r="BW47" s="683"/>
      <c r="BX47" s="683"/>
      <c r="BY47" s="683"/>
      <c r="BZ47" s="683"/>
      <c r="CA47" s="683"/>
      <c r="CB47" s="683"/>
      <c r="CC47" s="683"/>
      <c r="CD47" s="683"/>
      <c r="CE47" s="683"/>
      <c r="CF47" s="683"/>
      <c r="CG47" s="683"/>
      <c r="CH47" s="683"/>
      <c r="CI47" s="683"/>
      <c r="CJ47" s="683"/>
      <c r="CK47" s="683"/>
      <c r="CN47" s="598"/>
      <c r="CO47" s="598"/>
    </row>
    <row r="48" spans="1:93">
      <c r="B48" s="35" t="s">
        <v>164</v>
      </c>
      <c r="C48" s="72" t="s">
        <v>156</v>
      </c>
      <c r="D48" s="35" t="s">
        <v>196</v>
      </c>
      <c r="E48" s="557"/>
      <c r="F48" s="73"/>
      <c r="G48" s="73" t="str">
        <f t="shared" si="21"/>
        <v>047MVO</v>
      </c>
      <c r="H48" s="418"/>
      <c r="I48" s="759" t="s">
        <v>617</v>
      </c>
      <c r="J48" s="434" t="s">
        <v>941</v>
      </c>
      <c r="K48" s="434" t="s">
        <v>614</v>
      </c>
      <c r="L48" s="321" t="s">
        <v>940</v>
      </c>
      <c r="M48" s="580">
        <f t="shared" si="38"/>
        <v>46</v>
      </c>
      <c r="N48" s="580">
        <f t="shared" si="38"/>
        <v>0</v>
      </c>
      <c r="O48" s="759"/>
      <c r="P48" s="621">
        <f>P34</f>
        <v>27.86</v>
      </c>
      <c r="Q48" s="314">
        <f t="shared" ref="Q48" si="51">P48</f>
        <v>27.86</v>
      </c>
      <c r="R48" s="759"/>
      <c r="S48" s="70">
        <f t="shared" ref="S48" si="52">IF(AND(M48&lt;&gt;0,P48=0),#VALUE!,M48*P48)</f>
        <v>1281.56</v>
      </c>
      <c r="T48" s="70">
        <f t="shared" ref="T48" si="53">IF(AND(N48&lt;&gt;0,Q48=0),#VALUE!,N48*Q48)</f>
        <v>0</v>
      </c>
      <c r="U48" s="70"/>
      <c r="V48" s="580">
        <f t="shared" si="41"/>
        <v>46</v>
      </c>
      <c r="W48" s="580">
        <f t="shared" si="41"/>
        <v>0</v>
      </c>
      <c r="X48" s="759"/>
      <c r="Y48" s="70"/>
      <c r="Z48" s="759"/>
      <c r="AA48" s="580">
        <f t="shared" ref="AA48" si="54">M48</f>
        <v>46</v>
      </c>
      <c r="AB48" s="580">
        <f t="shared" ref="AB48" si="55">N48</f>
        <v>0</v>
      </c>
      <c r="AC48" s="759"/>
      <c r="AD48" s="585">
        <f t="shared" ref="AD48" si="56">ROUND(P48*(1+AD$1),2)</f>
        <v>30.17</v>
      </c>
      <c r="AE48" s="585">
        <f t="shared" ref="AE48" si="57">AD48</f>
        <v>30.17</v>
      </c>
      <c r="AF48" s="759"/>
      <c r="AG48" s="70">
        <f>IF(AND(AA48&lt;&gt;0,AD48=0),#VALUE!,AA48*AD48)</f>
        <v>1387.8200000000002</v>
      </c>
      <c r="AH48" s="70">
        <f t="shared" ref="AH48" si="58">IF(AND(AB48&lt;&gt;0,AE48=0),#VALUE!,AB48*AE48)</f>
        <v>0</v>
      </c>
      <c r="AI48" s="759"/>
      <c r="AJ48" s="759"/>
      <c r="AK48" s="759"/>
      <c r="AL48" s="759"/>
      <c r="AM48" s="759"/>
      <c r="AN48" s="759"/>
      <c r="AO48" s="759"/>
      <c r="AP48" s="759"/>
      <c r="AQ48" s="759"/>
      <c r="AR48" s="759"/>
      <c r="AS48" s="759"/>
      <c r="AT48" s="759"/>
      <c r="AU48" s="759"/>
      <c r="AV48" s="759"/>
      <c r="AW48" s="759"/>
      <c r="AX48" s="759"/>
      <c r="AY48" s="759"/>
      <c r="AZ48" s="759"/>
      <c r="BA48" s="759"/>
      <c r="BB48" s="759"/>
      <c r="BC48" s="683"/>
      <c r="BD48" s="683"/>
      <c r="BE48" s="683"/>
      <c r="BF48" s="683"/>
      <c r="BG48" s="683"/>
      <c r="BH48" s="759"/>
      <c r="BI48" s="683"/>
      <c r="BJ48" s="683"/>
      <c r="BK48" s="683"/>
      <c r="BL48" s="683"/>
      <c r="BM48" s="683"/>
      <c r="BN48" s="683"/>
      <c r="BO48" s="683"/>
      <c r="BP48" s="683"/>
      <c r="BQ48" s="692"/>
      <c r="BR48" s="692"/>
      <c r="BS48" s="692"/>
      <c r="BT48" s="692"/>
      <c r="BU48" s="683"/>
      <c r="BV48" s="683"/>
      <c r="BW48" s="683"/>
      <c r="BX48" s="683"/>
      <c r="BY48" s="683"/>
      <c r="BZ48" s="683"/>
      <c r="CA48" s="683"/>
      <c r="CB48" s="683"/>
      <c r="CC48" s="683"/>
      <c r="CD48" s="683"/>
      <c r="CE48" s="683"/>
      <c r="CF48" s="683"/>
      <c r="CG48" s="683"/>
      <c r="CH48" s="683"/>
      <c r="CI48" s="683"/>
      <c r="CJ48" s="683"/>
      <c r="CK48" s="683"/>
      <c r="CN48" s="598"/>
      <c r="CO48" s="598"/>
    </row>
    <row r="49" spans="1:89">
      <c r="A49" s="676"/>
      <c r="B49" s="35" t="s">
        <v>164</v>
      </c>
      <c r="C49" s="72" t="s">
        <v>156</v>
      </c>
      <c r="D49" s="35" t="s">
        <v>197</v>
      </c>
      <c r="E49" s="562">
        <v>53</v>
      </c>
      <c r="F49" s="75"/>
      <c r="G49" s="73" t="str">
        <f t="shared" si="21"/>
        <v>047PA</v>
      </c>
      <c r="H49" s="418"/>
      <c r="I49" s="635" t="s">
        <v>617</v>
      </c>
      <c r="J49" s="635" t="str">
        <f>J11</f>
        <v>35' wood pole</v>
      </c>
      <c r="K49" s="635" t="s">
        <v>639</v>
      </c>
      <c r="L49" s="581" t="s">
        <v>646</v>
      </c>
      <c r="M49" s="580">
        <f t="shared" si="38"/>
        <v>90</v>
      </c>
      <c r="N49" s="580">
        <f t="shared" si="38"/>
        <v>0</v>
      </c>
      <c r="O49" s="635"/>
      <c r="P49" s="621">
        <f>P11</f>
        <v>35.6</v>
      </c>
      <c r="Q49" s="314"/>
      <c r="R49" s="635"/>
      <c r="S49" s="70">
        <f t="shared" si="25"/>
        <v>3204</v>
      </c>
      <c r="T49" s="70">
        <f t="shared" si="25"/>
        <v>0</v>
      </c>
      <c r="U49" s="70"/>
      <c r="V49" s="580">
        <f t="shared" si="41"/>
        <v>90</v>
      </c>
      <c r="W49" s="580">
        <f t="shared" si="41"/>
        <v>0</v>
      </c>
      <c r="X49" s="635"/>
      <c r="Y49" s="70"/>
      <c r="Z49" s="635"/>
      <c r="AA49" s="580">
        <f t="shared" si="26"/>
        <v>90</v>
      </c>
      <c r="AB49" s="580">
        <f t="shared" si="18"/>
        <v>0</v>
      </c>
      <c r="AC49" s="635"/>
      <c r="AD49" s="585">
        <f>AD11</f>
        <v>38.549999999999997</v>
      </c>
      <c r="AE49" s="585">
        <f>AE11</f>
        <v>38.549999999999997</v>
      </c>
      <c r="AF49" s="635"/>
      <c r="AG49" s="70">
        <f>IF(AND(AA49&lt;&gt;0,AD49=0),#VALUE!,AA49*AD49)</f>
        <v>3469.4999999999995</v>
      </c>
      <c r="AH49" s="70">
        <f t="shared" si="29"/>
        <v>0</v>
      </c>
      <c r="AI49" s="635"/>
      <c r="AJ49" s="635"/>
      <c r="AK49" s="635"/>
      <c r="AL49" s="635"/>
      <c r="AM49" s="635"/>
      <c r="AN49" s="635"/>
      <c r="BC49" s="759"/>
      <c r="BD49" s="759"/>
      <c r="BE49" s="759"/>
      <c r="BF49" s="759"/>
      <c r="BG49" s="759"/>
      <c r="BI49" s="759"/>
      <c r="BJ49" s="759"/>
      <c r="BK49" s="759"/>
      <c r="BL49" s="759"/>
      <c r="BM49" s="759"/>
      <c r="BN49" s="759"/>
      <c r="BO49" s="759"/>
      <c r="BP49" s="759"/>
      <c r="BQ49" s="692"/>
      <c r="BR49" s="692"/>
      <c r="BS49" s="692"/>
      <c r="BT49" s="692"/>
      <c r="BU49" s="692"/>
      <c r="BV49" s="692"/>
      <c r="BW49" s="692"/>
      <c r="BX49" s="692"/>
      <c r="BY49" s="683"/>
      <c r="BZ49" s="683"/>
      <c r="CA49" s="683"/>
      <c r="CB49" s="683"/>
      <c r="CC49" s="683"/>
      <c r="CD49" s="683"/>
      <c r="CE49" s="683"/>
      <c r="CF49" s="683"/>
      <c r="CG49" s="683"/>
      <c r="CH49" s="683"/>
      <c r="CI49" s="683"/>
      <c r="CJ49" s="683"/>
      <c r="CK49" s="683"/>
    </row>
    <row r="50" spans="1:89">
      <c r="E50" s="74">
        <f>SUM(E7:E49)</f>
        <v>5432</v>
      </c>
      <c r="F50" s="73"/>
      <c r="G50" s="73" t="str">
        <f>IF(OR(ISBLANK(C51),ISBLANK(D51)),"",TEXT(C51,"000")&amp;TEXT(D51,"000"))</f>
        <v/>
      </c>
      <c r="H50" s="418"/>
      <c r="I50" s="598"/>
      <c r="L50" s="97" t="s">
        <v>205</v>
      </c>
      <c r="M50" s="69">
        <f t="shared" si="38"/>
        <v>0</v>
      </c>
      <c r="N50" s="82">
        <f t="shared" si="38"/>
        <v>0</v>
      </c>
      <c r="P50" s="98"/>
      <c r="Q50" s="140">
        <v>9.9999999999999995E-8</v>
      </c>
      <c r="S50" s="70">
        <f t="shared" si="8"/>
        <v>0</v>
      </c>
      <c r="T50" s="70">
        <f t="shared" si="2"/>
        <v>0</v>
      </c>
      <c r="U50" s="70"/>
      <c r="V50" s="69">
        <f t="shared" si="41"/>
        <v>0</v>
      </c>
      <c r="W50" s="82">
        <f t="shared" si="41"/>
        <v>0</v>
      </c>
      <c r="Y50" s="70"/>
      <c r="AA50" s="69">
        <f t="shared" si="4"/>
        <v>0</v>
      </c>
      <c r="AB50" s="69">
        <f t="shared" si="4"/>
        <v>0</v>
      </c>
      <c r="AD50" s="231">
        <f>ROUND(P50*(1+$Z$1),2)</f>
        <v>0</v>
      </c>
      <c r="AE50" s="141">
        <v>9.9999999999999995E-7</v>
      </c>
      <c r="AG50" s="70">
        <f t="shared" si="6"/>
        <v>0</v>
      </c>
      <c r="AH50" s="70">
        <f t="shared" si="7"/>
        <v>0</v>
      </c>
      <c r="BQ50" s="692"/>
      <c r="BR50" s="692"/>
      <c r="BS50" s="692"/>
      <c r="BT50" s="692"/>
      <c r="BU50" s="692"/>
      <c r="BV50" s="692"/>
      <c r="BW50" s="692"/>
      <c r="BX50" s="692"/>
      <c r="BY50" s="692"/>
      <c r="BZ50" s="692"/>
      <c r="CA50" s="692"/>
      <c r="CB50" s="692"/>
      <c r="CC50" s="692"/>
      <c r="CD50" s="692"/>
      <c r="CE50" s="692"/>
      <c r="CF50" s="692"/>
      <c r="CG50" s="692"/>
      <c r="CH50" s="692"/>
      <c r="CI50" s="692"/>
      <c r="CJ50" s="692"/>
      <c r="CK50" s="692"/>
    </row>
    <row r="51" spans="1:89">
      <c r="A51" s="676"/>
      <c r="E51" s="73"/>
      <c r="F51" s="73"/>
      <c r="G51" s="73"/>
      <c r="H51" s="418"/>
      <c r="I51" s="598"/>
      <c r="L51" s="97" t="s">
        <v>206</v>
      </c>
      <c r="M51" s="69">
        <f t="shared" si="38"/>
        <v>0</v>
      </c>
      <c r="N51" s="82">
        <f t="shared" si="38"/>
        <v>166</v>
      </c>
      <c r="P51" s="98"/>
      <c r="Q51" s="140">
        <v>9.9999999999999995E-7</v>
      </c>
      <c r="S51" s="70">
        <f t="shared" si="8"/>
        <v>0</v>
      </c>
      <c r="T51" s="70">
        <f t="shared" si="2"/>
        <v>1.66E-4</v>
      </c>
      <c r="U51" s="70"/>
      <c r="V51" s="69">
        <f t="shared" si="41"/>
        <v>0</v>
      </c>
      <c r="W51" s="82">
        <f t="shared" si="41"/>
        <v>166</v>
      </c>
      <c r="Y51" s="70"/>
      <c r="AA51" s="69">
        <f t="shared" si="4"/>
        <v>0</v>
      </c>
      <c r="AB51" s="69">
        <f t="shared" si="4"/>
        <v>166</v>
      </c>
      <c r="AD51" s="231">
        <f>ROUND(P51*(1+$Z$1),2)</f>
        <v>0</v>
      </c>
      <c r="AE51" s="141">
        <v>9.9999999999999995E-7</v>
      </c>
      <c r="AG51" s="70">
        <f t="shared" si="6"/>
        <v>0</v>
      </c>
      <c r="AH51" s="70">
        <f t="shared" si="7"/>
        <v>1.66E-4</v>
      </c>
      <c r="BQ51" s="683"/>
      <c r="BR51" s="683"/>
      <c r="BS51" s="683"/>
      <c r="BT51" s="683"/>
      <c r="BU51" s="692"/>
      <c r="BV51" s="692"/>
      <c r="BW51" s="692"/>
      <c r="BX51" s="692"/>
      <c r="BY51" s="692"/>
      <c r="BZ51" s="692"/>
      <c r="CA51" s="692"/>
      <c r="CB51" s="692"/>
      <c r="CC51" s="692"/>
      <c r="CD51" s="692"/>
      <c r="CE51" s="692"/>
      <c r="CF51" s="692"/>
      <c r="CG51" s="692"/>
      <c r="CH51" s="692"/>
      <c r="CI51" s="692"/>
      <c r="CJ51" s="692"/>
      <c r="CK51" s="692"/>
    </row>
    <row r="52" spans="1:89">
      <c r="B52" s="35" t="s">
        <v>164</v>
      </c>
      <c r="C52" s="72" t="s">
        <v>157</v>
      </c>
      <c r="D52" s="35" t="s">
        <v>161</v>
      </c>
      <c r="E52" s="563">
        <v>3</v>
      </c>
      <c r="F52" s="73"/>
      <c r="G52" s="73" t="str">
        <f t="shared" ref="G52:G74" si="59">IF(OR(ISBLANK(C52),ISBLANK(D52)),"",TEXT(C52,"000")&amp;TEXT(D52,"000"))</f>
        <v>048HAH</v>
      </c>
      <c r="H52" s="418"/>
      <c r="L52" s="97" t="s">
        <v>207</v>
      </c>
      <c r="M52" s="69">
        <f t="shared" si="38"/>
        <v>0</v>
      </c>
      <c r="N52" s="82">
        <f t="shared" si="38"/>
        <v>0</v>
      </c>
      <c r="P52" s="98"/>
      <c r="Q52" s="140">
        <v>9.9999999999999995E-7</v>
      </c>
      <c r="S52" s="70">
        <f t="shared" si="8"/>
        <v>0</v>
      </c>
      <c r="T52" s="70">
        <f t="shared" si="2"/>
        <v>0</v>
      </c>
      <c r="U52" s="70"/>
      <c r="V52" s="69">
        <f t="shared" si="41"/>
        <v>0</v>
      </c>
      <c r="W52" s="82">
        <f t="shared" si="41"/>
        <v>0</v>
      </c>
      <c r="Y52" s="70"/>
      <c r="AA52" s="69">
        <f t="shared" si="4"/>
        <v>0</v>
      </c>
      <c r="AB52" s="69">
        <f t="shared" si="4"/>
        <v>0</v>
      </c>
      <c r="AD52" s="231">
        <f>ROUND(P52*(1+$Z$1),2)</f>
        <v>0</v>
      </c>
      <c r="AE52" s="141">
        <v>9.9999999999999995E-7</v>
      </c>
      <c r="AG52" s="70">
        <f t="shared" si="6"/>
        <v>0</v>
      </c>
      <c r="AH52" s="70">
        <f t="shared" si="7"/>
        <v>0</v>
      </c>
      <c r="BU52" s="683"/>
      <c r="BV52" s="683"/>
      <c r="BW52" s="683"/>
      <c r="BX52" s="683"/>
      <c r="BY52" s="692"/>
      <c r="BZ52" s="692"/>
      <c r="CA52" s="692"/>
      <c r="CB52" s="692"/>
      <c r="CC52" s="692"/>
      <c r="CD52" s="692"/>
      <c r="CE52" s="692"/>
      <c r="CF52" s="692"/>
      <c r="CG52" s="692"/>
      <c r="CH52" s="692"/>
      <c r="CI52" s="692"/>
      <c r="CJ52" s="692"/>
      <c r="CK52" s="692"/>
    </row>
    <row r="53" spans="1:89">
      <c r="A53" s="676"/>
      <c r="B53" s="35" t="s">
        <v>164</v>
      </c>
      <c r="C53" s="72" t="s">
        <v>157</v>
      </c>
      <c r="D53" s="35" t="s">
        <v>163</v>
      </c>
      <c r="E53" s="563">
        <v>2</v>
      </c>
      <c r="F53" s="73"/>
      <c r="G53" s="73" t="str">
        <f t="shared" si="59"/>
        <v>048HAI</v>
      </c>
      <c r="H53" s="418"/>
      <c r="P53" s="54"/>
      <c r="Q53" s="54"/>
      <c r="S53" s="70"/>
      <c r="T53" s="70"/>
      <c r="U53" s="70"/>
      <c r="Y53" s="70"/>
      <c r="AD53" s="54"/>
      <c r="AE53" s="54"/>
      <c r="AG53" s="70"/>
      <c r="AH53" s="70"/>
      <c r="BY53" s="683"/>
      <c r="BZ53" s="683"/>
      <c r="CA53" s="683"/>
      <c r="CB53" s="683"/>
      <c r="CC53" s="683"/>
      <c r="CD53" s="683"/>
      <c r="CE53" s="683"/>
      <c r="CF53" s="683"/>
      <c r="CG53" s="683"/>
      <c r="CH53" s="683"/>
      <c r="CI53" s="683"/>
      <c r="CJ53" s="683"/>
      <c r="CK53" s="683"/>
    </row>
    <row r="54" spans="1:89">
      <c r="B54" s="540" t="s">
        <v>164</v>
      </c>
      <c r="C54" s="72" t="s">
        <v>157</v>
      </c>
      <c r="D54" s="540" t="s">
        <v>166</v>
      </c>
      <c r="E54" s="557"/>
      <c r="F54" s="73"/>
      <c r="G54" s="73" t="str">
        <f t="shared" si="59"/>
        <v>048HAP</v>
      </c>
      <c r="H54" s="418"/>
      <c r="K54" s="579" t="s">
        <v>66</v>
      </c>
      <c r="M54" s="77">
        <f>SUM(M4:M53)</f>
        <v>5432</v>
      </c>
      <c r="N54" s="77">
        <f>SUM(N4:N53)</f>
        <v>3791</v>
      </c>
      <c r="S54" s="78">
        <f>SUM(S4:S53)</f>
        <v>120186.13999999998</v>
      </c>
      <c r="T54" s="78">
        <f>SUM(T4:T53)</f>
        <v>67627.360165999984</v>
      </c>
      <c r="U54" s="78"/>
      <c r="V54" s="77">
        <f>SUM(V4:V53)</f>
        <v>5432</v>
      </c>
      <c r="W54" s="77">
        <f>SUM(W4:W53)</f>
        <v>3791</v>
      </c>
      <c r="Y54" s="382"/>
      <c r="AA54" s="77">
        <f>SUM(AA4:AA53)</f>
        <v>5432</v>
      </c>
      <c r="AB54" s="77">
        <f>SUM(AB4:AB53)</f>
        <v>3791</v>
      </c>
      <c r="AG54" s="78">
        <f>SUM(AG4:AG53)</f>
        <v>130155.54999999999</v>
      </c>
      <c r="AH54" s="78">
        <f>SUM(AH4:AH53)</f>
        <v>73239.240166000003</v>
      </c>
    </row>
    <row r="55" spans="1:89">
      <c r="B55" s="35" t="s">
        <v>164</v>
      </c>
      <c r="C55" s="72" t="s">
        <v>157</v>
      </c>
      <c r="D55" s="35" t="s">
        <v>167</v>
      </c>
      <c r="E55" s="563">
        <v>491</v>
      </c>
      <c r="F55" s="73"/>
      <c r="G55" s="73" t="str">
        <f t="shared" si="59"/>
        <v>048HPA</v>
      </c>
      <c r="H55" s="418"/>
      <c r="N55" s="69">
        <f>SUM(M54:N54)</f>
        <v>9223</v>
      </c>
      <c r="S55" s="70"/>
      <c r="T55" s="79">
        <f>ROUND(SUM(S54:T54),2)</f>
        <v>187813.5</v>
      </c>
      <c r="U55" s="79"/>
      <c r="W55" s="69">
        <f>SUM(V54:W54)</f>
        <v>9223</v>
      </c>
      <c r="Y55" s="79"/>
      <c r="AB55" s="69">
        <f>SUM(AA54:AB54)</f>
        <v>9223</v>
      </c>
      <c r="AG55" s="70"/>
      <c r="AH55" s="79">
        <f>ROUND(SUM(AG54:AH54),2)</f>
        <v>203394.79</v>
      </c>
    </row>
    <row r="56" spans="1:89">
      <c r="B56" s="540" t="s">
        <v>164</v>
      </c>
      <c r="C56" s="72" t="s">
        <v>157</v>
      </c>
      <c r="D56" s="540" t="s">
        <v>622</v>
      </c>
      <c r="E56" s="563">
        <v>844</v>
      </c>
      <c r="F56" s="73"/>
      <c r="G56" s="73" t="str">
        <f t="shared" si="59"/>
        <v>048HPAL</v>
      </c>
      <c r="H56" s="418"/>
      <c r="I56" s="605">
        <f>'St Lts'!I103</f>
        <v>0</v>
      </c>
      <c r="J56" s="19"/>
      <c r="K56" s="86"/>
      <c r="L56" s="19"/>
      <c r="M56" s="19"/>
      <c r="N56" s="73">
        <f>ROUND(N55-E96,0)</f>
        <v>0</v>
      </c>
      <c r="S56" s="99"/>
      <c r="T56" s="99"/>
      <c r="U56" s="99"/>
      <c r="W56" s="73"/>
      <c r="Y56" s="99"/>
      <c r="Z56" s="331"/>
      <c r="AB56" s="73">
        <f>AB55-N55</f>
        <v>0</v>
      </c>
      <c r="AH56" s="85">
        <f>AH55/T55-1</f>
        <v>8.2961501702486729E-2</v>
      </c>
    </row>
    <row r="57" spans="1:89">
      <c r="B57" s="35" t="s">
        <v>164</v>
      </c>
      <c r="C57" s="72" t="s">
        <v>157</v>
      </c>
      <c r="D57" s="35" t="s">
        <v>169</v>
      </c>
      <c r="E57" s="563">
        <v>398</v>
      </c>
      <c r="F57" s="73"/>
      <c r="G57" s="73" t="str">
        <f t="shared" si="59"/>
        <v>048HPB</v>
      </c>
      <c r="H57" s="418"/>
      <c r="P57" s="98"/>
      <c r="R57" s="19"/>
      <c r="S57" s="142">
        <f>S54-S56</f>
        <v>120186.13999999998</v>
      </c>
      <c r="T57" s="142">
        <f>T54-T56</f>
        <v>67627.360165999984</v>
      </c>
      <c r="U57" s="382"/>
      <c r="Y57" s="382"/>
    </row>
    <row r="58" spans="1:89">
      <c r="B58" s="540" t="s">
        <v>164</v>
      </c>
      <c r="C58" s="72" t="s">
        <v>157</v>
      </c>
      <c r="D58" s="540" t="s">
        <v>623</v>
      </c>
      <c r="E58" s="563">
        <v>114</v>
      </c>
      <c r="F58" s="73"/>
      <c r="G58" s="73" t="str">
        <f t="shared" si="59"/>
        <v>048HPBL</v>
      </c>
      <c r="H58" s="418"/>
      <c r="I58" s="44"/>
      <c r="P58" s="98"/>
      <c r="R58" s="19"/>
      <c r="S58" s="19"/>
      <c r="T58" s="714"/>
      <c r="U58" s="79"/>
      <c r="Y58" s="79"/>
    </row>
    <row r="59" spans="1:89">
      <c r="B59" s="35" t="s">
        <v>164</v>
      </c>
      <c r="C59" s="72" t="s">
        <v>157</v>
      </c>
      <c r="D59" s="35" t="s">
        <v>170</v>
      </c>
      <c r="E59" s="563">
        <v>8</v>
      </c>
      <c r="F59" s="73"/>
      <c r="G59" s="73" t="str">
        <f t="shared" si="59"/>
        <v>048HPC</v>
      </c>
      <c r="H59" s="418"/>
      <c r="P59" s="98"/>
      <c r="Q59" s="617"/>
      <c r="R59" s="617"/>
      <c r="S59" s="281"/>
      <c r="T59" s="623"/>
      <c r="U59" s="623"/>
      <c r="V59" s="617"/>
      <c r="W59" s="617"/>
      <c r="X59" s="617"/>
      <c r="Y59" s="623"/>
      <c r="Z59" s="617"/>
      <c r="AA59" s="617"/>
      <c r="AB59" s="617"/>
      <c r="AC59" s="617"/>
      <c r="AD59" s="617"/>
      <c r="AE59" s="267"/>
      <c r="AF59" s="267"/>
      <c r="AG59" s="715"/>
      <c r="AH59" s="267"/>
    </row>
    <row r="60" spans="1:89">
      <c r="B60" s="540" t="s">
        <v>164</v>
      </c>
      <c r="C60" s="72" t="s">
        <v>157</v>
      </c>
      <c r="D60" s="540" t="s">
        <v>645</v>
      </c>
      <c r="E60" s="563">
        <v>6</v>
      </c>
      <c r="F60" s="73"/>
      <c r="G60" s="73" t="str">
        <f t="shared" si="59"/>
        <v>048HPCL</v>
      </c>
      <c r="H60" s="418"/>
      <c r="Q60" s="617"/>
      <c r="R60" s="617"/>
      <c r="S60" s="617"/>
      <c r="T60" s="617"/>
      <c r="U60" s="617"/>
      <c r="V60" s="617"/>
      <c r="W60" s="617"/>
      <c r="X60" s="617"/>
      <c r="Y60" s="617"/>
      <c r="Z60" s="617"/>
      <c r="AA60" s="617"/>
      <c r="AB60" s="617"/>
      <c r="AC60" s="617"/>
      <c r="AD60" s="617"/>
      <c r="AE60" s="267"/>
      <c r="AF60" s="267"/>
      <c r="AG60" s="267"/>
      <c r="AH60" s="267"/>
    </row>
    <row r="61" spans="1:89">
      <c r="B61" s="35" t="s">
        <v>164</v>
      </c>
      <c r="C61" s="72" t="s">
        <v>157</v>
      </c>
      <c r="D61" s="35" t="s">
        <v>171</v>
      </c>
      <c r="E61" s="563">
        <v>175</v>
      </c>
      <c r="F61" s="73"/>
      <c r="G61" s="73" t="str">
        <f t="shared" si="59"/>
        <v>048HPD</v>
      </c>
      <c r="H61" s="418"/>
      <c r="Q61" s="583"/>
      <c r="R61" s="711"/>
      <c r="S61" s="712"/>
      <c r="T61" s="712"/>
      <c r="U61" s="145"/>
      <c r="V61" s="617"/>
      <c r="W61" s="617"/>
      <c r="X61" s="617"/>
      <c r="Y61" s="145"/>
      <c r="Z61" s="617"/>
      <c r="AA61" s="617"/>
      <c r="AB61" s="617"/>
      <c r="AC61" s="617"/>
      <c r="AD61" s="617"/>
      <c r="AE61" s="267"/>
      <c r="AF61" s="268"/>
      <c r="AG61" s="716"/>
      <c r="AH61" s="716"/>
    </row>
    <row r="62" spans="1:89">
      <c r="B62" s="540" t="s">
        <v>164</v>
      </c>
      <c r="C62" s="72" t="s">
        <v>157</v>
      </c>
      <c r="D62" s="540" t="s">
        <v>626</v>
      </c>
      <c r="E62" s="563">
        <v>75</v>
      </c>
      <c r="F62" s="73"/>
      <c r="G62" s="73" t="str">
        <f t="shared" si="59"/>
        <v>048HPDL</v>
      </c>
      <c r="H62" s="418"/>
      <c r="Q62" s="583"/>
      <c r="R62" s="711"/>
      <c r="S62" s="713"/>
      <c r="T62" s="713"/>
      <c r="U62" s="624"/>
      <c r="V62" s="617"/>
      <c r="W62" s="617"/>
      <c r="X62" s="617"/>
      <c r="Y62" s="624"/>
      <c r="Z62" s="617"/>
      <c r="AA62" s="617"/>
      <c r="AB62" s="617"/>
      <c r="AC62" s="617"/>
      <c r="AD62" s="617"/>
      <c r="AE62" s="267"/>
      <c r="AF62" s="268"/>
      <c r="AG62" s="717"/>
      <c r="AH62" s="717"/>
    </row>
    <row r="63" spans="1:89">
      <c r="B63" s="35" t="s">
        <v>164</v>
      </c>
      <c r="C63" s="72" t="s">
        <v>157</v>
      </c>
      <c r="D63" s="35" t="s">
        <v>173</v>
      </c>
      <c r="E63" s="563">
        <v>202</v>
      </c>
      <c r="F63" s="73"/>
      <c r="G63" s="73" t="str">
        <f t="shared" si="59"/>
        <v>048HPE</v>
      </c>
      <c r="H63" s="418"/>
      <c r="Q63" s="617"/>
      <c r="R63" s="617"/>
      <c r="S63" s="382">
        <f>S61+S62</f>
        <v>0</v>
      </c>
      <c r="T63" s="382">
        <f>T61+T62</f>
        <v>0</v>
      </c>
      <c r="U63" s="382"/>
      <c r="V63" s="617"/>
      <c r="W63" s="617"/>
      <c r="X63" s="617"/>
      <c r="Y63" s="382"/>
      <c r="Z63" s="617"/>
      <c r="AA63" s="617"/>
      <c r="AB63" s="617"/>
      <c r="AC63" s="617"/>
      <c r="AD63" s="617"/>
      <c r="AE63" s="267"/>
      <c r="AF63" s="267"/>
      <c r="AG63" s="718"/>
      <c r="AH63" s="718"/>
    </row>
    <row r="64" spans="1:89">
      <c r="A64" s="320"/>
      <c r="B64" s="540" t="s">
        <v>164</v>
      </c>
      <c r="C64" s="72" t="s">
        <v>157</v>
      </c>
      <c r="D64" s="540" t="s">
        <v>625</v>
      </c>
      <c r="E64" s="563">
        <v>415</v>
      </c>
      <c r="F64" s="73"/>
      <c r="G64" s="73" t="str">
        <f t="shared" si="59"/>
        <v>048HPEL</v>
      </c>
      <c r="H64" s="418"/>
      <c r="J64" s="19"/>
      <c r="Q64" s="617"/>
      <c r="R64" s="617"/>
      <c r="S64" s="617"/>
      <c r="T64" s="70">
        <f>S63+T63</f>
        <v>0</v>
      </c>
      <c r="U64" s="70"/>
      <c r="V64" s="617"/>
      <c r="W64" s="617"/>
      <c r="X64" s="617"/>
      <c r="Y64" s="70"/>
      <c r="Z64" s="617"/>
      <c r="AA64" s="617"/>
      <c r="AB64" s="617"/>
      <c r="AC64" s="617"/>
      <c r="AD64" s="617"/>
      <c r="AE64" s="267"/>
      <c r="AF64" s="267"/>
      <c r="AG64" s="267"/>
      <c r="AH64" s="718"/>
    </row>
    <row r="65" spans="2:24">
      <c r="B65" s="35" t="s">
        <v>164</v>
      </c>
      <c r="C65" s="72" t="s">
        <v>157</v>
      </c>
      <c r="D65" s="35" t="s">
        <v>174</v>
      </c>
      <c r="E65" s="563">
        <v>4</v>
      </c>
      <c r="F65" s="73"/>
      <c r="G65" s="73" t="str">
        <f t="shared" si="59"/>
        <v>048HPG</v>
      </c>
      <c r="H65" s="418"/>
      <c r="J65" s="19"/>
    </row>
    <row r="66" spans="2:24">
      <c r="B66" s="35" t="s">
        <v>164</v>
      </c>
      <c r="C66" s="72" t="s">
        <v>157</v>
      </c>
      <c r="D66" s="35" t="s">
        <v>175</v>
      </c>
      <c r="E66" s="563">
        <v>7</v>
      </c>
      <c r="F66" s="73"/>
      <c r="G66" s="73" t="str">
        <f t="shared" si="59"/>
        <v>048HPL</v>
      </c>
      <c r="H66" s="418"/>
    </row>
    <row r="67" spans="2:24">
      <c r="B67" s="540" t="s">
        <v>164</v>
      </c>
      <c r="C67" s="72" t="s">
        <v>157</v>
      </c>
      <c r="D67" s="540" t="s">
        <v>628</v>
      </c>
      <c r="E67" s="563">
        <v>4</v>
      </c>
      <c r="F67" s="73"/>
      <c r="G67" s="73" t="str">
        <f t="shared" si="59"/>
        <v>048HPLL</v>
      </c>
      <c r="H67" s="418"/>
      <c r="S67" s="611"/>
      <c r="T67" s="611"/>
      <c r="X67" s="534" t="s">
        <v>563</v>
      </c>
    </row>
    <row r="68" spans="2:24">
      <c r="B68" s="35" t="s">
        <v>164</v>
      </c>
      <c r="C68" s="72" t="s">
        <v>157</v>
      </c>
      <c r="D68" s="35" t="s">
        <v>178</v>
      </c>
      <c r="E68" s="563">
        <v>1</v>
      </c>
      <c r="F68" s="73"/>
      <c r="G68" s="73" t="str">
        <f t="shared" si="59"/>
        <v>048HPO</v>
      </c>
      <c r="H68" s="418"/>
      <c r="S68" s="19"/>
      <c r="T68" s="19"/>
      <c r="X68" s="379" t="s">
        <v>446</v>
      </c>
    </row>
    <row r="69" spans="2:24">
      <c r="B69" s="540" t="s">
        <v>164</v>
      </c>
      <c r="C69" s="72" t="s">
        <v>157</v>
      </c>
      <c r="D69" s="540" t="s">
        <v>627</v>
      </c>
      <c r="E69" s="563">
        <v>5</v>
      </c>
      <c r="F69" s="73"/>
      <c r="G69" s="73" t="str">
        <f t="shared" si="59"/>
        <v>048HPOL</v>
      </c>
      <c r="H69" s="418"/>
      <c r="S69" s="19"/>
      <c r="T69" s="19"/>
    </row>
    <row r="70" spans="2:24">
      <c r="B70" s="35" t="s">
        <v>164</v>
      </c>
      <c r="C70" s="72" t="s">
        <v>157</v>
      </c>
      <c r="D70" s="35" t="s">
        <v>176</v>
      </c>
      <c r="E70" s="563">
        <v>135</v>
      </c>
      <c r="F70" s="73"/>
      <c r="G70" s="73" t="str">
        <f t="shared" si="59"/>
        <v>048HPS</v>
      </c>
      <c r="H70" s="418"/>
      <c r="S70" s="19"/>
      <c r="T70" s="19"/>
    </row>
    <row r="71" spans="2:24">
      <c r="B71" s="540" t="s">
        <v>164</v>
      </c>
      <c r="C71" s="72" t="s">
        <v>157</v>
      </c>
      <c r="D71" s="540" t="s">
        <v>624</v>
      </c>
      <c r="E71" s="563">
        <v>105</v>
      </c>
      <c r="F71" s="73"/>
      <c r="G71" s="73" t="str">
        <f t="shared" si="59"/>
        <v>048HPSL</v>
      </c>
      <c r="H71" s="418"/>
      <c r="S71" s="611"/>
      <c r="T71" s="611"/>
    </row>
    <row r="72" spans="2:24">
      <c r="B72" s="540" t="s">
        <v>164</v>
      </c>
      <c r="C72" s="72" t="s">
        <v>157</v>
      </c>
      <c r="D72" s="540" t="s">
        <v>810</v>
      </c>
      <c r="E72" s="563">
        <v>8</v>
      </c>
      <c r="F72" s="73"/>
      <c r="G72" s="73" t="str">
        <f t="shared" si="59"/>
        <v>048HAAL</v>
      </c>
      <c r="H72" s="418"/>
    </row>
    <row r="73" spans="2:24">
      <c r="B73" s="540" t="s">
        <v>164</v>
      </c>
      <c r="C73" s="72" t="s">
        <v>157</v>
      </c>
      <c r="D73" s="540" t="s">
        <v>811</v>
      </c>
      <c r="E73" s="563">
        <v>12</v>
      </c>
      <c r="F73" s="73"/>
      <c r="G73" s="73" t="str">
        <f t="shared" si="59"/>
        <v>048HAML</v>
      </c>
      <c r="H73" s="418"/>
    </row>
    <row r="74" spans="2:24">
      <c r="B74" s="540" t="s">
        <v>164</v>
      </c>
      <c r="C74" s="72" t="s">
        <v>157</v>
      </c>
      <c r="D74" s="540" t="s">
        <v>812</v>
      </c>
      <c r="E74" s="563">
        <v>2</v>
      </c>
      <c r="F74" s="73"/>
      <c r="G74" s="73" t="str">
        <f t="shared" si="59"/>
        <v>048HANL</v>
      </c>
      <c r="H74" s="418"/>
    </row>
    <row r="75" spans="2:24">
      <c r="B75" s="540" t="s">
        <v>164</v>
      </c>
      <c r="C75" s="402" t="s">
        <v>157</v>
      </c>
      <c r="D75" s="584" t="s">
        <v>848</v>
      </c>
      <c r="E75" s="563">
        <v>3</v>
      </c>
      <c r="F75" s="73"/>
      <c r="G75" s="73" t="str">
        <f t="shared" ref="G75" si="60">IF(OR(ISBLANK(C75),ISBLANK(D75)),"",TEXT(C75,"000")&amp;TEXT(D75,"000"))</f>
        <v>048HAOL</v>
      </c>
      <c r="H75" s="418"/>
    </row>
    <row r="76" spans="2:24">
      <c r="B76" s="540" t="s">
        <v>164</v>
      </c>
      <c r="C76" s="72" t="s">
        <v>157</v>
      </c>
      <c r="D76" s="540" t="s">
        <v>631</v>
      </c>
      <c r="E76" s="563">
        <v>3</v>
      </c>
      <c r="F76" s="73"/>
      <c r="G76" s="73" t="str">
        <f t="shared" ref="G76:G93" si="61">IF(OR(ISBLANK(C76),ISBLANK(D76)),"",TEXT(C76,"000")&amp;TEXT(D76,"000"))</f>
        <v>048HAPL</v>
      </c>
      <c r="H76" s="418"/>
    </row>
    <row r="77" spans="2:24">
      <c r="B77" s="540" t="s">
        <v>164</v>
      </c>
      <c r="C77" s="72" t="s">
        <v>157</v>
      </c>
      <c r="D77" s="540" t="s">
        <v>813</v>
      </c>
      <c r="E77" s="563"/>
      <c r="F77" s="73"/>
      <c r="G77" s="73" t="str">
        <f t="shared" si="61"/>
        <v>048HPKL</v>
      </c>
      <c r="H77" s="418"/>
    </row>
    <row r="78" spans="2:24">
      <c r="B78" s="35" t="s">
        <v>164</v>
      </c>
      <c r="C78" s="72" t="s">
        <v>157</v>
      </c>
      <c r="D78" s="35" t="s">
        <v>181</v>
      </c>
      <c r="E78" s="563">
        <v>198</v>
      </c>
      <c r="F78" s="73"/>
      <c r="G78" s="73" t="str">
        <f t="shared" si="61"/>
        <v>048MVA</v>
      </c>
      <c r="H78" s="418"/>
    </row>
    <row r="79" spans="2:24">
      <c r="B79" s="35" t="s">
        <v>164</v>
      </c>
      <c r="C79" s="72" t="s">
        <v>157</v>
      </c>
      <c r="D79" s="35" t="s">
        <v>183</v>
      </c>
      <c r="E79" s="563">
        <v>209</v>
      </c>
      <c r="F79" s="73"/>
      <c r="G79" s="73" t="str">
        <f t="shared" si="61"/>
        <v>048MVB</v>
      </c>
      <c r="H79" s="418"/>
    </row>
    <row r="80" spans="2:24">
      <c r="B80" s="35" t="s">
        <v>164</v>
      </c>
      <c r="C80" s="72" t="s">
        <v>157</v>
      </c>
      <c r="D80" s="35" t="s">
        <v>184</v>
      </c>
      <c r="E80" s="563">
        <v>15</v>
      </c>
      <c r="F80" s="75"/>
      <c r="G80" s="73" t="str">
        <f t="shared" si="61"/>
        <v>048MVC</v>
      </c>
      <c r="H80" s="418"/>
    </row>
    <row r="81" spans="2:8">
      <c r="B81" s="35" t="s">
        <v>164</v>
      </c>
      <c r="C81" s="72" t="s">
        <v>157</v>
      </c>
      <c r="D81" s="35" t="s">
        <v>185</v>
      </c>
      <c r="E81" s="563">
        <v>87</v>
      </c>
      <c r="G81" s="73" t="str">
        <f t="shared" si="61"/>
        <v>048MVD</v>
      </c>
      <c r="H81" s="418"/>
    </row>
    <row r="82" spans="2:8">
      <c r="B82" s="35" t="s">
        <v>164</v>
      </c>
      <c r="C82" s="72" t="s">
        <v>157</v>
      </c>
      <c r="D82" s="35" t="s">
        <v>186</v>
      </c>
      <c r="E82" s="563">
        <v>43</v>
      </c>
      <c r="F82" s="73"/>
      <c r="G82" s="73" t="str">
        <f t="shared" si="61"/>
        <v>048MVE</v>
      </c>
      <c r="H82" s="418"/>
    </row>
    <row r="83" spans="2:8">
      <c r="B83" s="35" t="s">
        <v>164</v>
      </c>
      <c r="C83" s="72" t="s">
        <v>157</v>
      </c>
      <c r="D83" s="35" t="s">
        <v>187</v>
      </c>
      <c r="E83" s="563">
        <v>17</v>
      </c>
      <c r="F83" s="73"/>
      <c r="G83" s="73" t="str">
        <f t="shared" si="61"/>
        <v>048MVF</v>
      </c>
      <c r="H83" s="418"/>
    </row>
    <row r="84" spans="2:8">
      <c r="B84" s="35" t="s">
        <v>164</v>
      </c>
      <c r="C84" s="72" t="s">
        <v>157</v>
      </c>
      <c r="D84" s="35" t="s">
        <v>191</v>
      </c>
      <c r="E84" s="557"/>
      <c r="F84" s="73"/>
      <c r="G84" s="73" t="str">
        <f t="shared" si="61"/>
        <v>048MVG</v>
      </c>
      <c r="H84" s="418"/>
    </row>
    <row r="85" spans="2:8">
      <c r="B85" s="35" t="s">
        <v>164</v>
      </c>
      <c r="C85" s="72" t="s">
        <v>157</v>
      </c>
      <c r="D85" s="35" t="s">
        <v>188</v>
      </c>
      <c r="E85" s="563">
        <v>5</v>
      </c>
      <c r="F85" s="73"/>
      <c r="G85" s="73" t="str">
        <f t="shared" si="61"/>
        <v>048MVH</v>
      </c>
      <c r="H85" s="418"/>
    </row>
    <row r="86" spans="2:8">
      <c r="B86" s="35" t="s">
        <v>164</v>
      </c>
      <c r="C86" s="72" t="s">
        <v>157</v>
      </c>
      <c r="D86" s="35" t="s">
        <v>193</v>
      </c>
      <c r="E86" s="563">
        <v>25</v>
      </c>
      <c r="F86" s="73"/>
      <c r="G86" s="73" t="str">
        <f t="shared" si="61"/>
        <v>048MVK</v>
      </c>
      <c r="H86" s="418"/>
    </row>
    <row r="87" spans="2:8">
      <c r="B87" s="35" t="s">
        <v>164</v>
      </c>
      <c r="C87" s="72" t="s">
        <v>157</v>
      </c>
      <c r="D87" s="35" t="s">
        <v>200</v>
      </c>
      <c r="E87" s="557"/>
      <c r="F87" s="73"/>
      <c r="G87" s="73" t="str">
        <f t="shared" si="61"/>
        <v>048MVN</v>
      </c>
      <c r="H87" s="760"/>
    </row>
    <row r="88" spans="2:8">
      <c r="B88" s="35" t="s">
        <v>164</v>
      </c>
      <c r="C88" s="72" t="s">
        <v>157</v>
      </c>
      <c r="D88" s="35" t="s">
        <v>430</v>
      </c>
      <c r="E88" s="563">
        <v>2</v>
      </c>
      <c r="G88" s="73" t="str">
        <f t="shared" si="61"/>
        <v>048MVV</v>
      </c>
      <c r="H88" s="421"/>
    </row>
    <row r="89" spans="2:8">
      <c r="B89" s="35" t="s">
        <v>164</v>
      </c>
      <c r="C89" s="72" t="s">
        <v>157</v>
      </c>
      <c r="D89" s="35" t="s">
        <v>197</v>
      </c>
      <c r="E89" s="563">
        <v>2</v>
      </c>
      <c r="F89" s="73"/>
      <c r="G89" s="73" t="str">
        <f t="shared" si="61"/>
        <v>048PA</v>
      </c>
      <c r="H89" s="418"/>
    </row>
    <row r="90" spans="2:8">
      <c r="B90" s="35" t="s">
        <v>164</v>
      </c>
      <c r="C90" s="72" t="s">
        <v>157</v>
      </c>
      <c r="D90" s="35" t="s">
        <v>204</v>
      </c>
      <c r="E90" s="563"/>
      <c r="F90" s="73"/>
      <c r="G90" s="73" t="str">
        <f t="shared" si="61"/>
        <v>048PB</v>
      </c>
      <c r="H90" s="418"/>
    </row>
    <row r="91" spans="2:8">
      <c r="B91" s="35" t="s">
        <v>164</v>
      </c>
      <c r="C91" s="72" t="s">
        <v>157</v>
      </c>
      <c r="D91" s="35" t="s">
        <v>205</v>
      </c>
      <c r="E91" s="563"/>
      <c r="F91" s="73"/>
      <c r="G91" s="73" t="str">
        <f t="shared" si="61"/>
        <v>048SLB</v>
      </c>
    </row>
    <row r="92" spans="2:8">
      <c r="B92" s="35" t="s">
        <v>164</v>
      </c>
      <c r="C92" s="72" t="s">
        <v>157</v>
      </c>
      <c r="D92" s="35" t="s">
        <v>206</v>
      </c>
      <c r="E92" s="563">
        <v>166</v>
      </c>
      <c r="F92" s="73"/>
      <c r="G92" s="73" t="str">
        <f t="shared" si="61"/>
        <v>048SLC</v>
      </c>
    </row>
    <row r="93" spans="2:8">
      <c r="B93" s="35" t="s">
        <v>164</v>
      </c>
      <c r="C93" s="72" t="s">
        <v>157</v>
      </c>
      <c r="D93" s="35" t="s">
        <v>207</v>
      </c>
      <c r="E93" s="563"/>
      <c r="F93" s="75"/>
      <c r="G93" s="73" t="str">
        <f t="shared" si="61"/>
        <v>048SLD</v>
      </c>
    </row>
    <row r="94" spans="2:8">
      <c r="E94" s="74">
        <f>SUM(E52:E93)</f>
        <v>3791</v>
      </c>
      <c r="G94" s="73" t="str">
        <f t="shared" ref="G94" si="62">IF(OR(ISBLANK(C95),ISBLANK(D95)),"",TEXT(C95,"000")&amp;TEXT(D95,"000"))</f>
        <v/>
      </c>
    </row>
    <row r="95" spans="2:8">
      <c r="F95" s="73"/>
      <c r="G95" s="73"/>
    </row>
    <row r="96" spans="2:8">
      <c r="B96" s="35" t="s">
        <v>164</v>
      </c>
      <c r="E96" s="73">
        <f>E50+E94</f>
        <v>9223</v>
      </c>
    </row>
    <row r="97" spans="9:35">
      <c r="I97" s="614" t="s">
        <v>111</v>
      </c>
      <c r="J97" s="614" t="s">
        <v>158</v>
      </c>
      <c r="K97" s="619" t="s">
        <v>134</v>
      </c>
      <c r="L97" s="620" t="s">
        <v>159</v>
      </c>
      <c r="M97" s="636">
        <f t="shared" ref="M97:N103" si="63">SUMIF($G:$G,TEXT(M$3,"000")&amp;TEXT($L97,"000"),$E:$E)</f>
        <v>0</v>
      </c>
      <c r="N97" s="636">
        <f t="shared" si="63"/>
        <v>0</v>
      </c>
      <c r="O97" s="614"/>
      <c r="P97" s="695"/>
      <c r="Q97" s="696">
        <f t="shared" ref="Q97:Q103" si="64">P97</f>
        <v>0</v>
      </c>
      <c r="R97" s="614"/>
      <c r="S97" s="694">
        <f t="shared" ref="S97:T103" si="65">IF(AND(M97&lt;&gt;0,P97=0),#VALUE!,M97*P97)</f>
        <v>0</v>
      </c>
      <c r="T97" s="694">
        <f t="shared" si="65"/>
        <v>0</v>
      </c>
      <c r="U97" s="694"/>
      <c r="V97" s="636">
        <f t="shared" ref="V97:W103" si="66">SUMIF($G:$G,TEXT(V$3,"000")&amp;TEXT($L97,"000"),$E:$E)</f>
        <v>0</v>
      </c>
      <c r="W97" s="636">
        <f t="shared" si="66"/>
        <v>0</v>
      </c>
      <c r="X97" s="614"/>
      <c r="Y97" s="694"/>
      <c r="Z97" s="614"/>
      <c r="AA97" s="636">
        <f t="shared" ref="AA97:AB103" si="67">M97</f>
        <v>0</v>
      </c>
      <c r="AB97" s="636">
        <f t="shared" si="67"/>
        <v>0</v>
      </c>
      <c r="AC97" s="614"/>
      <c r="AD97" s="638">
        <f t="shared" ref="AD97:AD103" si="68">ROUND(P97*(1+AD$1),2)</f>
        <v>0</v>
      </c>
      <c r="AE97" s="697">
        <f t="shared" ref="AE97:AE103" si="69">AD97</f>
        <v>0</v>
      </c>
      <c r="AF97" s="614"/>
      <c r="AG97" s="694">
        <f t="shared" ref="AG97:AH103" si="70">IF(AND(AA97&lt;&gt;0,AD97=0),#VALUE!,AA97*AD97)</f>
        <v>0</v>
      </c>
      <c r="AH97" s="694">
        <f t="shared" si="70"/>
        <v>0</v>
      </c>
    </row>
    <row r="98" spans="9:35">
      <c r="I98" s="614" t="s">
        <v>111</v>
      </c>
      <c r="J98" s="614" t="s">
        <v>165</v>
      </c>
      <c r="K98" s="619" t="s">
        <v>134</v>
      </c>
      <c r="L98" s="620" t="s">
        <v>166</v>
      </c>
      <c r="M98" s="636">
        <f t="shared" si="63"/>
        <v>0</v>
      </c>
      <c r="N98" s="636">
        <f t="shared" si="63"/>
        <v>0</v>
      </c>
      <c r="O98" s="614"/>
      <c r="P98" s="695"/>
      <c r="Q98" s="696">
        <f t="shared" si="64"/>
        <v>0</v>
      </c>
      <c r="R98" s="614"/>
      <c r="S98" s="694">
        <f t="shared" si="65"/>
        <v>0</v>
      </c>
      <c r="T98" s="694">
        <f t="shared" si="65"/>
        <v>0</v>
      </c>
      <c r="U98" s="694"/>
      <c r="V98" s="636">
        <f t="shared" si="66"/>
        <v>0</v>
      </c>
      <c r="W98" s="636">
        <f t="shared" si="66"/>
        <v>0</v>
      </c>
      <c r="X98" s="614"/>
      <c r="Y98" s="694"/>
      <c r="Z98" s="614"/>
      <c r="AA98" s="636">
        <f t="shared" si="67"/>
        <v>0</v>
      </c>
      <c r="AB98" s="636">
        <f t="shared" si="67"/>
        <v>0</v>
      </c>
      <c r="AC98" s="614"/>
      <c r="AD98" s="638">
        <f t="shared" si="68"/>
        <v>0</v>
      </c>
      <c r="AE98" s="697">
        <f t="shared" si="69"/>
        <v>0</v>
      </c>
      <c r="AF98" s="614"/>
      <c r="AG98" s="694">
        <f t="shared" si="70"/>
        <v>0</v>
      </c>
      <c r="AH98" s="694">
        <f t="shared" si="70"/>
        <v>0</v>
      </c>
    </row>
    <row r="99" spans="9:35">
      <c r="I99" s="614" t="s">
        <v>133</v>
      </c>
      <c r="J99" s="614" t="s">
        <v>190</v>
      </c>
      <c r="K99" s="619">
        <v>7000</v>
      </c>
      <c r="L99" s="620" t="s">
        <v>191</v>
      </c>
      <c r="M99" s="636">
        <f t="shared" si="63"/>
        <v>0</v>
      </c>
      <c r="N99" s="636">
        <f t="shared" si="63"/>
        <v>0</v>
      </c>
      <c r="O99" s="614"/>
      <c r="P99" s="695"/>
      <c r="Q99" s="696">
        <f t="shared" si="64"/>
        <v>0</v>
      </c>
      <c r="R99" s="614"/>
      <c r="S99" s="694">
        <f t="shared" si="65"/>
        <v>0</v>
      </c>
      <c r="T99" s="694">
        <f t="shared" si="65"/>
        <v>0</v>
      </c>
      <c r="U99" s="694"/>
      <c r="V99" s="636">
        <f t="shared" si="66"/>
        <v>0</v>
      </c>
      <c r="W99" s="636">
        <f t="shared" si="66"/>
        <v>0</v>
      </c>
      <c r="X99" s="614"/>
      <c r="Y99" s="694"/>
      <c r="Z99" s="614"/>
      <c r="AA99" s="636">
        <f t="shared" si="67"/>
        <v>0</v>
      </c>
      <c r="AB99" s="636">
        <f t="shared" si="67"/>
        <v>0</v>
      </c>
      <c r="AC99" s="614"/>
      <c r="AD99" s="638">
        <f t="shared" si="68"/>
        <v>0</v>
      </c>
      <c r="AE99" s="697">
        <f t="shared" si="69"/>
        <v>0</v>
      </c>
      <c r="AF99" s="614"/>
      <c r="AG99" s="694">
        <f t="shared" si="70"/>
        <v>0</v>
      </c>
      <c r="AH99" s="694">
        <f t="shared" si="70"/>
        <v>0</v>
      </c>
    </row>
    <row r="100" spans="9:35">
      <c r="I100" s="614" t="s">
        <v>133</v>
      </c>
      <c r="J100" s="614" t="s">
        <v>198</v>
      </c>
      <c r="K100" s="619">
        <v>7000</v>
      </c>
      <c r="L100" s="620" t="s">
        <v>199</v>
      </c>
      <c r="M100" s="636">
        <f t="shared" si="63"/>
        <v>0</v>
      </c>
      <c r="N100" s="636">
        <f t="shared" si="63"/>
        <v>0</v>
      </c>
      <c r="O100" s="614"/>
      <c r="P100" s="695"/>
      <c r="Q100" s="696">
        <f t="shared" si="64"/>
        <v>0</v>
      </c>
      <c r="R100" s="614"/>
      <c r="S100" s="694">
        <f t="shared" si="65"/>
        <v>0</v>
      </c>
      <c r="T100" s="694">
        <f t="shared" si="65"/>
        <v>0</v>
      </c>
      <c r="U100" s="694"/>
      <c r="V100" s="636">
        <f t="shared" si="66"/>
        <v>0</v>
      </c>
      <c r="W100" s="636">
        <f t="shared" si="66"/>
        <v>0</v>
      </c>
      <c r="X100" s="614"/>
      <c r="Y100" s="694"/>
      <c r="Z100" s="614"/>
      <c r="AA100" s="636">
        <f t="shared" si="67"/>
        <v>0</v>
      </c>
      <c r="AB100" s="636">
        <f t="shared" si="67"/>
        <v>0</v>
      </c>
      <c r="AC100" s="614"/>
      <c r="AD100" s="638">
        <f t="shared" si="68"/>
        <v>0</v>
      </c>
      <c r="AE100" s="697">
        <f t="shared" si="69"/>
        <v>0</v>
      </c>
      <c r="AF100" s="614"/>
      <c r="AG100" s="694">
        <f t="shared" si="70"/>
        <v>0</v>
      </c>
      <c r="AH100" s="694">
        <f t="shared" si="70"/>
        <v>0</v>
      </c>
    </row>
    <row r="101" spans="9:35">
      <c r="I101" s="614" t="s">
        <v>133</v>
      </c>
      <c r="J101" s="614" t="s">
        <v>198</v>
      </c>
      <c r="K101" s="619">
        <v>10000</v>
      </c>
      <c r="L101" s="620" t="s">
        <v>200</v>
      </c>
      <c r="M101" s="636">
        <f t="shared" si="63"/>
        <v>0</v>
      </c>
      <c r="N101" s="636">
        <f t="shared" si="63"/>
        <v>0</v>
      </c>
      <c r="O101" s="614"/>
      <c r="P101" s="695"/>
      <c r="Q101" s="696">
        <f t="shared" si="64"/>
        <v>0</v>
      </c>
      <c r="R101" s="614"/>
      <c r="S101" s="694">
        <f t="shared" si="65"/>
        <v>0</v>
      </c>
      <c r="T101" s="694">
        <f t="shared" si="65"/>
        <v>0</v>
      </c>
      <c r="U101" s="694"/>
      <c r="V101" s="636">
        <f t="shared" si="66"/>
        <v>0</v>
      </c>
      <c r="W101" s="636">
        <f t="shared" si="66"/>
        <v>0</v>
      </c>
      <c r="X101" s="614"/>
      <c r="Y101" s="694"/>
      <c r="Z101" s="614"/>
      <c r="AA101" s="636">
        <f t="shared" si="67"/>
        <v>0</v>
      </c>
      <c r="AB101" s="636">
        <f t="shared" si="67"/>
        <v>0</v>
      </c>
      <c r="AC101" s="614"/>
      <c r="AD101" s="638">
        <f t="shared" si="68"/>
        <v>0</v>
      </c>
      <c r="AE101" s="697">
        <f t="shared" si="69"/>
        <v>0</v>
      </c>
      <c r="AF101" s="614"/>
      <c r="AG101" s="694">
        <f t="shared" si="70"/>
        <v>0</v>
      </c>
      <c r="AH101" s="694">
        <f t="shared" si="70"/>
        <v>0</v>
      </c>
    </row>
    <row r="102" spans="9:35">
      <c r="I102" s="614" t="s">
        <v>133</v>
      </c>
      <c r="J102" s="614" t="s">
        <v>198</v>
      </c>
      <c r="K102" s="619">
        <v>20000</v>
      </c>
      <c r="L102" s="620" t="s">
        <v>196</v>
      </c>
      <c r="M102" s="636">
        <f t="shared" si="63"/>
        <v>0</v>
      </c>
      <c r="N102" s="636">
        <f t="shared" si="63"/>
        <v>0</v>
      </c>
      <c r="O102" s="614"/>
      <c r="P102" s="695"/>
      <c r="Q102" s="696">
        <f t="shared" si="64"/>
        <v>0</v>
      </c>
      <c r="R102" s="614"/>
      <c r="S102" s="694">
        <f t="shared" si="65"/>
        <v>0</v>
      </c>
      <c r="T102" s="694">
        <f t="shared" si="65"/>
        <v>0</v>
      </c>
      <c r="U102" s="694"/>
      <c r="V102" s="636">
        <f t="shared" si="66"/>
        <v>0</v>
      </c>
      <c r="W102" s="636">
        <f t="shared" si="66"/>
        <v>0</v>
      </c>
      <c r="X102" s="614"/>
      <c r="Y102" s="694"/>
      <c r="Z102" s="614"/>
      <c r="AA102" s="636">
        <f t="shared" si="67"/>
        <v>0</v>
      </c>
      <c r="AB102" s="636">
        <f t="shared" si="67"/>
        <v>0</v>
      </c>
      <c r="AC102" s="614"/>
      <c r="AD102" s="638">
        <f t="shared" si="68"/>
        <v>0</v>
      </c>
      <c r="AE102" s="697">
        <f t="shared" si="69"/>
        <v>0</v>
      </c>
      <c r="AF102" s="614"/>
      <c r="AG102" s="694">
        <f t="shared" si="70"/>
        <v>0</v>
      </c>
      <c r="AH102" s="694">
        <f t="shared" si="70"/>
        <v>0</v>
      </c>
    </row>
    <row r="103" spans="9:35">
      <c r="I103" s="614" t="s">
        <v>201</v>
      </c>
      <c r="J103" s="614" t="s">
        <v>203</v>
      </c>
      <c r="K103" s="619" t="s">
        <v>202</v>
      </c>
      <c r="L103" s="620" t="s">
        <v>204</v>
      </c>
      <c r="M103" s="636">
        <f t="shared" si="63"/>
        <v>0</v>
      </c>
      <c r="N103" s="636">
        <f t="shared" si="63"/>
        <v>0</v>
      </c>
      <c r="O103" s="614"/>
      <c r="P103" s="695"/>
      <c r="Q103" s="696">
        <f t="shared" si="64"/>
        <v>0</v>
      </c>
      <c r="R103" s="614"/>
      <c r="S103" s="694">
        <f t="shared" si="65"/>
        <v>0</v>
      </c>
      <c r="T103" s="694">
        <f t="shared" si="65"/>
        <v>0</v>
      </c>
      <c r="U103" s="694"/>
      <c r="V103" s="636">
        <f t="shared" si="66"/>
        <v>0</v>
      </c>
      <c r="W103" s="636">
        <f t="shared" si="66"/>
        <v>0</v>
      </c>
      <c r="X103" s="614"/>
      <c r="Y103" s="694"/>
      <c r="Z103" s="614"/>
      <c r="AA103" s="636">
        <f t="shared" si="67"/>
        <v>0</v>
      </c>
      <c r="AB103" s="636">
        <f t="shared" si="67"/>
        <v>0</v>
      </c>
      <c r="AC103" s="614"/>
      <c r="AD103" s="638">
        <f t="shared" si="68"/>
        <v>0</v>
      </c>
      <c r="AE103" s="697">
        <f t="shared" si="69"/>
        <v>0</v>
      </c>
      <c r="AF103" s="614"/>
      <c r="AG103" s="694">
        <f t="shared" si="70"/>
        <v>0</v>
      </c>
      <c r="AH103" s="694">
        <f t="shared" si="70"/>
        <v>0</v>
      </c>
      <c r="AI103" s="614"/>
    </row>
  </sheetData>
  <phoneticPr fontId="15" type="noConversion"/>
  <conditionalFormatting sqref="AB56 N56 W56">
    <cfRule type="cellIs" dxfId="0" priority="8" stopIfTrue="1" operator="notEqual">
      <formula>0</formula>
    </cfRule>
  </conditionalFormatting>
  <pageMargins left="0.5" right="0" top="0.5" bottom="0" header="0.5" footer="0.35"/>
  <pageSetup scale="45"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5:P41"/>
  <sheetViews>
    <sheetView topLeftCell="E1" zoomScale="115" zoomScaleNormal="115" workbookViewId="0">
      <selection activeCell="H66" sqref="H66"/>
    </sheetView>
  </sheetViews>
  <sheetFormatPr defaultRowHeight="13.2"/>
  <cols>
    <col min="1" max="1" width="33.44140625" hidden="1" customWidth="1"/>
    <col min="2" max="2" width="11.6640625" hidden="1" customWidth="1"/>
    <col min="3" max="3" width="16.6640625" hidden="1" customWidth="1"/>
    <col min="4" max="4" width="11.6640625" hidden="1" customWidth="1"/>
    <col min="5" max="5" width="4.33203125" customWidth="1"/>
    <col min="6" max="6" width="33.44140625" bestFit="1" customWidth="1"/>
    <col min="7" max="7" width="11.6640625" bestFit="1" customWidth="1"/>
    <col min="8" max="8" width="16.6640625" bestFit="1" customWidth="1"/>
    <col min="9" max="9" width="11.6640625" bestFit="1" customWidth="1"/>
    <col min="10" max="10" width="10" style="19" bestFit="1" customWidth="1"/>
    <col min="11" max="11" width="11.33203125" bestFit="1" customWidth="1"/>
    <col min="12" max="12" width="34.44140625" style="613" bestFit="1" customWidth="1"/>
    <col min="13" max="13" width="12.44140625" style="613" bestFit="1" customWidth="1"/>
    <col min="14" max="14" width="16.6640625" style="613" bestFit="1" customWidth="1"/>
    <col min="15" max="15" width="11.33203125" style="613" customWidth="1"/>
    <col min="16" max="16" width="24.6640625" style="19" bestFit="1" customWidth="1"/>
  </cols>
  <sheetData>
    <row r="5" spans="1:16">
      <c r="A5" s="535" t="s">
        <v>524</v>
      </c>
      <c r="B5" s="535"/>
      <c r="C5" s="535"/>
      <c r="D5" s="535"/>
      <c r="F5" s="535" t="s">
        <v>524</v>
      </c>
      <c r="G5" s="535"/>
      <c r="H5" s="535"/>
      <c r="I5" s="535"/>
      <c r="K5" s="535"/>
      <c r="L5" s="613" t="s">
        <v>524</v>
      </c>
      <c r="P5" s="631"/>
    </row>
    <row r="6" spans="1:16">
      <c r="A6" s="535" t="s">
        <v>525</v>
      </c>
      <c r="B6" s="535"/>
      <c r="C6" s="535"/>
      <c r="D6" s="535"/>
      <c r="F6" s="535" t="s">
        <v>525</v>
      </c>
      <c r="G6" s="535"/>
      <c r="H6" s="535"/>
      <c r="I6" s="535"/>
      <c r="K6" s="535"/>
      <c r="L6" s="613" t="s">
        <v>525</v>
      </c>
      <c r="P6" s="631"/>
    </row>
    <row r="7" spans="1:16">
      <c r="A7" s="549" t="s">
        <v>549</v>
      </c>
      <c r="B7" s="535"/>
      <c r="C7" s="535"/>
      <c r="D7" s="535"/>
      <c r="F7" s="434" t="s">
        <v>909</v>
      </c>
      <c r="G7" s="535"/>
      <c r="H7" s="535"/>
      <c r="I7" s="535"/>
      <c r="K7" s="535"/>
      <c r="L7" s="434" t="s">
        <v>911</v>
      </c>
      <c r="P7" s="631"/>
    </row>
    <row r="8" spans="1:16">
      <c r="A8" s="535"/>
      <c r="B8" s="535"/>
      <c r="C8" s="535"/>
      <c r="D8" s="535"/>
      <c r="F8" s="535"/>
      <c r="G8" s="535"/>
      <c r="H8" s="535"/>
      <c r="I8" s="535"/>
      <c r="K8" s="535"/>
      <c r="P8" s="631"/>
    </row>
    <row r="9" spans="1:16" ht="13.8" thickBot="1">
      <c r="A9" s="535"/>
      <c r="B9" s="535"/>
      <c r="C9" s="535"/>
      <c r="D9" s="535"/>
      <c r="F9" s="535"/>
      <c r="G9" s="535"/>
      <c r="H9" s="535"/>
      <c r="I9" s="535"/>
      <c r="K9" s="535"/>
      <c r="P9" s="631"/>
    </row>
    <row r="10" spans="1:16" ht="16.2" thickBot="1">
      <c r="A10" s="457" t="s">
        <v>526</v>
      </c>
      <c r="B10" s="458"/>
      <c r="C10" s="458"/>
      <c r="D10" s="459"/>
      <c r="F10" s="457" t="s">
        <v>526</v>
      </c>
      <c r="G10" s="458"/>
      <c r="H10" s="458"/>
      <c r="I10" s="459"/>
      <c r="J10" s="630" t="s">
        <v>566</v>
      </c>
      <c r="K10" s="535"/>
      <c r="L10" s="601" t="s">
        <v>526</v>
      </c>
      <c r="M10" s="602"/>
      <c r="N10" s="602"/>
      <c r="O10" s="603"/>
      <c r="P10" s="632" t="s">
        <v>566</v>
      </c>
    </row>
    <row r="11" spans="1:16" ht="15">
      <c r="A11" s="460" t="s">
        <v>523</v>
      </c>
      <c r="B11" s="461" t="s">
        <v>523</v>
      </c>
      <c r="C11" s="462" t="s">
        <v>527</v>
      </c>
      <c r="D11" s="463" t="s">
        <v>528</v>
      </c>
      <c r="F11" s="460" t="s">
        <v>523</v>
      </c>
      <c r="G11" s="461" t="s">
        <v>523</v>
      </c>
      <c r="H11" s="462" t="s">
        <v>527</v>
      </c>
      <c r="I11" s="463" t="s">
        <v>528</v>
      </c>
      <c r="K11" s="535"/>
      <c r="L11" s="460" t="s">
        <v>523</v>
      </c>
      <c r="M11" s="461" t="s">
        <v>523</v>
      </c>
      <c r="N11" s="462" t="s">
        <v>527</v>
      </c>
      <c r="O11" s="463" t="s">
        <v>528</v>
      </c>
      <c r="P11" s="631"/>
    </row>
    <row r="12" spans="1:16" ht="15">
      <c r="A12" s="464" t="s">
        <v>527</v>
      </c>
      <c r="B12" s="465" t="s">
        <v>529</v>
      </c>
      <c r="C12" s="466" t="s">
        <v>530</v>
      </c>
      <c r="D12" s="467" t="s">
        <v>530</v>
      </c>
      <c r="F12" s="464" t="s">
        <v>527</v>
      </c>
      <c r="G12" s="465" t="s">
        <v>529</v>
      </c>
      <c r="H12" s="466" t="s">
        <v>530</v>
      </c>
      <c r="I12" s="467" t="s">
        <v>530</v>
      </c>
      <c r="K12" s="535"/>
      <c r="L12" s="464" t="s">
        <v>527</v>
      </c>
      <c r="M12" s="465" t="s">
        <v>529</v>
      </c>
      <c r="N12" s="466" t="s">
        <v>530</v>
      </c>
      <c r="O12" s="467" t="s">
        <v>530</v>
      </c>
      <c r="P12" s="631"/>
    </row>
    <row r="13" spans="1:16" ht="15">
      <c r="A13" s="468" t="s">
        <v>531</v>
      </c>
      <c r="B13" s="469">
        <v>0.53</v>
      </c>
      <c r="C13" s="470">
        <v>5.7200000000000001E-2</v>
      </c>
      <c r="D13" s="471">
        <f>B13*C13</f>
        <v>3.0316000000000003E-2</v>
      </c>
      <c r="F13" s="468" t="s">
        <v>531</v>
      </c>
      <c r="G13" s="469">
        <v>0.51500000000000001</v>
      </c>
      <c r="H13" s="470">
        <v>5.1499999999999997E-2</v>
      </c>
      <c r="I13" s="471">
        <f>G13*H13</f>
        <v>2.6522500000000001E-2</v>
      </c>
      <c r="J13" s="19" t="s">
        <v>638</v>
      </c>
      <c r="K13" s="19"/>
      <c r="L13" s="468" t="s">
        <v>531</v>
      </c>
      <c r="M13" s="469">
        <v>0.5</v>
      </c>
      <c r="N13" s="470">
        <v>4.965E-2</v>
      </c>
      <c r="O13" s="471">
        <f>M13*N13</f>
        <v>2.4825E-2</v>
      </c>
    </row>
    <row r="14" spans="1:16" ht="15">
      <c r="A14" s="468" t="s">
        <v>532</v>
      </c>
      <c r="B14" s="469">
        <v>0</v>
      </c>
      <c r="C14" s="470">
        <v>0</v>
      </c>
      <c r="D14" s="471">
        <f>B14*C14</f>
        <v>0</v>
      </c>
      <c r="F14" s="468" t="s">
        <v>532</v>
      </c>
      <c r="G14" s="469">
        <v>0</v>
      </c>
      <c r="H14" s="470">
        <v>0</v>
      </c>
      <c r="I14" s="471">
        <f>G14*H14</f>
        <v>0</v>
      </c>
      <c r="J14" s="19" t="s">
        <v>638</v>
      </c>
      <c r="K14" s="19"/>
      <c r="L14" s="468" t="s">
        <v>532</v>
      </c>
      <c r="M14" s="469">
        <v>0</v>
      </c>
      <c r="N14" s="470">
        <v>0</v>
      </c>
      <c r="O14" s="471">
        <f>M14*N14</f>
        <v>0</v>
      </c>
    </row>
    <row r="15" spans="1:16" ht="15.6" thickBot="1">
      <c r="A15" s="472" t="s">
        <v>533</v>
      </c>
      <c r="B15" s="473">
        <v>0.47</v>
      </c>
      <c r="C15" s="474">
        <v>9.8000000000000004E-2</v>
      </c>
      <c r="D15" s="471">
        <f>B15*C15</f>
        <v>4.6059999999999997E-2</v>
      </c>
      <c r="F15" s="472" t="s">
        <v>533</v>
      </c>
      <c r="G15" s="473">
        <v>0.48499999999999999</v>
      </c>
      <c r="H15" s="474">
        <v>9.4E-2</v>
      </c>
      <c r="I15" s="471">
        <f>G15*H15</f>
        <v>4.5589999999999999E-2</v>
      </c>
      <c r="J15" s="19" t="s">
        <v>638</v>
      </c>
      <c r="K15" s="19"/>
      <c r="L15" s="472" t="s">
        <v>533</v>
      </c>
      <c r="M15" s="473">
        <v>0.5</v>
      </c>
      <c r="N15" s="474">
        <v>9.9000000000000005E-2</v>
      </c>
      <c r="O15" s="471">
        <f>M15*N15</f>
        <v>4.9500000000000002E-2</v>
      </c>
    </row>
    <row r="16" spans="1:16" ht="16.2" thickTop="1" thickBot="1">
      <c r="A16" s="475" t="s">
        <v>66</v>
      </c>
      <c r="B16" s="476">
        <f>SUM(B13:B15)</f>
        <v>1</v>
      </c>
      <c r="C16" s="477"/>
      <c r="D16" s="478">
        <f>SUM(D13:D15)</f>
        <v>7.6375999999999999E-2</v>
      </c>
      <c r="F16" s="475" t="s">
        <v>66</v>
      </c>
      <c r="G16" s="476">
        <f>SUM(G13:G15)</f>
        <v>1</v>
      </c>
      <c r="H16" s="477"/>
      <c r="I16" s="478">
        <f>SUM(I13:I15)</f>
        <v>7.2112499999999996E-2</v>
      </c>
      <c r="K16" s="19"/>
      <c r="L16" s="475" t="s">
        <v>66</v>
      </c>
      <c r="M16" s="476">
        <f>SUM(M13:M15)</f>
        <v>1</v>
      </c>
      <c r="N16" s="477"/>
      <c r="O16" s="478">
        <f>SUM(O13:O15)</f>
        <v>7.4325000000000002E-2</v>
      </c>
      <c r="P16" s="631"/>
    </row>
    <row r="17" spans="1:16" ht="15">
      <c r="A17" s="479"/>
      <c r="B17" s="479"/>
      <c r="C17" s="480"/>
      <c r="D17" s="480"/>
      <c r="F17" s="479"/>
      <c r="G17" s="479"/>
      <c r="H17" s="480"/>
      <c r="I17" s="480"/>
      <c r="K17" s="19"/>
      <c r="L17" s="479"/>
      <c r="M17" s="479"/>
      <c r="N17" s="480"/>
      <c r="O17" s="480"/>
      <c r="P17" s="631"/>
    </row>
    <row r="18" spans="1:16" ht="15.6" thickBot="1">
      <c r="A18" s="481"/>
      <c r="B18" s="481"/>
      <c r="C18" s="481"/>
      <c r="D18" s="481"/>
      <c r="F18" s="481"/>
      <c r="G18" s="481"/>
      <c r="H18" s="481"/>
      <c r="I18" s="481"/>
      <c r="K18" s="19"/>
      <c r="L18" s="481"/>
      <c r="M18" s="481"/>
      <c r="N18" s="481"/>
      <c r="O18" s="481"/>
      <c r="P18" s="631"/>
    </row>
    <row r="19" spans="1:16" ht="16.2" thickBot="1">
      <c r="A19" s="457" t="s">
        <v>534</v>
      </c>
      <c r="B19" s="458"/>
      <c r="C19" s="458"/>
      <c r="D19" s="459"/>
      <c r="F19" s="457" t="s">
        <v>534</v>
      </c>
      <c r="G19" s="458"/>
      <c r="H19" s="458"/>
      <c r="I19" s="459"/>
      <c r="K19" s="19"/>
      <c r="L19" s="601" t="s">
        <v>534</v>
      </c>
      <c r="M19" s="602"/>
      <c r="N19" s="602"/>
      <c r="O19" s="603"/>
      <c r="P19" s="631"/>
    </row>
    <row r="20" spans="1:16" ht="15">
      <c r="A20" s="468"/>
      <c r="B20" s="481"/>
      <c r="C20" s="481"/>
      <c r="D20" s="482"/>
      <c r="F20" s="468"/>
      <c r="G20" s="481"/>
      <c r="H20" s="481"/>
      <c r="I20" s="482"/>
      <c r="K20" s="19"/>
      <c r="L20" s="468"/>
      <c r="M20" s="481"/>
      <c r="N20" s="481"/>
      <c r="O20" s="482"/>
      <c r="P20" s="631"/>
    </row>
    <row r="21" spans="1:16" ht="15">
      <c r="A21" s="468" t="s">
        <v>535</v>
      </c>
      <c r="B21" s="481"/>
      <c r="C21" s="481"/>
      <c r="D21" s="483">
        <f>1/0.62082</f>
        <v>1.6107728488128603</v>
      </c>
      <c r="F21" s="468" t="s">
        <v>535</v>
      </c>
      <c r="G21" s="481"/>
      <c r="H21" s="481"/>
      <c r="I21" s="483">
        <f>1/0.754948</f>
        <v>1.3245945416108129</v>
      </c>
      <c r="K21" s="19"/>
      <c r="L21" s="468" t="s">
        <v>535</v>
      </c>
      <c r="M21" s="481"/>
      <c r="N21" s="481"/>
      <c r="O21" s="483">
        <f>1/0.755294</f>
        <v>1.3239877451694306</v>
      </c>
      <c r="P21" s="631" t="s">
        <v>768</v>
      </c>
    </row>
    <row r="22" spans="1:16" ht="15">
      <c r="A22" s="468"/>
      <c r="B22" s="481"/>
      <c r="C22" s="484"/>
      <c r="D22" s="482"/>
      <c r="F22" s="468"/>
      <c r="G22" s="481"/>
      <c r="H22" s="484"/>
      <c r="I22" s="482"/>
      <c r="K22" s="19"/>
      <c r="L22" s="468"/>
      <c r="M22" s="481"/>
      <c r="N22" s="484"/>
      <c r="O22" s="482"/>
      <c r="P22" s="631"/>
    </row>
    <row r="23" spans="1:16" ht="15">
      <c r="A23" s="468"/>
      <c r="B23" s="481"/>
      <c r="C23" s="484"/>
      <c r="D23" s="482"/>
      <c r="F23" s="468"/>
      <c r="G23" s="481"/>
      <c r="H23" s="484"/>
      <c r="I23" s="482"/>
      <c r="K23" s="19"/>
      <c r="L23" s="468"/>
      <c r="M23" s="481"/>
      <c r="N23" s="484"/>
      <c r="O23" s="482"/>
      <c r="P23" s="631"/>
    </row>
    <row r="24" spans="1:16" ht="15">
      <c r="A24" s="468" t="s">
        <v>536</v>
      </c>
      <c r="B24" s="481"/>
      <c r="C24" s="485" t="s">
        <v>537</v>
      </c>
      <c r="D24" s="471">
        <f>D15*D21</f>
        <v>7.4192197416320341E-2</v>
      </c>
      <c r="F24" s="468" t="s">
        <v>536</v>
      </c>
      <c r="G24" s="481"/>
      <c r="H24" s="485" t="s">
        <v>910</v>
      </c>
      <c r="I24" s="471">
        <f>I15*I21</f>
        <v>6.0388265152036956E-2</v>
      </c>
      <c r="K24" s="19"/>
      <c r="L24" s="468" t="s">
        <v>536</v>
      </c>
      <c r="M24" s="481"/>
      <c r="N24" s="485" t="s">
        <v>839</v>
      </c>
      <c r="O24" s="471">
        <f>O15*O21</f>
        <v>6.5537393385886822E-2</v>
      </c>
      <c r="P24" s="631"/>
    </row>
    <row r="25" spans="1:16" ht="15">
      <c r="A25" s="468" t="s">
        <v>531</v>
      </c>
      <c r="B25" s="481"/>
      <c r="C25" s="486"/>
      <c r="D25" s="471">
        <f>D13</f>
        <v>3.0316000000000003E-2</v>
      </c>
      <c r="F25" s="468" t="s">
        <v>531</v>
      </c>
      <c r="G25" s="481"/>
      <c r="H25" s="486"/>
      <c r="I25" s="471">
        <f>I13</f>
        <v>2.6522500000000001E-2</v>
      </c>
      <c r="K25" s="19"/>
      <c r="L25" s="468" t="s">
        <v>531</v>
      </c>
      <c r="M25" s="481"/>
      <c r="N25" s="486"/>
      <c r="O25" s="471">
        <f>O13</f>
        <v>2.4825E-2</v>
      </c>
    </row>
    <row r="26" spans="1:16" ht="15.6" thickBot="1">
      <c r="A26" s="472" t="s">
        <v>538</v>
      </c>
      <c r="B26" s="487"/>
      <c r="C26" s="488" t="s">
        <v>539</v>
      </c>
      <c r="D26" s="489">
        <f>D14*D21</f>
        <v>0</v>
      </c>
      <c r="F26" s="472" t="s">
        <v>538</v>
      </c>
      <c r="G26" s="487"/>
      <c r="H26" s="488" t="s">
        <v>838</v>
      </c>
      <c r="I26" s="489">
        <f>I14*I21</f>
        <v>0</v>
      </c>
      <c r="K26" s="19"/>
      <c r="L26" s="472" t="s">
        <v>538</v>
      </c>
      <c r="M26" s="487"/>
      <c r="N26" s="488" t="s">
        <v>838</v>
      </c>
      <c r="O26" s="489">
        <f>O14*O21</f>
        <v>0</v>
      </c>
      <c r="P26" s="631"/>
    </row>
    <row r="27" spans="1:16" ht="16.8" thickTop="1" thickBot="1">
      <c r="A27" s="475" t="s">
        <v>534</v>
      </c>
      <c r="B27" s="490"/>
      <c r="C27" s="490"/>
      <c r="D27" s="594">
        <f>SUM(D24:D26)</f>
        <v>0.10450819741632034</v>
      </c>
      <c r="F27" s="475" t="s">
        <v>534</v>
      </c>
      <c r="G27" s="490"/>
      <c r="H27" s="490"/>
      <c r="I27" s="594">
        <f>SUM(I24:I26)</f>
        <v>8.6910765152036953E-2</v>
      </c>
      <c r="K27" s="19"/>
      <c r="L27" s="475" t="s">
        <v>534</v>
      </c>
      <c r="M27" s="490"/>
      <c r="N27" s="490"/>
      <c r="O27" s="604">
        <f>SUM(O24:O26)</f>
        <v>9.0362393385886822E-2</v>
      </c>
      <c r="P27" s="631"/>
    </row>
    <row r="28" spans="1:16">
      <c r="A28" s="535"/>
      <c r="B28" s="535"/>
      <c r="C28" s="535"/>
      <c r="D28" s="535"/>
      <c r="F28" s="535"/>
      <c r="G28" s="535"/>
      <c r="H28" s="535"/>
      <c r="I28" s="535"/>
      <c r="K28" s="19"/>
      <c r="P28" s="631"/>
    </row>
    <row r="29" spans="1:16">
      <c r="A29" s="535"/>
      <c r="B29" s="535"/>
      <c r="C29" s="535"/>
      <c r="D29" s="535"/>
      <c r="F29" s="535"/>
      <c r="G29" s="535"/>
      <c r="H29" s="535"/>
      <c r="I29" s="535"/>
      <c r="K29" s="19"/>
      <c r="P29" s="631"/>
    </row>
    <row r="30" spans="1:16" ht="13.8" thickBot="1">
      <c r="A30" s="535"/>
      <c r="B30" s="535"/>
      <c r="C30" s="535"/>
      <c r="D30" s="535"/>
      <c r="E30" s="535"/>
      <c r="F30" s="535"/>
      <c r="G30" s="535"/>
      <c r="K30" s="19"/>
      <c r="P30" s="631"/>
    </row>
    <row r="31" spans="1:16">
      <c r="A31" s="491"/>
      <c r="B31" s="492"/>
      <c r="C31" s="493" t="s">
        <v>540</v>
      </c>
      <c r="D31" s="493" t="s">
        <v>541</v>
      </c>
      <c r="F31" s="491"/>
      <c r="G31" s="492"/>
      <c r="H31" s="493" t="s">
        <v>540</v>
      </c>
      <c r="I31" s="493" t="s">
        <v>541</v>
      </c>
      <c r="K31" s="19"/>
      <c r="L31" s="491"/>
      <c r="M31" s="492"/>
      <c r="N31" s="493" t="s">
        <v>540</v>
      </c>
      <c r="O31" s="493" t="s">
        <v>541</v>
      </c>
      <c r="P31" s="631"/>
    </row>
    <row r="32" spans="1:16">
      <c r="A32" s="494" t="s">
        <v>542</v>
      </c>
      <c r="B32" s="495" t="s">
        <v>543</v>
      </c>
      <c r="C32" s="495" t="s">
        <v>544</v>
      </c>
      <c r="D32" s="495" t="s">
        <v>544</v>
      </c>
      <c r="F32" s="494" t="s">
        <v>542</v>
      </c>
      <c r="G32" s="495" t="s">
        <v>543</v>
      </c>
      <c r="H32" s="495" t="s">
        <v>544</v>
      </c>
      <c r="I32" s="495" t="s">
        <v>544</v>
      </c>
      <c r="K32" s="19"/>
      <c r="L32" s="494" t="s">
        <v>542</v>
      </c>
      <c r="M32" s="495" t="s">
        <v>543</v>
      </c>
      <c r="N32" s="495" t="s">
        <v>544</v>
      </c>
      <c r="O32" s="495" t="s">
        <v>544</v>
      </c>
      <c r="P32" s="631"/>
    </row>
    <row r="33" spans="1:16" ht="13.8" thickBot="1">
      <c r="A33" s="496" t="s">
        <v>291</v>
      </c>
      <c r="B33" s="497" t="s">
        <v>290</v>
      </c>
      <c r="C33" s="497" t="s">
        <v>545</v>
      </c>
      <c r="D33" s="497" t="s">
        <v>275</v>
      </c>
      <c r="F33" s="496" t="s">
        <v>291</v>
      </c>
      <c r="G33" s="497" t="s">
        <v>290</v>
      </c>
      <c r="H33" s="497" t="s">
        <v>545</v>
      </c>
      <c r="I33" s="497" t="s">
        <v>275</v>
      </c>
      <c r="K33" s="19"/>
      <c r="L33" s="496" t="s">
        <v>291</v>
      </c>
      <c r="M33" s="497" t="s">
        <v>290</v>
      </c>
      <c r="N33" s="497" t="s">
        <v>545</v>
      </c>
      <c r="O33" s="497" t="s">
        <v>275</v>
      </c>
      <c r="P33" s="631"/>
    </row>
    <row r="34" spans="1:16" ht="13.8" thickBot="1">
      <c r="A34" s="498" t="s">
        <v>546</v>
      </c>
      <c r="B34" s="499">
        <v>20810000</v>
      </c>
      <c r="C34" s="499">
        <v>593000</v>
      </c>
      <c r="D34" s="500">
        <f>C34/B34</f>
        <v>2.8495915425276311E-2</v>
      </c>
      <c r="F34" s="572" t="s">
        <v>546</v>
      </c>
      <c r="G34" s="628">
        <v>42485000</v>
      </c>
      <c r="H34" s="628">
        <v>1386000</v>
      </c>
      <c r="I34" s="608">
        <f>H34/G34</f>
        <v>3.2623278804283867E-2</v>
      </c>
      <c r="J34" s="19" t="s">
        <v>567</v>
      </c>
      <c r="K34" s="19"/>
      <c r="L34" s="572" t="s">
        <v>546</v>
      </c>
      <c r="M34" s="628">
        <v>42569000</v>
      </c>
      <c r="N34" s="628">
        <v>909000</v>
      </c>
      <c r="O34" s="608">
        <f>N34/M34</f>
        <v>2.1353567149803847E-2</v>
      </c>
      <c r="P34" s="633" t="s">
        <v>616</v>
      </c>
    </row>
    <row r="35" spans="1:16" ht="13.8" thickBot="1">
      <c r="A35" s="575" t="s">
        <v>589</v>
      </c>
      <c r="B35" s="574"/>
      <c r="C35" s="576"/>
      <c r="D35" s="571">
        <v>0.95498899999999998</v>
      </c>
      <c r="F35" s="575" t="s">
        <v>589</v>
      </c>
      <c r="G35" s="574"/>
      <c r="H35" s="576"/>
      <c r="I35" s="629">
        <v>0.95563100000000001</v>
      </c>
      <c r="K35" s="19"/>
      <c r="L35" s="575" t="s">
        <v>589</v>
      </c>
      <c r="M35" s="574"/>
      <c r="N35" s="576"/>
      <c r="O35" s="629">
        <v>0.95606899999999995</v>
      </c>
      <c r="P35" s="631" t="s">
        <v>768</v>
      </c>
    </row>
    <row r="36" spans="1:16" s="577" customFormat="1" ht="14.4" thickTop="1" thickBot="1">
      <c r="A36" s="590" t="s">
        <v>588</v>
      </c>
      <c r="B36" s="573"/>
      <c r="C36" s="573"/>
      <c r="D36" s="589">
        <f>D34/D35</f>
        <v>2.9838998590849018E-2</v>
      </c>
      <c r="F36" s="590" t="s">
        <v>588</v>
      </c>
      <c r="G36" s="573"/>
      <c r="H36" s="573"/>
      <c r="I36" s="589">
        <f>I34/I35</f>
        <v>3.4137945299267045E-2</v>
      </c>
      <c r="J36" s="19"/>
      <c r="L36" s="590" t="s">
        <v>588</v>
      </c>
      <c r="M36" s="573"/>
      <c r="N36" s="573"/>
      <c r="O36" s="589">
        <f>O34/O35</f>
        <v>2.2334755284193764E-2</v>
      </c>
      <c r="P36" s="631"/>
    </row>
    <row r="37" spans="1:16" s="577" customFormat="1">
      <c r="H37" s="593"/>
      <c r="J37" s="19"/>
      <c r="L37" s="613"/>
      <c r="M37" s="613"/>
      <c r="N37" s="593"/>
      <c r="O37" s="613"/>
      <c r="P37" s="631"/>
    </row>
    <row r="38" spans="1:16">
      <c r="A38" s="501" t="s">
        <v>547</v>
      </c>
      <c r="B38" s="535"/>
      <c r="C38" s="535"/>
      <c r="D38" s="535"/>
      <c r="F38" s="501" t="s">
        <v>547</v>
      </c>
      <c r="G38" s="535"/>
      <c r="H38" s="535"/>
      <c r="I38" s="535"/>
      <c r="L38" s="593" t="s">
        <v>547</v>
      </c>
      <c r="P38" s="631"/>
    </row>
    <row r="39" spans="1:16">
      <c r="A39" s="535"/>
      <c r="B39" s="535"/>
      <c r="C39" s="535"/>
      <c r="D39" s="535"/>
      <c r="F39" s="535"/>
      <c r="G39" s="535"/>
      <c r="H39" s="535"/>
      <c r="I39" s="535"/>
      <c r="P39" s="631"/>
    </row>
    <row r="40" spans="1:16" ht="15.6">
      <c r="A40" s="61" t="s">
        <v>548</v>
      </c>
      <c r="B40" s="502">
        <f>D27+D36</f>
        <v>0.13434719600716935</v>
      </c>
      <c r="C40" s="535"/>
      <c r="D40" s="535"/>
      <c r="F40" s="61" t="s">
        <v>548</v>
      </c>
      <c r="G40" s="502">
        <f>I27+I36</f>
        <v>0.121048710451304</v>
      </c>
      <c r="H40" s="535"/>
      <c r="I40" s="535"/>
      <c r="L40" s="61" t="s">
        <v>548</v>
      </c>
      <c r="M40" s="502">
        <f>O27+O36</f>
        <v>0.11269714867008059</v>
      </c>
      <c r="P40" s="631"/>
    </row>
    <row r="41" spans="1:16">
      <c r="A41" s="159"/>
      <c r="B41" s="159"/>
      <c r="C41" s="159"/>
      <c r="D41" s="159"/>
      <c r="E41" s="159"/>
      <c r="F41" s="159"/>
      <c r="G41" s="159"/>
      <c r="H41" s="159"/>
      <c r="I41" s="159"/>
      <c r="J41" s="267"/>
      <c r="K41" s="159"/>
      <c r="L41" s="583"/>
      <c r="M41" s="583"/>
      <c r="N41" s="583"/>
      <c r="O41" s="583"/>
    </row>
  </sheetData>
  <pageMargins left="0.86" right="0.34" top="0.75" bottom="0.75" header="0.3" footer="0.3"/>
  <pageSetup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15"/>
  <sheetViews>
    <sheetView workbookViewId="0">
      <selection activeCell="H66" sqref="H66"/>
    </sheetView>
  </sheetViews>
  <sheetFormatPr defaultColWidth="9.33203125" defaultRowHeight="13.2"/>
  <cols>
    <col min="1" max="1" width="11.6640625" style="408" customWidth="1"/>
    <col min="2" max="2" width="16.5546875" style="408" bestFit="1" customWidth="1"/>
    <col min="3" max="12" width="12.6640625" style="408" bestFit="1" customWidth="1"/>
    <col min="13" max="13" width="12.33203125" style="408" bestFit="1" customWidth="1"/>
    <col min="14" max="14" width="12.6640625" style="408" bestFit="1" customWidth="1"/>
    <col min="15" max="15" width="14.5546875" style="408" bestFit="1" customWidth="1"/>
    <col min="16" max="16" width="10.6640625" style="408" bestFit="1" customWidth="1"/>
    <col min="17" max="17" width="9.33203125" style="408"/>
    <col min="18" max="18" width="14" style="408" bestFit="1" customWidth="1"/>
    <col min="19" max="16384" width="9.33203125" style="408"/>
  </cols>
  <sheetData>
    <row r="3" spans="1:19">
      <c r="A3" s="408" t="s">
        <v>517</v>
      </c>
    </row>
    <row r="4" spans="1:19">
      <c r="C4" s="540" t="s">
        <v>496</v>
      </c>
      <c r="D4" s="540" t="s">
        <v>497</v>
      </c>
      <c r="E4" s="540" t="s">
        <v>498</v>
      </c>
      <c r="F4" s="540" t="s">
        <v>499</v>
      </c>
      <c r="G4" s="540" t="s">
        <v>500</v>
      </c>
      <c r="H4" s="540" t="s">
        <v>501</v>
      </c>
      <c r="I4" s="540" t="s">
        <v>490</v>
      </c>
      <c r="J4" s="540" t="s">
        <v>491</v>
      </c>
      <c r="K4" s="540" t="s">
        <v>492</v>
      </c>
      <c r="L4" s="540" t="s">
        <v>493</v>
      </c>
      <c r="M4" s="540" t="s">
        <v>494</v>
      </c>
      <c r="N4" s="540" t="s">
        <v>495</v>
      </c>
      <c r="O4" s="35" t="s">
        <v>502</v>
      </c>
    </row>
    <row r="5" spans="1:19">
      <c r="A5" s="408" t="s">
        <v>503</v>
      </c>
    </row>
    <row r="6" spans="1:19">
      <c r="A6" s="19"/>
      <c r="B6" s="35" t="s">
        <v>701</v>
      </c>
      <c r="O6" s="412"/>
    </row>
    <row r="7" spans="1:19">
      <c r="B7" s="408" t="s">
        <v>504</v>
      </c>
      <c r="C7" s="413">
        <f>'REVRUNS 12ME1219'!D55+'REVRUNS 12ME1219'!D70</f>
        <v>150521497.73298001</v>
      </c>
      <c r="D7" s="413">
        <f>'REVRUNS 12ME1219'!E55+'REVRUNS 12ME1219'!E70</f>
        <v>142827945.669</v>
      </c>
      <c r="E7" s="413">
        <f>'REVRUNS 12ME1219'!F55+'REVRUNS 12ME1219'!F70</f>
        <v>150371493.72187999</v>
      </c>
      <c r="F7" s="413">
        <f>'REVRUNS 12ME1219'!G55+'REVRUNS 12ME1219'!G70</f>
        <v>133502792.49804001</v>
      </c>
      <c r="G7" s="413">
        <f>'REVRUNS 12ME1219'!H55+'REVRUNS 12ME1219'!H70</f>
        <v>126403425.97394</v>
      </c>
      <c r="H7" s="413">
        <f>'REVRUNS 12ME1219'!I55+'REVRUNS 12ME1219'!I70</f>
        <v>121620287.59674999</v>
      </c>
      <c r="I7" s="413">
        <f>'REVRUNS 12ME1219'!J55+'REVRUNS 12ME1219'!J70</f>
        <v>127081653.93531999</v>
      </c>
      <c r="J7" s="413">
        <f>'REVRUNS 12ME1219'!K55+'REVRUNS 12ME1219'!K70</f>
        <v>132306245.95862</v>
      </c>
      <c r="K7" s="413">
        <f>'REVRUNS 12ME1219'!L55+'REVRUNS 12ME1219'!L70</f>
        <v>128702746.16773</v>
      </c>
      <c r="L7" s="413">
        <f>'REVRUNS 12ME1219'!M55+'REVRUNS 12ME1219'!M70</f>
        <v>131517034.25931001</v>
      </c>
      <c r="M7" s="413">
        <f>'REVRUNS 12ME1219'!N55+'REVRUNS 12ME1219'!N70</f>
        <v>137443756.74180999</v>
      </c>
      <c r="N7" s="413">
        <f>'REVRUNS 12ME1219'!O55+'REVRUNS 12ME1219'!O70</f>
        <v>150343194.24575001</v>
      </c>
      <c r="O7" s="412">
        <f>SUM(C7:N7)</f>
        <v>1632642074.5011301</v>
      </c>
      <c r="R7" s="43">
        <v>0</v>
      </c>
      <c r="S7" s="423" t="e">
        <f>R7/$R$10</f>
        <v>#DIV/0!</v>
      </c>
    </row>
    <row r="8" spans="1:19">
      <c r="B8" s="408" t="s">
        <v>505</v>
      </c>
      <c r="C8" s="413">
        <f>'REVRUNS 12ME1219'!D56+'REVRUNS 12ME1219'!D71</f>
        <v>65384022.025019996</v>
      </c>
      <c r="D8" s="413">
        <f>'REVRUNS 12ME1219'!E56+'REVRUNS 12ME1219'!E71</f>
        <v>58184607.883999996</v>
      </c>
      <c r="E8" s="413">
        <f>'REVRUNS 12ME1219'!F56+'REVRUNS 12ME1219'!F71</f>
        <v>63280736.525119998</v>
      </c>
      <c r="F8" s="413">
        <f>'REVRUNS 12ME1219'!G56+'REVRUNS 12ME1219'!G71</f>
        <v>37793261.212959997</v>
      </c>
      <c r="G8" s="413">
        <f>'REVRUNS 12ME1219'!H56+'REVRUNS 12ME1219'!H71</f>
        <v>25238194.362059999</v>
      </c>
      <c r="H8" s="413">
        <f>'REVRUNS 12ME1219'!I56+'REVRUNS 12ME1219'!I71</f>
        <v>22826177.73525</v>
      </c>
      <c r="I8" s="413">
        <f>'REVRUNS 12ME1219'!J56+'REVRUNS 12ME1219'!J71</f>
        <v>30356117.66468</v>
      </c>
      <c r="J8" s="413">
        <f>'REVRUNS 12ME1219'!K56+'REVRUNS 12ME1219'!K71</f>
        <v>37629491.04738</v>
      </c>
      <c r="K8" s="413">
        <f>'REVRUNS 12ME1219'!L56+'REVRUNS 12ME1219'!L71</f>
        <v>34712830.572270006</v>
      </c>
      <c r="L8" s="413">
        <f>'REVRUNS 12ME1219'!M56+'REVRUNS 12ME1219'!M71</f>
        <v>27135846.21469</v>
      </c>
      <c r="M8" s="413">
        <f>'REVRUNS 12ME1219'!N56+'REVRUNS 12ME1219'!N71</f>
        <v>40096855.794190004</v>
      </c>
      <c r="N8" s="413">
        <f>'REVRUNS 12ME1219'!O56+'REVRUNS 12ME1219'!O71</f>
        <v>61915473.835249998</v>
      </c>
      <c r="O8" s="412">
        <f>SUM(C8:N8)</f>
        <v>504553614.87287003</v>
      </c>
      <c r="R8" s="43">
        <v>0</v>
      </c>
      <c r="S8" s="423" t="e">
        <f>R8/$R$10</f>
        <v>#DIV/0!</v>
      </c>
    </row>
    <row r="9" spans="1:19">
      <c r="B9" s="408" t="s">
        <v>516</v>
      </c>
      <c r="C9" s="413">
        <f>'REVRUNS 12ME1219'!D57+'REVRUNS 12ME1219'!D72</f>
        <v>52519538.243000001</v>
      </c>
      <c r="D9" s="413">
        <f>'REVRUNS 12ME1219'!E57+'REVRUNS 12ME1219'!E72</f>
        <v>47451088.742000006</v>
      </c>
      <c r="E9" s="413">
        <f>'REVRUNS 12ME1219'!F57+'REVRUNS 12ME1219'!F72</f>
        <v>58442474.133000001</v>
      </c>
      <c r="F9" s="413">
        <f>'REVRUNS 12ME1219'!G57+'REVRUNS 12ME1219'!G72</f>
        <v>17961335.528000001</v>
      </c>
      <c r="G9" s="413">
        <f>'REVRUNS 12ME1219'!H57+'REVRUNS 12ME1219'!H72</f>
        <v>7495673.9060000004</v>
      </c>
      <c r="H9" s="413">
        <f>'REVRUNS 12ME1219'!I57+'REVRUNS 12ME1219'!I72</f>
        <v>6194426.0250000004</v>
      </c>
      <c r="I9" s="413">
        <f>'REVRUNS 12ME1219'!J57+'REVRUNS 12ME1219'!J72</f>
        <v>9573679.7280000001</v>
      </c>
      <c r="J9" s="413">
        <f>'REVRUNS 12ME1219'!K57+'REVRUNS 12ME1219'!K72</f>
        <v>12905860.596000001</v>
      </c>
      <c r="K9" s="413">
        <f>'REVRUNS 12ME1219'!L57+'REVRUNS 12ME1219'!L72</f>
        <v>12088453.002</v>
      </c>
      <c r="L9" s="413">
        <f>'REVRUNS 12ME1219'!M57+'REVRUNS 12ME1219'!M72</f>
        <v>8337490.2230000002</v>
      </c>
      <c r="M9" s="413">
        <f>'REVRUNS 12ME1219'!N57+'REVRUNS 12ME1219'!N72</f>
        <v>19600956.425000001</v>
      </c>
      <c r="N9" s="413">
        <f>'REVRUNS 12ME1219'!O57+'REVRUNS 12ME1219'!O72</f>
        <v>46502343.906000003</v>
      </c>
      <c r="O9" s="412">
        <f>SUM(C9:N9)</f>
        <v>299073320.45700002</v>
      </c>
      <c r="R9" s="422">
        <v>0</v>
      </c>
      <c r="S9" s="424" t="e">
        <f>R9/$R$10</f>
        <v>#DIV/0!</v>
      </c>
    </row>
    <row r="10" spans="1:19">
      <c r="A10" s="408" t="s">
        <v>506</v>
      </c>
      <c r="B10" s="35" t="s">
        <v>66</v>
      </c>
      <c r="C10" s="414">
        <f>SUM(C7:C9)</f>
        <v>268425058.00100002</v>
      </c>
      <c r="D10" s="414">
        <f t="shared" ref="D10:O10" si="0">SUM(D7:D9)</f>
        <v>248463642.29500002</v>
      </c>
      <c r="E10" s="414">
        <f t="shared" si="0"/>
        <v>272094704.38</v>
      </c>
      <c r="F10" s="414">
        <f t="shared" si="0"/>
        <v>189257389.23899999</v>
      </c>
      <c r="G10" s="414">
        <f t="shared" si="0"/>
        <v>159137294.24199998</v>
      </c>
      <c r="H10" s="414">
        <f t="shared" si="0"/>
        <v>150640891.35699999</v>
      </c>
      <c r="I10" s="414">
        <f t="shared" si="0"/>
        <v>167011451.32800001</v>
      </c>
      <c r="J10" s="414">
        <f t="shared" si="0"/>
        <v>182841597.602</v>
      </c>
      <c r="K10" s="414">
        <f t="shared" si="0"/>
        <v>175504029.74200001</v>
      </c>
      <c r="L10" s="414">
        <f t="shared" si="0"/>
        <v>166990370.697</v>
      </c>
      <c r="M10" s="414">
        <f t="shared" si="0"/>
        <v>197141568.96100003</v>
      </c>
      <c r="N10" s="414">
        <f t="shared" si="0"/>
        <v>258761011.98699999</v>
      </c>
      <c r="O10" s="414">
        <f t="shared" si="0"/>
        <v>2436269009.8310003</v>
      </c>
      <c r="R10" s="43">
        <f>SUM(R7:R9)</f>
        <v>0</v>
      </c>
      <c r="S10" s="85" t="e">
        <f>SUM(S7:S9)</f>
        <v>#DIV/0!</v>
      </c>
    </row>
    <row r="11" spans="1:19">
      <c r="B11" s="408" t="s">
        <v>507</v>
      </c>
      <c r="C11" s="546">
        <f>'REVRUNS 12ME1219'!C36</f>
        <v>218072</v>
      </c>
      <c r="D11" s="546">
        <f>'REVRUNS 12ME1219'!D36</f>
        <v>211902</v>
      </c>
      <c r="E11" s="546">
        <f>'REVRUNS 12ME1219'!E36</f>
        <v>222747</v>
      </c>
      <c r="F11" s="546">
        <f>'REVRUNS 12ME1219'!F36</f>
        <v>215993</v>
      </c>
      <c r="G11" s="546">
        <f>'REVRUNS 12ME1219'!G36</f>
        <v>220087</v>
      </c>
      <c r="H11" s="546">
        <f>'REVRUNS 12ME1219'!H36</f>
        <v>217384</v>
      </c>
      <c r="I11" s="546">
        <f>'REVRUNS 12ME1219'!I36</f>
        <v>217872</v>
      </c>
      <c r="J11" s="546">
        <f>'REVRUNS 12ME1219'!J36</f>
        <v>218567</v>
      </c>
      <c r="K11" s="546">
        <f>'REVRUNS 12ME1219'!K36</f>
        <v>212455</v>
      </c>
      <c r="L11" s="546">
        <f>'REVRUNS 12ME1219'!L36</f>
        <v>225200</v>
      </c>
      <c r="M11" s="546">
        <f>'REVRUNS 12ME1219'!M36</f>
        <v>219433</v>
      </c>
      <c r="N11" s="546">
        <f>'REVRUNS 12ME1219'!N36</f>
        <v>219805</v>
      </c>
      <c r="O11" s="43">
        <f>SUM(C11:N11)</f>
        <v>2619517</v>
      </c>
    </row>
    <row r="12" spans="1:19">
      <c r="B12" s="408" t="s">
        <v>508</v>
      </c>
      <c r="C12" s="412">
        <f>C11*800</f>
        <v>174457600</v>
      </c>
      <c r="D12" s="412">
        <f t="shared" ref="D12:N12" si="1">D11*800</f>
        <v>169521600</v>
      </c>
      <c r="E12" s="412">
        <f t="shared" si="1"/>
        <v>178197600</v>
      </c>
      <c r="F12" s="412">
        <f t="shared" si="1"/>
        <v>172794400</v>
      </c>
      <c r="G12" s="412">
        <f t="shared" si="1"/>
        <v>176069600</v>
      </c>
      <c r="H12" s="412">
        <f t="shared" si="1"/>
        <v>173907200</v>
      </c>
      <c r="I12" s="412">
        <f t="shared" si="1"/>
        <v>174297600</v>
      </c>
      <c r="J12" s="412">
        <f t="shared" si="1"/>
        <v>174853600</v>
      </c>
      <c r="K12" s="412">
        <f t="shared" si="1"/>
        <v>169964000</v>
      </c>
      <c r="L12" s="412">
        <f t="shared" si="1"/>
        <v>180160000</v>
      </c>
      <c r="M12" s="412">
        <f t="shared" si="1"/>
        <v>175546400</v>
      </c>
      <c r="N12" s="412">
        <f t="shared" si="1"/>
        <v>175844000</v>
      </c>
      <c r="O12" s="43">
        <f>SUM(C12:N12)</f>
        <v>2095613600</v>
      </c>
    </row>
    <row r="13" spans="1:19">
      <c r="B13" s="408" t="s">
        <v>95</v>
      </c>
      <c r="C13" s="546">
        <f>'REVRUNS 12ME1219'!D282</f>
        <v>268421353.00100002</v>
      </c>
      <c r="D13" s="546">
        <f>'REVRUNS 12ME1219'!E282</f>
        <v>248463642.29500002</v>
      </c>
      <c r="E13" s="546">
        <f>'REVRUNS 12ME1219'!F282</f>
        <v>272094704.38</v>
      </c>
      <c r="F13" s="546">
        <f>'REVRUNS 12ME1219'!G282</f>
        <v>189257389.23899999</v>
      </c>
      <c r="G13" s="546">
        <f>'REVRUNS 12ME1219'!H282</f>
        <v>159137014.24199998</v>
      </c>
      <c r="H13" s="546">
        <f>'REVRUNS 12ME1219'!I282</f>
        <v>150640891.35699999</v>
      </c>
      <c r="I13" s="546">
        <f>'REVRUNS 12ME1219'!J282</f>
        <v>167011451.32799998</v>
      </c>
      <c r="J13" s="546">
        <f>'REVRUNS 12ME1219'!K282</f>
        <v>182841597.602</v>
      </c>
      <c r="K13" s="546">
        <f>'REVRUNS 12ME1219'!L282</f>
        <v>175504029.74200001</v>
      </c>
      <c r="L13" s="546">
        <f>'REVRUNS 12ME1219'!M282</f>
        <v>166990370.697</v>
      </c>
      <c r="M13" s="546">
        <f>'REVRUNS 12ME1219'!N282</f>
        <v>197141568.961</v>
      </c>
      <c r="N13" s="546">
        <f>'REVRUNS 12ME1219'!O282</f>
        <v>258761011.98700002</v>
      </c>
      <c r="O13" s="43">
        <f>SUM(C13:N13)</f>
        <v>2436265024.8310003</v>
      </c>
    </row>
    <row r="14" spans="1:19">
      <c r="B14" s="408" t="s">
        <v>519</v>
      </c>
      <c r="C14" s="412">
        <f>C13-C10</f>
        <v>-3705</v>
      </c>
      <c r="D14" s="412">
        <f t="shared" ref="D14:N14" si="2">D13-D10</f>
        <v>0</v>
      </c>
      <c r="E14" s="412">
        <f t="shared" si="2"/>
        <v>0</v>
      </c>
      <c r="F14" s="412">
        <f t="shared" si="2"/>
        <v>0</v>
      </c>
      <c r="G14" s="412">
        <f t="shared" si="2"/>
        <v>-280</v>
      </c>
      <c r="H14" s="412">
        <f t="shared" si="2"/>
        <v>0</v>
      </c>
      <c r="I14" s="415">
        <f t="shared" si="2"/>
        <v>0</v>
      </c>
      <c r="J14" s="415">
        <f t="shared" si="2"/>
        <v>0</v>
      </c>
      <c r="K14" s="415">
        <f t="shared" si="2"/>
        <v>0</v>
      </c>
      <c r="L14" s="415">
        <f t="shared" si="2"/>
        <v>0</v>
      </c>
      <c r="M14" s="415">
        <f t="shared" si="2"/>
        <v>0</v>
      </c>
      <c r="N14" s="415">
        <f t="shared" si="2"/>
        <v>0</v>
      </c>
      <c r="O14" s="43">
        <f>SUM(C14:N14)</f>
        <v>-3985</v>
      </c>
      <c r="P14" s="416">
        <f>O14/O13</f>
        <v>-1.6357005331455812E-6</v>
      </c>
    </row>
    <row r="15" spans="1:19">
      <c r="C15" s="412"/>
      <c r="D15" s="412"/>
      <c r="E15" s="412"/>
      <c r="F15" s="412"/>
      <c r="G15" s="412"/>
      <c r="H15" s="412"/>
      <c r="I15" s="415"/>
      <c r="J15" s="415"/>
      <c r="K15" s="415"/>
      <c r="L15" s="415"/>
      <c r="M15" s="415"/>
      <c r="N15" s="415"/>
      <c r="O15" s="43"/>
      <c r="P15" s="416"/>
    </row>
    <row r="16" spans="1:19">
      <c r="B16" s="408" t="s">
        <v>504</v>
      </c>
      <c r="C16" s="418">
        <f>(C7/C$10)*C$14</f>
        <v>-2077.6083770041073</v>
      </c>
      <c r="D16" s="418">
        <f>(D7/D$10)*D$14</f>
        <v>0</v>
      </c>
      <c r="E16" s="418">
        <f>(E7/E$10)*E$14</f>
        <v>0</v>
      </c>
      <c r="F16" s="418">
        <f>(F7/F$10)*F$14</f>
        <v>0</v>
      </c>
      <c r="G16" s="418">
        <f>(G7/G$10)*G$14</f>
        <v>-222.40518441190252</v>
      </c>
      <c r="H16" s="418">
        <f t="shared" ref="H16:N16" si="3">(H7/H$10)*H$14</f>
        <v>0</v>
      </c>
      <c r="I16" s="418">
        <f t="shared" si="3"/>
        <v>0</v>
      </c>
      <c r="J16" s="418">
        <f t="shared" si="3"/>
        <v>0</v>
      </c>
      <c r="K16" s="418">
        <f t="shared" si="3"/>
        <v>0</v>
      </c>
      <c r="L16" s="418">
        <f t="shared" si="3"/>
        <v>0</v>
      </c>
      <c r="M16" s="418">
        <f>(M7/M$10)*M$14</f>
        <v>0</v>
      </c>
      <c r="N16" s="418">
        <f t="shared" si="3"/>
        <v>0</v>
      </c>
      <c r="O16" s="418">
        <f>SUM(C16:N16)</f>
        <v>-2300.0135614160099</v>
      </c>
      <c r="P16" s="416"/>
    </row>
    <row r="17" spans="1:19">
      <c r="B17" s="408" t="s">
        <v>505</v>
      </c>
      <c r="C17" s="418">
        <f t="shared" ref="C17:F18" si="4">(C8/C$10)*C$14</f>
        <v>-902.47834314260103</v>
      </c>
      <c r="D17" s="418">
        <f t="shared" si="4"/>
        <v>0</v>
      </c>
      <c r="E17" s="418">
        <f t="shared" si="4"/>
        <v>0</v>
      </c>
      <c r="F17" s="418">
        <f t="shared" si="4"/>
        <v>0</v>
      </c>
      <c r="G17" s="418">
        <f t="shared" ref="G17:N17" si="5">(G8/G$10)*G$14</f>
        <v>-44.406274814692289</v>
      </c>
      <c r="H17" s="418">
        <f t="shared" si="5"/>
        <v>0</v>
      </c>
      <c r="I17" s="418">
        <f t="shared" si="5"/>
        <v>0</v>
      </c>
      <c r="J17" s="418">
        <f t="shared" si="5"/>
        <v>0</v>
      </c>
      <c r="K17" s="418">
        <f t="shared" si="5"/>
        <v>0</v>
      </c>
      <c r="L17" s="418">
        <f t="shared" si="5"/>
        <v>0</v>
      </c>
      <c r="M17" s="418">
        <f t="shared" si="5"/>
        <v>0</v>
      </c>
      <c r="N17" s="418">
        <f t="shared" si="5"/>
        <v>0</v>
      </c>
      <c r="O17" s="418">
        <f>SUM(C17:N17)</f>
        <v>-946.88461795729336</v>
      </c>
      <c r="P17" s="416"/>
    </row>
    <row r="18" spans="1:19">
      <c r="B18" s="408" t="s">
        <v>516</v>
      </c>
      <c r="C18" s="419">
        <f t="shared" si="4"/>
        <v>-724.91327985329178</v>
      </c>
      <c r="D18" s="419">
        <f t="shared" si="4"/>
        <v>0</v>
      </c>
      <c r="E18" s="419">
        <f t="shared" si="4"/>
        <v>0</v>
      </c>
      <c r="F18" s="419">
        <f t="shared" si="4"/>
        <v>0</v>
      </c>
      <c r="G18" s="419">
        <f t="shared" ref="G18:N18" si="6">(G9/G$10)*G$14</f>
        <v>-13.188540773405219</v>
      </c>
      <c r="H18" s="419">
        <f t="shared" si="6"/>
        <v>0</v>
      </c>
      <c r="I18" s="419">
        <f t="shared" si="6"/>
        <v>0</v>
      </c>
      <c r="J18" s="419">
        <f t="shared" si="6"/>
        <v>0</v>
      </c>
      <c r="K18" s="419">
        <f t="shared" si="6"/>
        <v>0</v>
      </c>
      <c r="L18" s="419">
        <f t="shared" si="6"/>
        <v>0</v>
      </c>
      <c r="M18" s="419">
        <f t="shared" si="6"/>
        <v>0</v>
      </c>
      <c r="N18" s="419">
        <f t="shared" si="6"/>
        <v>0</v>
      </c>
      <c r="O18" s="419">
        <f>SUM(C18:N18)</f>
        <v>-738.10182062669696</v>
      </c>
      <c r="P18" s="416"/>
    </row>
    <row r="19" spans="1:19">
      <c r="C19" s="418">
        <f t="shared" ref="C19:O19" si="7">SUM(C16:C18)</f>
        <v>-3705</v>
      </c>
      <c r="D19" s="418">
        <f t="shared" si="7"/>
        <v>0</v>
      </c>
      <c r="E19" s="418">
        <f t="shared" si="7"/>
        <v>0</v>
      </c>
      <c r="F19" s="418">
        <f t="shared" si="7"/>
        <v>0</v>
      </c>
      <c r="G19" s="418">
        <f t="shared" si="7"/>
        <v>-280.00000000000006</v>
      </c>
      <c r="H19" s="418">
        <f t="shared" si="7"/>
        <v>0</v>
      </c>
      <c r="I19" s="418">
        <f t="shared" si="7"/>
        <v>0</v>
      </c>
      <c r="J19" s="418">
        <f t="shared" si="7"/>
        <v>0</v>
      </c>
      <c r="K19" s="418">
        <f t="shared" si="7"/>
        <v>0</v>
      </c>
      <c r="L19" s="418">
        <f t="shared" si="7"/>
        <v>0</v>
      </c>
      <c r="M19" s="418">
        <f t="shared" si="7"/>
        <v>0</v>
      </c>
      <c r="N19" s="418">
        <f t="shared" si="7"/>
        <v>0</v>
      </c>
      <c r="O19" s="418">
        <f t="shared" si="7"/>
        <v>-3985</v>
      </c>
      <c r="P19" s="416"/>
    </row>
    <row r="20" spans="1:19">
      <c r="C20" s="418"/>
      <c r="D20" s="418"/>
      <c r="E20" s="418"/>
      <c r="F20" s="418"/>
      <c r="G20" s="418"/>
      <c r="H20" s="418"/>
      <c r="I20" s="418"/>
      <c r="J20" s="418"/>
      <c r="K20" s="418"/>
      <c r="L20" s="418"/>
      <c r="M20" s="418"/>
      <c r="N20" s="418"/>
      <c r="O20" s="418"/>
      <c r="P20" s="416"/>
    </row>
    <row r="21" spans="1:19">
      <c r="B21" s="408" t="s">
        <v>504</v>
      </c>
      <c r="C21" s="418">
        <f>C7+C16</f>
        <v>150519420.124603</v>
      </c>
      <c r="D21" s="418">
        <f>D7+D16</f>
        <v>142827945.669</v>
      </c>
      <c r="E21" s="418">
        <f>E7+E16</f>
        <v>150371493.72187999</v>
      </c>
      <c r="F21" s="418">
        <f>F7+F16</f>
        <v>133502792.49804001</v>
      </c>
      <c r="G21" s="418">
        <f>G7+G16</f>
        <v>126403203.56875558</v>
      </c>
      <c r="H21" s="418">
        <f t="shared" ref="H21:N21" si="8">H7+H16</f>
        <v>121620287.59674999</v>
      </c>
      <c r="I21" s="418">
        <f t="shared" si="8"/>
        <v>127081653.93531999</v>
      </c>
      <c r="J21" s="418">
        <f t="shared" si="8"/>
        <v>132306245.95862</v>
      </c>
      <c r="K21" s="418">
        <f t="shared" si="8"/>
        <v>128702746.16773</v>
      </c>
      <c r="L21" s="418">
        <f t="shared" si="8"/>
        <v>131517034.25931001</v>
      </c>
      <c r="M21" s="418">
        <f t="shared" si="8"/>
        <v>137443756.74180999</v>
      </c>
      <c r="N21" s="418">
        <f t="shared" si="8"/>
        <v>150343194.24575001</v>
      </c>
      <c r="O21" s="418">
        <f>SUM(C21:N21)</f>
        <v>1632639774.4875689</v>
      </c>
      <c r="P21" s="416"/>
    </row>
    <row r="22" spans="1:19">
      <c r="B22" s="408" t="s">
        <v>505</v>
      </c>
      <c r="C22" s="418">
        <f t="shared" ref="C22:F23" si="9">C8+C17</f>
        <v>65383119.546676852</v>
      </c>
      <c r="D22" s="418">
        <f t="shared" si="9"/>
        <v>58184607.883999996</v>
      </c>
      <c r="E22" s="418">
        <f t="shared" si="9"/>
        <v>63280736.525119998</v>
      </c>
      <c r="F22" s="418">
        <f t="shared" si="9"/>
        <v>37793261.212959997</v>
      </c>
      <c r="G22" s="418">
        <f t="shared" ref="G22:N22" si="10">G8+G17</f>
        <v>25238149.955785185</v>
      </c>
      <c r="H22" s="418">
        <f t="shared" si="10"/>
        <v>22826177.73525</v>
      </c>
      <c r="I22" s="418">
        <f t="shared" si="10"/>
        <v>30356117.66468</v>
      </c>
      <c r="J22" s="418">
        <f t="shared" si="10"/>
        <v>37629491.04738</v>
      </c>
      <c r="K22" s="418">
        <f t="shared" si="10"/>
        <v>34712830.572270006</v>
      </c>
      <c r="L22" s="418">
        <f t="shared" si="10"/>
        <v>27135846.21469</v>
      </c>
      <c r="M22" s="418">
        <f t="shared" si="10"/>
        <v>40096855.794190004</v>
      </c>
      <c r="N22" s="418">
        <f t="shared" si="10"/>
        <v>61915473.835249998</v>
      </c>
      <c r="O22" s="418">
        <f>SUM(C22:N22)</f>
        <v>504552667.9882521</v>
      </c>
      <c r="P22" s="416"/>
    </row>
    <row r="23" spans="1:19">
      <c r="B23" s="408" t="s">
        <v>516</v>
      </c>
      <c r="C23" s="419">
        <f t="shared" si="9"/>
        <v>52518813.329720147</v>
      </c>
      <c r="D23" s="419">
        <f t="shared" si="9"/>
        <v>47451088.742000006</v>
      </c>
      <c r="E23" s="419">
        <f t="shared" si="9"/>
        <v>58442474.133000001</v>
      </c>
      <c r="F23" s="419">
        <f t="shared" si="9"/>
        <v>17961335.528000001</v>
      </c>
      <c r="G23" s="419">
        <f t="shared" ref="G23:N23" si="11">G9+G18</f>
        <v>7495660.717459227</v>
      </c>
      <c r="H23" s="419">
        <f t="shared" si="11"/>
        <v>6194426.0250000004</v>
      </c>
      <c r="I23" s="419">
        <f t="shared" si="11"/>
        <v>9573679.7280000001</v>
      </c>
      <c r="J23" s="419">
        <f t="shared" si="11"/>
        <v>12905860.596000001</v>
      </c>
      <c r="K23" s="419">
        <f t="shared" si="11"/>
        <v>12088453.002</v>
      </c>
      <c r="L23" s="419">
        <f t="shared" si="11"/>
        <v>8337490.2230000002</v>
      </c>
      <c r="M23" s="419">
        <f t="shared" si="11"/>
        <v>19600956.425000001</v>
      </c>
      <c r="N23" s="419">
        <f t="shared" si="11"/>
        <v>46502343.906000003</v>
      </c>
      <c r="O23" s="419">
        <f>SUM(C23:N23)</f>
        <v>299072582.35517937</v>
      </c>
      <c r="P23" s="416"/>
    </row>
    <row r="24" spans="1:19">
      <c r="C24" s="418">
        <f t="shared" ref="C24:O24" si="12">SUM(C21:C23)</f>
        <v>268421353.00099999</v>
      </c>
      <c r="D24" s="418">
        <f t="shared" si="12"/>
        <v>248463642.29500002</v>
      </c>
      <c r="E24" s="418">
        <f t="shared" si="12"/>
        <v>272094704.38</v>
      </c>
      <c r="F24" s="418">
        <f t="shared" si="12"/>
        <v>189257389.23899999</v>
      </c>
      <c r="G24" s="418">
        <f t="shared" si="12"/>
        <v>159137014.24200001</v>
      </c>
      <c r="H24" s="418">
        <f t="shared" si="12"/>
        <v>150640891.35699999</v>
      </c>
      <c r="I24" s="418">
        <f t="shared" si="12"/>
        <v>167011451.32800001</v>
      </c>
      <c r="J24" s="418">
        <f t="shared" si="12"/>
        <v>182841597.602</v>
      </c>
      <c r="K24" s="418">
        <f t="shared" si="12"/>
        <v>175504029.74200001</v>
      </c>
      <c r="L24" s="418">
        <f t="shared" si="12"/>
        <v>166990370.697</v>
      </c>
      <c r="M24" s="418">
        <f t="shared" si="12"/>
        <v>197141568.96100003</v>
      </c>
      <c r="N24" s="418">
        <f t="shared" si="12"/>
        <v>258761011.98699999</v>
      </c>
      <c r="O24" s="418">
        <f t="shared" si="12"/>
        <v>2436265024.8310003</v>
      </c>
      <c r="P24" s="416"/>
    </row>
    <row r="25" spans="1:19">
      <c r="C25" s="412">
        <f t="shared" ref="C25:O25" si="13">C24-C13</f>
        <v>0</v>
      </c>
      <c r="D25" s="412">
        <f t="shared" si="13"/>
        <v>0</v>
      </c>
      <c r="E25" s="412">
        <f t="shared" si="13"/>
        <v>0</v>
      </c>
      <c r="F25" s="412">
        <f t="shared" si="13"/>
        <v>0</v>
      </c>
      <c r="G25" s="412">
        <f t="shared" si="13"/>
        <v>0</v>
      </c>
      <c r="H25" s="412">
        <f t="shared" si="13"/>
        <v>0</v>
      </c>
      <c r="I25" s="412">
        <f t="shared" si="13"/>
        <v>0</v>
      </c>
      <c r="J25" s="412">
        <f t="shared" si="13"/>
        <v>0</v>
      </c>
      <c r="K25" s="412">
        <f t="shared" si="13"/>
        <v>0</v>
      </c>
      <c r="L25" s="412">
        <f t="shared" si="13"/>
        <v>0</v>
      </c>
      <c r="M25" s="412">
        <f t="shared" si="13"/>
        <v>0</v>
      </c>
      <c r="N25" s="412">
        <f t="shared" si="13"/>
        <v>0</v>
      </c>
      <c r="O25" s="412">
        <f t="shared" si="13"/>
        <v>0</v>
      </c>
      <c r="P25" s="416"/>
    </row>
    <row r="26" spans="1:19">
      <c r="C26" s="412"/>
      <c r="D26" s="412"/>
      <c r="E26" s="412"/>
      <c r="F26" s="412"/>
      <c r="G26" s="412"/>
      <c r="H26" s="412"/>
      <c r="I26" s="415"/>
      <c r="J26" s="415"/>
      <c r="K26" s="415"/>
      <c r="L26" s="415"/>
      <c r="M26" s="415"/>
      <c r="N26" s="415"/>
      <c r="O26" s="43"/>
      <c r="P26" s="416"/>
    </row>
    <row r="27" spans="1:19">
      <c r="A27" s="19"/>
      <c r="B27" s="35" t="s">
        <v>509</v>
      </c>
      <c r="C27" s="416"/>
      <c r="D27" s="416"/>
      <c r="E27" s="416"/>
      <c r="F27" s="416"/>
      <c r="G27" s="416"/>
      <c r="H27" s="416"/>
      <c r="I27" s="416"/>
      <c r="J27" s="416"/>
      <c r="K27" s="416"/>
      <c r="L27" s="416"/>
      <c r="M27" s="416"/>
      <c r="N27" s="416"/>
    </row>
    <row r="28" spans="1:19">
      <c r="B28" s="408" t="s">
        <v>504</v>
      </c>
      <c r="C28" s="413">
        <f>'REVRUNS 12ME1219'!D88+'REVRUNS 12ME1219'!D102</f>
        <v>41056435.984030001</v>
      </c>
      <c r="D28" s="413">
        <f>'REVRUNS 12ME1219'!E88+'REVRUNS 12ME1219'!E102</f>
        <v>39763617.713320002</v>
      </c>
      <c r="E28" s="413">
        <f>'REVRUNS 12ME1219'!F88+'REVRUNS 12ME1219'!F102</f>
        <v>42055458.346959993</v>
      </c>
      <c r="F28" s="413">
        <f>'REVRUNS 12ME1219'!G88+'REVRUNS 12ME1219'!G102</f>
        <v>36076227.193340003</v>
      </c>
      <c r="G28" s="413">
        <f>'REVRUNS 12ME1219'!H88+'REVRUNS 12ME1219'!H102</f>
        <v>33095003.359000001</v>
      </c>
      <c r="H28" s="413">
        <f>'REVRUNS 12ME1219'!I88+'REVRUNS 12ME1219'!I102</f>
        <v>32197046.79135</v>
      </c>
      <c r="I28" s="413">
        <f>'REVRUNS 12ME1219'!J88+'REVRUNS 12ME1219'!J102</f>
        <v>33106582.694670003</v>
      </c>
      <c r="J28" s="413">
        <f>'REVRUNS 12ME1219'!K88+'REVRUNS 12ME1219'!K102</f>
        <v>34260890.127690002</v>
      </c>
      <c r="K28" s="413">
        <f>'REVRUNS 12ME1219'!L88+'REVRUNS 12ME1219'!L102</f>
        <v>34103766.51399</v>
      </c>
      <c r="L28" s="413">
        <f>'REVRUNS 12ME1219'!M88+'REVRUNS 12ME1219'!M102</f>
        <v>33751385.560860001</v>
      </c>
      <c r="M28" s="413">
        <f>'REVRUNS 12ME1219'!N88+'REVRUNS 12ME1219'!N102</f>
        <v>35753840.165299997</v>
      </c>
      <c r="N28" s="413">
        <f>'REVRUNS 12ME1219'!O88+'REVRUNS 12ME1219'!O102</f>
        <v>40759038.567329995</v>
      </c>
      <c r="O28" s="412">
        <f>SUM(C28:N28)</f>
        <v>435979293.01783997</v>
      </c>
      <c r="R28" s="43">
        <v>0</v>
      </c>
      <c r="S28" s="423" t="e">
        <f>R28/$R$30</f>
        <v>#DIV/0!</v>
      </c>
    </row>
    <row r="29" spans="1:19">
      <c r="B29" s="408" t="s">
        <v>505</v>
      </c>
      <c r="C29" s="413">
        <f>'REVRUNS 12ME1219'!D89+'REVRUNS 12ME1219'!D103</f>
        <v>18863891.138969999</v>
      </c>
      <c r="D29" s="413">
        <f>'REVRUNS 12ME1219'!E89+'REVRUNS 12ME1219'!E103</f>
        <v>18075870.773680001</v>
      </c>
      <c r="E29" s="413">
        <f>'REVRUNS 12ME1219'!F89+'REVRUNS 12ME1219'!F103</f>
        <v>19521502.077040002</v>
      </c>
      <c r="F29" s="413">
        <f>'REVRUNS 12ME1219'!G89+'REVRUNS 12ME1219'!G103</f>
        <v>13893541.65466</v>
      </c>
      <c r="G29" s="413">
        <f>'REVRUNS 12ME1219'!H89+'REVRUNS 12ME1219'!H103</f>
        <v>12389114.386</v>
      </c>
      <c r="H29" s="413">
        <f>'REVRUNS 12ME1219'!I89+'REVRUNS 12ME1219'!I103</f>
        <v>13056545.66965</v>
      </c>
      <c r="I29" s="413">
        <f>'REVRUNS 12ME1219'!J89+'REVRUNS 12ME1219'!J103</f>
        <v>15296452.372329999</v>
      </c>
      <c r="J29" s="413">
        <f>'REVRUNS 12ME1219'!K89+'REVRUNS 12ME1219'!K103</f>
        <v>17003706.280309997</v>
      </c>
      <c r="K29" s="413">
        <f>'REVRUNS 12ME1219'!L89+'REVRUNS 12ME1219'!L103</f>
        <v>16997415.525010001</v>
      </c>
      <c r="L29" s="413">
        <f>'REVRUNS 12ME1219'!M89+'REVRUNS 12ME1219'!M103</f>
        <v>12773463.86014</v>
      </c>
      <c r="M29" s="413">
        <f>'REVRUNS 12ME1219'!N89+'REVRUNS 12ME1219'!N103</f>
        <v>13854869.8377</v>
      </c>
      <c r="N29" s="413">
        <f>'REVRUNS 12ME1219'!O89+'REVRUNS 12ME1219'!O103</f>
        <v>19390075.942669999</v>
      </c>
      <c r="O29" s="412">
        <f>SUM(C29:N29)</f>
        <v>191116449.51815999</v>
      </c>
      <c r="R29" s="422">
        <v>0</v>
      </c>
      <c r="S29" s="424" t="e">
        <f>R29/$R$30</f>
        <v>#DIV/0!</v>
      </c>
    </row>
    <row r="30" spans="1:19">
      <c r="A30" s="408" t="s">
        <v>506</v>
      </c>
      <c r="B30" s="35" t="s">
        <v>66</v>
      </c>
      <c r="C30" s="414">
        <f t="shared" ref="C30:H30" si="14">SUM(C28:C29)</f>
        <v>59920327.122999996</v>
      </c>
      <c r="D30" s="414">
        <f t="shared" si="14"/>
        <v>57839488.487000003</v>
      </c>
      <c r="E30" s="414">
        <f t="shared" si="14"/>
        <v>61576960.423999995</v>
      </c>
      <c r="F30" s="414">
        <f t="shared" si="14"/>
        <v>49969768.848000005</v>
      </c>
      <c r="G30" s="414">
        <f t="shared" si="14"/>
        <v>45484117.745000005</v>
      </c>
      <c r="H30" s="414">
        <f t="shared" si="14"/>
        <v>45253592.460999995</v>
      </c>
      <c r="I30" s="414">
        <f>SUM(I28:I29)</f>
        <v>48403035.067000002</v>
      </c>
      <c r="J30" s="414">
        <f t="shared" ref="J30:O30" si="15">SUM(J28:J29)</f>
        <v>51264596.408</v>
      </c>
      <c r="K30" s="414">
        <f t="shared" si="15"/>
        <v>51101182.039000005</v>
      </c>
      <c r="L30" s="414">
        <f t="shared" si="15"/>
        <v>46524849.421000004</v>
      </c>
      <c r="M30" s="414">
        <f t="shared" si="15"/>
        <v>49608710.002999999</v>
      </c>
      <c r="N30" s="414">
        <f t="shared" si="15"/>
        <v>60149114.50999999</v>
      </c>
      <c r="O30" s="414">
        <f t="shared" si="15"/>
        <v>627095742.53600001</v>
      </c>
      <c r="R30" s="43">
        <f>SUM(R28:R29)</f>
        <v>0</v>
      </c>
      <c r="S30" s="85" t="e">
        <f>SUM(S28:S29)</f>
        <v>#DIV/0!</v>
      </c>
    </row>
    <row r="31" spans="1:19">
      <c r="B31" s="408" t="s">
        <v>95</v>
      </c>
      <c r="C31" s="547">
        <f>'REVRUNS 12ME1219'!D283</f>
        <v>59920327.122999996</v>
      </c>
      <c r="D31" s="547">
        <f>'REVRUNS 12ME1219'!E283</f>
        <v>57839488.487000003</v>
      </c>
      <c r="E31" s="547">
        <f>'REVRUNS 12ME1219'!F283</f>
        <v>61576960.423999995</v>
      </c>
      <c r="F31" s="547">
        <f>'REVRUNS 12ME1219'!G283</f>
        <v>49969768.848000005</v>
      </c>
      <c r="G31" s="547">
        <f>'REVRUNS 12ME1219'!H283</f>
        <v>45483877.745000005</v>
      </c>
      <c r="H31" s="547">
        <f>'REVRUNS 12ME1219'!I283</f>
        <v>45253592.461000003</v>
      </c>
      <c r="I31" s="547">
        <f>'REVRUNS 12ME1219'!J283</f>
        <v>48403035.067000002</v>
      </c>
      <c r="J31" s="547">
        <f>'REVRUNS 12ME1219'!K283</f>
        <v>51264596.407999992</v>
      </c>
      <c r="K31" s="547">
        <f>'REVRUNS 12ME1219'!L283</f>
        <v>51101182.038999997</v>
      </c>
      <c r="L31" s="547">
        <f>'REVRUNS 12ME1219'!M283</f>
        <v>46524849.420999996</v>
      </c>
      <c r="M31" s="547">
        <f>'REVRUNS 12ME1219'!N283</f>
        <v>49608710.002999999</v>
      </c>
      <c r="N31" s="547">
        <f>'REVRUNS 12ME1219'!O283</f>
        <v>60149114.510000005</v>
      </c>
      <c r="O31" s="412">
        <f>SUM(C31:N31)</f>
        <v>627095502.53599989</v>
      </c>
    </row>
    <row r="32" spans="1:19">
      <c r="C32" s="43">
        <f t="shared" ref="C32:N32" si="16">C31-C30</f>
        <v>0</v>
      </c>
      <c r="D32" s="43">
        <f t="shared" si="16"/>
        <v>0</v>
      </c>
      <c r="E32" s="43">
        <f t="shared" si="16"/>
        <v>0</v>
      </c>
      <c r="F32" s="43">
        <f t="shared" si="16"/>
        <v>0</v>
      </c>
      <c r="G32" s="43">
        <f t="shared" si="16"/>
        <v>-240</v>
      </c>
      <c r="H32" s="43">
        <f t="shared" si="16"/>
        <v>0</v>
      </c>
      <c r="I32" s="43">
        <f t="shared" si="16"/>
        <v>0</v>
      </c>
      <c r="J32" s="307">
        <f t="shared" si="16"/>
        <v>0</v>
      </c>
      <c r="K32" s="43">
        <f t="shared" si="16"/>
        <v>0</v>
      </c>
      <c r="L32" s="307">
        <f t="shared" si="16"/>
        <v>0</v>
      </c>
      <c r="M32" s="43">
        <f t="shared" si="16"/>
        <v>0</v>
      </c>
      <c r="N32" s="43">
        <f t="shared" si="16"/>
        <v>0</v>
      </c>
      <c r="O32" s="412">
        <f>SUM(C32:N32)</f>
        <v>-240</v>
      </c>
      <c r="P32" s="416">
        <f>O32/O31</f>
        <v>-3.8271682547463692E-7</v>
      </c>
    </row>
    <row r="33" spans="1:18">
      <c r="C33" s="43"/>
      <c r="D33" s="43"/>
      <c r="E33" s="43"/>
      <c r="F33" s="43"/>
      <c r="G33" s="43"/>
      <c r="H33" s="43"/>
      <c r="I33" s="43"/>
      <c r="J33" s="307"/>
      <c r="K33" s="43"/>
      <c r="L33" s="307"/>
      <c r="M33" s="43"/>
      <c r="N33" s="43"/>
      <c r="O33" s="412"/>
      <c r="P33" s="416"/>
    </row>
    <row r="34" spans="1:18">
      <c r="B34" s="408" t="s">
        <v>504</v>
      </c>
      <c r="C34" s="418">
        <f>(C28/C$30)*C$32</f>
        <v>0</v>
      </c>
      <c r="D34" s="418">
        <f t="shared" ref="D34:N34" si="17">(D28/D$30)*D$32</f>
        <v>0</v>
      </c>
      <c r="E34" s="418">
        <f t="shared" si="17"/>
        <v>0</v>
      </c>
      <c r="F34" s="418">
        <f t="shared" si="17"/>
        <v>0</v>
      </c>
      <c r="G34" s="418">
        <f t="shared" si="17"/>
        <v>-174.62800643271001</v>
      </c>
      <c r="H34" s="418">
        <f t="shared" si="17"/>
        <v>0</v>
      </c>
      <c r="I34" s="418">
        <f t="shared" si="17"/>
        <v>0</v>
      </c>
      <c r="J34" s="418">
        <f t="shared" si="17"/>
        <v>0</v>
      </c>
      <c r="K34" s="418">
        <f t="shared" si="17"/>
        <v>0</v>
      </c>
      <c r="L34" s="418">
        <f t="shared" si="17"/>
        <v>0</v>
      </c>
      <c r="M34" s="418">
        <f t="shared" si="17"/>
        <v>0</v>
      </c>
      <c r="N34" s="418">
        <f t="shared" si="17"/>
        <v>0</v>
      </c>
      <c r="O34" s="418">
        <f>SUM(C34:N34)</f>
        <v>-174.62800643271001</v>
      </c>
      <c r="P34" s="416"/>
    </row>
    <row r="35" spans="1:18">
      <c r="B35" s="408" t="s">
        <v>505</v>
      </c>
      <c r="C35" s="419">
        <f t="shared" ref="C35:N35" si="18">(C29/C$30)*C$32</f>
        <v>0</v>
      </c>
      <c r="D35" s="419">
        <f t="shared" si="18"/>
        <v>0</v>
      </c>
      <c r="E35" s="419">
        <f t="shared" si="18"/>
        <v>0</v>
      </c>
      <c r="F35" s="419">
        <f t="shared" si="18"/>
        <v>0</v>
      </c>
      <c r="G35" s="419">
        <f t="shared" si="18"/>
        <v>-65.371993567289977</v>
      </c>
      <c r="H35" s="419">
        <f t="shared" si="18"/>
        <v>0</v>
      </c>
      <c r="I35" s="419">
        <f t="shared" si="18"/>
        <v>0</v>
      </c>
      <c r="J35" s="419">
        <f t="shared" si="18"/>
        <v>0</v>
      </c>
      <c r="K35" s="419">
        <f t="shared" si="18"/>
        <v>0</v>
      </c>
      <c r="L35" s="419">
        <f t="shared" si="18"/>
        <v>0</v>
      </c>
      <c r="M35" s="419">
        <f t="shared" si="18"/>
        <v>0</v>
      </c>
      <c r="N35" s="419">
        <f t="shared" si="18"/>
        <v>0</v>
      </c>
      <c r="O35" s="419">
        <f>SUM(C35:N35)</f>
        <v>-65.371993567289977</v>
      </c>
      <c r="P35" s="416"/>
    </row>
    <row r="36" spans="1:18">
      <c r="C36" s="418">
        <f>SUM(C34:C35)</f>
        <v>0</v>
      </c>
      <c r="D36" s="418">
        <f t="shared" ref="D36:N36" si="19">SUM(D34:D35)</f>
        <v>0</v>
      </c>
      <c r="E36" s="418">
        <f t="shared" si="19"/>
        <v>0</v>
      </c>
      <c r="F36" s="418">
        <f t="shared" si="19"/>
        <v>0</v>
      </c>
      <c r="G36" s="418">
        <f t="shared" si="19"/>
        <v>-240</v>
      </c>
      <c r="H36" s="418">
        <f t="shared" si="19"/>
        <v>0</v>
      </c>
      <c r="I36" s="418">
        <f t="shared" si="19"/>
        <v>0</v>
      </c>
      <c r="J36" s="418">
        <f t="shared" si="19"/>
        <v>0</v>
      </c>
      <c r="K36" s="418">
        <f t="shared" si="19"/>
        <v>0</v>
      </c>
      <c r="L36" s="418">
        <f t="shared" si="19"/>
        <v>0</v>
      </c>
      <c r="M36" s="418">
        <f t="shared" si="19"/>
        <v>0</v>
      </c>
      <c r="N36" s="418">
        <f t="shared" si="19"/>
        <v>0</v>
      </c>
      <c r="O36" s="418">
        <f>SUM(O34:O35)</f>
        <v>-240</v>
      </c>
      <c r="P36" s="416"/>
    </row>
    <row r="37" spans="1:18">
      <c r="C37" s="418"/>
      <c r="D37" s="418"/>
      <c r="E37" s="418"/>
      <c r="F37" s="418"/>
      <c r="G37" s="418"/>
      <c r="H37" s="418"/>
      <c r="I37" s="418"/>
      <c r="J37" s="418"/>
      <c r="K37" s="418"/>
      <c r="L37" s="418"/>
      <c r="M37" s="418"/>
      <c r="N37" s="418"/>
      <c r="O37" s="418"/>
      <c r="P37" s="416"/>
    </row>
    <row r="38" spans="1:18">
      <c r="B38" s="408" t="s">
        <v>504</v>
      </c>
      <c r="C38" s="418">
        <f>C28+C34</f>
        <v>41056435.984030001</v>
      </c>
      <c r="D38" s="418">
        <f t="shared" ref="D38:N38" si="20">D28+D34</f>
        <v>39763617.713320002</v>
      </c>
      <c r="E38" s="418">
        <f t="shared" si="20"/>
        <v>42055458.346959993</v>
      </c>
      <c r="F38" s="418">
        <f t="shared" si="20"/>
        <v>36076227.193340003</v>
      </c>
      <c r="G38" s="418">
        <f t="shared" si="20"/>
        <v>33094828.730993569</v>
      </c>
      <c r="H38" s="418">
        <f t="shared" si="20"/>
        <v>32197046.79135</v>
      </c>
      <c r="I38" s="418">
        <f t="shared" si="20"/>
        <v>33106582.694670003</v>
      </c>
      <c r="J38" s="418">
        <f t="shared" si="20"/>
        <v>34260890.127690002</v>
      </c>
      <c r="K38" s="418">
        <f t="shared" si="20"/>
        <v>34103766.51399</v>
      </c>
      <c r="L38" s="418">
        <f t="shared" si="20"/>
        <v>33751385.560860001</v>
      </c>
      <c r="M38" s="418">
        <f t="shared" si="20"/>
        <v>35753840.165299997</v>
      </c>
      <c r="N38" s="418">
        <f t="shared" si="20"/>
        <v>40759038.567329995</v>
      </c>
      <c r="O38" s="418">
        <f>SUM(C38:N38)</f>
        <v>435979118.38983351</v>
      </c>
      <c r="P38" s="416"/>
    </row>
    <row r="39" spans="1:18">
      <c r="B39" s="408" t="s">
        <v>505</v>
      </c>
      <c r="C39" s="419">
        <f>C29+C35</f>
        <v>18863891.138969999</v>
      </c>
      <c r="D39" s="419">
        <f t="shared" ref="D39:N39" si="21">D29+D35</f>
        <v>18075870.773680001</v>
      </c>
      <c r="E39" s="419">
        <f t="shared" si="21"/>
        <v>19521502.077040002</v>
      </c>
      <c r="F39" s="419">
        <f t="shared" si="21"/>
        <v>13893541.65466</v>
      </c>
      <c r="G39" s="419">
        <f t="shared" si="21"/>
        <v>12389049.014006432</v>
      </c>
      <c r="H39" s="419">
        <f t="shared" si="21"/>
        <v>13056545.66965</v>
      </c>
      <c r="I39" s="419">
        <f t="shared" si="21"/>
        <v>15296452.372329999</v>
      </c>
      <c r="J39" s="419">
        <f t="shared" si="21"/>
        <v>17003706.280309997</v>
      </c>
      <c r="K39" s="419">
        <f t="shared" si="21"/>
        <v>16997415.525010001</v>
      </c>
      <c r="L39" s="419">
        <f t="shared" si="21"/>
        <v>12773463.86014</v>
      </c>
      <c r="M39" s="419">
        <f t="shared" si="21"/>
        <v>13854869.8377</v>
      </c>
      <c r="N39" s="419">
        <f t="shared" si="21"/>
        <v>19390075.942669999</v>
      </c>
      <c r="O39" s="419">
        <f>SUM(C39:N39)</f>
        <v>191116384.14616641</v>
      </c>
      <c r="P39" s="416"/>
    </row>
    <row r="40" spans="1:18">
      <c r="C40" s="418">
        <f t="shared" ref="C40:O40" si="22">SUM(C38:C39)</f>
        <v>59920327.122999996</v>
      </c>
      <c r="D40" s="418">
        <f t="shared" si="22"/>
        <v>57839488.487000003</v>
      </c>
      <c r="E40" s="418">
        <f t="shared" si="22"/>
        <v>61576960.423999995</v>
      </c>
      <c r="F40" s="418">
        <f t="shared" si="22"/>
        <v>49969768.848000005</v>
      </c>
      <c r="G40" s="418">
        <f t="shared" si="22"/>
        <v>45483877.745000005</v>
      </c>
      <c r="H40" s="418">
        <f t="shared" si="22"/>
        <v>45253592.460999995</v>
      </c>
      <c r="I40" s="418">
        <f t="shared" si="22"/>
        <v>48403035.067000002</v>
      </c>
      <c r="J40" s="418">
        <f t="shared" si="22"/>
        <v>51264596.408</v>
      </c>
      <c r="K40" s="418">
        <f t="shared" si="22"/>
        <v>51101182.039000005</v>
      </c>
      <c r="L40" s="418">
        <f t="shared" si="22"/>
        <v>46524849.421000004</v>
      </c>
      <c r="M40" s="418">
        <f t="shared" si="22"/>
        <v>49608710.002999999</v>
      </c>
      <c r="N40" s="418">
        <f t="shared" si="22"/>
        <v>60149114.50999999</v>
      </c>
      <c r="O40" s="418">
        <f t="shared" si="22"/>
        <v>627095502.53599989</v>
      </c>
      <c r="P40" s="416"/>
    </row>
    <row r="41" spans="1:18">
      <c r="C41" s="412">
        <f t="shared" ref="C41:O41" si="23">C40-C31</f>
        <v>0</v>
      </c>
      <c r="D41" s="412">
        <f t="shared" si="23"/>
        <v>0</v>
      </c>
      <c r="E41" s="412">
        <f t="shared" si="23"/>
        <v>0</v>
      </c>
      <c r="F41" s="412">
        <f t="shared" si="23"/>
        <v>0</v>
      </c>
      <c r="G41" s="412">
        <f t="shared" si="23"/>
        <v>0</v>
      </c>
      <c r="H41" s="412">
        <f t="shared" si="23"/>
        <v>0</v>
      </c>
      <c r="I41" s="412">
        <f t="shared" si="23"/>
        <v>0</v>
      </c>
      <c r="J41" s="412">
        <f t="shared" si="23"/>
        <v>0</v>
      </c>
      <c r="K41" s="412">
        <f t="shared" si="23"/>
        <v>0</v>
      </c>
      <c r="L41" s="412">
        <f t="shared" si="23"/>
        <v>0</v>
      </c>
      <c r="M41" s="412">
        <f t="shared" si="23"/>
        <v>0</v>
      </c>
      <c r="N41" s="412">
        <f t="shared" si="23"/>
        <v>0</v>
      </c>
      <c r="O41" s="412">
        <f t="shared" si="23"/>
        <v>0</v>
      </c>
      <c r="P41" s="416"/>
    </row>
    <row r="42" spans="1:18">
      <c r="C42" s="43"/>
      <c r="D42" s="43"/>
      <c r="E42" s="43"/>
      <c r="F42" s="43"/>
      <c r="G42" s="43"/>
      <c r="H42" s="43"/>
      <c r="I42" s="43"/>
      <c r="J42" s="307"/>
      <c r="K42" s="43"/>
      <c r="L42" s="307"/>
      <c r="M42" s="43"/>
      <c r="N42" s="43"/>
      <c r="O42" s="412"/>
      <c r="P42" s="416"/>
    </row>
    <row r="43" spans="1:18">
      <c r="A43" s="19"/>
      <c r="B43" s="35" t="s">
        <v>509</v>
      </c>
      <c r="C43" s="416"/>
      <c r="D43" s="416"/>
      <c r="E43" s="416"/>
      <c r="F43" s="416"/>
      <c r="G43" s="416"/>
      <c r="H43" s="416"/>
      <c r="I43" s="416"/>
      <c r="J43" s="416"/>
      <c r="K43" s="416"/>
      <c r="L43" s="416"/>
      <c r="M43" s="416"/>
      <c r="N43" s="416"/>
    </row>
    <row r="44" spans="1:18">
      <c r="B44" s="408" t="s">
        <v>504</v>
      </c>
      <c r="C44" s="413"/>
      <c r="D44" s="413"/>
      <c r="E44" s="413"/>
      <c r="F44" s="413"/>
      <c r="G44" s="413"/>
      <c r="H44" s="413"/>
      <c r="I44" s="413"/>
      <c r="J44" s="413"/>
      <c r="K44" s="413"/>
      <c r="L44" s="413"/>
      <c r="M44" s="413"/>
      <c r="N44" s="413"/>
      <c r="O44" s="412">
        <f>SUM(C44:N44)</f>
        <v>0</v>
      </c>
      <c r="R44" s="43">
        <v>0</v>
      </c>
    </row>
    <row r="45" spans="1:18">
      <c r="B45" s="408" t="s">
        <v>505</v>
      </c>
      <c r="C45" s="415">
        <f>('REVRUNS 12ME1219'!D348+'REVRUNS 12ME1219'!D353)/6.5</f>
        <v>33626.856923076921</v>
      </c>
      <c r="D45" s="415">
        <f>('REVRUNS 12ME1219'!E348+'REVRUNS 12ME1219'!E353)/6.5</f>
        <v>34090.753846153842</v>
      </c>
      <c r="E45" s="415">
        <f>('REVRUNS 12ME1219'!F348+'REVRUNS 12ME1219'!F353)/6.5</f>
        <v>36822.150769230771</v>
      </c>
      <c r="F45" s="415">
        <f>('REVRUNS 12ME1219'!G348+'REVRUNS 12ME1219'!G353)/6.5</f>
        <v>31433.550769230773</v>
      </c>
      <c r="G45" s="415">
        <f>('REVRUNS 12ME1219'!H348+'REVRUNS 12ME1219'!H353)/6.5</f>
        <v>32968.041538461533</v>
      </c>
      <c r="H45" s="415">
        <f>('REVRUNS 12ME1219'!I348+'REVRUNS 12ME1219'!I353)/6.5</f>
        <v>35683.461538461539</v>
      </c>
      <c r="I45" s="415">
        <f>('REVRUNS 12ME1219'!J348+'REVRUNS 12ME1219'!J353)/6.5</f>
        <v>37262.713846153842</v>
      </c>
      <c r="J45" s="415">
        <f>('REVRUNS 12ME1219'!K348+'REVRUNS 12ME1219'!K353)/6.5</f>
        <v>41140.769230769234</v>
      </c>
      <c r="K45" s="415">
        <f>('REVRUNS 12ME1219'!L348+'REVRUNS 12ME1219'!L353)/6.5</f>
        <v>41696.213846153842</v>
      </c>
      <c r="L45" s="415">
        <f>('REVRUNS 12ME1219'!M348+'REVRUNS 12ME1219'!M353)/6.5</f>
        <v>39237.326153846159</v>
      </c>
      <c r="M45" s="415">
        <f>('REVRUNS 12ME1219'!N348+'REVRUNS 12ME1219'!N353)/6.5</f>
        <v>37801.272307692314</v>
      </c>
      <c r="N45" s="415">
        <f>('REVRUNS 12ME1219'!O348+'REVRUNS 12ME1219'!O353)/6.5</f>
        <v>36544.866153846153</v>
      </c>
      <c r="O45" s="412">
        <f>SUM(C45:N45)</f>
        <v>438307.97692307696</v>
      </c>
      <c r="P45" s="541" t="e">
        <f>(O45-'REVRUNS 12ME1219'!#REF!/6.3334)-('REVRUNS 12ME1219'!#REF!/6.34)</f>
        <v>#REF!</v>
      </c>
      <c r="R45" s="422">
        <v>0</v>
      </c>
    </row>
    <row r="46" spans="1:18">
      <c r="A46" s="408" t="s">
        <v>510</v>
      </c>
      <c r="B46" s="35" t="s">
        <v>66</v>
      </c>
      <c r="C46" s="414">
        <f t="shared" ref="C46:H46" si="24">SUM(C44:C45)</f>
        <v>33626.856923076921</v>
      </c>
      <c r="D46" s="414">
        <f t="shared" si="24"/>
        <v>34090.753846153842</v>
      </c>
      <c r="E46" s="414">
        <f t="shared" si="24"/>
        <v>36822.150769230771</v>
      </c>
      <c r="F46" s="414">
        <f t="shared" si="24"/>
        <v>31433.550769230773</v>
      </c>
      <c r="G46" s="414">
        <f t="shared" si="24"/>
        <v>32968.041538461533</v>
      </c>
      <c r="H46" s="414">
        <f t="shared" si="24"/>
        <v>35683.461538461539</v>
      </c>
      <c r="I46" s="414">
        <f>SUM(I44:I45)</f>
        <v>37262.713846153842</v>
      </c>
      <c r="J46" s="414">
        <f t="shared" ref="J46:O46" si="25">SUM(J44:J45)</f>
        <v>41140.769230769234</v>
      </c>
      <c r="K46" s="414">
        <f t="shared" si="25"/>
        <v>41696.213846153842</v>
      </c>
      <c r="L46" s="414">
        <f t="shared" si="25"/>
        <v>39237.326153846159</v>
      </c>
      <c r="M46" s="414">
        <f t="shared" si="25"/>
        <v>37801.272307692314</v>
      </c>
      <c r="N46" s="414">
        <f t="shared" si="25"/>
        <v>36544.866153846153</v>
      </c>
      <c r="O46" s="414">
        <f t="shared" si="25"/>
        <v>438307.97692307696</v>
      </c>
      <c r="R46" s="43">
        <f>SUM(R44:R45)</f>
        <v>0</v>
      </c>
    </row>
    <row r="48" spans="1:18">
      <c r="A48" s="19"/>
      <c r="B48" s="35" t="s">
        <v>509</v>
      </c>
    </row>
    <row r="49" spans="1:19">
      <c r="B49" s="408" t="s">
        <v>511</v>
      </c>
      <c r="C49" s="415">
        <f>('REVRUNS 12ME1219'!D349+'REVRUNS 12ME1219'!D354)/0.5</f>
        <v>0</v>
      </c>
      <c r="D49" s="415">
        <f>('REVRUNS 12ME1219'!E349+'REVRUNS 12ME1219'!E354)/0.5</f>
        <v>0</v>
      </c>
      <c r="E49" s="415">
        <f>('REVRUNS 12ME1219'!F349+'REVRUNS 12ME1219'!F354)/0.5</f>
        <v>0</v>
      </c>
      <c r="F49" s="415">
        <f>('REVRUNS 12ME1219'!G349+'REVRUNS 12ME1219'!G354)/0.5</f>
        <v>0</v>
      </c>
      <c r="G49" s="415">
        <f>('REVRUNS 12ME1219'!H349+'REVRUNS 12ME1219'!H354)/0.5</f>
        <v>0</v>
      </c>
      <c r="H49" s="415">
        <f>('REVRUNS 12ME1219'!I349+'REVRUNS 12ME1219'!I354)/0.5</f>
        <v>0</v>
      </c>
      <c r="I49" s="415">
        <f>('REVRUNS 12ME1219'!J349+'REVRUNS 12ME1219'!J354)/0.5</f>
        <v>0</v>
      </c>
      <c r="J49" s="415">
        <f>('REVRUNS 12ME1219'!K349+'REVRUNS 12ME1219'!K354)/0.5</f>
        <v>0</v>
      </c>
      <c r="K49" s="415">
        <f>('REVRUNS 12ME1219'!L349+'REVRUNS 12ME1219'!L354)/0.5</f>
        <v>0</v>
      </c>
      <c r="L49" s="415">
        <f>('REVRUNS 12ME1219'!M349+'REVRUNS 12ME1219'!M354)/0.5</f>
        <v>0</v>
      </c>
      <c r="M49" s="415">
        <f>('REVRUNS 12ME1219'!N349+'REVRUNS 12ME1219'!N354)/0.5</f>
        <v>0</v>
      </c>
      <c r="N49" s="415">
        <f>('REVRUNS 12ME1219'!O349+'REVRUNS 12ME1219'!O354)/0.5</f>
        <v>0</v>
      </c>
      <c r="O49" s="412">
        <f>SUM(C49:N49)</f>
        <v>0</v>
      </c>
      <c r="R49" s="43">
        <v>0</v>
      </c>
    </row>
    <row r="50" spans="1:19">
      <c r="B50" s="408" t="s">
        <v>512</v>
      </c>
      <c r="C50" s="420">
        <v>0.5</v>
      </c>
      <c r="D50" s="420">
        <v>0.5</v>
      </c>
      <c r="E50" s="420">
        <v>0.5</v>
      </c>
      <c r="F50" s="420">
        <v>0.5</v>
      </c>
      <c r="G50" s="420">
        <v>0.5</v>
      </c>
      <c r="H50" s="420">
        <v>0.5</v>
      </c>
      <c r="I50" s="420">
        <v>0.5</v>
      </c>
      <c r="J50" s="420">
        <v>0.5</v>
      </c>
      <c r="K50" s="420">
        <v>0.5</v>
      </c>
      <c r="L50" s="420">
        <v>0.5</v>
      </c>
      <c r="M50" s="420">
        <v>0.5</v>
      </c>
      <c r="N50" s="420">
        <v>0.5</v>
      </c>
      <c r="O50" s="417">
        <v>0.5</v>
      </c>
    </row>
    <row r="51" spans="1:19">
      <c r="B51" s="408" t="s">
        <v>513</v>
      </c>
      <c r="C51" s="417">
        <f t="shared" ref="C51:O51" si="26">C49*C50</f>
        <v>0</v>
      </c>
      <c r="D51" s="417">
        <f t="shared" si="26"/>
        <v>0</v>
      </c>
      <c r="E51" s="417">
        <f t="shared" si="26"/>
        <v>0</v>
      </c>
      <c r="F51" s="417">
        <f t="shared" si="26"/>
        <v>0</v>
      </c>
      <c r="G51" s="417">
        <f t="shared" si="26"/>
        <v>0</v>
      </c>
      <c r="H51" s="417">
        <f t="shared" si="26"/>
        <v>0</v>
      </c>
      <c r="I51" s="417">
        <f t="shared" si="26"/>
        <v>0</v>
      </c>
      <c r="J51" s="417">
        <f t="shared" si="26"/>
        <v>0</v>
      </c>
      <c r="K51" s="417">
        <f t="shared" si="26"/>
        <v>0</v>
      </c>
      <c r="L51" s="417">
        <f t="shared" si="26"/>
        <v>0</v>
      </c>
      <c r="M51" s="417">
        <f t="shared" si="26"/>
        <v>0</v>
      </c>
      <c r="N51" s="417">
        <f t="shared" si="26"/>
        <v>0</v>
      </c>
      <c r="O51" s="417">
        <f t="shared" si="26"/>
        <v>0</v>
      </c>
      <c r="P51" s="645">
        <f>O51-'REVRUNS 12ME1219'!P349-'REVRUNS 12ME1219'!P354</f>
        <v>0</v>
      </c>
    </row>
    <row r="52" spans="1:19">
      <c r="I52" s="19"/>
      <c r="J52" s="19"/>
      <c r="K52" s="19"/>
      <c r="L52" s="19"/>
      <c r="M52" s="19"/>
      <c r="N52" s="19"/>
    </row>
    <row r="53" spans="1:19">
      <c r="A53" s="19"/>
      <c r="B53" s="35" t="s">
        <v>514</v>
      </c>
      <c r="I53" s="19"/>
      <c r="J53" s="19"/>
      <c r="K53" s="19"/>
      <c r="L53" s="19"/>
      <c r="M53" s="19"/>
      <c r="N53" s="19"/>
    </row>
    <row r="54" spans="1:19">
      <c r="B54" s="408" t="s">
        <v>504</v>
      </c>
      <c r="C54" s="413">
        <f>'REVRUNS 12ME1219'!D117+'REVRUNS 12ME1219'!D131</f>
        <v>108358321.55833</v>
      </c>
      <c r="D54" s="413">
        <f>'REVRUNS 12ME1219'!E117+'REVRUNS 12ME1219'!E131</f>
        <v>102275964.95</v>
      </c>
      <c r="E54" s="413">
        <f>'REVRUNS 12ME1219'!F117+'REVRUNS 12ME1219'!F131</f>
        <v>107993601.13467</v>
      </c>
      <c r="F54" s="413">
        <f>'REVRUNS 12ME1219'!G117+'REVRUNS 12ME1219'!G131</f>
        <v>98423683.714000002</v>
      </c>
      <c r="G54" s="413">
        <f>'REVRUNS 12ME1219'!H117+'REVRUNS 12ME1219'!H131</f>
        <v>96197841.162</v>
      </c>
      <c r="H54" s="413">
        <f>'REVRUNS 12ME1219'!I117+'REVRUNS 12ME1219'!I131</f>
        <v>98782467.812999994</v>
      </c>
      <c r="I54" s="413">
        <f>'REVRUNS 12ME1219'!J117+'REVRUNS 12ME1219'!J131</f>
        <v>103224516.31</v>
      </c>
      <c r="J54" s="413">
        <f>'REVRUNS 12ME1219'!K117+'REVRUNS 12ME1219'!K131</f>
        <v>103968002.022</v>
      </c>
      <c r="K54" s="413">
        <f>'REVRUNS 12ME1219'!L117+'REVRUNS 12ME1219'!L131</f>
        <v>102026064.064</v>
      </c>
      <c r="L54" s="413">
        <f>'REVRUNS 12ME1219'!M117+'REVRUNS 12ME1219'!M131</f>
        <v>101652667.33967</v>
      </c>
      <c r="M54" s="413">
        <f>'REVRUNS 12ME1219'!N117+'REVRUNS 12ME1219'!N131</f>
        <v>97289918.782000005</v>
      </c>
      <c r="N54" s="413">
        <f>'REVRUNS 12ME1219'!O117+'REVRUNS 12ME1219'!O131</f>
        <v>109598102.954</v>
      </c>
      <c r="O54" s="412">
        <f>SUM(C54:N54)</f>
        <v>1229791151.8036699</v>
      </c>
      <c r="R54" s="43">
        <v>0</v>
      </c>
      <c r="S54" s="423" t="e">
        <f>R54/$R$56</f>
        <v>#DIV/0!</v>
      </c>
    </row>
    <row r="55" spans="1:19">
      <c r="B55" s="408" t="s">
        <v>505</v>
      </c>
      <c r="C55" s="413">
        <f>'REVRUNS 12ME1219'!D118+'REVRUNS 12ME1219'!D132</f>
        <v>12223095.066670001</v>
      </c>
      <c r="D55" s="413">
        <f>'REVRUNS 12ME1219'!E118+'REVRUNS 12ME1219'!E132</f>
        <v>10979830.199999999</v>
      </c>
      <c r="E55" s="413">
        <f>'REVRUNS 12ME1219'!F118+'REVRUNS 12ME1219'!F132</f>
        <v>11863762.693329999</v>
      </c>
      <c r="F55" s="413">
        <f>'REVRUNS 12ME1219'!G118+'REVRUNS 12ME1219'!G132</f>
        <v>10248358.960000001</v>
      </c>
      <c r="G55" s="413">
        <f>'REVRUNS 12ME1219'!H118+'REVRUNS 12ME1219'!H132</f>
        <v>11158280.640000001</v>
      </c>
      <c r="H55" s="413">
        <f>'REVRUNS 12ME1219'!I118+'REVRUNS 12ME1219'!I132</f>
        <v>11736635.699999999</v>
      </c>
      <c r="I55" s="413">
        <f>'REVRUNS 12ME1219'!J118+'REVRUNS 12ME1219'!J132</f>
        <v>13256235.26</v>
      </c>
      <c r="J55" s="413">
        <f>'REVRUNS 12ME1219'!K118+'REVRUNS 12ME1219'!K132</f>
        <v>14153976.560000001</v>
      </c>
      <c r="K55" s="413">
        <f>'REVRUNS 12ME1219'!L118+'REVRUNS 12ME1219'!L132</f>
        <v>15279978.18</v>
      </c>
      <c r="L55" s="413">
        <f>'REVRUNS 12ME1219'!M118+'REVRUNS 12ME1219'!M132</f>
        <v>11559763.25333</v>
      </c>
      <c r="M55" s="413">
        <f>'REVRUNS 12ME1219'!N118+'REVRUNS 12ME1219'!N132</f>
        <v>10691308.640000001</v>
      </c>
      <c r="N55" s="413">
        <f>'REVRUNS 12ME1219'!O118+'REVRUNS 12ME1219'!O132</f>
        <v>13086599.300000001</v>
      </c>
      <c r="O55" s="412">
        <f>SUM(C55:N55)</f>
        <v>146237824.45333001</v>
      </c>
      <c r="R55" s="422">
        <v>0</v>
      </c>
      <c r="S55" s="424" t="e">
        <f>R55/$R$56</f>
        <v>#DIV/0!</v>
      </c>
    </row>
    <row r="56" spans="1:19">
      <c r="A56" s="408" t="s">
        <v>506</v>
      </c>
      <c r="B56" s="35" t="s">
        <v>66</v>
      </c>
      <c r="C56" s="414">
        <f t="shared" ref="C56:H56" si="27">SUM(C54:C55)</f>
        <v>120581416.625</v>
      </c>
      <c r="D56" s="414">
        <f t="shared" si="27"/>
        <v>113255795.15000001</v>
      </c>
      <c r="E56" s="414">
        <f t="shared" si="27"/>
        <v>119857363.82800001</v>
      </c>
      <c r="F56" s="414">
        <f t="shared" si="27"/>
        <v>108672042.67399999</v>
      </c>
      <c r="G56" s="414">
        <f t="shared" si="27"/>
        <v>107356121.802</v>
      </c>
      <c r="H56" s="414">
        <f t="shared" si="27"/>
        <v>110519103.513</v>
      </c>
      <c r="I56" s="414">
        <f>SUM(I54:I55)</f>
        <v>116480751.57000001</v>
      </c>
      <c r="J56" s="414">
        <f t="shared" ref="J56:O56" si="28">SUM(J54:J55)</f>
        <v>118121978.582</v>
      </c>
      <c r="K56" s="414">
        <f t="shared" si="28"/>
        <v>117306042.24399999</v>
      </c>
      <c r="L56" s="414">
        <f t="shared" si="28"/>
        <v>113212430.59299999</v>
      </c>
      <c r="M56" s="414">
        <f t="shared" si="28"/>
        <v>107981227.42200001</v>
      </c>
      <c r="N56" s="414">
        <f t="shared" si="28"/>
        <v>122684702.25399999</v>
      </c>
      <c r="O56" s="414">
        <f t="shared" si="28"/>
        <v>1376028976.257</v>
      </c>
      <c r="R56" s="43">
        <f>SUM(R54:R55)</f>
        <v>0</v>
      </c>
      <c r="S56" s="85" t="e">
        <f>SUM(S54:S55)</f>
        <v>#DIV/0!</v>
      </c>
    </row>
    <row r="57" spans="1:19">
      <c r="B57" s="408" t="s">
        <v>95</v>
      </c>
      <c r="C57" s="547">
        <f>'REVRUNS 12ME1219'!D284</f>
        <v>120581416.625</v>
      </c>
      <c r="D57" s="547">
        <f>'REVRUNS 12ME1219'!E284</f>
        <v>113255795.15000001</v>
      </c>
      <c r="E57" s="547">
        <f>'REVRUNS 12ME1219'!F284</f>
        <v>119857363.82800001</v>
      </c>
      <c r="F57" s="547">
        <f>'REVRUNS 12ME1219'!G284</f>
        <v>108672042.67399999</v>
      </c>
      <c r="G57" s="547">
        <f>'REVRUNS 12ME1219'!H284</f>
        <v>107356121.802</v>
      </c>
      <c r="H57" s="547">
        <f>'REVRUNS 12ME1219'!I284</f>
        <v>110519103.513</v>
      </c>
      <c r="I57" s="547">
        <f>'REVRUNS 12ME1219'!J284</f>
        <v>116480751.57000001</v>
      </c>
      <c r="J57" s="547">
        <f>'REVRUNS 12ME1219'!K284</f>
        <v>118121978.582</v>
      </c>
      <c r="K57" s="547">
        <f>'REVRUNS 12ME1219'!L284</f>
        <v>117306042.244</v>
      </c>
      <c r="L57" s="547">
        <f>'REVRUNS 12ME1219'!M284</f>
        <v>113212430.59299999</v>
      </c>
      <c r="M57" s="547">
        <f>'REVRUNS 12ME1219'!N284</f>
        <v>107981227.42200001</v>
      </c>
      <c r="N57" s="547">
        <f>'REVRUNS 12ME1219'!O284</f>
        <v>122684702.25399999</v>
      </c>
      <c r="O57" s="412">
        <f>SUM(C57:N57)</f>
        <v>1376028976.257</v>
      </c>
    </row>
    <row r="58" spans="1:19">
      <c r="C58" s="43">
        <f t="shared" ref="C58:N58" si="29">C57-C56</f>
        <v>0</v>
      </c>
      <c r="D58" s="43">
        <f t="shared" si="29"/>
        <v>0</v>
      </c>
      <c r="E58" s="43">
        <f t="shared" si="29"/>
        <v>0</v>
      </c>
      <c r="F58" s="43">
        <f t="shared" si="29"/>
        <v>0</v>
      </c>
      <c r="G58" s="43">
        <f t="shared" si="29"/>
        <v>0</v>
      </c>
      <c r="H58" s="43">
        <f t="shared" si="29"/>
        <v>0</v>
      </c>
      <c r="I58" s="43">
        <f t="shared" si="29"/>
        <v>0</v>
      </c>
      <c r="J58" s="307">
        <f t="shared" si="29"/>
        <v>0</v>
      </c>
      <c r="K58" s="307">
        <f t="shared" si="29"/>
        <v>0</v>
      </c>
      <c r="L58" s="43">
        <f t="shared" si="29"/>
        <v>0</v>
      </c>
      <c r="M58" s="307">
        <f t="shared" si="29"/>
        <v>0</v>
      </c>
      <c r="N58" s="43">
        <f t="shared" si="29"/>
        <v>0</v>
      </c>
      <c r="O58" s="412">
        <f>SUM(C58:N58)</f>
        <v>0</v>
      </c>
      <c r="P58" s="416">
        <f>O58/O57</f>
        <v>0</v>
      </c>
    </row>
    <row r="59" spans="1:19">
      <c r="C59" s="43"/>
      <c r="D59" s="43"/>
      <c r="E59" s="43"/>
      <c r="F59" s="43"/>
      <c r="G59" s="43"/>
      <c r="H59" s="43"/>
      <c r="I59" s="43"/>
      <c r="J59" s="307"/>
      <c r="K59" s="307"/>
      <c r="L59" s="43"/>
      <c r="M59" s="307"/>
      <c r="N59" s="43"/>
      <c r="O59" s="412"/>
      <c r="P59" s="416"/>
    </row>
    <row r="60" spans="1:19">
      <c r="B60" s="408" t="s">
        <v>504</v>
      </c>
      <c r="C60" s="418">
        <f>(C54/C$56)*C$58</f>
        <v>0</v>
      </c>
      <c r="D60" s="418">
        <f t="shared" ref="D60:N60" si="30">(D54/D$56)*D$58</f>
        <v>0</v>
      </c>
      <c r="E60" s="418">
        <f t="shared" si="30"/>
        <v>0</v>
      </c>
      <c r="F60" s="418">
        <f t="shared" si="30"/>
        <v>0</v>
      </c>
      <c r="G60" s="418">
        <f t="shared" si="30"/>
        <v>0</v>
      </c>
      <c r="H60" s="418">
        <f t="shared" si="30"/>
        <v>0</v>
      </c>
      <c r="I60" s="418">
        <f t="shared" si="30"/>
        <v>0</v>
      </c>
      <c r="J60" s="418">
        <f t="shared" si="30"/>
        <v>0</v>
      </c>
      <c r="K60" s="418">
        <f t="shared" si="30"/>
        <v>0</v>
      </c>
      <c r="L60" s="418">
        <f t="shared" si="30"/>
        <v>0</v>
      </c>
      <c r="M60" s="418">
        <f t="shared" si="30"/>
        <v>0</v>
      </c>
      <c r="N60" s="418">
        <f t="shared" si="30"/>
        <v>0</v>
      </c>
      <c r="O60" s="418">
        <f>SUM(C60:N60)</f>
        <v>0</v>
      </c>
      <c r="P60" s="416"/>
    </row>
    <row r="61" spans="1:19">
      <c r="B61" s="408" t="s">
        <v>505</v>
      </c>
      <c r="C61" s="419">
        <f>(C55/C$56)*C$58</f>
        <v>0</v>
      </c>
      <c r="D61" s="419">
        <f t="shared" ref="D61:N61" si="31">(D55/D$56)*D$58</f>
        <v>0</v>
      </c>
      <c r="E61" s="419">
        <f t="shared" si="31"/>
        <v>0</v>
      </c>
      <c r="F61" s="419">
        <f t="shared" si="31"/>
        <v>0</v>
      </c>
      <c r="G61" s="419">
        <f t="shared" si="31"/>
        <v>0</v>
      </c>
      <c r="H61" s="419">
        <f t="shared" si="31"/>
        <v>0</v>
      </c>
      <c r="I61" s="419">
        <f t="shared" si="31"/>
        <v>0</v>
      </c>
      <c r="J61" s="419">
        <f t="shared" si="31"/>
        <v>0</v>
      </c>
      <c r="K61" s="419">
        <f t="shared" si="31"/>
        <v>0</v>
      </c>
      <c r="L61" s="419">
        <f t="shared" si="31"/>
        <v>0</v>
      </c>
      <c r="M61" s="419">
        <f t="shared" si="31"/>
        <v>0</v>
      </c>
      <c r="N61" s="419">
        <f t="shared" si="31"/>
        <v>0</v>
      </c>
      <c r="O61" s="419">
        <f>SUM(C61:N61)</f>
        <v>0</v>
      </c>
      <c r="P61" s="416"/>
    </row>
    <row r="62" spans="1:19">
      <c r="C62" s="418">
        <f t="shared" ref="C62:O62" si="32">SUM(C60:C61)</f>
        <v>0</v>
      </c>
      <c r="D62" s="418">
        <f t="shared" si="32"/>
        <v>0</v>
      </c>
      <c r="E62" s="418">
        <f t="shared" si="32"/>
        <v>0</v>
      </c>
      <c r="F62" s="418">
        <f t="shared" si="32"/>
        <v>0</v>
      </c>
      <c r="G62" s="418">
        <f t="shared" si="32"/>
        <v>0</v>
      </c>
      <c r="H62" s="418">
        <f t="shared" si="32"/>
        <v>0</v>
      </c>
      <c r="I62" s="418">
        <f t="shared" si="32"/>
        <v>0</v>
      </c>
      <c r="J62" s="418">
        <f t="shared" si="32"/>
        <v>0</v>
      </c>
      <c r="K62" s="418">
        <f t="shared" si="32"/>
        <v>0</v>
      </c>
      <c r="L62" s="418">
        <f t="shared" si="32"/>
        <v>0</v>
      </c>
      <c r="M62" s="418">
        <f t="shared" si="32"/>
        <v>0</v>
      </c>
      <c r="N62" s="418">
        <f t="shared" si="32"/>
        <v>0</v>
      </c>
      <c r="O62" s="418">
        <f t="shared" si="32"/>
        <v>0</v>
      </c>
      <c r="P62" s="416"/>
    </row>
    <row r="63" spans="1:19">
      <c r="C63" s="418"/>
      <c r="D63" s="418"/>
      <c r="E63" s="418"/>
      <c r="F63" s="418"/>
      <c r="G63" s="418"/>
      <c r="H63" s="418"/>
      <c r="I63" s="418"/>
      <c r="J63" s="418"/>
      <c r="K63" s="418"/>
      <c r="L63" s="418"/>
      <c r="M63" s="418"/>
      <c r="N63" s="418"/>
      <c r="O63" s="418"/>
      <c r="P63" s="416"/>
    </row>
    <row r="64" spans="1:19">
      <c r="B64" s="408" t="s">
        <v>504</v>
      </c>
      <c r="C64" s="418">
        <f>C54+C60</f>
        <v>108358321.55833</v>
      </c>
      <c r="D64" s="418">
        <f t="shared" ref="D64:N64" si="33">D54+D60</f>
        <v>102275964.95</v>
      </c>
      <c r="E64" s="418">
        <f t="shared" si="33"/>
        <v>107993601.13467</v>
      </c>
      <c r="F64" s="418">
        <f t="shared" si="33"/>
        <v>98423683.714000002</v>
      </c>
      <c r="G64" s="418">
        <f t="shared" si="33"/>
        <v>96197841.162</v>
      </c>
      <c r="H64" s="418">
        <f t="shared" si="33"/>
        <v>98782467.812999994</v>
      </c>
      <c r="I64" s="418">
        <f t="shared" si="33"/>
        <v>103224516.31</v>
      </c>
      <c r="J64" s="418">
        <f t="shared" si="33"/>
        <v>103968002.022</v>
      </c>
      <c r="K64" s="418">
        <f t="shared" si="33"/>
        <v>102026064.064</v>
      </c>
      <c r="L64" s="418">
        <f t="shared" si="33"/>
        <v>101652667.33967</v>
      </c>
      <c r="M64" s="418">
        <f t="shared" si="33"/>
        <v>97289918.782000005</v>
      </c>
      <c r="N64" s="418">
        <f t="shared" si="33"/>
        <v>109598102.954</v>
      </c>
      <c r="O64" s="418">
        <f>SUM(C64:N64)</f>
        <v>1229791151.8036699</v>
      </c>
      <c r="P64" s="416"/>
    </row>
    <row r="65" spans="1:19">
      <c r="B65" s="408" t="s">
        <v>505</v>
      </c>
      <c r="C65" s="419">
        <f>C55+C61</f>
        <v>12223095.066670001</v>
      </c>
      <c r="D65" s="419">
        <f t="shared" ref="D65:N65" si="34">D55+D61</f>
        <v>10979830.199999999</v>
      </c>
      <c r="E65" s="419">
        <f t="shared" si="34"/>
        <v>11863762.693329999</v>
      </c>
      <c r="F65" s="419">
        <f t="shared" si="34"/>
        <v>10248358.960000001</v>
      </c>
      <c r="G65" s="419">
        <f t="shared" si="34"/>
        <v>11158280.640000001</v>
      </c>
      <c r="H65" s="419">
        <f t="shared" si="34"/>
        <v>11736635.699999999</v>
      </c>
      <c r="I65" s="419">
        <f t="shared" si="34"/>
        <v>13256235.26</v>
      </c>
      <c r="J65" s="419">
        <f t="shared" si="34"/>
        <v>14153976.560000001</v>
      </c>
      <c r="K65" s="419">
        <f t="shared" si="34"/>
        <v>15279978.18</v>
      </c>
      <c r="L65" s="419">
        <f t="shared" si="34"/>
        <v>11559763.25333</v>
      </c>
      <c r="M65" s="419">
        <f t="shared" si="34"/>
        <v>10691308.640000001</v>
      </c>
      <c r="N65" s="419">
        <f t="shared" si="34"/>
        <v>13086599.300000001</v>
      </c>
      <c r="O65" s="419">
        <f>SUM(C65:N65)</f>
        <v>146237824.45333001</v>
      </c>
      <c r="P65" s="416"/>
    </row>
    <row r="66" spans="1:19">
      <c r="C66" s="418">
        <f t="shared" ref="C66:O66" si="35">SUM(C64:C65)</f>
        <v>120581416.625</v>
      </c>
      <c r="D66" s="418">
        <f t="shared" si="35"/>
        <v>113255795.15000001</v>
      </c>
      <c r="E66" s="418">
        <f t="shared" si="35"/>
        <v>119857363.82800001</v>
      </c>
      <c r="F66" s="418">
        <f t="shared" si="35"/>
        <v>108672042.67399999</v>
      </c>
      <c r="G66" s="418">
        <f t="shared" si="35"/>
        <v>107356121.802</v>
      </c>
      <c r="H66" s="418">
        <f t="shared" si="35"/>
        <v>110519103.513</v>
      </c>
      <c r="I66" s="418">
        <f t="shared" si="35"/>
        <v>116480751.57000001</v>
      </c>
      <c r="J66" s="418">
        <f t="shared" si="35"/>
        <v>118121978.582</v>
      </c>
      <c r="K66" s="418">
        <f t="shared" si="35"/>
        <v>117306042.24399999</v>
      </c>
      <c r="L66" s="418">
        <f t="shared" si="35"/>
        <v>113212430.59299999</v>
      </c>
      <c r="M66" s="418">
        <f t="shared" si="35"/>
        <v>107981227.42200001</v>
      </c>
      <c r="N66" s="418">
        <f t="shared" si="35"/>
        <v>122684702.25399999</v>
      </c>
      <c r="O66" s="418">
        <f t="shared" si="35"/>
        <v>1376028976.257</v>
      </c>
      <c r="P66" s="416"/>
    </row>
    <row r="67" spans="1:19">
      <c r="C67" s="412">
        <f t="shared" ref="C67:O67" si="36">C66-C57</f>
        <v>0</v>
      </c>
      <c r="D67" s="412">
        <f t="shared" si="36"/>
        <v>0</v>
      </c>
      <c r="E67" s="412">
        <f t="shared" si="36"/>
        <v>0</v>
      </c>
      <c r="F67" s="412">
        <f t="shared" si="36"/>
        <v>0</v>
      </c>
      <c r="G67" s="412">
        <f t="shared" si="36"/>
        <v>0</v>
      </c>
      <c r="H67" s="412">
        <f t="shared" si="36"/>
        <v>0</v>
      </c>
      <c r="I67" s="412">
        <f t="shared" si="36"/>
        <v>0</v>
      </c>
      <c r="J67" s="412">
        <f t="shared" si="36"/>
        <v>0</v>
      </c>
      <c r="K67" s="412">
        <f t="shared" si="36"/>
        <v>0</v>
      </c>
      <c r="L67" s="412">
        <f t="shared" si="36"/>
        <v>0</v>
      </c>
      <c r="M67" s="412">
        <f t="shared" si="36"/>
        <v>0</v>
      </c>
      <c r="N67" s="412">
        <f t="shared" si="36"/>
        <v>0</v>
      </c>
      <c r="O67" s="412">
        <f t="shared" si="36"/>
        <v>0</v>
      </c>
      <c r="P67" s="416"/>
    </row>
    <row r="68" spans="1:19">
      <c r="C68" s="43"/>
      <c r="D68" s="43"/>
      <c r="E68" s="43"/>
      <c r="F68" s="43"/>
      <c r="G68" s="43"/>
      <c r="H68" s="43"/>
      <c r="I68" s="43"/>
      <c r="J68" s="307"/>
      <c r="K68" s="307"/>
      <c r="L68" s="43"/>
      <c r="M68" s="307"/>
      <c r="N68" s="43"/>
      <c r="O68" s="412"/>
      <c r="P68" s="416"/>
    </row>
    <row r="69" spans="1:19">
      <c r="A69" s="19"/>
      <c r="B69" s="35" t="s">
        <v>514</v>
      </c>
    </row>
    <row r="70" spans="1:19">
      <c r="B70" s="408" t="s">
        <v>504</v>
      </c>
      <c r="C70" s="413"/>
      <c r="D70" s="413"/>
      <c r="E70" s="413"/>
      <c r="F70" s="413"/>
      <c r="G70" s="413"/>
      <c r="H70" s="413"/>
      <c r="I70" s="413"/>
      <c r="J70" s="413"/>
      <c r="K70" s="413"/>
      <c r="L70" s="413"/>
      <c r="M70" s="413"/>
      <c r="N70" s="413"/>
      <c r="O70" s="412">
        <f>SUM(C70:N70)</f>
        <v>0</v>
      </c>
      <c r="R70" s="43">
        <v>0</v>
      </c>
    </row>
    <row r="71" spans="1:19">
      <c r="B71" s="408" t="s">
        <v>505</v>
      </c>
      <c r="C71" s="415">
        <f>('REVRUNS 12ME1219'!D358+'REVRUNS 12ME1219'!D365)/6.5</f>
        <v>208524.54769230768</v>
      </c>
      <c r="D71" s="415">
        <f>('REVRUNS 12ME1219'!E358+'REVRUNS 12ME1219'!E365)/6.5</f>
        <v>202774.69384615385</v>
      </c>
      <c r="E71" s="415">
        <f>('REVRUNS 12ME1219'!F358+'REVRUNS 12ME1219'!F365)/6.5</f>
        <v>216029.02769230772</v>
      </c>
      <c r="F71" s="415">
        <f>('REVRUNS 12ME1219'!G358+'REVRUNS 12ME1219'!G365)/6.5</f>
        <v>205960.78153846154</v>
      </c>
      <c r="G71" s="415">
        <f>('REVRUNS 12ME1219'!H358+'REVRUNS 12ME1219'!H365)/6.5</f>
        <v>209866.62153846154</v>
      </c>
      <c r="H71" s="415">
        <f>('REVRUNS 12ME1219'!I358+'REVRUNS 12ME1219'!I365)/6.5</f>
        <v>229276.4107692308</v>
      </c>
      <c r="I71" s="415">
        <f>('REVRUNS 12ME1219'!J358+'REVRUNS 12ME1219'!J365)/6.5</f>
        <v>233678.21692307692</v>
      </c>
      <c r="J71" s="415">
        <f>('REVRUNS 12ME1219'!K358+'REVRUNS 12ME1219'!K365)/6.5</f>
        <v>240385.66153846154</v>
      </c>
      <c r="K71" s="415">
        <f>('REVRUNS 12ME1219'!L358+'REVRUNS 12ME1219'!L365)/6.5</f>
        <v>232430.70461538463</v>
      </c>
      <c r="L71" s="415">
        <f>('REVRUNS 12ME1219'!M358+'REVRUNS 12ME1219'!M365)/6.5</f>
        <v>237029.42153846152</v>
      </c>
      <c r="M71" s="415">
        <f>('REVRUNS 12ME1219'!N358+'REVRUNS 12ME1219'!N365)/6.5</f>
        <v>219396.10923076922</v>
      </c>
      <c r="N71" s="415">
        <f>('REVRUNS 12ME1219'!O358+'REVRUNS 12ME1219'!O365)/6.5</f>
        <v>212683.40461538458</v>
      </c>
      <c r="O71" s="412">
        <f>SUM(C71:N71)</f>
        <v>2648035.6015384616</v>
      </c>
      <c r="P71" s="541" t="e">
        <f>('REVRUNS 12ME1219'!#REF!+'REVRUNS 12ME1219'!#REF!)/6.34-O71</f>
        <v>#REF!</v>
      </c>
      <c r="R71" s="422">
        <v>0</v>
      </c>
    </row>
    <row r="72" spans="1:19">
      <c r="A72" s="408" t="s">
        <v>510</v>
      </c>
      <c r="B72" s="35" t="s">
        <v>66</v>
      </c>
      <c r="C72" s="414">
        <f t="shared" ref="C72:O72" si="37">SUM(C70:C71)</f>
        <v>208524.54769230768</v>
      </c>
      <c r="D72" s="414">
        <f t="shared" si="37"/>
        <v>202774.69384615385</v>
      </c>
      <c r="E72" s="414">
        <f t="shared" si="37"/>
        <v>216029.02769230772</v>
      </c>
      <c r="F72" s="414">
        <f t="shared" si="37"/>
        <v>205960.78153846154</v>
      </c>
      <c r="G72" s="414">
        <f t="shared" si="37"/>
        <v>209866.62153846154</v>
      </c>
      <c r="H72" s="414">
        <f t="shared" si="37"/>
        <v>229276.4107692308</v>
      </c>
      <c r="I72" s="414">
        <f t="shared" si="37"/>
        <v>233678.21692307692</v>
      </c>
      <c r="J72" s="414">
        <f t="shared" si="37"/>
        <v>240385.66153846154</v>
      </c>
      <c r="K72" s="414">
        <f t="shared" si="37"/>
        <v>232430.70461538463</v>
      </c>
      <c r="L72" s="414">
        <f t="shared" si="37"/>
        <v>237029.42153846152</v>
      </c>
      <c r="M72" s="414">
        <f t="shared" si="37"/>
        <v>219396.10923076922</v>
      </c>
      <c r="N72" s="414">
        <f t="shared" si="37"/>
        <v>212683.40461538458</v>
      </c>
      <c r="O72" s="414">
        <f t="shared" si="37"/>
        <v>2648035.6015384616</v>
      </c>
      <c r="R72" s="43">
        <f>SUM(R70:R71)</f>
        <v>0</v>
      </c>
    </row>
    <row r="74" spans="1:19">
      <c r="A74" s="19"/>
      <c r="B74" s="35" t="s">
        <v>514</v>
      </c>
    </row>
    <row r="75" spans="1:19">
      <c r="B75" s="408" t="s">
        <v>511</v>
      </c>
      <c r="C75" s="415">
        <f>('REVRUNS 12ME1219'!D359+'REVRUNS 12ME1219'!D366)/0.5</f>
        <v>18226.46</v>
      </c>
      <c r="D75" s="415">
        <f>('REVRUNS 12ME1219'!E359+'REVRUNS 12ME1219'!E366)/0.5</f>
        <v>17336.36</v>
      </c>
      <c r="E75" s="415">
        <f>('REVRUNS 12ME1219'!F359+'REVRUNS 12ME1219'!F366)/0.5</f>
        <v>16984.3</v>
      </c>
      <c r="F75" s="415">
        <f>('REVRUNS 12ME1219'!G359+'REVRUNS 12ME1219'!G366)/0.5</f>
        <v>18368.88</v>
      </c>
      <c r="G75" s="415">
        <f>('REVRUNS 12ME1219'!H359+'REVRUNS 12ME1219'!H366)/0.5</f>
        <v>20140.580000000002</v>
      </c>
      <c r="H75" s="415">
        <f>('REVRUNS 12ME1219'!I359+'REVRUNS 12ME1219'!I366)/0.5</f>
        <v>21872.62</v>
      </c>
      <c r="I75" s="415">
        <f>('REVRUNS 12ME1219'!J359+'REVRUNS 12ME1219'!J366)/0.5</f>
        <v>24412.9</v>
      </c>
      <c r="J75" s="415">
        <f>('REVRUNS 12ME1219'!K359+'REVRUNS 12ME1219'!K366)/0.5</f>
        <v>23655.34</v>
      </c>
      <c r="K75" s="415">
        <f>('REVRUNS 12ME1219'!L359+'REVRUNS 12ME1219'!L366)/0.5</f>
        <v>24940.6</v>
      </c>
      <c r="L75" s="415">
        <f>('REVRUNS 12ME1219'!M359+'REVRUNS 12ME1219'!M366)/0.5</f>
        <v>23026.719999999998</v>
      </c>
      <c r="M75" s="415">
        <f>('REVRUNS 12ME1219'!N359+'REVRUNS 12ME1219'!N366)/0.5</f>
        <v>22253.040000000001</v>
      </c>
      <c r="N75" s="415">
        <f>('REVRUNS 12ME1219'!O359+'REVRUNS 12ME1219'!O366)/0.5</f>
        <v>21367.08</v>
      </c>
      <c r="O75" s="412">
        <f>SUM(C75:N75)</f>
        <v>252584.88</v>
      </c>
      <c r="R75" s="43">
        <v>0</v>
      </c>
    </row>
    <row r="76" spans="1:19">
      <c r="B76" s="408" t="s">
        <v>512</v>
      </c>
      <c r="C76" s="420">
        <v>0.5</v>
      </c>
      <c r="D76" s="420">
        <v>0.5</v>
      </c>
      <c r="E76" s="420">
        <v>0.5</v>
      </c>
      <c r="F76" s="420">
        <v>0.5</v>
      </c>
      <c r="G76" s="420">
        <v>0.5</v>
      </c>
      <c r="H76" s="420">
        <v>0.5</v>
      </c>
      <c r="I76" s="420">
        <v>0.5</v>
      </c>
      <c r="J76" s="420">
        <v>0.5</v>
      </c>
      <c r="K76" s="420">
        <v>0.5</v>
      </c>
      <c r="L76" s="420">
        <v>0.5</v>
      </c>
      <c r="M76" s="420">
        <v>0.5</v>
      </c>
      <c r="N76" s="420">
        <v>0.5</v>
      </c>
      <c r="O76" s="420">
        <v>0.5</v>
      </c>
    </row>
    <row r="77" spans="1:19">
      <c r="B77" s="408" t="s">
        <v>513</v>
      </c>
      <c r="C77" s="417">
        <f t="shared" ref="C77:H77" si="38">C75*C76</f>
        <v>9113.23</v>
      </c>
      <c r="D77" s="417">
        <f t="shared" si="38"/>
        <v>8668.18</v>
      </c>
      <c r="E77" s="417">
        <f t="shared" si="38"/>
        <v>8492.15</v>
      </c>
      <c r="F77" s="417">
        <f t="shared" si="38"/>
        <v>9184.44</v>
      </c>
      <c r="G77" s="417">
        <f t="shared" si="38"/>
        <v>10070.290000000001</v>
      </c>
      <c r="H77" s="417">
        <f t="shared" si="38"/>
        <v>10936.31</v>
      </c>
      <c r="I77" s="417">
        <f>I75*I76</f>
        <v>12206.45</v>
      </c>
      <c r="J77" s="417">
        <f t="shared" ref="J77:O77" si="39">J75*J76</f>
        <v>11827.67</v>
      </c>
      <c r="K77" s="417">
        <f t="shared" si="39"/>
        <v>12470.3</v>
      </c>
      <c r="L77" s="417">
        <f t="shared" si="39"/>
        <v>11513.359999999999</v>
      </c>
      <c r="M77" s="417">
        <f t="shared" si="39"/>
        <v>11126.52</v>
      </c>
      <c r="N77" s="417">
        <f t="shared" si="39"/>
        <v>10683.54</v>
      </c>
      <c r="O77" s="417">
        <f t="shared" si="39"/>
        <v>126292.44</v>
      </c>
      <c r="P77" s="645">
        <f>O77-'REVRUNS 12ME1219'!P359-'REVRUNS 12ME1219'!P366</f>
        <v>-2.3305801732931286E-12</v>
      </c>
    </row>
    <row r="79" spans="1:19">
      <c r="A79" s="19"/>
      <c r="B79" s="35" t="s">
        <v>518</v>
      </c>
    </row>
    <row r="80" spans="1:19">
      <c r="B80" s="408" t="s">
        <v>504</v>
      </c>
      <c r="C80" s="413">
        <f>'REVRUNS 12ME1219'!D173+'REVRUNS 12ME1219'!D186</f>
        <v>1558446.5706799999</v>
      </c>
      <c r="D80" s="413">
        <f>'REVRUNS 12ME1219'!E173+'REVRUNS 12ME1219'!E186</f>
        <v>1621911.9316700001</v>
      </c>
      <c r="E80" s="413">
        <f>'REVRUNS 12ME1219'!F173+'REVRUNS 12ME1219'!F186</f>
        <v>1656268.9913299999</v>
      </c>
      <c r="F80" s="413">
        <f>'REVRUNS 12ME1219'!G173+'REVRUNS 12ME1219'!G186</f>
        <v>1815577.89133</v>
      </c>
      <c r="G80" s="413">
        <f>'REVRUNS 12ME1219'!H173+'REVRUNS 12ME1219'!H186</f>
        <v>3279861.838</v>
      </c>
      <c r="H80" s="413">
        <f>'REVRUNS 12ME1219'!I173+'REVRUNS 12ME1219'!I186</f>
        <v>4298187.57467</v>
      </c>
      <c r="I80" s="413">
        <f>'REVRUNS 12ME1219'!J173+'REVRUNS 12ME1219'!J186</f>
        <v>4736307.7769999998</v>
      </c>
      <c r="J80" s="413">
        <f>'REVRUNS 12ME1219'!K173+'REVRUNS 12ME1219'!K186</f>
        <v>5023006.2288300004</v>
      </c>
      <c r="K80" s="413">
        <f>'REVRUNS 12ME1219'!L173+'REVRUNS 12ME1219'!L186</f>
        <v>4756270.5123399999</v>
      </c>
      <c r="L80" s="413">
        <f>'REVRUNS 12ME1219'!M173+'REVRUNS 12ME1219'!M186</f>
        <v>3386712.2659900002</v>
      </c>
      <c r="M80" s="413">
        <f>'REVRUNS 12ME1219'!N173+'REVRUNS 12ME1219'!N186</f>
        <v>1727064.0085100001</v>
      </c>
      <c r="N80" s="413">
        <f>'REVRUNS 12ME1219'!O173+'REVRUNS 12ME1219'!O186</f>
        <v>1657402.59216</v>
      </c>
      <c r="O80" s="412">
        <f>SUM(C80:N80)</f>
        <v>35517018.182510003</v>
      </c>
      <c r="P80" s="456"/>
      <c r="R80" s="43">
        <v>0</v>
      </c>
      <c r="S80" s="423" t="e">
        <f>R80/$R$83</f>
        <v>#DIV/0!</v>
      </c>
    </row>
    <row r="81" spans="1:19">
      <c r="B81" s="408" t="s">
        <v>505</v>
      </c>
      <c r="C81" s="413">
        <f>'REVRUNS 12ME1219'!D174+'REVRUNS 12ME1219'!D187</f>
        <v>475843.11300000001</v>
      </c>
      <c r="D81" s="413">
        <f>'REVRUNS 12ME1219'!E174+'REVRUNS 12ME1219'!E187</f>
        <v>469665.33632999996</v>
      </c>
      <c r="E81" s="413">
        <f>'REVRUNS 12ME1219'!F174+'REVRUNS 12ME1219'!F187</f>
        <v>511613.42466999998</v>
      </c>
      <c r="F81" s="413">
        <f>'REVRUNS 12ME1219'!G174+'REVRUNS 12ME1219'!G187</f>
        <v>494263.28399999999</v>
      </c>
      <c r="G81" s="413">
        <f>'REVRUNS 12ME1219'!H174+'REVRUNS 12ME1219'!H187</f>
        <v>1062983.3330000001</v>
      </c>
      <c r="H81" s="413">
        <f>'REVRUNS 12ME1219'!I174+'REVRUNS 12ME1219'!I187</f>
        <v>1484354.34133</v>
      </c>
      <c r="I81" s="413">
        <f>'REVRUNS 12ME1219'!J174+'REVRUNS 12ME1219'!J187</f>
        <v>1735717.5549999999</v>
      </c>
      <c r="J81" s="413">
        <f>'REVRUNS 12ME1219'!K174+'REVRUNS 12ME1219'!K187</f>
        <v>1767781.1459999999</v>
      </c>
      <c r="K81" s="413">
        <f>'REVRUNS 12ME1219'!L174+'REVRUNS 12ME1219'!L187</f>
        <v>1599467.4870000002</v>
      </c>
      <c r="L81" s="413">
        <f>'REVRUNS 12ME1219'!M174+'REVRUNS 12ME1219'!M187</f>
        <v>780886.32366999995</v>
      </c>
      <c r="M81" s="413">
        <f>'REVRUNS 12ME1219'!N174+'REVRUNS 12ME1219'!N187</f>
        <v>421693.76432000002</v>
      </c>
      <c r="N81" s="413">
        <f>'REVRUNS 12ME1219'!O174+'REVRUNS 12ME1219'!O187</f>
        <v>469450.41933999996</v>
      </c>
      <c r="O81" s="412">
        <f>SUM(C81:N81)</f>
        <v>11273719.527659997</v>
      </c>
      <c r="P81" s="456"/>
      <c r="R81" s="43">
        <v>0</v>
      </c>
      <c r="S81" s="423" t="e">
        <f>R81/$R$83</f>
        <v>#DIV/0!</v>
      </c>
    </row>
    <row r="82" spans="1:19">
      <c r="B82" s="408" t="s">
        <v>516</v>
      </c>
      <c r="C82" s="413">
        <f>'REVRUNS 12ME1219'!D175+'REVRUNS 12ME1219'!D188+'REVRUNS 12ME1219'!D161</f>
        <v>2333522.90032</v>
      </c>
      <c r="D82" s="413">
        <f>'REVRUNS 12ME1219'!E175+'REVRUNS 12ME1219'!E188+'REVRUNS 12ME1219'!E161</f>
        <v>2085330.9269999999</v>
      </c>
      <c r="E82" s="413">
        <f>'REVRUNS 12ME1219'!F175+'REVRUNS 12ME1219'!F188+'REVRUNS 12ME1219'!F161</f>
        <v>2231464.571</v>
      </c>
      <c r="F82" s="413">
        <f>'REVRUNS 12ME1219'!G175+'REVRUNS 12ME1219'!G188+'REVRUNS 12ME1219'!G161</f>
        <v>2305842.4046699996</v>
      </c>
      <c r="G82" s="413">
        <f>'REVRUNS 12ME1219'!H175+'REVRUNS 12ME1219'!H188+'REVRUNS 12ME1219'!H161</f>
        <v>7579181.0899999999</v>
      </c>
      <c r="H82" s="413">
        <f>'REVRUNS 12ME1219'!I175+'REVRUNS 12ME1219'!I188+'REVRUNS 12ME1219'!I161</f>
        <v>12758070.550000001</v>
      </c>
      <c r="I82" s="413">
        <f>'REVRUNS 12ME1219'!J175+'REVRUNS 12ME1219'!J188+'REVRUNS 12ME1219'!J161</f>
        <v>16855941.529999997</v>
      </c>
      <c r="J82" s="413">
        <f>'REVRUNS 12ME1219'!K175+'REVRUNS 12ME1219'!K188+'REVRUNS 12ME1219'!K161</f>
        <v>18315605.148170002</v>
      </c>
      <c r="K82" s="413">
        <f>'REVRUNS 12ME1219'!L175+'REVRUNS 12ME1219'!L188+'REVRUNS 12ME1219'!L161</f>
        <v>17926584.969659999</v>
      </c>
      <c r="L82" s="413">
        <f>'REVRUNS 12ME1219'!M175+'REVRUNS 12ME1219'!M188+'REVRUNS 12ME1219'!M161</f>
        <v>6156277.4933400005</v>
      </c>
      <c r="M82" s="413">
        <f>'REVRUNS 12ME1219'!N175+'REVRUNS 12ME1219'!N188+'REVRUNS 12ME1219'!N161</f>
        <v>2047937.3311699999</v>
      </c>
      <c r="N82" s="413">
        <f>'REVRUNS 12ME1219'!O175+'REVRUNS 12ME1219'!O188+'REVRUNS 12ME1219'!O161</f>
        <v>2173482.4165000003</v>
      </c>
      <c r="O82" s="412">
        <f>SUM(C82:N82)</f>
        <v>92769241.331829995</v>
      </c>
      <c r="P82" s="456"/>
      <c r="R82" s="422">
        <v>0</v>
      </c>
      <c r="S82" s="424" t="e">
        <f>R82/$R$83</f>
        <v>#DIV/0!</v>
      </c>
    </row>
    <row r="83" spans="1:19">
      <c r="A83" s="408" t="s">
        <v>506</v>
      </c>
      <c r="B83" s="35" t="s">
        <v>66</v>
      </c>
      <c r="C83" s="39">
        <f t="shared" ref="C83:O83" si="40">SUM(C80:C82)</f>
        <v>4367812.5839999998</v>
      </c>
      <c r="D83" s="39">
        <f t="shared" si="40"/>
        <v>4176908.1950000003</v>
      </c>
      <c r="E83" s="39">
        <f t="shared" si="40"/>
        <v>4399346.9869999997</v>
      </c>
      <c r="F83" s="39">
        <f t="shared" si="40"/>
        <v>4615683.58</v>
      </c>
      <c r="G83" s="39">
        <f t="shared" si="40"/>
        <v>11922026.261</v>
      </c>
      <c r="H83" s="39">
        <f t="shared" si="40"/>
        <v>18540612.466000002</v>
      </c>
      <c r="I83" s="39">
        <f t="shared" si="40"/>
        <v>23327966.861999996</v>
      </c>
      <c r="J83" s="39">
        <f t="shared" si="40"/>
        <v>25106392.523000002</v>
      </c>
      <c r="K83" s="39">
        <f t="shared" si="40"/>
        <v>24282322.968999997</v>
      </c>
      <c r="L83" s="39">
        <f t="shared" si="40"/>
        <v>10323876.083000001</v>
      </c>
      <c r="M83" s="39">
        <f t="shared" si="40"/>
        <v>4196695.1040000003</v>
      </c>
      <c r="N83" s="39">
        <f t="shared" si="40"/>
        <v>4300335.4280000003</v>
      </c>
      <c r="O83" s="39">
        <f t="shared" si="40"/>
        <v>139559979.042</v>
      </c>
      <c r="P83" s="456"/>
      <c r="R83" s="43">
        <f>SUM(R80:R82)</f>
        <v>0</v>
      </c>
      <c r="S83" s="85" t="e">
        <f>SUM(S80:S82)</f>
        <v>#DIV/0!</v>
      </c>
    </row>
    <row r="84" spans="1:19">
      <c r="B84" s="408" t="s">
        <v>95</v>
      </c>
      <c r="C84" s="548">
        <f>'REVRUNS 12ME1219'!D286</f>
        <v>4367812.5839999998</v>
      </c>
      <c r="D84" s="548">
        <f>'REVRUNS 12ME1219'!E286</f>
        <v>4176908.1949999998</v>
      </c>
      <c r="E84" s="548">
        <f>'REVRUNS 12ME1219'!F286</f>
        <v>4399346.9869999997</v>
      </c>
      <c r="F84" s="548">
        <f>'REVRUNS 12ME1219'!G286</f>
        <v>4615683.58</v>
      </c>
      <c r="G84" s="548">
        <f>'REVRUNS 12ME1219'!H286</f>
        <v>11922026.261</v>
      </c>
      <c r="H84" s="548">
        <f>'REVRUNS 12ME1219'!I286</f>
        <v>18540612.465999998</v>
      </c>
      <c r="I84" s="548">
        <f>'REVRUNS 12ME1219'!J286</f>
        <v>23327966.862</v>
      </c>
      <c r="J84" s="548">
        <f>'REVRUNS 12ME1219'!K286</f>
        <v>25106392.523000002</v>
      </c>
      <c r="K84" s="548">
        <f>'REVRUNS 12ME1219'!L286</f>
        <v>24282322.969000001</v>
      </c>
      <c r="L84" s="548">
        <f>'REVRUNS 12ME1219'!M286</f>
        <v>10323876.083000001</v>
      </c>
      <c r="M84" s="548">
        <f>'REVRUNS 12ME1219'!N286</f>
        <v>4196695.1040000003</v>
      </c>
      <c r="N84" s="548">
        <f>'REVRUNS 12ME1219'!O286</f>
        <v>4300335.4280000003</v>
      </c>
      <c r="O84" s="412">
        <f>SUM(C84:N84)</f>
        <v>139559979.042</v>
      </c>
    </row>
    <row r="85" spans="1:19">
      <c r="C85" s="43">
        <f t="shared" ref="C85:N85" si="41">C84-C83</f>
        <v>0</v>
      </c>
      <c r="D85" s="43">
        <f t="shared" si="41"/>
        <v>0</v>
      </c>
      <c r="E85" s="43">
        <f t="shared" si="41"/>
        <v>0</v>
      </c>
      <c r="F85" s="43">
        <f t="shared" si="41"/>
        <v>0</v>
      </c>
      <c r="G85" s="43">
        <f t="shared" si="41"/>
        <v>0</v>
      </c>
      <c r="H85" s="43">
        <f t="shared" si="41"/>
        <v>0</v>
      </c>
      <c r="I85" s="43">
        <f t="shared" si="41"/>
        <v>0</v>
      </c>
      <c r="J85" s="307">
        <f t="shared" si="41"/>
        <v>0</v>
      </c>
      <c r="K85" s="43">
        <f t="shared" si="41"/>
        <v>0</v>
      </c>
      <c r="L85" s="43">
        <f t="shared" si="41"/>
        <v>0</v>
      </c>
      <c r="M85" s="43">
        <f t="shared" si="41"/>
        <v>0</v>
      </c>
      <c r="N85" s="43">
        <f t="shared" si="41"/>
        <v>0</v>
      </c>
      <c r="O85" s="412">
        <f>SUM(C85:N85)</f>
        <v>0</v>
      </c>
      <c r="P85" s="416">
        <f>O85/O84</f>
        <v>0</v>
      </c>
    </row>
    <row r="86" spans="1:19">
      <c r="C86" s="43"/>
      <c r="D86" s="43"/>
      <c r="E86" s="43"/>
      <c r="F86" s="43"/>
      <c r="G86" s="43"/>
      <c r="H86" s="43"/>
      <c r="I86" s="43"/>
      <c r="J86" s="307"/>
      <c r="K86" s="43"/>
      <c r="L86" s="43"/>
      <c r="M86" s="43"/>
      <c r="N86" s="43"/>
      <c r="O86" s="412"/>
      <c r="P86" s="416"/>
    </row>
    <row r="87" spans="1:19">
      <c r="B87" s="408" t="s">
        <v>504</v>
      </c>
      <c r="C87" s="418">
        <f>(C80/C$83)*C$85</f>
        <v>0</v>
      </c>
      <c r="D87" s="418">
        <f t="shared" ref="D87:N87" si="42">(D80/D$83)*D$85</f>
        <v>0</v>
      </c>
      <c r="E87" s="418">
        <f t="shared" si="42"/>
        <v>0</v>
      </c>
      <c r="F87" s="418">
        <f t="shared" si="42"/>
        <v>0</v>
      </c>
      <c r="G87" s="418">
        <f t="shared" si="42"/>
        <v>0</v>
      </c>
      <c r="H87" s="418">
        <f t="shared" si="42"/>
        <v>0</v>
      </c>
      <c r="I87" s="418">
        <f t="shared" si="42"/>
        <v>0</v>
      </c>
      <c r="J87" s="418">
        <f t="shared" si="42"/>
        <v>0</v>
      </c>
      <c r="K87" s="418">
        <f t="shared" si="42"/>
        <v>0</v>
      </c>
      <c r="L87" s="418">
        <f>(L80/L$83)*L$85</f>
        <v>0</v>
      </c>
      <c r="M87" s="418">
        <f t="shared" si="42"/>
        <v>0</v>
      </c>
      <c r="N87" s="418">
        <f t="shared" si="42"/>
        <v>0</v>
      </c>
      <c r="O87" s="418">
        <f>SUM(C87:N87)</f>
        <v>0</v>
      </c>
      <c r="P87" s="416"/>
    </row>
    <row r="88" spans="1:19">
      <c r="B88" s="408" t="s">
        <v>505</v>
      </c>
      <c r="C88" s="418">
        <f t="shared" ref="C88:N89" si="43">(C81/C$83)*C$85</f>
        <v>0</v>
      </c>
      <c r="D88" s="418">
        <f t="shared" si="43"/>
        <v>0</v>
      </c>
      <c r="E88" s="418">
        <f t="shared" si="43"/>
        <v>0</v>
      </c>
      <c r="F88" s="418">
        <f t="shared" si="43"/>
        <v>0</v>
      </c>
      <c r="G88" s="418">
        <f t="shared" si="43"/>
        <v>0</v>
      </c>
      <c r="H88" s="418">
        <f t="shared" si="43"/>
        <v>0</v>
      </c>
      <c r="I88" s="418">
        <f t="shared" si="43"/>
        <v>0</v>
      </c>
      <c r="J88" s="418">
        <f t="shared" si="43"/>
        <v>0</v>
      </c>
      <c r="K88" s="418">
        <f t="shared" si="43"/>
        <v>0</v>
      </c>
      <c r="L88" s="418">
        <f t="shared" si="43"/>
        <v>0</v>
      </c>
      <c r="M88" s="418">
        <f t="shared" si="43"/>
        <v>0</v>
      </c>
      <c r="N88" s="418">
        <f t="shared" si="43"/>
        <v>0</v>
      </c>
      <c r="O88" s="418">
        <f>SUM(C88:N88)</f>
        <v>0</v>
      </c>
      <c r="P88" s="416"/>
    </row>
    <row r="89" spans="1:19">
      <c r="B89" s="408" t="s">
        <v>516</v>
      </c>
      <c r="C89" s="419">
        <f t="shared" si="43"/>
        <v>0</v>
      </c>
      <c r="D89" s="419">
        <f t="shared" si="43"/>
        <v>0</v>
      </c>
      <c r="E89" s="419">
        <f t="shared" si="43"/>
        <v>0</v>
      </c>
      <c r="F89" s="419">
        <f t="shared" si="43"/>
        <v>0</v>
      </c>
      <c r="G89" s="419">
        <f t="shared" si="43"/>
        <v>0</v>
      </c>
      <c r="H89" s="419">
        <f t="shared" si="43"/>
        <v>0</v>
      </c>
      <c r="I89" s="419">
        <f t="shared" si="43"/>
        <v>0</v>
      </c>
      <c r="J89" s="419">
        <f t="shared" si="43"/>
        <v>0</v>
      </c>
      <c r="K89" s="419">
        <f t="shared" si="43"/>
        <v>0</v>
      </c>
      <c r="L89" s="419">
        <f t="shared" si="43"/>
        <v>0</v>
      </c>
      <c r="M89" s="419">
        <f t="shared" si="43"/>
        <v>0</v>
      </c>
      <c r="N89" s="419">
        <f t="shared" si="43"/>
        <v>0</v>
      </c>
      <c r="O89" s="419">
        <f>SUM(C89:N89)</f>
        <v>0</v>
      </c>
      <c r="P89" s="416"/>
    </row>
    <row r="90" spans="1:19">
      <c r="C90" s="418">
        <f t="shared" ref="C90:O90" si="44">SUM(C87:C89)</f>
        <v>0</v>
      </c>
      <c r="D90" s="418">
        <f t="shared" si="44"/>
        <v>0</v>
      </c>
      <c r="E90" s="418">
        <f t="shared" si="44"/>
        <v>0</v>
      </c>
      <c r="F90" s="418">
        <f t="shared" si="44"/>
        <v>0</v>
      </c>
      <c r="G90" s="418">
        <f t="shared" si="44"/>
        <v>0</v>
      </c>
      <c r="H90" s="418">
        <f t="shared" si="44"/>
        <v>0</v>
      </c>
      <c r="I90" s="418">
        <f t="shared" si="44"/>
        <v>0</v>
      </c>
      <c r="J90" s="418">
        <f t="shared" si="44"/>
        <v>0</v>
      </c>
      <c r="K90" s="418">
        <f t="shared" si="44"/>
        <v>0</v>
      </c>
      <c r="L90" s="418">
        <f t="shared" si="44"/>
        <v>0</v>
      </c>
      <c r="M90" s="418">
        <f t="shared" si="44"/>
        <v>0</v>
      </c>
      <c r="N90" s="418">
        <f t="shared" si="44"/>
        <v>0</v>
      </c>
      <c r="O90" s="418">
        <f t="shared" si="44"/>
        <v>0</v>
      </c>
      <c r="P90" s="416"/>
    </row>
    <row r="91" spans="1:19">
      <c r="C91" s="418"/>
      <c r="D91" s="418"/>
      <c r="E91" s="418"/>
      <c r="F91" s="418"/>
      <c r="G91" s="418"/>
      <c r="H91" s="418"/>
      <c r="I91" s="418"/>
      <c r="J91" s="418"/>
      <c r="K91" s="418"/>
      <c r="L91" s="418"/>
      <c r="M91" s="418"/>
      <c r="N91" s="418"/>
      <c r="O91" s="418"/>
      <c r="P91" s="416"/>
    </row>
    <row r="92" spans="1:19">
      <c r="B92" s="408" t="s">
        <v>504</v>
      </c>
      <c r="C92" s="418">
        <f>C80+C87</f>
        <v>1558446.5706799999</v>
      </c>
      <c r="D92" s="418">
        <f t="shared" ref="D92:N92" si="45">D80+D87</f>
        <v>1621911.9316700001</v>
      </c>
      <c r="E92" s="418">
        <f t="shared" si="45"/>
        <v>1656268.9913299999</v>
      </c>
      <c r="F92" s="418">
        <f t="shared" si="45"/>
        <v>1815577.89133</v>
      </c>
      <c r="G92" s="418">
        <f t="shared" si="45"/>
        <v>3279861.838</v>
      </c>
      <c r="H92" s="418">
        <f t="shared" si="45"/>
        <v>4298187.57467</v>
      </c>
      <c r="I92" s="418">
        <f t="shared" si="45"/>
        <v>4736307.7769999998</v>
      </c>
      <c r="J92" s="418">
        <f t="shared" si="45"/>
        <v>5023006.2288300004</v>
      </c>
      <c r="K92" s="418">
        <f t="shared" si="45"/>
        <v>4756270.5123399999</v>
      </c>
      <c r="L92" s="418">
        <f>L80+L87</f>
        <v>3386712.2659900002</v>
      </c>
      <c r="M92" s="418">
        <f t="shared" si="45"/>
        <v>1727064.0085100001</v>
      </c>
      <c r="N92" s="418">
        <f t="shared" si="45"/>
        <v>1657402.59216</v>
      </c>
      <c r="O92" s="418">
        <f>SUM(C92:N92)</f>
        <v>35517018.182510003</v>
      </c>
      <c r="P92" s="416">
        <f>O92/$O$95</f>
        <v>0.25449285981779424</v>
      </c>
    </row>
    <row r="93" spans="1:19">
      <c r="B93" s="408" t="s">
        <v>505</v>
      </c>
      <c r="C93" s="418">
        <f t="shared" ref="C93:N94" si="46">C81+C88</f>
        <v>475843.11300000001</v>
      </c>
      <c r="D93" s="418">
        <f t="shared" si="46"/>
        <v>469665.33632999996</v>
      </c>
      <c r="E93" s="418">
        <f t="shared" si="46"/>
        <v>511613.42466999998</v>
      </c>
      <c r="F93" s="418">
        <f t="shared" si="46"/>
        <v>494263.28399999999</v>
      </c>
      <c r="G93" s="418">
        <f t="shared" si="46"/>
        <v>1062983.3330000001</v>
      </c>
      <c r="H93" s="418">
        <f t="shared" si="46"/>
        <v>1484354.34133</v>
      </c>
      <c r="I93" s="418">
        <f t="shared" si="46"/>
        <v>1735717.5549999999</v>
      </c>
      <c r="J93" s="418">
        <f t="shared" si="46"/>
        <v>1767781.1459999999</v>
      </c>
      <c r="K93" s="418">
        <f t="shared" si="46"/>
        <v>1599467.4870000002</v>
      </c>
      <c r="L93" s="418">
        <f t="shared" si="46"/>
        <v>780886.32366999995</v>
      </c>
      <c r="M93" s="418">
        <f t="shared" si="46"/>
        <v>421693.76432000002</v>
      </c>
      <c r="N93" s="418">
        <f t="shared" si="46"/>
        <v>469450.41933999996</v>
      </c>
      <c r="O93" s="418">
        <f>SUM(C93:N93)</f>
        <v>11273719.527659997</v>
      </c>
      <c r="P93" s="416">
        <f>O93/$O$95</f>
        <v>8.0780461598286848E-2</v>
      </c>
    </row>
    <row r="94" spans="1:19">
      <c r="B94" s="408" t="s">
        <v>516</v>
      </c>
      <c r="C94" s="419">
        <f t="shared" si="46"/>
        <v>2333522.90032</v>
      </c>
      <c r="D94" s="419">
        <f t="shared" si="46"/>
        <v>2085330.9269999999</v>
      </c>
      <c r="E94" s="419">
        <f t="shared" si="46"/>
        <v>2231464.571</v>
      </c>
      <c r="F94" s="419">
        <f t="shared" si="46"/>
        <v>2305842.4046699996</v>
      </c>
      <c r="G94" s="419">
        <f t="shared" si="46"/>
        <v>7579181.0899999999</v>
      </c>
      <c r="H94" s="419">
        <f t="shared" si="46"/>
        <v>12758070.550000001</v>
      </c>
      <c r="I94" s="419">
        <f t="shared" si="46"/>
        <v>16855941.529999997</v>
      </c>
      <c r="J94" s="419">
        <f t="shared" si="46"/>
        <v>18315605.148170002</v>
      </c>
      <c r="K94" s="419">
        <f t="shared" si="46"/>
        <v>17926584.969659999</v>
      </c>
      <c r="L94" s="419">
        <f t="shared" si="46"/>
        <v>6156277.4933400005</v>
      </c>
      <c r="M94" s="419">
        <f t="shared" si="46"/>
        <v>2047937.3311699999</v>
      </c>
      <c r="N94" s="419">
        <f t="shared" si="46"/>
        <v>2173482.4165000003</v>
      </c>
      <c r="O94" s="419">
        <f>SUM(C94:N94)</f>
        <v>92769241.331829995</v>
      </c>
      <c r="P94" s="416">
        <f>O94/$O$95</f>
        <v>0.66472667858391898</v>
      </c>
    </row>
    <row r="95" spans="1:19">
      <c r="C95" s="418">
        <f t="shared" ref="C95:O95" si="47">SUM(C92:C94)</f>
        <v>4367812.5839999998</v>
      </c>
      <c r="D95" s="418">
        <f t="shared" si="47"/>
        <v>4176908.1950000003</v>
      </c>
      <c r="E95" s="418">
        <f t="shared" si="47"/>
        <v>4399346.9869999997</v>
      </c>
      <c r="F95" s="418">
        <f t="shared" si="47"/>
        <v>4615683.58</v>
      </c>
      <c r="G95" s="418">
        <f t="shared" si="47"/>
        <v>11922026.261</v>
      </c>
      <c r="H95" s="418">
        <f t="shared" si="47"/>
        <v>18540612.466000002</v>
      </c>
      <c r="I95" s="418">
        <f t="shared" si="47"/>
        <v>23327966.861999996</v>
      </c>
      <c r="J95" s="418">
        <f t="shared" si="47"/>
        <v>25106392.523000002</v>
      </c>
      <c r="K95" s="418">
        <f t="shared" si="47"/>
        <v>24282322.968999997</v>
      </c>
      <c r="L95" s="418">
        <f t="shared" si="47"/>
        <v>10323876.083000001</v>
      </c>
      <c r="M95" s="418">
        <f t="shared" si="47"/>
        <v>4196695.1040000003</v>
      </c>
      <c r="N95" s="418">
        <f t="shared" si="47"/>
        <v>4300335.4280000003</v>
      </c>
      <c r="O95" s="418">
        <f t="shared" si="47"/>
        <v>139559979.042</v>
      </c>
      <c r="P95" s="416">
        <f>O95/$O$95</f>
        <v>1</v>
      </c>
    </row>
    <row r="96" spans="1:19">
      <c r="C96" s="412">
        <f t="shared" ref="C96:O96" si="48">C95-C84</f>
        <v>0</v>
      </c>
      <c r="D96" s="412">
        <f t="shared" si="48"/>
        <v>0</v>
      </c>
      <c r="E96" s="412">
        <f t="shared" si="48"/>
        <v>0</v>
      </c>
      <c r="F96" s="412">
        <f t="shared" si="48"/>
        <v>0</v>
      </c>
      <c r="G96" s="412">
        <f t="shared" si="48"/>
        <v>0</v>
      </c>
      <c r="H96" s="412">
        <f t="shared" si="48"/>
        <v>0</v>
      </c>
      <c r="I96" s="412">
        <f t="shared" si="48"/>
        <v>0</v>
      </c>
      <c r="J96" s="412">
        <f t="shared" si="48"/>
        <v>0</v>
      </c>
      <c r="K96" s="412">
        <f t="shared" si="48"/>
        <v>0</v>
      </c>
      <c r="L96" s="412">
        <f t="shared" si="48"/>
        <v>0</v>
      </c>
      <c r="M96" s="412">
        <f t="shared" si="48"/>
        <v>0</v>
      </c>
      <c r="N96" s="412">
        <f t="shared" si="48"/>
        <v>0</v>
      </c>
      <c r="O96" s="412">
        <f t="shared" si="48"/>
        <v>0</v>
      </c>
      <c r="P96" s="416"/>
    </row>
    <row r="97" spans="1:18">
      <c r="C97" s="43"/>
      <c r="D97" s="43"/>
      <c r="E97" s="43"/>
      <c r="F97" s="43"/>
      <c r="G97" s="43"/>
      <c r="H97" s="43"/>
      <c r="I97" s="43"/>
      <c r="J97" s="307"/>
      <c r="K97" s="43"/>
      <c r="L97" s="43"/>
      <c r="M97" s="43"/>
      <c r="N97" s="43"/>
      <c r="O97" s="412"/>
      <c r="P97" s="416"/>
    </row>
    <row r="98" spans="1:18">
      <c r="A98" s="19"/>
      <c r="B98" s="35" t="s">
        <v>515</v>
      </c>
    </row>
    <row r="99" spans="1:18">
      <c r="B99" s="408" t="s">
        <v>511</v>
      </c>
      <c r="C99" s="415">
        <f>('REVRUNS 12ME1219'!D381+'REVRUNS 12ME1219'!D384+'REVRUNS 12ME1219'!D387)/0.5</f>
        <v>0</v>
      </c>
      <c r="D99" s="415">
        <f>('REVRUNS 12ME1219'!E381+'REVRUNS 12ME1219'!E384+'REVRUNS 12ME1219'!E387)/0.5</f>
        <v>0</v>
      </c>
      <c r="E99" s="415">
        <f>('REVRUNS 12ME1219'!F381+'REVRUNS 12ME1219'!F384+'REVRUNS 12ME1219'!F387)/0.5</f>
        <v>0</v>
      </c>
      <c r="F99" s="415">
        <f>('REVRUNS 12ME1219'!G381+'REVRUNS 12ME1219'!G384+'REVRUNS 12ME1219'!G387)/0.5</f>
        <v>0</v>
      </c>
      <c r="G99" s="415">
        <f>('REVRUNS 12ME1219'!H381+'REVRUNS 12ME1219'!H384+'REVRUNS 12ME1219'!H387)/0.5</f>
        <v>0</v>
      </c>
      <c r="H99" s="415">
        <f>('REVRUNS 12ME1219'!I381+'REVRUNS 12ME1219'!I384+'REVRUNS 12ME1219'!I387)/0.5</f>
        <v>0</v>
      </c>
      <c r="I99" s="415">
        <f>('REVRUNS 12ME1219'!J381+'REVRUNS 12ME1219'!J384+'REVRUNS 12ME1219'!J387)/0.5</f>
        <v>0</v>
      </c>
      <c r="J99" s="415">
        <f>('REVRUNS 12ME1219'!K381+'REVRUNS 12ME1219'!K384+'REVRUNS 12ME1219'!K387)/0.5</f>
        <v>0</v>
      </c>
      <c r="K99" s="415">
        <f>('REVRUNS 12ME1219'!L381+'REVRUNS 12ME1219'!L384+'REVRUNS 12ME1219'!L387)/0.5</f>
        <v>0</v>
      </c>
      <c r="L99" s="415">
        <f>('REVRUNS 12ME1219'!M381+'REVRUNS 12ME1219'!M384+'REVRUNS 12ME1219'!M387)/0.5</f>
        <v>0</v>
      </c>
      <c r="M99" s="415">
        <f>('REVRUNS 12ME1219'!N381+'REVRUNS 12ME1219'!N384+'REVRUNS 12ME1219'!N387)/0.5</f>
        <v>0</v>
      </c>
      <c r="N99" s="415">
        <f>('REVRUNS 12ME1219'!O381+'REVRUNS 12ME1219'!O384+'REVRUNS 12ME1219'!O387)/0.5</f>
        <v>0</v>
      </c>
      <c r="O99" s="412">
        <f>SUM(C99:N99)</f>
        <v>0</v>
      </c>
      <c r="R99" s="43">
        <v>0</v>
      </c>
    </row>
    <row r="100" spans="1:18">
      <c r="B100" s="408" t="s">
        <v>512</v>
      </c>
      <c r="C100" s="417">
        <v>0.5</v>
      </c>
      <c r="D100" s="417">
        <v>0.5</v>
      </c>
      <c r="E100" s="417">
        <v>0.5</v>
      </c>
      <c r="F100" s="417">
        <v>0.5</v>
      </c>
      <c r="G100" s="417">
        <v>0.5</v>
      </c>
      <c r="H100" s="417">
        <v>0.5</v>
      </c>
      <c r="I100" s="417">
        <v>0.5</v>
      </c>
      <c r="J100" s="417">
        <v>0.5</v>
      </c>
      <c r="K100" s="417">
        <v>0.5</v>
      </c>
      <c r="L100" s="417">
        <v>0.5</v>
      </c>
      <c r="M100" s="417">
        <v>0.5</v>
      </c>
      <c r="N100" s="417">
        <v>0.5</v>
      </c>
      <c r="O100" s="417">
        <v>0.5</v>
      </c>
    </row>
    <row r="101" spans="1:18">
      <c r="B101" s="408" t="s">
        <v>513</v>
      </c>
      <c r="C101" s="417">
        <f t="shared" ref="C101:H101" si="49">C99*C100</f>
        <v>0</v>
      </c>
      <c r="D101" s="417">
        <f t="shared" si="49"/>
        <v>0</v>
      </c>
      <c r="E101" s="417">
        <f t="shared" si="49"/>
        <v>0</v>
      </c>
      <c r="F101" s="417">
        <f t="shared" si="49"/>
        <v>0</v>
      </c>
      <c r="G101" s="417">
        <f t="shared" si="49"/>
        <v>0</v>
      </c>
      <c r="H101" s="417">
        <f t="shared" si="49"/>
        <v>0</v>
      </c>
      <c r="I101" s="417">
        <f>I99*I100</f>
        <v>0</v>
      </c>
      <c r="J101" s="417">
        <f t="shared" ref="J101:O101" si="50">J99*J100</f>
        <v>0</v>
      </c>
      <c r="K101" s="417">
        <f t="shared" si="50"/>
        <v>0</v>
      </c>
      <c r="L101" s="417">
        <f t="shared" si="50"/>
        <v>0</v>
      </c>
      <c r="M101" s="417">
        <f t="shared" si="50"/>
        <v>0</v>
      </c>
      <c r="N101" s="417">
        <f t="shared" si="50"/>
        <v>0</v>
      </c>
      <c r="O101" s="417">
        <f t="shared" si="50"/>
        <v>0</v>
      </c>
      <c r="P101" s="645">
        <f>O101-'REVRUNS 12ME1219'!P381-'REVRUNS 12ME1219'!P384-'REVRUNS 12ME1219'!P387</f>
        <v>0</v>
      </c>
    </row>
    <row r="105" spans="1:18">
      <c r="C105" s="159"/>
    </row>
    <row r="106" spans="1:18">
      <c r="C106" s="159"/>
    </row>
    <row r="107" spans="1:18">
      <c r="C107" s="421"/>
    </row>
    <row r="108" spans="1:18">
      <c r="C108" s="421"/>
    </row>
    <row r="109" spans="1:18">
      <c r="C109" s="421"/>
    </row>
    <row r="110" spans="1:18">
      <c r="C110" s="421"/>
    </row>
    <row r="111" spans="1:18">
      <c r="C111" s="421"/>
    </row>
    <row r="112" spans="1:18">
      <c r="C112" s="421"/>
    </row>
    <row r="113" spans="3:3">
      <c r="C113" s="421"/>
    </row>
    <row r="114" spans="3:3">
      <c r="C114" s="159"/>
    </row>
    <row r="115" spans="3:3">
      <c r="C115" s="159"/>
    </row>
  </sheetData>
  <pageMargins left="0.45" right="0.34" top="0.56999999999999995" bottom="2.31" header="0.51"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388"/>
  <sheetViews>
    <sheetView workbookViewId="0">
      <selection activeCell="H66" sqref="H66"/>
    </sheetView>
  </sheetViews>
  <sheetFormatPr defaultRowHeight="13.2"/>
  <cols>
    <col min="1" max="1" width="13.33203125" customWidth="1"/>
    <col min="2" max="2" width="10.5546875" customWidth="1"/>
    <col min="3" max="3" width="11.33203125" bestFit="1" customWidth="1"/>
    <col min="4" max="14" width="12.6640625" bestFit="1" customWidth="1"/>
    <col min="15" max="15" width="16" bestFit="1" customWidth="1"/>
    <col min="16" max="16" width="14.5546875" bestFit="1" customWidth="1"/>
  </cols>
  <sheetData>
    <row r="3" spans="1:16">
      <c r="A3" s="434" t="s">
        <v>912</v>
      </c>
      <c r="B3" s="655"/>
      <c r="C3" s="655"/>
      <c r="D3" s="655"/>
      <c r="E3" s="655"/>
      <c r="F3" s="655"/>
      <c r="G3" s="655"/>
      <c r="H3" s="655"/>
      <c r="I3" s="655"/>
      <c r="J3" s="655"/>
      <c r="K3" s="655"/>
      <c r="L3" s="655"/>
      <c r="M3" s="655"/>
      <c r="N3" s="655"/>
      <c r="O3" s="655"/>
    </row>
    <row r="4" spans="1:16">
      <c r="A4" s="655"/>
      <c r="B4" s="655"/>
      <c r="C4" s="655"/>
      <c r="D4" s="655"/>
      <c r="E4" s="655"/>
      <c r="F4" s="655"/>
      <c r="G4" s="655"/>
      <c r="H4" s="655"/>
      <c r="I4" s="655"/>
      <c r="J4" s="655"/>
      <c r="K4" s="655"/>
      <c r="L4" s="655"/>
      <c r="M4" s="655"/>
      <c r="N4" s="655"/>
      <c r="O4" s="655"/>
    </row>
    <row r="5" spans="1:16">
      <c r="A5" s="655" t="s">
        <v>474</v>
      </c>
      <c r="B5" s="655"/>
      <c r="C5" s="655"/>
      <c r="D5" s="655"/>
      <c r="E5" s="655"/>
      <c r="F5" s="655"/>
      <c r="G5" s="655"/>
      <c r="H5" s="655"/>
      <c r="I5" s="655"/>
      <c r="J5" s="655"/>
      <c r="K5" s="655"/>
      <c r="L5" s="655"/>
      <c r="M5" s="655"/>
      <c r="N5" s="655"/>
      <c r="O5" s="655"/>
    </row>
    <row r="6" spans="1:16">
      <c r="A6" s="655"/>
      <c r="B6" s="655"/>
      <c r="C6" s="655"/>
      <c r="D6" s="655"/>
      <c r="E6" s="655"/>
      <c r="F6" s="655"/>
      <c r="G6" s="655"/>
      <c r="H6" s="655"/>
      <c r="I6" s="655"/>
      <c r="J6" s="655"/>
      <c r="K6" s="655"/>
      <c r="L6" s="655"/>
      <c r="M6" s="655"/>
      <c r="N6" s="655"/>
      <c r="O6" s="655"/>
    </row>
    <row r="7" spans="1:16">
      <c r="A7" s="655"/>
      <c r="B7" s="655"/>
      <c r="C7" s="655" t="s">
        <v>220</v>
      </c>
      <c r="D7" s="655"/>
      <c r="E7" s="655"/>
      <c r="F7" s="655"/>
      <c r="G7" s="655"/>
      <c r="H7" s="655"/>
      <c r="I7" s="655"/>
      <c r="J7" s="655"/>
      <c r="K7" s="655"/>
      <c r="L7" s="655"/>
      <c r="M7" s="655"/>
      <c r="N7" s="655"/>
      <c r="O7" s="655"/>
    </row>
    <row r="8" spans="1:16">
      <c r="A8" s="655"/>
      <c r="B8" s="655" t="s">
        <v>475</v>
      </c>
      <c r="C8" s="655">
        <v>201901</v>
      </c>
      <c r="D8" s="748">
        <v>201902</v>
      </c>
      <c r="E8" s="748">
        <v>201903</v>
      </c>
      <c r="F8" s="748">
        <v>201904</v>
      </c>
      <c r="G8" s="748">
        <v>201905</v>
      </c>
      <c r="H8" s="748">
        <v>201906</v>
      </c>
      <c r="I8" s="748">
        <v>201907</v>
      </c>
      <c r="J8" s="748">
        <v>201908</v>
      </c>
      <c r="K8" s="748">
        <v>201909</v>
      </c>
      <c r="L8" s="748">
        <v>201910</v>
      </c>
      <c r="M8" s="748">
        <v>201911</v>
      </c>
      <c r="N8" s="748">
        <v>201912</v>
      </c>
      <c r="O8" s="655" t="s">
        <v>476</v>
      </c>
      <c r="P8" t="s">
        <v>66</v>
      </c>
    </row>
    <row r="9" spans="1:16">
      <c r="A9" s="655" t="s">
        <v>392</v>
      </c>
      <c r="B9" s="655"/>
      <c r="C9" s="655"/>
      <c r="D9" s="655"/>
      <c r="E9" s="655"/>
      <c r="F9" s="655"/>
      <c r="G9" s="655"/>
      <c r="H9" s="655"/>
      <c r="I9" s="655"/>
      <c r="J9" s="655"/>
      <c r="K9" s="655"/>
      <c r="L9" s="655"/>
      <c r="M9" s="655"/>
      <c r="N9" s="655"/>
      <c r="O9" s="655"/>
    </row>
    <row r="10" spans="1:16">
      <c r="A10" s="655" t="s">
        <v>651</v>
      </c>
      <c r="B10" s="655"/>
      <c r="C10" s="418">
        <v>217684</v>
      </c>
      <c r="D10" s="418">
        <v>211540</v>
      </c>
      <c r="E10" s="418">
        <v>222366</v>
      </c>
      <c r="F10" s="418">
        <v>215628</v>
      </c>
      <c r="G10" s="418">
        <v>219714</v>
      </c>
      <c r="H10" s="418">
        <v>217018</v>
      </c>
      <c r="I10" s="418">
        <v>217513</v>
      </c>
      <c r="J10" s="418">
        <v>218216</v>
      </c>
      <c r="K10" s="418">
        <v>212112</v>
      </c>
      <c r="L10" s="418">
        <v>224928</v>
      </c>
      <c r="M10" s="418">
        <v>219143</v>
      </c>
      <c r="N10" s="418">
        <v>219477</v>
      </c>
      <c r="O10" s="418">
        <f>AVERAGE(C10:N10)</f>
        <v>217944.91666666666</v>
      </c>
      <c r="P10" s="541">
        <f>SUM(C10:N10)</f>
        <v>2615339</v>
      </c>
    </row>
    <row r="11" spans="1:16">
      <c r="A11" s="655" t="s">
        <v>652</v>
      </c>
      <c r="B11" s="655"/>
      <c r="C11" s="418">
        <v>388</v>
      </c>
      <c r="D11" s="418">
        <v>362</v>
      </c>
      <c r="E11" s="418">
        <v>381</v>
      </c>
      <c r="F11" s="418">
        <v>365</v>
      </c>
      <c r="G11" s="418">
        <v>373</v>
      </c>
      <c r="H11" s="418">
        <v>366</v>
      </c>
      <c r="I11" s="418">
        <v>359</v>
      </c>
      <c r="J11" s="418">
        <v>351</v>
      </c>
      <c r="K11" s="418">
        <v>343</v>
      </c>
      <c r="L11" s="418">
        <v>272</v>
      </c>
      <c r="M11" s="418">
        <v>290</v>
      </c>
      <c r="N11" s="418">
        <v>328</v>
      </c>
      <c r="O11" s="418">
        <f t="shared" ref="O11:O31" si="0">AVERAGE(C11:N11)</f>
        <v>348.16666666666669</v>
      </c>
      <c r="P11" s="541">
        <f t="shared" ref="P11:P24" si="1">SUM(C11:N11)</f>
        <v>4178</v>
      </c>
    </row>
    <row r="12" spans="1:16">
      <c r="A12" s="655" t="s">
        <v>653</v>
      </c>
      <c r="B12" s="655"/>
      <c r="C12" s="418">
        <v>22982</v>
      </c>
      <c r="D12" s="418">
        <v>22350</v>
      </c>
      <c r="E12" s="418">
        <v>23346</v>
      </c>
      <c r="F12" s="418">
        <v>22874</v>
      </c>
      <c r="G12" s="418">
        <v>23001</v>
      </c>
      <c r="H12" s="418">
        <v>22905</v>
      </c>
      <c r="I12" s="418">
        <v>22923</v>
      </c>
      <c r="J12" s="418">
        <v>22963</v>
      </c>
      <c r="K12" s="418">
        <v>22548</v>
      </c>
      <c r="L12" s="418">
        <v>23421</v>
      </c>
      <c r="M12" s="418">
        <v>22854</v>
      </c>
      <c r="N12" s="418">
        <v>22937</v>
      </c>
      <c r="O12" s="418">
        <f t="shared" si="0"/>
        <v>22925.333333333332</v>
      </c>
      <c r="P12" s="541">
        <f t="shared" si="1"/>
        <v>275104</v>
      </c>
    </row>
    <row r="13" spans="1:16">
      <c r="A13" s="655" t="s">
        <v>654</v>
      </c>
      <c r="B13" s="655"/>
      <c r="C13" s="418">
        <v>9681</v>
      </c>
      <c r="D13" s="418">
        <v>9412</v>
      </c>
      <c r="E13" s="418">
        <v>9903</v>
      </c>
      <c r="F13" s="418">
        <v>9672</v>
      </c>
      <c r="G13" s="418">
        <v>9767</v>
      </c>
      <c r="H13" s="418">
        <v>9693</v>
      </c>
      <c r="I13" s="418">
        <v>9737</v>
      </c>
      <c r="J13" s="418">
        <v>9768</v>
      </c>
      <c r="K13" s="418">
        <v>9550</v>
      </c>
      <c r="L13" s="418">
        <v>10012</v>
      </c>
      <c r="M13" s="418">
        <v>9706</v>
      </c>
      <c r="N13" s="418">
        <v>9796</v>
      </c>
      <c r="O13" s="418">
        <f t="shared" si="0"/>
        <v>9724.75</v>
      </c>
      <c r="P13" s="541">
        <f t="shared" si="1"/>
        <v>116697</v>
      </c>
    </row>
    <row r="14" spans="1:16">
      <c r="A14" s="655" t="s">
        <v>656</v>
      </c>
      <c r="B14" s="655"/>
      <c r="C14" s="418">
        <v>1860</v>
      </c>
      <c r="D14" s="418">
        <v>1809</v>
      </c>
      <c r="E14" s="418">
        <v>1910</v>
      </c>
      <c r="F14" s="418">
        <v>1865</v>
      </c>
      <c r="G14" s="418">
        <v>1846</v>
      </c>
      <c r="H14" s="418">
        <v>1877</v>
      </c>
      <c r="I14" s="418">
        <v>1876</v>
      </c>
      <c r="J14" s="418">
        <v>1868</v>
      </c>
      <c r="K14" s="418">
        <v>1811</v>
      </c>
      <c r="L14" s="418">
        <v>1920</v>
      </c>
      <c r="M14" s="418">
        <v>1846</v>
      </c>
      <c r="N14" s="418">
        <v>1879</v>
      </c>
      <c r="O14" s="418">
        <f t="shared" si="0"/>
        <v>1863.9166666666667</v>
      </c>
      <c r="P14" s="541">
        <f t="shared" si="1"/>
        <v>22367</v>
      </c>
    </row>
    <row r="15" spans="1:16">
      <c r="A15" s="655" t="s">
        <v>657</v>
      </c>
      <c r="B15" s="655"/>
      <c r="C15" s="418">
        <v>50</v>
      </c>
      <c r="D15" s="418">
        <v>44</v>
      </c>
      <c r="E15" s="418">
        <v>50</v>
      </c>
      <c r="F15" s="418">
        <v>47</v>
      </c>
      <c r="G15" s="418">
        <v>48</v>
      </c>
      <c r="H15" s="418">
        <v>48</v>
      </c>
      <c r="I15" s="418">
        <v>47</v>
      </c>
      <c r="J15" s="418">
        <v>49</v>
      </c>
      <c r="K15" s="418">
        <v>44</v>
      </c>
      <c r="L15" s="418">
        <v>52</v>
      </c>
      <c r="M15" s="418">
        <v>48</v>
      </c>
      <c r="N15" s="418">
        <v>47</v>
      </c>
      <c r="O15" s="418">
        <f t="shared" si="0"/>
        <v>47.833333333333336</v>
      </c>
      <c r="P15" s="541">
        <f t="shared" si="1"/>
        <v>574</v>
      </c>
    </row>
    <row r="16" spans="1:16">
      <c r="A16" s="655" t="s">
        <v>658</v>
      </c>
      <c r="B16" s="655"/>
      <c r="C16" s="418">
        <v>23</v>
      </c>
      <c r="D16" s="418">
        <v>23</v>
      </c>
      <c r="E16" s="418">
        <v>23</v>
      </c>
      <c r="F16" s="418">
        <v>23</v>
      </c>
      <c r="G16" s="418">
        <v>23</v>
      </c>
      <c r="H16" s="418">
        <v>23</v>
      </c>
      <c r="I16" s="418">
        <v>23</v>
      </c>
      <c r="J16" s="418">
        <v>23</v>
      </c>
      <c r="K16" s="418">
        <v>23</v>
      </c>
      <c r="L16" s="418">
        <v>23</v>
      </c>
      <c r="M16" s="418">
        <v>23</v>
      </c>
      <c r="N16" s="418">
        <v>23</v>
      </c>
      <c r="O16" s="418">
        <f t="shared" si="0"/>
        <v>23</v>
      </c>
      <c r="P16" s="541">
        <f t="shared" si="1"/>
        <v>276</v>
      </c>
    </row>
    <row r="17" spans="1:16">
      <c r="A17" s="655" t="s">
        <v>659</v>
      </c>
      <c r="B17" s="655"/>
      <c r="C17" s="418">
        <v>58</v>
      </c>
      <c r="D17" s="418">
        <v>53</v>
      </c>
      <c r="E17" s="418">
        <v>53</v>
      </c>
      <c r="F17" s="418">
        <v>52</v>
      </c>
      <c r="G17" s="418">
        <v>53</v>
      </c>
      <c r="H17" s="418">
        <v>52</v>
      </c>
      <c r="I17" s="418">
        <v>52</v>
      </c>
      <c r="J17" s="418">
        <v>51</v>
      </c>
      <c r="K17" s="418">
        <v>53</v>
      </c>
      <c r="L17" s="418">
        <v>52</v>
      </c>
      <c r="M17" s="418">
        <v>51</v>
      </c>
      <c r="N17" s="418">
        <v>51</v>
      </c>
      <c r="O17" s="418">
        <f t="shared" si="0"/>
        <v>52.583333333333336</v>
      </c>
      <c r="P17" s="541">
        <f t="shared" si="1"/>
        <v>631</v>
      </c>
    </row>
    <row r="18" spans="1:16">
      <c r="A18" s="655" t="s">
        <v>660</v>
      </c>
      <c r="B18" s="655"/>
      <c r="C18" s="418">
        <v>1216</v>
      </c>
      <c r="D18" s="418">
        <v>1170</v>
      </c>
      <c r="E18" s="418">
        <v>1203</v>
      </c>
      <c r="F18" s="418">
        <v>1200</v>
      </c>
      <c r="G18" s="418">
        <v>1209</v>
      </c>
      <c r="H18" s="418">
        <v>1201</v>
      </c>
      <c r="I18" s="418">
        <v>1212</v>
      </c>
      <c r="J18" s="418">
        <v>1198</v>
      </c>
      <c r="K18" s="418">
        <v>1197</v>
      </c>
      <c r="L18" s="418">
        <v>1228</v>
      </c>
      <c r="M18" s="418">
        <v>1180</v>
      </c>
      <c r="N18" s="418">
        <v>1197</v>
      </c>
      <c r="O18" s="418">
        <f t="shared" si="0"/>
        <v>1200.9166666666667</v>
      </c>
      <c r="P18" s="541">
        <f t="shared" si="1"/>
        <v>14411</v>
      </c>
    </row>
    <row r="19" spans="1:16">
      <c r="A19" s="655" t="s">
        <v>661</v>
      </c>
      <c r="B19" s="655"/>
      <c r="C19" s="418">
        <v>1211</v>
      </c>
      <c r="D19" s="418">
        <v>1164</v>
      </c>
      <c r="E19" s="418">
        <v>1218</v>
      </c>
      <c r="F19" s="418">
        <v>1227</v>
      </c>
      <c r="G19" s="418">
        <v>1210</v>
      </c>
      <c r="H19" s="418">
        <v>1204</v>
      </c>
      <c r="I19" s="418">
        <v>1183</v>
      </c>
      <c r="J19" s="418">
        <v>1211</v>
      </c>
      <c r="K19" s="418">
        <v>1200</v>
      </c>
      <c r="L19" s="418">
        <v>1232</v>
      </c>
      <c r="M19" s="418">
        <v>1194</v>
      </c>
      <c r="N19" s="418">
        <v>1196</v>
      </c>
      <c r="O19" s="418">
        <f t="shared" si="0"/>
        <v>1204.1666666666667</v>
      </c>
      <c r="P19" s="541">
        <f t="shared" si="1"/>
        <v>14450</v>
      </c>
    </row>
    <row r="20" spans="1:16">
      <c r="A20" s="655" t="s">
        <v>662</v>
      </c>
      <c r="B20" s="655"/>
      <c r="C20" s="418">
        <v>4</v>
      </c>
      <c r="D20" s="418">
        <v>6</v>
      </c>
      <c r="E20" s="418">
        <v>5</v>
      </c>
      <c r="F20" s="418">
        <v>3</v>
      </c>
      <c r="G20" s="418">
        <v>3</v>
      </c>
      <c r="H20" s="418">
        <v>5</v>
      </c>
      <c r="I20" s="418">
        <v>2</v>
      </c>
      <c r="J20" s="418">
        <v>3</v>
      </c>
      <c r="K20" s="418">
        <v>3</v>
      </c>
      <c r="L20" s="418">
        <v>3</v>
      </c>
      <c r="M20" s="418">
        <v>2</v>
      </c>
      <c r="N20" s="418">
        <v>3</v>
      </c>
      <c r="O20" s="418">
        <f t="shared" si="0"/>
        <v>3.5</v>
      </c>
      <c r="P20" s="541">
        <f t="shared" si="1"/>
        <v>42</v>
      </c>
    </row>
    <row r="21" spans="1:16">
      <c r="A21" s="655" t="s">
        <v>663</v>
      </c>
      <c r="B21" s="655"/>
      <c r="C21" s="418">
        <v>352</v>
      </c>
      <c r="D21" s="418">
        <v>358</v>
      </c>
      <c r="E21" s="418">
        <v>358</v>
      </c>
      <c r="F21" s="418">
        <v>356</v>
      </c>
      <c r="G21" s="418">
        <v>363</v>
      </c>
      <c r="H21" s="418">
        <v>363</v>
      </c>
      <c r="I21" s="418">
        <v>369</v>
      </c>
      <c r="J21" s="418">
        <v>370</v>
      </c>
      <c r="K21" s="418">
        <v>370</v>
      </c>
      <c r="L21" s="418">
        <v>373</v>
      </c>
      <c r="M21" s="418">
        <v>379</v>
      </c>
      <c r="N21" s="418">
        <v>390</v>
      </c>
      <c r="O21" s="418">
        <f t="shared" si="0"/>
        <v>366.75</v>
      </c>
      <c r="P21" s="541">
        <f t="shared" si="1"/>
        <v>4401</v>
      </c>
    </row>
    <row r="22" spans="1:16">
      <c r="A22" s="655" t="s">
        <v>664</v>
      </c>
      <c r="B22" s="655"/>
      <c r="C22" s="418">
        <v>12</v>
      </c>
      <c r="D22" s="418">
        <v>12</v>
      </c>
      <c r="E22" s="418">
        <v>12</v>
      </c>
      <c r="F22" s="418">
        <v>12</v>
      </c>
      <c r="G22" s="418">
        <v>12</v>
      </c>
      <c r="H22" s="418">
        <v>12</v>
      </c>
      <c r="I22" s="418">
        <v>12</v>
      </c>
      <c r="J22" s="418">
        <v>12</v>
      </c>
      <c r="K22" s="418">
        <v>12</v>
      </c>
      <c r="L22" s="418">
        <v>12</v>
      </c>
      <c r="M22" s="418">
        <v>12</v>
      </c>
      <c r="N22" s="418">
        <v>12</v>
      </c>
      <c r="O22" s="418">
        <f t="shared" si="0"/>
        <v>12</v>
      </c>
      <c r="P22" s="541">
        <f t="shared" si="1"/>
        <v>144</v>
      </c>
    </row>
    <row r="23" spans="1:16">
      <c r="A23" s="655" t="s">
        <v>665</v>
      </c>
      <c r="B23" s="655"/>
      <c r="C23" s="418">
        <v>9</v>
      </c>
      <c r="D23" s="418">
        <v>9</v>
      </c>
      <c r="E23" s="418">
        <v>9</v>
      </c>
      <c r="F23" s="418">
        <v>9</v>
      </c>
      <c r="G23" s="418">
        <v>9</v>
      </c>
      <c r="H23" s="418">
        <v>9</v>
      </c>
      <c r="I23" s="418">
        <v>9</v>
      </c>
      <c r="J23" s="418">
        <v>9</v>
      </c>
      <c r="K23" s="418">
        <v>9</v>
      </c>
      <c r="L23" s="418">
        <v>9</v>
      </c>
      <c r="M23" s="418">
        <v>9</v>
      </c>
      <c r="N23" s="418">
        <v>9</v>
      </c>
      <c r="O23" s="418">
        <f t="shared" si="0"/>
        <v>9</v>
      </c>
      <c r="P23" s="541">
        <f t="shared" si="1"/>
        <v>108</v>
      </c>
    </row>
    <row r="24" spans="1:16">
      <c r="A24" s="655" t="s">
        <v>666</v>
      </c>
      <c r="B24" s="655"/>
      <c r="C24" s="418">
        <v>49</v>
      </c>
      <c r="D24" s="418">
        <v>49</v>
      </c>
      <c r="E24" s="418">
        <v>48</v>
      </c>
      <c r="F24" s="418">
        <v>50</v>
      </c>
      <c r="G24" s="418">
        <v>49</v>
      </c>
      <c r="H24" s="418">
        <v>49</v>
      </c>
      <c r="I24" s="418">
        <v>49</v>
      </c>
      <c r="J24" s="418">
        <v>49</v>
      </c>
      <c r="K24" s="418">
        <v>49</v>
      </c>
      <c r="L24" s="418">
        <v>49</v>
      </c>
      <c r="M24" s="418">
        <v>49</v>
      </c>
      <c r="N24" s="418">
        <v>49</v>
      </c>
      <c r="O24" s="418">
        <f t="shared" si="0"/>
        <v>49</v>
      </c>
      <c r="P24" s="541">
        <f t="shared" si="1"/>
        <v>588</v>
      </c>
    </row>
    <row r="25" spans="1:16">
      <c r="A25" s="655" t="s">
        <v>667</v>
      </c>
      <c r="B25" s="655"/>
      <c r="C25" s="418">
        <v>0</v>
      </c>
      <c r="D25" s="418">
        <v>0</v>
      </c>
      <c r="E25" s="418">
        <v>0</v>
      </c>
      <c r="F25" s="418">
        <v>0</v>
      </c>
      <c r="G25" s="418">
        <v>0</v>
      </c>
      <c r="H25" s="418">
        <v>0</v>
      </c>
      <c r="I25" s="418">
        <v>0</v>
      </c>
      <c r="J25" s="418">
        <v>0</v>
      </c>
      <c r="K25" s="418">
        <v>0</v>
      </c>
      <c r="L25" s="418">
        <v>0</v>
      </c>
      <c r="M25" s="418">
        <v>0</v>
      </c>
      <c r="N25" s="418">
        <v>0</v>
      </c>
      <c r="O25" s="418">
        <f t="shared" si="0"/>
        <v>0</v>
      </c>
    </row>
    <row r="26" spans="1:16">
      <c r="A26" s="655" t="s">
        <v>668</v>
      </c>
      <c r="B26" s="655"/>
      <c r="C26" s="418">
        <v>0</v>
      </c>
      <c r="D26" s="418">
        <v>0</v>
      </c>
      <c r="E26" s="418">
        <v>0</v>
      </c>
      <c r="F26" s="418">
        <v>0</v>
      </c>
      <c r="G26" s="418">
        <v>0</v>
      </c>
      <c r="H26" s="418">
        <v>0</v>
      </c>
      <c r="I26" s="418">
        <v>0</v>
      </c>
      <c r="J26" s="418">
        <v>0</v>
      </c>
      <c r="K26" s="418">
        <v>0</v>
      </c>
      <c r="L26" s="418">
        <v>0</v>
      </c>
      <c r="M26" s="418">
        <v>0</v>
      </c>
      <c r="N26" s="418">
        <v>0</v>
      </c>
      <c r="O26" s="418">
        <f t="shared" si="0"/>
        <v>0</v>
      </c>
    </row>
    <row r="27" spans="1:16">
      <c r="A27" s="655" t="s">
        <v>669</v>
      </c>
      <c r="B27" s="655"/>
      <c r="C27" s="418">
        <v>0</v>
      </c>
      <c r="D27" s="418">
        <v>0</v>
      </c>
      <c r="E27" s="418">
        <v>0</v>
      </c>
      <c r="F27" s="418">
        <v>0</v>
      </c>
      <c r="G27" s="418">
        <v>0</v>
      </c>
      <c r="H27" s="418">
        <v>0</v>
      </c>
      <c r="I27" s="418">
        <v>0</v>
      </c>
      <c r="J27" s="418">
        <v>0</v>
      </c>
      <c r="K27" s="418">
        <v>0</v>
      </c>
      <c r="L27" s="418">
        <v>0</v>
      </c>
      <c r="M27" s="418">
        <v>0</v>
      </c>
      <c r="N27" s="418">
        <v>0</v>
      </c>
      <c r="O27" s="418">
        <f t="shared" si="0"/>
        <v>0</v>
      </c>
    </row>
    <row r="28" spans="1:16">
      <c r="A28" s="655" t="s">
        <v>670</v>
      </c>
      <c r="B28" s="655"/>
      <c r="C28" s="418">
        <v>0</v>
      </c>
      <c r="D28" s="418">
        <v>0</v>
      </c>
      <c r="E28" s="418">
        <v>0</v>
      </c>
      <c r="F28" s="418">
        <v>0</v>
      </c>
      <c r="G28" s="418">
        <v>0</v>
      </c>
      <c r="H28" s="418">
        <v>0</v>
      </c>
      <c r="I28" s="418">
        <v>0</v>
      </c>
      <c r="J28" s="418">
        <v>0</v>
      </c>
      <c r="K28" s="418">
        <v>0</v>
      </c>
      <c r="L28" s="418">
        <v>0</v>
      </c>
      <c r="M28" s="418">
        <v>0</v>
      </c>
      <c r="N28" s="418">
        <v>0</v>
      </c>
      <c r="O28" s="418">
        <f t="shared" si="0"/>
        <v>0</v>
      </c>
    </row>
    <row r="29" spans="1:16">
      <c r="A29" s="655" t="s">
        <v>671</v>
      </c>
      <c r="B29" s="655"/>
      <c r="C29" s="418">
        <v>0</v>
      </c>
      <c r="D29" s="418">
        <v>0</v>
      </c>
      <c r="E29" s="418">
        <v>0</v>
      </c>
      <c r="F29" s="418">
        <v>0</v>
      </c>
      <c r="G29" s="418">
        <v>0</v>
      </c>
      <c r="H29" s="418">
        <v>0</v>
      </c>
      <c r="I29" s="418">
        <v>0</v>
      </c>
      <c r="J29" s="418">
        <v>0</v>
      </c>
      <c r="K29" s="418">
        <v>0</v>
      </c>
      <c r="L29" s="418">
        <v>0</v>
      </c>
      <c r="M29" s="418">
        <v>0</v>
      </c>
      <c r="N29" s="418">
        <v>0</v>
      </c>
      <c r="O29" s="418">
        <f t="shared" si="0"/>
        <v>0</v>
      </c>
    </row>
    <row r="30" spans="1:16">
      <c r="A30" s="655" t="s">
        <v>672</v>
      </c>
      <c r="B30" s="655"/>
      <c r="C30" s="418">
        <v>0</v>
      </c>
      <c r="D30" s="418">
        <v>0</v>
      </c>
      <c r="E30" s="418">
        <v>0</v>
      </c>
      <c r="F30" s="418">
        <v>0</v>
      </c>
      <c r="G30" s="418">
        <v>0</v>
      </c>
      <c r="H30" s="418">
        <v>0</v>
      </c>
      <c r="I30" s="418">
        <v>0</v>
      </c>
      <c r="J30" s="418">
        <v>0</v>
      </c>
      <c r="K30" s="418">
        <v>0</v>
      </c>
      <c r="L30" s="418">
        <v>0</v>
      </c>
      <c r="M30" s="418">
        <v>0</v>
      </c>
      <c r="N30" s="418">
        <v>0</v>
      </c>
      <c r="O30" s="418">
        <f t="shared" si="0"/>
        <v>0</v>
      </c>
    </row>
    <row r="31" spans="1:16">
      <c r="A31" s="655" t="s">
        <v>673</v>
      </c>
      <c r="B31" s="655"/>
      <c r="C31" s="418">
        <v>0</v>
      </c>
      <c r="D31" s="418">
        <v>0</v>
      </c>
      <c r="E31" s="418">
        <v>0</v>
      </c>
      <c r="F31" s="418">
        <v>0</v>
      </c>
      <c r="G31" s="418">
        <v>0</v>
      </c>
      <c r="H31" s="418">
        <v>0</v>
      </c>
      <c r="I31" s="418">
        <v>0</v>
      </c>
      <c r="J31" s="418">
        <v>0</v>
      </c>
      <c r="K31" s="418">
        <v>0</v>
      </c>
      <c r="L31" s="418">
        <v>0</v>
      </c>
      <c r="M31" s="418">
        <v>0</v>
      </c>
      <c r="N31" s="418">
        <v>0</v>
      </c>
      <c r="O31" s="418">
        <f t="shared" si="0"/>
        <v>0</v>
      </c>
    </row>
    <row r="32" spans="1:16">
      <c r="A32" s="655" t="s">
        <v>477</v>
      </c>
      <c r="B32" s="655"/>
      <c r="C32" s="418">
        <f>SUM(C10:C31)</f>
        <v>255579</v>
      </c>
      <c r="D32" s="418">
        <f t="shared" ref="D32:P32" si="2">SUM(D10:D31)</f>
        <v>248361</v>
      </c>
      <c r="E32" s="418">
        <f t="shared" si="2"/>
        <v>260885</v>
      </c>
      <c r="F32" s="418">
        <f t="shared" si="2"/>
        <v>253383</v>
      </c>
      <c r="G32" s="418">
        <f t="shared" si="2"/>
        <v>257680</v>
      </c>
      <c r="H32" s="418">
        <f t="shared" si="2"/>
        <v>254825</v>
      </c>
      <c r="I32" s="418">
        <f t="shared" si="2"/>
        <v>255366</v>
      </c>
      <c r="J32" s="418">
        <f t="shared" si="2"/>
        <v>256141</v>
      </c>
      <c r="K32" s="418">
        <f t="shared" si="2"/>
        <v>249324</v>
      </c>
      <c r="L32" s="418">
        <f t="shared" si="2"/>
        <v>263586</v>
      </c>
      <c r="M32" s="418">
        <f t="shared" si="2"/>
        <v>256786</v>
      </c>
      <c r="N32" s="418">
        <f t="shared" si="2"/>
        <v>257394</v>
      </c>
      <c r="O32" s="418"/>
      <c r="P32" s="418">
        <f t="shared" si="2"/>
        <v>3069310</v>
      </c>
    </row>
    <row r="35" spans="1:16">
      <c r="A35" s="655" t="s">
        <v>702</v>
      </c>
      <c r="B35" s="87"/>
      <c r="C35" s="153"/>
      <c r="D35" s="643"/>
      <c r="E35" s="643"/>
      <c r="F35" s="611"/>
      <c r="G35" s="643"/>
      <c r="H35" s="643"/>
      <c r="I35" s="643"/>
      <c r="J35" s="643"/>
      <c r="K35" s="643"/>
      <c r="L35" s="643"/>
      <c r="M35" s="418"/>
      <c r="N35" s="418"/>
      <c r="O35" s="644" t="s">
        <v>675</v>
      </c>
      <c r="P35" s="643" t="s">
        <v>66</v>
      </c>
    </row>
    <row r="36" spans="1:16" s="655" customFormat="1">
      <c r="B36" s="409" t="s">
        <v>674</v>
      </c>
      <c r="C36" s="411">
        <f>C10+C11</f>
        <v>218072</v>
      </c>
      <c r="D36" s="411">
        <f t="shared" ref="D36:N36" si="3">D10+D11</f>
        <v>211902</v>
      </c>
      <c r="E36" s="411">
        <f t="shared" si="3"/>
        <v>222747</v>
      </c>
      <c r="F36" s="411">
        <f t="shared" si="3"/>
        <v>215993</v>
      </c>
      <c r="G36" s="411">
        <f t="shared" si="3"/>
        <v>220087</v>
      </c>
      <c r="H36" s="411">
        <f t="shared" si="3"/>
        <v>217384</v>
      </c>
      <c r="I36" s="411">
        <f t="shared" si="3"/>
        <v>217872</v>
      </c>
      <c r="J36" s="411">
        <f t="shared" si="3"/>
        <v>218567</v>
      </c>
      <c r="K36" s="411">
        <f t="shared" si="3"/>
        <v>212455</v>
      </c>
      <c r="L36" s="411">
        <f t="shared" si="3"/>
        <v>225200</v>
      </c>
      <c r="M36" s="411">
        <f t="shared" si="3"/>
        <v>219433</v>
      </c>
      <c r="N36" s="411">
        <f t="shared" si="3"/>
        <v>219805</v>
      </c>
      <c r="O36" s="643">
        <f t="shared" ref="O36:O41" si="4">AVERAGE(C36:N36)</f>
        <v>218293.08333333334</v>
      </c>
      <c r="P36" s="418">
        <f t="shared" ref="P36:P42" si="5">SUM(C36:N36)</f>
        <v>2619517</v>
      </c>
    </row>
    <row r="37" spans="1:16" s="655" customFormat="1">
      <c r="B37" s="409" t="s">
        <v>483</v>
      </c>
      <c r="C37" s="411">
        <f>C12+C13</f>
        <v>32663</v>
      </c>
      <c r="D37" s="411">
        <f t="shared" ref="D37:N37" si="6">D12+D13</f>
        <v>31762</v>
      </c>
      <c r="E37" s="411">
        <f t="shared" si="6"/>
        <v>33249</v>
      </c>
      <c r="F37" s="411">
        <f t="shared" si="6"/>
        <v>32546</v>
      </c>
      <c r="G37" s="411">
        <f t="shared" si="6"/>
        <v>32768</v>
      </c>
      <c r="H37" s="411">
        <f t="shared" si="6"/>
        <v>32598</v>
      </c>
      <c r="I37" s="411">
        <f t="shared" si="6"/>
        <v>32660</v>
      </c>
      <c r="J37" s="411">
        <f t="shared" si="6"/>
        <v>32731</v>
      </c>
      <c r="K37" s="411">
        <f t="shared" si="6"/>
        <v>32098</v>
      </c>
      <c r="L37" s="411">
        <f t="shared" si="6"/>
        <v>33433</v>
      </c>
      <c r="M37" s="411">
        <f t="shared" si="6"/>
        <v>32560</v>
      </c>
      <c r="N37" s="411">
        <f t="shared" si="6"/>
        <v>32733</v>
      </c>
      <c r="O37" s="643">
        <f t="shared" si="4"/>
        <v>32650.083333333332</v>
      </c>
      <c r="P37" s="418">
        <f t="shared" si="5"/>
        <v>391801</v>
      </c>
    </row>
    <row r="38" spans="1:16" s="655" customFormat="1">
      <c r="B38" s="409" t="s">
        <v>484</v>
      </c>
      <c r="C38" s="411">
        <f>C14+C15</f>
        <v>1910</v>
      </c>
      <c r="D38" s="411">
        <f t="shared" ref="D38:N38" si="7">D14+D15</f>
        <v>1853</v>
      </c>
      <c r="E38" s="411">
        <f t="shared" si="7"/>
        <v>1960</v>
      </c>
      <c r="F38" s="411">
        <f t="shared" si="7"/>
        <v>1912</v>
      </c>
      <c r="G38" s="411">
        <f t="shared" si="7"/>
        <v>1894</v>
      </c>
      <c r="H38" s="411">
        <f t="shared" si="7"/>
        <v>1925</v>
      </c>
      <c r="I38" s="411">
        <f t="shared" si="7"/>
        <v>1923</v>
      </c>
      <c r="J38" s="411">
        <f t="shared" si="7"/>
        <v>1917</v>
      </c>
      <c r="K38" s="411">
        <f t="shared" si="7"/>
        <v>1855</v>
      </c>
      <c r="L38" s="411">
        <f t="shared" si="7"/>
        <v>1972</v>
      </c>
      <c r="M38" s="411">
        <f t="shared" si="7"/>
        <v>1894</v>
      </c>
      <c r="N38" s="411">
        <f t="shared" si="7"/>
        <v>1926</v>
      </c>
      <c r="O38" s="643">
        <f t="shared" si="4"/>
        <v>1911.75</v>
      </c>
      <c r="P38" s="418">
        <f t="shared" si="5"/>
        <v>22941</v>
      </c>
    </row>
    <row r="39" spans="1:16" s="655" customFormat="1">
      <c r="B39" s="409" t="s">
        <v>398</v>
      </c>
      <c r="C39" s="411">
        <f>C16</f>
        <v>23</v>
      </c>
      <c r="D39" s="411">
        <f t="shared" ref="D39:N39" si="8">D16</f>
        <v>23</v>
      </c>
      <c r="E39" s="411">
        <f t="shared" si="8"/>
        <v>23</v>
      </c>
      <c r="F39" s="411">
        <f t="shared" si="8"/>
        <v>23</v>
      </c>
      <c r="G39" s="411">
        <f t="shared" si="8"/>
        <v>23</v>
      </c>
      <c r="H39" s="411">
        <f t="shared" si="8"/>
        <v>23</v>
      </c>
      <c r="I39" s="411">
        <f t="shared" si="8"/>
        <v>23</v>
      </c>
      <c r="J39" s="411">
        <f t="shared" si="8"/>
        <v>23</v>
      </c>
      <c r="K39" s="411">
        <f t="shared" si="8"/>
        <v>23</v>
      </c>
      <c r="L39" s="411">
        <f t="shared" si="8"/>
        <v>23</v>
      </c>
      <c r="M39" s="411">
        <f t="shared" si="8"/>
        <v>23</v>
      </c>
      <c r="N39" s="411">
        <f t="shared" si="8"/>
        <v>23</v>
      </c>
      <c r="O39" s="643">
        <f t="shared" si="4"/>
        <v>23</v>
      </c>
      <c r="P39" s="418">
        <f t="shared" si="5"/>
        <v>276</v>
      </c>
    </row>
    <row r="40" spans="1:16" s="655" customFormat="1">
      <c r="B40" s="409" t="s">
        <v>485</v>
      </c>
      <c r="C40" s="411">
        <f>C17+C18+C19</f>
        <v>2485</v>
      </c>
      <c r="D40" s="411">
        <f t="shared" ref="D40:N40" si="9">D17+D18+D19</f>
        <v>2387</v>
      </c>
      <c r="E40" s="411">
        <f t="shared" si="9"/>
        <v>2474</v>
      </c>
      <c r="F40" s="411">
        <f t="shared" si="9"/>
        <v>2479</v>
      </c>
      <c r="G40" s="411">
        <f t="shared" si="9"/>
        <v>2472</v>
      </c>
      <c r="H40" s="411">
        <f t="shared" si="9"/>
        <v>2457</v>
      </c>
      <c r="I40" s="411">
        <f t="shared" si="9"/>
        <v>2447</v>
      </c>
      <c r="J40" s="411">
        <f t="shared" si="9"/>
        <v>2460</v>
      </c>
      <c r="K40" s="411">
        <f t="shared" si="9"/>
        <v>2450</v>
      </c>
      <c r="L40" s="411">
        <f t="shared" si="9"/>
        <v>2512</v>
      </c>
      <c r="M40" s="411">
        <f t="shared" si="9"/>
        <v>2425</v>
      </c>
      <c r="N40" s="411">
        <f t="shared" si="9"/>
        <v>2444</v>
      </c>
      <c r="O40" s="643">
        <f t="shared" si="4"/>
        <v>2457.6666666666665</v>
      </c>
      <c r="P40" s="418">
        <f t="shared" si="5"/>
        <v>29492</v>
      </c>
    </row>
    <row r="41" spans="1:16">
      <c r="A41" s="655"/>
      <c r="B41" s="409" t="s">
        <v>486</v>
      </c>
      <c r="C41" s="411">
        <f>SUM(C20:C26)</f>
        <v>426</v>
      </c>
      <c r="D41" s="411">
        <f t="shared" ref="D41:N41" si="10">SUM(D20:D26)</f>
        <v>434</v>
      </c>
      <c r="E41" s="411">
        <f t="shared" si="10"/>
        <v>432</v>
      </c>
      <c r="F41" s="411">
        <f t="shared" si="10"/>
        <v>430</v>
      </c>
      <c r="G41" s="411">
        <f t="shared" si="10"/>
        <v>436</v>
      </c>
      <c r="H41" s="411">
        <f t="shared" si="10"/>
        <v>438</v>
      </c>
      <c r="I41" s="411">
        <f t="shared" si="10"/>
        <v>441</v>
      </c>
      <c r="J41" s="411">
        <f t="shared" si="10"/>
        <v>443</v>
      </c>
      <c r="K41" s="411">
        <f t="shared" si="10"/>
        <v>443</v>
      </c>
      <c r="L41" s="411">
        <f t="shared" si="10"/>
        <v>446</v>
      </c>
      <c r="M41" s="411">
        <f t="shared" si="10"/>
        <v>451</v>
      </c>
      <c r="N41" s="411">
        <f t="shared" si="10"/>
        <v>463</v>
      </c>
      <c r="O41" s="643">
        <f t="shared" si="4"/>
        <v>440.25</v>
      </c>
      <c r="P41" s="418">
        <f t="shared" si="5"/>
        <v>5283</v>
      </c>
    </row>
    <row r="42" spans="1:16">
      <c r="A42" s="655"/>
      <c r="B42" s="410" t="s">
        <v>66</v>
      </c>
      <c r="C42" s="411">
        <f>SUM(C36:C41)</f>
        <v>255579</v>
      </c>
      <c r="D42" s="643">
        <f t="shared" ref="D42:O42" si="11">SUM(D36:D41)</f>
        <v>248361</v>
      </c>
      <c r="E42" s="643">
        <f t="shared" si="11"/>
        <v>260885</v>
      </c>
      <c r="F42" s="643">
        <f t="shared" si="11"/>
        <v>253383</v>
      </c>
      <c r="G42" s="643">
        <f t="shared" si="11"/>
        <v>257680</v>
      </c>
      <c r="H42" s="643">
        <f t="shared" si="11"/>
        <v>254825</v>
      </c>
      <c r="I42" s="643">
        <f t="shared" si="11"/>
        <v>255366</v>
      </c>
      <c r="J42" s="643">
        <f t="shared" si="11"/>
        <v>256141</v>
      </c>
      <c r="K42" s="643">
        <f t="shared" si="11"/>
        <v>249324</v>
      </c>
      <c r="L42" s="643">
        <f t="shared" si="11"/>
        <v>263586</v>
      </c>
      <c r="M42" s="643">
        <f t="shared" si="11"/>
        <v>256786</v>
      </c>
      <c r="N42" s="643">
        <f t="shared" si="11"/>
        <v>257394</v>
      </c>
      <c r="O42" s="643">
        <f t="shared" si="11"/>
        <v>255775.83333333334</v>
      </c>
      <c r="P42" s="418">
        <f t="shared" si="5"/>
        <v>3069310</v>
      </c>
    </row>
    <row r="47" spans="1:16">
      <c r="A47" s="434" t="s">
        <v>913</v>
      </c>
      <c r="B47" s="655"/>
      <c r="C47" s="655"/>
      <c r="D47" s="655"/>
      <c r="E47" s="655"/>
      <c r="F47" s="655"/>
      <c r="G47" s="655"/>
      <c r="H47" s="655"/>
      <c r="I47" s="655"/>
      <c r="J47" s="655"/>
      <c r="K47" s="655"/>
      <c r="L47" s="655"/>
      <c r="M47" s="655"/>
      <c r="N47" s="655"/>
      <c r="O47" s="655"/>
      <c r="P47" s="655"/>
    </row>
    <row r="48" spans="1:16">
      <c r="A48" s="655"/>
      <c r="B48" s="655"/>
      <c r="C48" s="655"/>
      <c r="D48" s="655"/>
      <c r="E48" s="655"/>
      <c r="F48" s="655"/>
      <c r="G48" s="655"/>
      <c r="H48" s="655"/>
      <c r="I48" s="655"/>
      <c r="J48" s="655"/>
      <c r="K48" s="655"/>
      <c r="L48" s="655"/>
      <c r="M48" s="655"/>
      <c r="N48" s="655"/>
      <c r="O48" s="655"/>
      <c r="P48" s="655"/>
    </row>
    <row r="49" spans="1:16">
      <c r="A49" s="655" t="s">
        <v>474</v>
      </c>
      <c r="B49" s="655"/>
      <c r="C49" s="655"/>
      <c r="D49" s="655"/>
      <c r="E49" s="655"/>
      <c r="F49" s="655"/>
      <c r="G49" s="655"/>
      <c r="H49" s="655"/>
      <c r="I49" s="655"/>
      <c r="J49" s="655"/>
      <c r="K49" s="655"/>
      <c r="L49" s="655"/>
      <c r="M49" s="655"/>
      <c r="N49" s="655"/>
      <c r="O49" s="655"/>
      <c r="P49" s="655"/>
    </row>
    <row r="50" spans="1:16">
      <c r="A50" s="655"/>
      <c r="B50" s="655"/>
      <c r="C50" s="655"/>
      <c r="D50" s="655"/>
      <c r="E50" s="655"/>
      <c r="F50" s="655"/>
      <c r="G50" s="655"/>
      <c r="H50" s="655"/>
      <c r="I50" s="655"/>
      <c r="J50" s="655"/>
      <c r="K50" s="655"/>
      <c r="L50" s="655"/>
      <c r="M50" s="655"/>
      <c r="N50" s="655"/>
      <c r="O50" s="655"/>
      <c r="P50" s="655"/>
    </row>
    <row r="51" spans="1:16">
      <c r="A51" s="655"/>
      <c r="B51" s="655"/>
      <c r="C51" s="655"/>
      <c r="D51" s="655" t="s">
        <v>221</v>
      </c>
      <c r="E51" s="655"/>
      <c r="F51" s="655"/>
      <c r="G51" s="655"/>
      <c r="H51" s="655"/>
      <c r="I51" s="655"/>
      <c r="J51" s="655"/>
      <c r="K51" s="655"/>
      <c r="L51" s="655"/>
      <c r="M51" s="655"/>
      <c r="N51" s="655"/>
      <c r="O51" s="655"/>
      <c r="P51" s="655"/>
    </row>
    <row r="52" spans="1:16">
      <c r="A52" s="655"/>
      <c r="B52" s="655"/>
      <c r="C52" s="655" t="s">
        <v>475</v>
      </c>
      <c r="D52" s="683">
        <v>201901</v>
      </c>
      <c r="E52" s="748">
        <v>201902</v>
      </c>
      <c r="F52" s="748">
        <v>201903</v>
      </c>
      <c r="G52" s="748">
        <v>201904</v>
      </c>
      <c r="H52" s="748">
        <v>201905</v>
      </c>
      <c r="I52" s="748">
        <v>201906</v>
      </c>
      <c r="J52" s="748">
        <v>201907</v>
      </c>
      <c r="K52" s="748">
        <v>201908</v>
      </c>
      <c r="L52" s="748">
        <v>201909</v>
      </c>
      <c r="M52" s="748">
        <v>201910</v>
      </c>
      <c r="N52" s="748">
        <v>201911</v>
      </c>
      <c r="O52" s="748">
        <v>201912</v>
      </c>
      <c r="P52" s="655" t="s">
        <v>478</v>
      </c>
    </row>
    <row r="53" spans="1:16">
      <c r="A53" s="655" t="s">
        <v>392</v>
      </c>
      <c r="B53" s="655" t="s">
        <v>676</v>
      </c>
      <c r="C53" s="655"/>
      <c r="D53" s="655"/>
      <c r="E53" s="655"/>
      <c r="F53" s="655"/>
      <c r="G53" s="655"/>
      <c r="H53" s="655"/>
      <c r="I53" s="655"/>
      <c r="J53" s="655"/>
      <c r="K53" s="655"/>
      <c r="L53" s="655"/>
      <c r="M53" s="655"/>
      <c r="N53" s="655"/>
      <c r="O53" s="655"/>
      <c r="P53" s="655"/>
    </row>
    <row r="54" spans="1:16">
      <c r="A54" s="655" t="s">
        <v>651</v>
      </c>
      <c r="B54" s="655" t="s">
        <v>678</v>
      </c>
      <c r="C54" s="655"/>
      <c r="D54" s="418">
        <v>0</v>
      </c>
      <c r="E54" s="418">
        <v>0</v>
      </c>
      <c r="F54" s="418">
        <v>0</v>
      </c>
      <c r="G54" s="418">
        <v>0</v>
      </c>
      <c r="H54" s="418">
        <v>0</v>
      </c>
      <c r="I54" s="418">
        <v>0</v>
      </c>
      <c r="J54" s="418">
        <v>0</v>
      </c>
      <c r="K54" s="418">
        <v>0</v>
      </c>
      <c r="L54" s="418">
        <v>0</v>
      </c>
      <c r="M54" s="418">
        <v>0</v>
      </c>
      <c r="N54" s="418">
        <v>0</v>
      </c>
      <c r="O54" s="418">
        <v>0</v>
      </c>
      <c r="P54" s="418">
        <v>0</v>
      </c>
    </row>
    <row r="55" spans="1:16">
      <c r="A55" s="655"/>
      <c r="B55" s="655" t="s">
        <v>679</v>
      </c>
      <c r="C55" s="655"/>
      <c r="D55" s="418">
        <v>150239177.94231001</v>
      </c>
      <c r="E55" s="418">
        <v>142561773.77900001</v>
      </c>
      <c r="F55" s="418">
        <v>150093866.55487999</v>
      </c>
      <c r="G55" s="418">
        <v>133252013.37171</v>
      </c>
      <c r="H55" s="418">
        <v>126172516.54627</v>
      </c>
      <c r="I55" s="418">
        <v>121411746.72475</v>
      </c>
      <c r="J55" s="418">
        <v>126872002.51831999</v>
      </c>
      <c r="K55" s="418">
        <v>132095079.98095</v>
      </c>
      <c r="L55" s="418">
        <v>128495578.01073</v>
      </c>
      <c r="M55" s="418">
        <v>131345588.99197</v>
      </c>
      <c r="N55" s="418">
        <v>137241380.78281</v>
      </c>
      <c r="O55" s="418">
        <v>150099576.73242</v>
      </c>
      <c r="P55" s="418">
        <f>SUM(D55:O55)</f>
        <v>1629880301.93612</v>
      </c>
    </row>
    <row r="56" spans="1:16">
      <c r="A56" s="655"/>
      <c r="B56" s="655" t="s">
        <v>680</v>
      </c>
      <c r="C56" s="655"/>
      <c r="D56" s="418">
        <v>65236329.574689999</v>
      </c>
      <c r="E56" s="418">
        <v>58044117.763999999</v>
      </c>
      <c r="F56" s="418">
        <v>63132076.018119998</v>
      </c>
      <c r="G56" s="418">
        <v>37700655.150289997</v>
      </c>
      <c r="H56" s="418">
        <v>25182795.010729998</v>
      </c>
      <c r="I56" s="418">
        <v>22795358.73525</v>
      </c>
      <c r="J56" s="418">
        <v>30319636.882679999</v>
      </c>
      <c r="K56" s="418">
        <v>37589224.08805</v>
      </c>
      <c r="L56" s="418">
        <v>34676234.096270002</v>
      </c>
      <c r="M56" s="418">
        <v>27093579.961029999</v>
      </c>
      <c r="N56" s="418">
        <v>40013737.719190001</v>
      </c>
      <c r="O56" s="418">
        <v>61788895.581579998</v>
      </c>
      <c r="P56" s="418">
        <f t="shared" ref="P56:P66" si="12">SUM(D56:O56)</f>
        <v>503572640.58188003</v>
      </c>
    </row>
    <row r="57" spans="1:16">
      <c r="A57" s="655"/>
      <c r="B57" s="655" t="s">
        <v>681</v>
      </c>
      <c r="C57" s="655"/>
      <c r="D57" s="418">
        <v>52369496.807999998</v>
      </c>
      <c r="E57" s="418">
        <v>47316443.417000003</v>
      </c>
      <c r="F57" s="418">
        <v>58276421.445</v>
      </c>
      <c r="G57" s="418">
        <v>17913898.327</v>
      </c>
      <c r="H57" s="418">
        <v>7477405.9060000004</v>
      </c>
      <c r="I57" s="418">
        <v>6183682.6770000001</v>
      </c>
      <c r="J57" s="418">
        <v>9560011.3320000004</v>
      </c>
      <c r="K57" s="418">
        <v>12889130.639</v>
      </c>
      <c r="L57" s="418">
        <v>12073352.842</v>
      </c>
      <c r="M57" s="418">
        <v>8321659.5</v>
      </c>
      <c r="N57" s="418">
        <v>19554065.236000001</v>
      </c>
      <c r="O57" s="418">
        <v>46378535.166000001</v>
      </c>
      <c r="P57" s="418">
        <f t="shared" si="12"/>
        <v>298314103.29499996</v>
      </c>
    </row>
    <row r="58" spans="1:16">
      <c r="A58" s="655"/>
      <c r="B58" s="655" t="s">
        <v>677</v>
      </c>
      <c r="C58" s="655"/>
      <c r="D58" s="418">
        <v>-1235</v>
      </c>
      <c r="E58" s="418">
        <v>0</v>
      </c>
      <c r="F58" s="418">
        <v>0</v>
      </c>
      <c r="G58" s="418">
        <v>0</v>
      </c>
      <c r="H58" s="418">
        <v>0</v>
      </c>
      <c r="I58" s="418">
        <v>0</v>
      </c>
      <c r="J58" s="418">
        <v>0</v>
      </c>
      <c r="K58" s="418">
        <v>0</v>
      </c>
      <c r="L58" s="418">
        <v>0</v>
      </c>
      <c r="M58" s="418">
        <v>0</v>
      </c>
      <c r="N58" s="418">
        <v>0</v>
      </c>
      <c r="O58" s="418">
        <v>0</v>
      </c>
      <c r="P58" s="418">
        <f>SUM(D58:O58)</f>
        <v>-1235</v>
      </c>
    </row>
    <row r="59" spans="1:16">
      <c r="A59" s="655"/>
      <c r="B59" s="655" t="s">
        <v>682</v>
      </c>
      <c r="C59" s="655"/>
      <c r="D59" s="418">
        <v>-1235</v>
      </c>
      <c r="E59" s="418">
        <v>0</v>
      </c>
      <c r="F59" s="418">
        <v>0</v>
      </c>
      <c r="G59" s="418">
        <v>0</v>
      </c>
      <c r="H59" s="418">
        <v>0</v>
      </c>
      <c r="I59" s="418">
        <v>0</v>
      </c>
      <c r="J59" s="418">
        <v>0</v>
      </c>
      <c r="K59" s="418">
        <v>0</v>
      </c>
      <c r="L59" s="418">
        <v>0</v>
      </c>
      <c r="M59" s="418">
        <v>0</v>
      </c>
      <c r="N59" s="418">
        <v>0</v>
      </c>
      <c r="O59" s="418">
        <v>0</v>
      </c>
      <c r="P59" s="418">
        <f>SUM(D59:O59)</f>
        <v>-1235</v>
      </c>
    </row>
    <row r="60" spans="1:16">
      <c r="A60" s="655"/>
      <c r="B60" s="655" t="s">
        <v>785</v>
      </c>
      <c r="C60" s="655"/>
      <c r="D60" s="418">
        <v>-1235</v>
      </c>
      <c r="E60" s="418">
        <v>0</v>
      </c>
      <c r="F60" s="418">
        <v>0</v>
      </c>
      <c r="G60" s="418">
        <v>0</v>
      </c>
      <c r="H60" s="418">
        <v>0</v>
      </c>
      <c r="I60" s="418">
        <v>0</v>
      </c>
      <c r="J60" s="418">
        <v>0</v>
      </c>
      <c r="K60" s="418">
        <v>0</v>
      </c>
      <c r="L60" s="418">
        <v>0</v>
      </c>
      <c r="M60" s="418">
        <v>0</v>
      </c>
      <c r="N60" s="418">
        <v>0</v>
      </c>
      <c r="O60" s="418">
        <v>0</v>
      </c>
      <c r="P60" s="418">
        <f>SUM(D60:O60)</f>
        <v>-1235</v>
      </c>
    </row>
    <row r="61" spans="1:16">
      <c r="A61" s="655"/>
      <c r="B61" s="655" t="s">
        <v>730</v>
      </c>
      <c r="C61" s="655"/>
      <c r="D61" s="418">
        <v>0</v>
      </c>
      <c r="E61" s="418">
        <v>0</v>
      </c>
      <c r="F61" s="418">
        <v>0</v>
      </c>
      <c r="G61" s="418">
        <v>0</v>
      </c>
      <c r="H61" s="418">
        <v>0</v>
      </c>
      <c r="I61" s="418">
        <v>0</v>
      </c>
      <c r="J61" s="418">
        <v>0</v>
      </c>
      <c r="K61" s="418">
        <v>0</v>
      </c>
      <c r="L61" s="418">
        <v>0</v>
      </c>
      <c r="M61" s="418">
        <v>0</v>
      </c>
      <c r="N61" s="418">
        <v>0</v>
      </c>
      <c r="O61" s="418">
        <v>0</v>
      </c>
      <c r="P61" s="418">
        <f t="shared" si="12"/>
        <v>0</v>
      </c>
    </row>
    <row r="62" spans="1:16">
      <c r="A62" s="655"/>
      <c r="B62" s="655" t="s">
        <v>683</v>
      </c>
      <c r="C62" s="655"/>
      <c r="D62" s="418">
        <v>0</v>
      </c>
      <c r="E62" s="418">
        <v>0</v>
      </c>
      <c r="F62" s="418">
        <v>0</v>
      </c>
      <c r="G62" s="418">
        <v>0</v>
      </c>
      <c r="H62" s="418">
        <v>-280</v>
      </c>
      <c r="I62" s="418">
        <v>0</v>
      </c>
      <c r="J62" s="418">
        <v>0</v>
      </c>
      <c r="K62" s="418">
        <v>0</v>
      </c>
      <c r="L62" s="418">
        <v>0</v>
      </c>
      <c r="M62" s="418">
        <v>0</v>
      </c>
      <c r="N62" s="418">
        <v>0</v>
      </c>
      <c r="O62" s="418">
        <v>0</v>
      </c>
      <c r="P62" s="418">
        <f t="shared" si="12"/>
        <v>-280</v>
      </c>
    </row>
    <row r="63" spans="1:16">
      <c r="A63" s="655"/>
      <c r="B63" s="655" t="s">
        <v>684</v>
      </c>
      <c r="C63" s="655"/>
      <c r="D63" s="418">
        <v>0</v>
      </c>
      <c r="E63" s="418">
        <v>0</v>
      </c>
      <c r="F63" s="418">
        <v>0</v>
      </c>
      <c r="G63" s="418">
        <v>0</v>
      </c>
      <c r="H63" s="418">
        <v>0</v>
      </c>
      <c r="I63" s="418">
        <v>0</v>
      </c>
      <c r="J63" s="418">
        <v>0</v>
      </c>
      <c r="K63" s="418">
        <v>0</v>
      </c>
      <c r="L63" s="418">
        <v>0</v>
      </c>
      <c r="M63" s="418">
        <v>0</v>
      </c>
      <c r="N63" s="418">
        <v>0</v>
      </c>
      <c r="O63" s="418">
        <v>0</v>
      </c>
      <c r="P63" s="418">
        <f t="shared" si="12"/>
        <v>0</v>
      </c>
    </row>
    <row r="64" spans="1:16">
      <c r="A64" s="655"/>
      <c r="B64" s="655" t="s">
        <v>685</v>
      </c>
      <c r="C64" s="655"/>
      <c r="D64" s="418">
        <v>0</v>
      </c>
      <c r="E64" s="418">
        <v>0</v>
      </c>
      <c r="F64" s="418">
        <v>0</v>
      </c>
      <c r="G64" s="418">
        <v>0</v>
      </c>
      <c r="H64" s="418">
        <v>0</v>
      </c>
      <c r="I64" s="418">
        <v>0</v>
      </c>
      <c r="J64" s="418">
        <v>0</v>
      </c>
      <c r="K64" s="418">
        <v>0</v>
      </c>
      <c r="L64" s="418">
        <v>0</v>
      </c>
      <c r="M64" s="418">
        <v>0</v>
      </c>
      <c r="N64" s="418">
        <v>0</v>
      </c>
      <c r="O64" s="418">
        <v>0</v>
      </c>
      <c r="P64" s="418">
        <f t="shared" si="12"/>
        <v>0</v>
      </c>
    </row>
    <row r="65" spans="1:16">
      <c r="A65" s="655"/>
      <c r="B65" s="655" t="s">
        <v>686</v>
      </c>
      <c r="C65" s="655"/>
      <c r="D65" s="418">
        <v>0</v>
      </c>
      <c r="E65" s="418">
        <v>0</v>
      </c>
      <c r="F65" s="418">
        <v>0</v>
      </c>
      <c r="G65" s="418">
        <v>0</v>
      </c>
      <c r="H65" s="418">
        <v>0</v>
      </c>
      <c r="I65" s="418">
        <v>0</v>
      </c>
      <c r="J65" s="418">
        <v>0</v>
      </c>
      <c r="K65" s="418">
        <v>0</v>
      </c>
      <c r="L65" s="418">
        <v>0</v>
      </c>
      <c r="M65" s="418">
        <v>0</v>
      </c>
      <c r="N65" s="418">
        <v>0</v>
      </c>
      <c r="O65" s="418">
        <v>0</v>
      </c>
      <c r="P65" s="418">
        <f t="shared" si="12"/>
        <v>0</v>
      </c>
    </row>
    <row r="66" spans="1:16">
      <c r="A66" s="655"/>
      <c r="B66" s="655" t="s">
        <v>687</v>
      </c>
      <c r="C66" s="655"/>
      <c r="D66" s="418"/>
      <c r="E66" s="418"/>
      <c r="F66" s="418"/>
      <c r="G66" s="418"/>
      <c r="H66" s="418">
        <v>0</v>
      </c>
      <c r="I66" s="418">
        <v>0</v>
      </c>
      <c r="J66" s="418">
        <v>0</v>
      </c>
      <c r="K66" s="418">
        <v>0</v>
      </c>
      <c r="L66" s="418">
        <v>0</v>
      </c>
      <c r="M66" s="418">
        <v>0</v>
      </c>
      <c r="N66" s="418">
        <v>0</v>
      </c>
      <c r="O66" s="418">
        <v>0</v>
      </c>
      <c r="P66" s="418">
        <f t="shared" si="12"/>
        <v>0</v>
      </c>
    </row>
    <row r="67" spans="1:16">
      <c r="A67" s="655"/>
      <c r="B67" s="655" t="s">
        <v>786</v>
      </c>
      <c r="C67" s="655"/>
      <c r="D67" s="418"/>
      <c r="E67" s="418"/>
      <c r="F67" s="418"/>
      <c r="G67" s="418"/>
      <c r="H67" s="418"/>
      <c r="I67" s="418"/>
      <c r="J67" s="418"/>
      <c r="K67" s="418"/>
      <c r="L67" s="418"/>
      <c r="M67" s="418"/>
      <c r="N67" s="418">
        <v>0</v>
      </c>
      <c r="O67" s="418">
        <v>0</v>
      </c>
      <c r="P67" s="418">
        <v>0</v>
      </c>
    </row>
    <row r="68" spans="1:16">
      <c r="A68" s="655"/>
      <c r="B68" s="655" t="s">
        <v>66</v>
      </c>
      <c r="C68" s="655"/>
      <c r="D68" s="418">
        <f>SUM(D54:D67)</f>
        <v>267841299.32500002</v>
      </c>
      <c r="E68" s="418">
        <f t="shared" ref="E68:P68" si="13">SUM(E54:E67)</f>
        <v>247922334.96000001</v>
      </c>
      <c r="F68" s="418">
        <f t="shared" si="13"/>
        <v>271502364.01800001</v>
      </c>
      <c r="G68" s="418">
        <f t="shared" si="13"/>
        <v>188866566.84900001</v>
      </c>
      <c r="H68" s="418">
        <f t="shared" si="13"/>
        <v>158832437.46299997</v>
      </c>
      <c r="I68" s="418">
        <f t="shared" si="13"/>
        <v>150390788.13699999</v>
      </c>
      <c r="J68" s="418">
        <f t="shared" si="13"/>
        <v>166751650.73299998</v>
      </c>
      <c r="K68" s="418">
        <f t="shared" si="13"/>
        <v>182573434.708</v>
      </c>
      <c r="L68" s="418">
        <f t="shared" si="13"/>
        <v>175245164.949</v>
      </c>
      <c r="M68" s="418">
        <f t="shared" si="13"/>
        <v>166760828.45300001</v>
      </c>
      <c r="N68" s="418">
        <f t="shared" si="13"/>
        <v>196809183.73800001</v>
      </c>
      <c r="O68" s="418">
        <f t="shared" si="13"/>
        <v>258267007.48000002</v>
      </c>
      <c r="P68" s="418">
        <f t="shared" si="13"/>
        <v>2431763060.8130002</v>
      </c>
    </row>
    <row r="69" spans="1:16">
      <c r="A69" s="655" t="s">
        <v>652</v>
      </c>
      <c r="B69" s="655" t="s">
        <v>678</v>
      </c>
      <c r="C69" s="655"/>
      <c r="D69" s="418">
        <v>0</v>
      </c>
      <c r="E69" s="418">
        <v>0</v>
      </c>
      <c r="F69" s="418">
        <v>0</v>
      </c>
      <c r="G69" s="418">
        <v>0</v>
      </c>
      <c r="H69" s="418">
        <v>0</v>
      </c>
      <c r="I69" s="418">
        <v>0</v>
      </c>
      <c r="J69" s="418">
        <v>0</v>
      </c>
      <c r="K69" s="418">
        <v>0</v>
      </c>
      <c r="L69" s="418">
        <v>0</v>
      </c>
      <c r="M69" s="418">
        <v>0</v>
      </c>
      <c r="N69" s="418">
        <v>0</v>
      </c>
      <c r="O69" s="418">
        <v>0</v>
      </c>
      <c r="P69" s="418">
        <v>0</v>
      </c>
    </row>
    <row r="70" spans="1:16">
      <c r="A70" s="655"/>
      <c r="B70" s="655" t="s">
        <v>679</v>
      </c>
      <c r="C70" s="655"/>
      <c r="D70" s="418">
        <v>282319.79067000002</v>
      </c>
      <c r="E70" s="418">
        <v>266171.89</v>
      </c>
      <c r="F70" s="418">
        <v>277627.16700000002</v>
      </c>
      <c r="G70" s="418">
        <v>250779.12633</v>
      </c>
      <c r="H70" s="418">
        <v>230909.42767</v>
      </c>
      <c r="I70" s="418">
        <v>208540.872</v>
      </c>
      <c r="J70" s="418">
        <v>209651.41699999999</v>
      </c>
      <c r="K70" s="418">
        <v>211165.97766999999</v>
      </c>
      <c r="L70" s="418">
        <v>207168.15700000001</v>
      </c>
      <c r="M70" s="418">
        <v>171445.26733999999</v>
      </c>
      <c r="N70" s="418">
        <v>202375.959</v>
      </c>
      <c r="O70" s="418">
        <v>243617.51332999999</v>
      </c>
      <c r="P70" s="418">
        <f>SUM(D70:O70)</f>
        <v>2761772.5650099996</v>
      </c>
    </row>
    <row r="71" spans="1:16">
      <c r="A71" s="655"/>
      <c r="B71" s="655" t="s">
        <v>680</v>
      </c>
      <c r="C71" s="655"/>
      <c r="D71" s="418">
        <v>147692.45032999999</v>
      </c>
      <c r="E71" s="418">
        <v>140490.12</v>
      </c>
      <c r="F71" s="418">
        <v>148660.50700000001</v>
      </c>
      <c r="G71" s="418">
        <v>92606.062669999999</v>
      </c>
      <c r="H71" s="418">
        <v>55399.351329999998</v>
      </c>
      <c r="I71" s="418">
        <v>30819</v>
      </c>
      <c r="J71" s="418">
        <v>36480.781999999999</v>
      </c>
      <c r="K71" s="418">
        <v>40266.959329999998</v>
      </c>
      <c r="L71" s="418">
        <v>36596.476000000002</v>
      </c>
      <c r="M71" s="418">
        <v>42266.253660000002</v>
      </c>
      <c r="N71" s="418">
        <v>83118.074999999997</v>
      </c>
      <c r="O71" s="418">
        <v>126578.25367000001</v>
      </c>
      <c r="P71" s="418">
        <f t="shared" ref="P71:P82" si="14">SUM(D71:O71)</f>
        <v>980974.29099000001</v>
      </c>
    </row>
    <row r="72" spans="1:16">
      <c r="A72" s="655"/>
      <c r="B72" s="655" t="s">
        <v>681</v>
      </c>
      <c r="C72" s="655"/>
      <c r="D72" s="418">
        <v>150041.435</v>
      </c>
      <c r="E72" s="418">
        <v>134645.32500000001</v>
      </c>
      <c r="F72" s="418">
        <v>166052.68799999999</v>
      </c>
      <c r="G72" s="418">
        <v>47437.201000000001</v>
      </c>
      <c r="H72" s="418">
        <v>18268</v>
      </c>
      <c r="I72" s="418">
        <v>10743.348</v>
      </c>
      <c r="J72" s="418">
        <v>13668.396000000001</v>
      </c>
      <c r="K72" s="418">
        <v>16729.956999999999</v>
      </c>
      <c r="L72" s="418">
        <v>15100.16</v>
      </c>
      <c r="M72" s="418">
        <v>15830.723</v>
      </c>
      <c r="N72" s="418">
        <v>46891.188999999998</v>
      </c>
      <c r="O72" s="418">
        <v>123808.74</v>
      </c>
      <c r="P72" s="418">
        <f t="shared" si="14"/>
        <v>759217.16200000001</v>
      </c>
    </row>
    <row r="73" spans="1:16">
      <c r="A73" s="655"/>
      <c r="B73" s="655" t="s">
        <v>677</v>
      </c>
      <c r="C73" s="655"/>
      <c r="D73" s="418">
        <v>0</v>
      </c>
      <c r="E73" s="418">
        <v>0</v>
      </c>
      <c r="F73" s="418">
        <v>0</v>
      </c>
      <c r="G73" s="418">
        <v>0</v>
      </c>
      <c r="H73" s="418">
        <v>0</v>
      </c>
      <c r="I73" s="418">
        <v>0</v>
      </c>
      <c r="J73" s="418">
        <v>0</v>
      </c>
      <c r="K73" s="418">
        <v>0</v>
      </c>
      <c r="L73" s="418">
        <v>0</v>
      </c>
      <c r="M73" s="418">
        <v>0</v>
      </c>
      <c r="N73" s="418">
        <v>0</v>
      </c>
      <c r="O73" s="418">
        <v>0</v>
      </c>
      <c r="P73" s="418">
        <f t="shared" si="14"/>
        <v>0</v>
      </c>
    </row>
    <row r="74" spans="1:16">
      <c r="A74" s="655"/>
      <c r="B74" s="655" t="s">
        <v>682</v>
      </c>
      <c r="C74" s="655"/>
      <c r="D74" s="418">
        <v>0</v>
      </c>
      <c r="E74" s="418">
        <v>0</v>
      </c>
      <c r="F74" s="418">
        <v>0</v>
      </c>
      <c r="G74" s="418">
        <v>0</v>
      </c>
      <c r="H74" s="418">
        <v>0</v>
      </c>
      <c r="I74" s="418">
        <v>0</v>
      </c>
      <c r="J74" s="418">
        <v>0</v>
      </c>
      <c r="K74" s="418">
        <v>0</v>
      </c>
      <c r="L74" s="418">
        <v>0</v>
      </c>
      <c r="M74" s="418">
        <v>0</v>
      </c>
      <c r="N74" s="418">
        <v>0</v>
      </c>
      <c r="O74" s="418">
        <v>0</v>
      </c>
      <c r="P74" s="418">
        <f t="shared" si="14"/>
        <v>0</v>
      </c>
    </row>
    <row r="75" spans="1:16">
      <c r="A75" s="655"/>
      <c r="B75" s="655" t="s">
        <v>730</v>
      </c>
      <c r="C75" s="655"/>
      <c r="D75" s="418">
        <v>0</v>
      </c>
      <c r="E75" s="418">
        <v>0</v>
      </c>
      <c r="F75" s="418">
        <v>0</v>
      </c>
      <c r="G75" s="418">
        <v>0</v>
      </c>
      <c r="H75" s="418">
        <v>0</v>
      </c>
      <c r="I75" s="418">
        <v>0</v>
      </c>
      <c r="J75" s="418">
        <v>0</v>
      </c>
      <c r="K75" s="418">
        <v>0</v>
      </c>
      <c r="L75" s="418">
        <v>0</v>
      </c>
      <c r="M75" s="418">
        <v>0</v>
      </c>
      <c r="N75" s="418">
        <v>0</v>
      </c>
      <c r="O75" s="418">
        <v>0</v>
      </c>
      <c r="P75" s="418">
        <f t="shared" si="14"/>
        <v>0</v>
      </c>
    </row>
    <row r="76" spans="1:16">
      <c r="A76" s="655"/>
      <c r="B76" s="655" t="s">
        <v>688</v>
      </c>
      <c r="C76" s="655"/>
      <c r="D76" s="418">
        <v>0</v>
      </c>
      <c r="E76" s="418">
        <v>0</v>
      </c>
      <c r="F76" s="418">
        <v>0</v>
      </c>
      <c r="G76" s="418">
        <v>0</v>
      </c>
      <c r="H76" s="418">
        <v>0</v>
      </c>
      <c r="I76" s="418">
        <v>0</v>
      </c>
      <c r="J76" s="418">
        <v>0</v>
      </c>
      <c r="K76" s="418">
        <v>0</v>
      </c>
      <c r="L76" s="418">
        <v>0</v>
      </c>
      <c r="M76" s="418">
        <v>0</v>
      </c>
      <c r="N76" s="418">
        <v>0</v>
      </c>
      <c r="O76" s="418">
        <v>0</v>
      </c>
      <c r="P76" s="418">
        <f t="shared" si="14"/>
        <v>0</v>
      </c>
    </row>
    <row r="77" spans="1:16">
      <c r="A77" s="655"/>
      <c r="B77" s="655" t="s">
        <v>683</v>
      </c>
      <c r="C77" s="655"/>
      <c r="D77" s="418">
        <v>0</v>
      </c>
      <c r="E77" s="418">
        <v>0</v>
      </c>
      <c r="F77" s="418">
        <v>0</v>
      </c>
      <c r="G77" s="418">
        <v>0</v>
      </c>
      <c r="H77" s="418">
        <v>0</v>
      </c>
      <c r="I77" s="418">
        <v>0</v>
      </c>
      <c r="J77" s="418">
        <v>0</v>
      </c>
      <c r="K77" s="418">
        <v>0</v>
      </c>
      <c r="L77" s="418">
        <v>0</v>
      </c>
      <c r="M77" s="418">
        <v>0</v>
      </c>
      <c r="N77" s="418">
        <v>0</v>
      </c>
      <c r="O77" s="418">
        <v>0</v>
      </c>
      <c r="P77" s="418">
        <f t="shared" si="14"/>
        <v>0</v>
      </c>
    </row>
    <row r="78" spans="1:16">
      <c r="A78" s="655"/>
      <c r="B78" s="655" t="s">
        <v>684</v>
      </c>
      <c r="C78" s="655"/>
      <c r="D78" s="418">
        <v>0</v>
      </c>
      <c r="E78" s="418">
        <v>0</v>
      </c>
      <c r="F78" s="418">
        <v>0</v>
      </c>
      <c r="G78" s="418">
        <v>0</v>
      </c>
      <c r="H78" s="418">
        <v>0</v>
      </c>
      <c r="I78" s="418">
        <v>0</v>
      </c>
      <c r="J78" s="418">
        <v>0</v>
      </c>
      <c r="K78" s="418">
        <v>0</v>
      </c>
      <c r="L78" s="418">
        <v>0</v>
      </c>
      <c r="M78" s="418">
        <v>0</v>
      </c>
      <c r="N78" s="418">
        <v>0</v>
      </c>
      <c r="O78" s="418">
        <v>0</v>
      </c>
      <c r="P78" s="418">
        <f t="shared" si="14"/>
        <v>0</v>
      </c>
    </row>
    <row r="79" spans="1:16">
      <c r="A79" s="655"/>
      <c r="B79" s="655" t="s">
        <v>685</v>
      </c>
      <c r="C79" s="655"/>
      <c r="D79" s="418">
        <v>0</v>
      </c>
      <c r="E79" s="418">
        <v>0</v>
      </c>
      <c r="F79" s="418">
        <v>0</v>
      </c>
      <c r="G79" s="418">
        <v>0</v>
      </c>
      <c r="H79" s="418">
        <v>0</v>
      </c>
      <c r="I79" s="418">
        <v>0</v>
      </c>
      <c r="J79" s="418">
        <v>0</v>
      </c>
      <c r="K79" s="418">
        <v>0</v>
      </c>
      <c r="L79" s="418">
        <v>0</v>
      </c>
      <c r="M79" s="418">
        <v>0</v>
      </c>
      <c r="N79" s="418">
        <v>0</v>
      </c>
      <c r="O79" s="418">
        <v>0</v>
      </c>
      <c r="P79" s="418">
        <f t="shared" si="14"/>
        <v>0</v>
      </c>
    </row>
    <row r="80" spans="1:16">
      <c r="A80" s="655"/>
      <c r="B80" s="655" t="s">
        <v>686</v>
      </c>
      <c r="C80" s="655"/>
      <c r="D80" s="418">
        <v>0</v>
      </c>
      <c r="E80" s="418">
        <v>0</v>
      </c>
      <c r="F80" s="418">
        <v>0</v>
      </c>
      <c r="G80" s="418">
        <v>0</v>
      </c>
      <c r="H80" s="418">
        <v>0</v>
      </c>
      <c r="I80" s="418">
        <v>0</v>
      </c>
      <c r="J80" s="418">
        <v>0</v>
      </c>
      <c r="K80" s="418">
        <v>0</v>
      </c>
      <c r="L80" s="418">
        <v>0</v>
      </c>
      <c r="M80" s="418">
        <v>0</v>
      </c>
      <c r="N80" s="418">
        <v>0</v>
      </c>
      <c r="O80" s="418">
        <v>0</v>
      </c>
      <c r="P80" s="418">
        <f t="shared" si="14"/>
        <v>0</v>
      </c>
    </row>
    <row r="81" spans="1:16">
      <c r="A81" s="655"/>
      <c r="B81" s="655" t="s">
        <v>687</v>
      </c>
      <c r="C81" s="655"/>
      <c r="D81" s="418">
        <v>0</v>
      </c>
      <c r="E81" s="418">
        <v>0</v>
      </c>
      <c r="F81" s="418">
        <v>0</v>
      </c>
      <c r="G81" s="418">
        <v>0</v>
      </c>
      <c r="H81" s="418">
        <v>0</v>
      </c>
      <c r="I81" s="418">
        <v>0</v>
      </c>
      <c r="J81" s="418">
        <v>0</v>
      </c>
      <c r="K81" s="418">
        <v>0</v>
      </c>
      <c r="L81" s="418">
        <v>0</v>
      </c>
      <c r="M81" s="418">
        <v>0</v>
      </c>
      <c r="N81" s="418">
        <v>0</v>
      </c>
      <c r="O81" s="418">
        <v>0</v>
      </c>
      <c r="P81" s="418">
        <f t="shared" si="14"/>
        <v>0</v>
      </c>
    </row>
    <row r="82" spans="1:16">
      <c r="A82" s="655"/>
      <c r="B82" s="655" t="s">
        <v>785</v>
      </c>
      <c r="C82" s="655"/>
      <c r="D82" s="418"/>
      <c r="E82" s="418"/>
      <c r="F82" s="418"/>
      <c r="G82" s="418"/>
      <c r="H82" s="418">
        <v>0</v>
      </c>
      <c r="I82" s="418">
        <v>0</v>
      </c>
      <c r="J82" s="418">
        <v>0</v>
      </c>
      <c r="K82" s="418">
        <v>0</v>
      </c>
      <c r="L82" s="418">
        <v>0</v>
      </c>
      <c r="M82" s="418">
        <v>0</v>
      </c>
      <c r="N82" s="418">
        <v>0</v>
      </c>
      <c r="O82" s="418">
        <v>0</v>
      </c>
      <c r="P82" s="418">
        <f t="shared" si="14"/>
        <v>0</v>
      </c>
    </row>
    <row r="83" spans="1:16">
      <c r="A83" s="655"/>
      <c r="B83" s="655" t="s">
        <v>66</v>
      </c>
      <c r="C83" s="655"/>
      <c r="D83" s="418">
        <f>SUM(D69:D82)</f>
        <v>580053.67599999998</v>
      </c>
      <c r="E83" s="418">
        <f t="shared" ref="E83:P83" si="15">SUM(E69:E82)</f>
        <v>541307.33499999996</v>
      </c>
      <c r="F83" s="418">
        <f t="shared" si="15"/>
        <v>592340.36199999996</v>
      </c>
      <c r="G83" s="418">
        <f t="shared" si="15"/>
        <v>390822.39</v>
      </c>
      <c r="H83" s="418">
        <f t="shared" si="15"/>
        <v>304576.77899999998</v>
      </c>
      <c r="I83" s="418">
        <f t="shared" si="15"/>
        <v>250103.22</v>
      </c>
      <c r="J83" s="418">
        <f t="shared" si="15"/>
        <v>259800.595</v>
      </c>
      <c r="K83" s="418">
        <f t="shared" si="15"/>
        <v>268162.89399999997</v>
      </c>
      <c r="L83" s="418">
        <f t="shared" si="15"/>
        <v>258864.79300000001</v>
      </c>
      <c r="M83" s="418">
        <f t="shared" si="15"/>
        <v>229542.24400000001</v>
      </c>
      <c r="N83" s="418">
        <f t="shared" si="15"/>
        <v>332385.223</v>
      </c>
      <c r="O83" s="418">
        <f t="shared" si="15"/>
        <v>494004.50699999998</v>
      </c>
      <c r="P83" s="418">
        <f t="shared" si="15"/>
        <v>4501964.0179999992</v>
      </c>
    </row>
    <row r="84" spans="1:16">
      <c r="A84" s="655" t="s">
        <v>653</v>
      </c>
      <c r="B84" s="655" t="s">
        <v>689</v>
      </c>
      <c r="C84" s="655"/>
      <c r="D84" s="418">
        <v>0</v>
      </c>
      <c r="E84" s="418">
        <v>0</v>
      </c>
      <c r="F84" s="418">
        <v>0</v>
      </c>
      <c r="G84" s="418">
        <v>0</v>
      </c>
      <c r="H84" s="418">
        <v>0</v>
      </c>
      <c r="I84" s="418">
        <v>0</v>
      </c>
      <c r="J84" s="418">
        <v>0</v>
      </c>
      <c r="K84" s="418">
        <v>0</v>
      </c>
      <c r="L84" s="418">
        <v>0</v>
      </c>
      <c r="M84" s="418">
        <v>0</v>
      </c>
      <c r="N84" s="418">
        <v>0</v>
      </c>
      <c r="O84" s="418">
        <v>0</v>
      </c>
      <c r="P84" s="418">
        <f t="shared" ref="P84:P87" si="16">SUM(D84:O84)</f>
        <v>0</v>
      </c>
    </row>
    <row r="85" spans="1:16">
      <c r="A85" s="655"/>
      <c r="B85" s="655" t="s">
        <v>678</v>
      </c>
      <c r="C85" s="655"/>
      <c r="D85" s="418">
        <v>0</v>
      </c>
      <c r="E85" s="418">
        <v>0</v>
      </c>
      <c r="F85" s="418">
        <v>0</v>
      </c>
      <c r="G85" s="418">
        <v>0</v>
      </c>
      <c r="H85" s="418">
        <v>0</v>
      </c>
      <c r="I85" s="418">
        <v>0</v>
      </c>
      <c r="J85" s="418">
        <v>0</v>
      </c>
      <c r="K85" s="418">
        <v>0</v>
      </c>
      <c r="L85" s="418">
        <v>0</v>
      </c>
      <c r="M85" s="418">
        <v>0</v>
      </c>
      <c r="N85" s="418">
        <v>0</v>
      </c>
      <c r="O85" s="418">
        <v>0</v>
      </c>
      <c r="P85" s="418">
        <f t="shared" si="16"/>
        <v>0</v>
      </c>
    </row>
    <row r="86" spans="1:16">
      <c r="A86" s="655"/>
      <c r="B86" s="655" t="s">
        <v>690</v>
      </c>
      <c r="C86" s="655"/>
      <c r="D86" s="418">
        <v>0</v>
      </c>
      <c r="E86" s="418">
        <v>0</v>
      </c>
      <c r="F86" s="418">
        <v>0</v>
      </c>
      <c r="G86" s="418">
        <v>0</v>
      </c>
      <c r="H86" s="418">
        <v>0</v>
      </c>
      <c r="I86" s="418">
        <v>0</v>
      </c>
      <c r="J86" s="418">
        <v>0</v>
      </c>
      <c r="K86" s="418">
        <v>0</v>
      </c>
      <c r="L86" s="418">
        <v>0</v>
      </c>
      <c r="M86" s="418">
        <v>0</v>
      </c>
      <c r="N86" s="418">
        <v>0</v>
      </c>
      <c r="O86" s="418">
        <v>0</v>
      </c>
      <c r="P86" s="418">
        <f t="shared" si="16"/>
        <v>0</v>
      </c>
    </row>
    <row r="87" spans="1:16">
      <c r="A87" s="655"/>
      <c r="B87" s="655" t="s">
        <v>691</v>
      </c>
      <c r="C87" s="655"/>
      <c r="D87" s="418">
        <v>0</v>
      </c>
      <c r="E87" s="418">
        <v>0</v>
      </c>
      <c r="F87" s="418">
        <v>0</v>
      </c>
      <c r="G87" s="418">
        <v>0</v>
      </c>
      <c r="H87" s="418">
        <v>0</v>
      </c>
      <c r="I87" s="418">
        <v>0</v>
      </c>
      <c r="J87" s="418">
        <v>0</v>
      </c>
      <c r="K87" s="418">
        <v>0</v>
      </c>
      <c r="L87" s="418">
        <v>0</v>
      </c>
      <c r="M87" s="418">
        <v>0</v>
      </c>
      <c r="N87" s="418">
        <v>0</v>
      </c>
      <c r="O87" s="418">
        <v>0</v>
      </c>
      <c r="P87" s="418">
        <f t="shared" si="16"/>
        <v>0</v>
      </c>
    </row>
    <row r="88" spans="1:16" ht="13.8" thickBot="1">
      <c r="A88" s="655"/>
      <c r="B88" s="655" t="s">
        <v>679</v>
      </c>
      <c r="C88" s="655"/>
      <c r="D88" s="750">
        <v>35144446.58969</v>
      </c>
      <c r="E88" s="750">
        <v>34125485.379660003</v>
      </c>
      <c r="F88" s="750">
        <v>35841250.569629997</v>
      </c>
      <c r="G88" s="750">
        <v>31539769.65834</v>
      </c>
      <c r="H88" s="750">
        <v>29421546.761670001</v>
      </c>
      <c r="I88" s="750">
        <v>28955105.110350002</v>
      </c>
      <c r="J88" s="750">
        <v>29764550.107670002</v>
      </c>
      <c r="K88" s="750">
        <v>30840013.048689999</v>
      </c>
      <c r="L88" s="750">
        <v>30660685.317990001</v>
      </c>
      <c r="M88" s="750">
        <v>30031154.874529999</v>
      </c>
      <c r="N88" s="750">
        <v>31333256.804639999</v>
      </c>
      <c r="O88" s="750">
        <v>34970385.770999998</v>
      </c>
      <c r="P88" s="418">
        <f>SUM(D88:O88)</f>
        <v>382627649.99386001</v>
      </c>
    </row>
    <row r="89" spans="1:16" ht="13.8" thickBot="1">
      <c r="A89" s="655"/>
      <c r="B89" s="655" t="s">
        <v>680</v>
      </c>
      <c r="C89" s="655"/>
      <c r="D89" s="750">
        <v>17938585.731309999</v>
      </c>
      <c r="E89" s="750">
        <v>17121296.635340001</v>
      </c>
      <c r="F89" s="750">
        <v>18516249.172370002</v>
      </c>
      <c r="G89" s="750">
        <v>13297757.44166</v>
      </c>
      <c r="H89" s="750">
        <v>12040477.100330001</v>
      </c>
      <c r="I89" s="750">
        <v>12701977.10365</v>
      </c>
      <c r="J89" s="750">
        <v>14907579.341329999</v>
      </c>
      <c r="K89" s="750">
        <v>16453298.313309999</v>
      </c>
      <c r="L89" s="750">
        <v>16419901.527009999</v>
      </c>
      <c r="M89" s="750">
        <v>12259528.03947</v>
      </c>
      <c r="N89" s="750">
        <v>13290056.32636</v>
      </c>
      <c r="O89" s="750">
        <v>18503812.552999999</v>
      </c>
      <c r="P89" s="418">
        <f t="shared" ref="P89:P97" si="17">SUM(D89:O89)</f>
        <v>183450519.28513998</v>
      </c>
    </row>
    <row r="90" spans="1:16">
      <c r="A90" s="655"/>
      <c r="B90" s="655" t="s">
        <v>677</v>
      </c>
      <c r="C90" s="655"/>
      <c r="D90" s="418">
        <v>0</v>
      </c>
      <c r="E90" s="418">
        <v>0</v>
      </c>
      <c r="F90" s="418">
        <v>0</v>
      </c>
      <c r="G90" s="418">
        <v>0</v>
      </c>
      <c r="H90" s="418">
        <v>0</v>
      </c>
      <c r="I90" s="418">
        <v>0</v>
      </c>
      <c r="J90" s="418">
        <v>0</v>
      </c>
      <c r="K90" s="418">
        <v>0</v>
      </c>
      <c r="L90" s="418">
        <v>0</v>
      </c>
      <c r="M90" s="418">
        <v>0</v>
      </c>
      <c r="N90" s="418">
        <v>0</v>
      </c>
      <c r="O90" s="418">
        <v>0</v>
      </c>
      <c r="P90" s="418">
        <f t="shared" si="17"/>
        <v>0</v>
      </c>
    </row>
    <row r="91" spans="1:16">
      <c r="A91" s="655"/>
      <c r="B91" s="655" t="s">
        <v>730</v>
      </c>
      <c r="C91" s="655"/>
      <c r="D91" s="418">
        <v>0</v>
      </c>
      <c r="E91" s="418">
        <v>0</v>
      </c>
      <c r="F91" s="418">
        <v>0</v>
      </c>
      <c r="G91" s="418">
        <v>0</v>
      </c>
      <c r="H91" s="418">
        <v>0</v>
      </c>
      <c r="I91" s="418">
        <v>0</v>
      </c>
      <c r="J91" s="418">
        <v>0</v>
      </c>
      <c r="K91" s="418">
        <v>0</v>
      </c>
      <c r="L91" s="418">
        <v>0</v>
      </c>
      <c r="M91" s="418">
        <v>0</v>
      </c>
      <c r="N91" s="418">
        <v>0</v>
      </c>
      <c r="O91" s="418">
        <v>0</v>
      </c>
      <c r="P91" s="418">
        <f t="shared" si="17"/>
        <v>0</v>
      </c>
    </row>
    <row r="92" spans="1:16">
      <c r="A92" s="655"/>
      <c r="B92" s="655" t="s">
        <v>683</v>
      </c>
      <c r="C92" s="655"/>
      <c r="D92" s="418">
        <v>0</v>
      </c>
      <c r="E92" s="418">
        <v>0</v>
      </c>
      <c r="F92" s="418">
        <v>0</v>
      </c>
      <c r="G92" s="418">
        <v>0</v>
      </c>
      <c r="H92" s="418">
        <v>0</v>
      </c>
      <c r="I92" s="418">
        <v>0</v>
      </c>
      <c r="J92" s="418">
        <v>0</v>
      </c>
      <c r="K92" s="418">
        <v>0</v>
      </c>
      <c r="L92" s="418">
        <v>0</v>
      </c>
      <c r="M92" s="418">
        <v>0</v>
      </c>
      <c r="N92" s="418">
        <v>0</v>
      </c>
      <c r="O92" s="418">
        <v>0</v>
      </c>
      <c r="P92" s="418">
        <f t="shared" si="17"/>
        <v>0</v>
      </c>
    </row>
    <row r="93" spans="1:16">
      <c r="A93" s="655"/>
      <c r="B93" s="655" t="s">
        <v>684</v>
      </c>
      <c r="C93" s="655"/>
      <c r="D93" s="418">
        <v>0</v>
      </c>
      <c r="E93" s="418">
        <v>0</v>
      </c>
      <c r="F93" s="418">
        <v>0</v>
      </c>
      <c r="G93" s="418">
        <v>0</v>
      </c>
      <c r="H93" s="418">
        <v>0</v>
      </c>
      <c r="I93" s="418">
        <v>0</v>
      </c>
      <c r="J93" s="418">
        <v>0</v>
      </c>
      <c r="K93" s="418">
        <v>0</v>
      </c>
      <c r="L93" s="418">
        <v>0</v>
      </c>
      <c r="M93" s="418">
        <v>0</v>
      </c>
      <c r="N93" s="418">
        <v>0</v>
      </c>
      <c r="O93" s="418">
        <v>0</v>
      </c>
      <c r="P93" s="418">
        <f t="shared" si="17"/>
        <v>0</v>
      </c>
    </row>
    <row r="94" spans="1:16">
      <c r="A94" s="655"/>
      <c r="B94" s="655" t="s">
        <v>685</v>
      </c>
      <c r="C94" s="655"/>
      <c r="D94" s="418">
        <v>0</v>
      </c>
      <c r="E94" s="418">
        <v>0</v>
      </c>
      <c r="F94" s="418">
        <v>0</v>
      </c>
      <c r="G94" s="418">
        <v>0</v>
      </c>
      <c r="H94" s="418">
        <v>0</v>
      </c>
      <c r="I94" s="418">
        <v>0</v>
      </c>
      <c r="J94" s="418">
        <v>0</v>
      </c>
      <c r="K94" s="418">
        <v>0</v>
      </c>
      <c r="L94" s="418">
        <v>0</v>
      </c>
      <c r="M94" s="418">
        <v>0</v>
      </c>
      <c r="N94" s="418">
        <v>0</v>
      </c>
      <c r="O94" s="418">
        <v>0</v>
      </c>
      <c r="P94" s="418">
        <f t="shared" si="17"/>
        <v>0</v>
      </c>
    </row>
    <row r="95" spans="1:16">
      <c r="A95" s="655"/>
      <c r="B95" s="655" t="s">
        <v>686</v>
      </c>
      <c r="C95" s="655"/>
      <c r="D95" s="418">
        <v>0</v>
      </c>
      <c r="E95" s="418">
        <v>0</v>
      </c>
      <c r="F95" s="418">
        <v>0</v>
      </c>
      <c r="G95" s="418">
        <v>0</v>
      </c>
      <c r="H95" s="418">
        <v>0</v>
      </c>
      <c r="I95" s="418">
        <v>0</v>
      </c>
      <c r="J95" s="418">
        <v>0</v>
      </c>
      <c r="K95" s="418">
        <v>0</v>
      </c>
      <c r="L95" s="418">
        <v>0</v>
      </c>
      <c r="M95" s="418">
        <v>0</v>
      </c>
      <c r="N95" s="418">
        <v>0</v>
      </c>
      <c r="O95" s="418">
        <v>0</v>
      </c>
      <c r="P95" s="418">
        <f t="shared" si="17"/>
        <v>0</v>
      </c>
    </row>
    <row r="96" spans="1:16">
      <c r="A96" s="655"/>
      <c r="B96" s="655" t="s">
        <v>687</v>
      </c>
      <c r="C96" s="655"/>
      <c r="D96" s="418">
        <v>0</v>
      </c>
      <c r="E96" s="418">
        <v>0</v>
      </c>
      <c r="F96" s="418">
        <v>0</v>
      </c>
      <c r="G96" s="418">
        <v>0</v>
      </c>
      <c r="H96" s="418">
        <v>0</v>
      </c>
      <c r="I96" s="418">
        <v>0</v>
      </c>
      <c r="J96" s="418">
        <v>0</v>
      </c>
      <c r="K96" s="418">
        <v>0</v>
      </c>
      <c r="L96" s="418">
        <v>0</v>
      </c>
      <c r="M96" s="418">
        <v>0</v>
      </c>
      <c r="N96" s="418">
        <v>0</v>
      </c>
      <c r="O96" s="418">
        <v>0</v>
      </c>
      <c r="P96" s="418">
        <f t="shared" si="17"/>
        <v>0</v>
      </c>
    </row>
    <row r="97" spans="1:16">
      <c r="A97" s="655"/>
      <c r="B97" s="655" t="s">
        <v>785</v>
      </c>
      <c r="C97" s="655"/>
      <c r="D97" s="418"/>
      <c r="E97" s="418"/>
      <c r="F97" s="418"/>
      <c r="G97" s="418"/>
      <c r="H97" s="418">
        <v>0</v>
      </c>
      <c r="I97" s="418">
        <v>0</v>
      </c>
      <c r="J97" s="418">
        <v>0</v>
      </c>
      <c r="K97" s="418">
        <v>0</v>
      </c>
      <c r="L97" s="418">
        <v>0</v>
      </c>
      <c r="M97" s="418">
        <v>0</v>
      </c>
      <c r="N97" s="418">
        <v>0</v>
      </c>
      <c r="O97" s="418">
        <v>0</v>
      </c>
      <c r="P97" s="418">
        <f t="shared" si="17"/>
        <v>0</v>
      </c>
    </row>
    <row r="98" spans="1:16">
      <c r="A98" s="655"/>
      <c r="B98" s="655" t="s">
        <v>66</v>
      </c>
      <c r="C98" s="655"/>
      <c r="D98" s="418">
        <f>SUM(D84:D97)</f>
        <v>53083032.320999995</v>
      </c>
      <c r="E98" s="418">
        <f t="shared" ref="E98:O98" si="18">SUM(E84:E97)</f>
        <v>51246782.015000001</v>
      </c>
      <c r="F98" s="418">
        <f t="shared" si="18"/>
        <v>54357499.741999999</v>
      </c>
      <c r="G98" s="418">
        <f t="shared" si="18"/>
        <v>44837527.100000001</v>
      </c>
      <c r="H98" s="418">
        <f t="shared" si="18"/>
        <v>41462023.862000003</v>
      </c>
      <c r="I98" s="418">
        <f t="shared" si="18"/>
        <v>41657082.214000002</v>
      </c>
      <c r="J98" s="418">
        <f t="shared" si="18"/>
        <v>44672129.449000001</v>
      </c>
      <c r="K98" s="418">
        <f t="shared" si="18"/>
        <v>47293311.361999996</v>
      </c>
      <c r="L98" s="418">
        <f t="shared" si="18"/>
        <v>47080586.844999999</v>
      </c>
      <c r="M98" s="418">
        <f t="shared" si="18"/>
        <v>42290682.913999997</v>
      </c>
      <c r="N98" s="418">
        <f t="shared" si="18"/>
        <v>44623313.130999997</v>
      </c>
      <c r="O98" s="418">
        <f t="shared" si="18"/>
        <v>53474198.324000001</v>
      </c>
      <c r="P98" s="418">
        <f>SUM(P84:P97)</f>
        <v>566078169.27900004</v>
      </c>
    </row>
    <row r="99" spans="1:16">
      <c r="A99" s="655" t="s">
        <v>654</v>
      </c>
      <c r="B99" s="655" t="s">
        <v>689</v>
      </c>
      <c r="C99" s="655"/>
      <c r="D99" s="418">
        <v>0</v>
      </c>
      <c r="E99" s="418">
        <v>0</v>
      </c>
      <c r="F99" s="418">
        <v>0</v>
      </c>
      <c r="G99" s="418">
        <v>0</v>
      </c>
      <c r="H99" s="418">
        <v>0</v>
      </c>
      <c r="I99" s="418">
        <v>0</v>
      </c>
      <c r="J99" s="418">
        <v>0</v>
      </c>
      <c r="K99" s="418">
        <v>0</v>
      </c>
      <c r="L99" s="418">
        <v>0</v>
      </c>
      <c r="M99" s="418">
        <v>0</v>
      </c>
      <c r="N99" s="418">
        <v>0</v>
      </c>
      <c r="O99" s="418">
        <v>0</v>
      </c>
      <c r="P99" s="418">
        <f t="shared" ref="P99:P101" si="19">SUM(D99:O99)</f>
        <v>0</v>
      </c>
    </row>
    <row r="100" spans="1:16">
      <c r="A100" s="655"/>
      <c r="B100" s="655" t="s">
        <v>678</v>
      </c>
      <c r="C100" s="655"/>
      <c r="D100" s="418">
        <v>0</v>
      </c>
      <c r="E100" s="418">
        <v>0</v>
      </c>
      <c r="F100" s="418">
        <v>0</v>
      </c>
      <c r="G100" s="418">
        <v>0</v>
      </c>
      <c r="H100" s="418">
        <v>0</v>
      </c>
      <c r="I100" s="418">
        <v>0</v>
      </c>
      <c r="J100" s="418">
        <v>0</v>
      </c>
      <c r="K100" s="418">
        <v>0</v>
      </c>
      <c r="L100" s="418">
        <v>0</v>
      </c>
      <c r="M100" s="418">
        <v>0</v>
      </c>
      <c r="N100" s="418">
        <v>0</v>
      </c>
      <c r="O100" s="418">
        <v>0</v>
      </c>
      <c r="P100" s="418">
        <f t="shared" si="19"/>
        <v>0</v>
      </c>
    </row>
    <row r="101" spans="1:16">
      <c r="A101" s="655"/>
      <c r="B101" s="655" t="s">
        <v>691</v>
      </c>
      <c r="C101" s="655"/>
      <c r="D101" s="418">
        <v>0</v>
      </c>
      <c r="E101" s="418">
        <v>0</v>
      </c>
      <c r="F101" s="418">
        <v>0</v>
      </c>
      <c r="G101" s="418">
        <v>0</v>
      </c>
      <c r="H101" s="418">
        <v>0</v>
      </c>
      <c r="I101" s="418">
        <v>0</v>
      </c>
      <c r="J101" s="418">
        <v>0</v>
      </c>
      <c r="K101" s="418">
        <v>0</v>
      </c>
      <c r="L101" s="418">
        <v>0</v>
      </c>
      <c r="M101" s="418">
        <v>0</v>
      </c>
      <c r="N101" s="418">
        <v>0</v>
      </c>
      <c r="O101" s="418">
        <v>0</v>
      </c>
      <c r="P101" s="418">
        <f t="shared" si="19"/>
        <v>0</v>
      </c>
    </row>
    <row r="102" spans="1:16">
      <c r="A102" s="655"/>
      <c r="B102" s="655" t="s">
        <v>679</v>
      </c>
      <c r="C102" s="655"/>
      <c r="D102" s="418">
        <v>5911989.3943400001</v>
      </c>
      <c r="E102" s="418">
        <v>5638132.33366</v>
      </c>
      <c r="F102" s="418">
        <v>6214207.77733</v>
      </c>
      <c r="G102" s="418">
        <v>4536457.5350000001</v>
      </c>
      <c r="H102" s="418">
        <v>3673456.5973299998</v>
      </c>
      <c r="I102" s="418">
        <v>3241941.6809999999</v>
      </c>
      <c r="J102" s="418">
        <v>3342032.5869999998</v>
      </c>
      <c r="K102" s="418">
        <v>3420877.0789999999</v>
      </c>
      <c r="L102" s="418">
        <v>3443081.196</v>
      </c>
      <c r="M102" s="418">
        <v>3720230.6863299999</v>
      </c>
      <c r="N102" s="418">
        <v>4420583.3606599998</v>
      </c>
      <c r="O102" s="418">
        <v>5788652.7963300003</v>
      </c>
      <c r="P102" s="418">
        <f>SUM(D102:O102)</f>
        <v>53351643.023979999</v>
      </c>
    </row>
    <row r="103" spans="1:16">
      <c r="A103" s="655"/>
      <c r="B103" s="655" t="s">
        <v>680</v>
      </c>
      <c r="C103" s="655"/>
      <c r="D103" s="418">
        <v>925305.40766000003</v>
      </c>
      <c r="E103" s="418">
        <v>954574.13833999995</v>
      </c>
      <c r="F103" s="418">
        <v>1005252.90467</v>
      </c>
      <c r="G103" s="418">
        <v>595784.21299999999</v>
      </c>
      <c r="H103" s="418">
        <v>348637.28567000001</v>
      </c>
      <c r="I103" s="418">
        <v>354568.56599999999</v>
      </c>
      <c r="J103" s="418">
        <v>388873.03100000002</v>
      </c>
      <c r="K103" s="418">
        <v>550407.96699999995</v>
      </c>
      <c r="L103" s="418">
        <v>577513.99800000002</v>
      </c>
      <c r="M103" s="418">
        <v>513935.82066999999</v>
      </c>
      <c r="N103" s="418">
        <v>564813.51133999997</v>
      </c>
      <c r="O103" s="418">
        <v>886263.38966999995</v>
      </c>
      <c r="P103" s="418">
        <f t="shared" ref="P103:P112" si="20">SUM(D103:O103)</f>
        <v>7665930.2330200002</v>
      </c>
    </row>
    <row r="104" spans="1:16">
      <c r="A104" s="655"/>
      <c r="B104" s="655" t="s">
        <v>677</v>
      </c>
      <c r="C104" s="655"/>
      <c r="D104" s="418">
        <v>0</v>
      </c>
      <c r="E104" s="418">
        <v>0</v>
      </c>
      <c r="F104" s="418">
        <v>0</v>
      </c>
      <c r="G104" s="418">
        <v>0</v>
      </c>
      <c r="H104" s="418">
        <v>0</v>
      </c>
      <c r="I104" s="418">
        <v>0</v>
      </c>
      <c r="J104" s="418">
        <v>0</v>
      </c>
      <c r="K104" s="418">
        <v>0</v>
      </c>
      <c r="L104" s="418">
        <v>0</v>
      </c>
      <c r="M104" s="418">
        <v>0</v>
      </c>
      <c r="N104" s="418">
        <v>0</v>
      </c>
      <c r="O104" s="418">
        <v>0</v>
      </c>
      <c r="P104" s="418">
        <f t="shared" si="20"/>
        <v>0</v>
      </c>
    </row>
    <row r="105" spans="1:16">
      <c r="A105" s="655"/>
      <c r="B105" s="655" t="s">
        <v>682</v>
      </c>
      <c r="C105" s="655"/>
      <c r="D105" s="418">
        <v>0</v>
      </c>
      <c r="E105" s="418">
        <v>0</v>
      </c>
      <c r="F105" s="418">
        <v>0</v>
      </c>
      <c r="G105" s="418">
        <v>0</v>
      </c>
      <c r="H105" s="418">
        <v>0</v>
      </c>
      <c r="I105" s="418">
        <v>0</v>
      </c>
      <c r="J105" s="418">
        <v>0</v>
      </c>
      <c r="K105" s="418">
        <v>0</v>
      </c>
      <c r="L105" s="418">
        <v>0</v>
      </c>
      <c r="M105" s="418">
        <v>0</v>
      </c>
      <c r="N105" s="418">
        <v>0</v>
      </c>
      <c r="O105" s="418">
        <v>0</v>
      </c>
      <c r="P105" s="418">
        <f t="shared" si="20"/>
        <v>0</v>
      </c>
    </row>
    <row r="106" spans="1:16">
      <c r="A106" s="655"/>
      <c r="B106" s="655" t="s">
        <v>730</v>
      </c>
      <c r="C106" s="655"/>
      <c r="D106" s="418">
        <v>0</v>
      </c>
      <c r="E106" s="418">
        <v>0</v>
      </c>
      <c r="F106" s="418">
        <v>0</v>
      </c>
      <c r="G106" s="418">
        <v>0</v>
      </c>
      <c r="H106" s="418">
        <v>0</v>
      </c>
      <c r="I106" s="418">
        <v>0</v>
      </c>
      <c r="J106" s="418">
        <v>0</v>
      </c>
      <c r="K106" s="418">
        <v>0</v>
      </c>
      <c r="L106" s="418">
        <v>0</v>
      </c>
      <c r="M106" s="418">
        <v>0</v>
      </c>
      <c r="N106" s="418">
        <v>0</v>
      </c>
      <c r="O106" s="418">
        <v>0</v>
      </c>
      <c r="P106" s="418">
        <f t="shared" si="20"/>
        <v>0</v>
      </c>
    </row>
    <row r="107" spans="1:16">
      <c r="A107" s="655"/>
      <c r="B107" s="655" t="s">
        <v>683</v>
      </c>
      <c r="C107" s="655"/>
      <c r="D107" s="418">
        <v>0</v>
      </c>
      <c r="E107" s="418">
        <v>0</v>
      </c>
      <c r="F107" s="418">
        <v>0</v>
      </c>
      <c r="G107" s="418">
        <v>0</v>
      </c>
      <c r="H107" s="418">
        <v>-240</v>
      </c>
      <c r="I107" s="418">
        <v>0</v>
      </c>
      <c r="J107" s="418">
        <v>0</v>
      </c>
      <c r="K107" s="418">
        <v>0</v>
      </c>
      <c r="L107" s="418">
        <v>0</v>
      </c>
      <c r="M107" s="418">
        <v>0</v>
      </c>
      <c r="N107" s="418">
        <v>0</v>
      </c>
      <c r="O107" s="418">
        <v>0</v>
      </c>
      <c r="P107" s="418">
        <f t="shared" si="20"/>
        <v>-240</v>
      </c>
    </row>
    <row r="108" spans="1:16">
      <c r="A108" s="655"/>
      <c r="B108" s="655" t="s">
        <v>684</v>
      </c>
      <c r="C108" s="655"/>
      <c r="D108" s="418">
        <v>0</v>
      </c>
      <c r="E108" s="418">
        <v>0</v>
      </c>
      <c r="F108" s="418">
        <v>0</v>
      </c>
      <c r="G108" s="418">
        <v>0</v>
      </c>
      <c r="H108" s="418">
        <v>0</v>
      </c>
      <c r="I108" s="418">
        <v>0</v>
      </c>
      <c r="J108" s="418">
        <v>0</v>
      </c>
      <c r="K108" s="418">
        <v>0</v>
      </c>
      <c r="L108" s="418">
        <v>0</v>
      </c>
      <c r="M108" s="418">
        <v>0</v>
      </c>
      <c r="N108" s="418">
        <v>0</v>
      </c>
      <c r="O108" s="418">
        <v>0</v>
      </c>
      <c r="P108" s="418">
        <f t="shared" si="20"/>
        <v>0</v>
      </c>
    </row>
    <row r="109" spans="1:16">
      <c r="A109" s="655"/>
      <c r="B109" s="655" t="s">
        <v>685</v>
      </c>
      <c r="C109" s="655"/>
      <c r="D109" s="418">
        <v>0</v>
      </c>
      <c r="E109" s="418">
        <v>0</v>
      </c>
      <c r="F109" s="418">
        <v>0</v>
      </c>
      <c r="G109" s="418">
        <v>0</v>
      </c>
      <c r="H109" s="418">
        <v>0</v>
      </c>
      <c r="I109" s="418">
        <v>0</v>
      </c>
      <c r="J109" s="418">
        <v>0</v>
      </c>
      <c r="K109" s="418">
        <v>0</v>
      </c>
      <c r="L109" s="418">
        <v>0</v>
      </c>
      <c r="M109" s="418">
        <v>0</v>
      </c>
      <c r="N109" s="418">
        <v>0</v>
      </c>
      <c r="O109" s="418">
        <v>0</v>
      </c>
      <c r="P109" s="418">
        <f t="shared" si="20"/>
        <v>0</v>
      </c>
    </row>
    <row r="110" spans="1:16">
      <c r="A110" s="655"/>
      <c r="B110" s="655" t="s">
        <v>686</v>
      </c>
      <c r="C110" s="655"/>
      <c r="D110" s="418">
        <v>0</v>
      </c>
      <c r="E110" s="418">
        <v>0</v>
      </c>
      <c r="F110" s="418">
        <v>0</v>
      </c>
      <c r="G110" s="418">
        <v>0</v>
      </c>
      <c r="H110" s="418">
        <v>0</v>
      </c>
      <c r="I110" s="418">
        <v>0</v>
      </c>
      <c r="J110" s="418">
        <v>0</v>
      </c>
      <c r="K110" s="418">
        <v>0</v>
      </c>
      <c r="L110" s="418">
        <v>0</v>
      </c>
      <c r="M110" s="418">
        <v>0</v>
      </c>
      <c r="N110" s="418">
        <v>0</v>
      </c>
      <c r="O110" s="418">
        <v>0</v>
      </c>
      <c r="P110" s="418">
        <f t="shared" si="20"/>
        <v>0</v>
      </c>
    </row>
    <row r="111" spans="1:16">
      <c r="A111" s="655"/>
      <c r="B111" s="655" t="s">
        <v>687</v>
      </c>
      <c r="C111" s="655"/>
      <c r="D111" s="418">
        <v>0</v>
      </c>
      <c r="E111" s="418">
        <v>0</v>
      </c>
      <c r="F111" s="418">
        <v>0</v>
      </c>
      <c r="G111" s="418">
        <v>0</v>
      </c>
      <c r="H111" s="418">
        <v>0</v>
      </c>
      <c r="I111" s="418">
        <v>0</v>
      </c>
      <c r="J111" s="418">
        <v>0</v>
      </c>
      <c r="K111" s="418">
        <v>0</v>
      </c>
      <c r="L111" s="418">
        <v>0</v>
      </c>
      <c r="M111" s="418">
        <v>0</v>
      </c>
      <c r="N111" s="418">
        <v>0</v>
      </c>
      <c r="O111" s="418">
        <v>0</v>
      </c>
      <c r="P111" s="418">
        <f t="shared" si="20"/>
        <v>0</v>
      </c>
    </row>
    <row r="112" spans="1:16">
      <c r="A112" s="655"/>
      <c r="B112" s="655" t="s">
        <v>785</v>
      </c>
      <c r="C112" s="655"/>
      <c r="D112" s="418"/>
      <c r="E112" s="418"/>
      <c r="F112" s="418"/>
      <c r="G112" s="418"/>
      <c r="H112" s="418">
        <v>0</v>
      </c>
      <c r="I112" s="418">
        <v>0</v>
      </c>
      <c r="J112" s="418">
        <v>0</v>
      </c>
      <c r="K112" s="418">
        <v>0</v>
      </c>
      <c r="L112" s="418">
        <v>0</v>
      </c>
      <c r="M112" s="418">
        <v>0</v>
      </c>
      <c r="N112" s="418">
        <v>0</v>
      </c>
      <c r="O112" s="418">
        <v>0</v>
      </c>
      <c r="P112" s="418">
        <f t="shared" si="20"/>
        <v>0</v>
      </c>
    </row>
    <row r="113" spans="1:16">
      <c r="A113" s="655"/>
      <c r="B113" s="655" t="s">
        <v>66</v>
      </c>
      <c r="C113" s="655"/>
      <c r="D113" s="418">
        <f>SUM(D99:D112)</f>
        <v>6837294.8020000001</v>
      </c>
      <c r="E113" s="418">
        <f t="shared" ref="E113:O113" si="21">SUM(E99:E112)</f>
        <v>6592706.4720000001</v>
      </c>
      <c r="F113" s="418">
        <f t="shared" si="21"/>
        <v>7219460.682</v>
      </c>
      <c r="G113" s="418">
        <f t="shared" si="21"/>
        <v>5132241.7479999997</v>
      </c>
      <c r="H113" s="418">
        <f t="shared" si="21"/>
        <v>4021853.8829999999</v>
      </c>
      <c r="I113" s="418">
        <f t="shared" si="21"/>
        <v>3596510.247</v>
      </c>
      <c r="J113" s="418">
        <f t="shared" si="21"/>
        <v>3730905.6179999998</v>
      </c>
      <c r="K113" s="418">
        <f t="shared" si="21"/>
        <v>3971285.0460000001</v>
      </c>
      <c r="L113" s="418">
        <f t="shared" si="21"/>
        <v>4020595.1940000001</v>
      </c>
      <c r="M113" s="418">
        <f t="shared" si="21"/>
        <v>4234166.5070000002</v>
      </c>
      <c r="N113" s="418">
        <f t="shared" si="21"/>
        <v>4985396.8719999995</v>
      </c>
      <c r="O113" s="418">
        <f t="shared" si="21"/>
        <v>6674916.1860000007</v>
      </c>
      <c r="P113" s="418">
        <f>SUM(P99:P112)</f>
        <v>61017333.256999999</v>
      </c>
    </row>
    <row r="114" spans="1:16">
      <c r="A114" s="655" t="s">
        <v>656</v>
      </c>
      <c r="B114" s="655" t="s">
        <v>678</v>
      </c>
      <c r="C114" s="655"/>
      <c r="D114" s="418">
        <v>0</v>
      </c>
      <c r="E114" s="418">
        <v>0</v>
      </c>
      <c r="F114" s="418">
        <v>0</v>
      </c>
      <c r="G114" s="418">
        <v>0</v>
      </c>
      <c r="H114" s="418">
        <v>0</v>
      </c>
      <c r="I114" s="418">
        <v>0</v>
      </c>
      <c r="J114" s="418">
        <v>0</v>
      </c>
      <c r="K114" s="418">
        <v>0</v>
      </c>
      <c r="L114" s="418">
        <v>0</v>
      </c>
      <c r="M114" s="418">
        <v>0</v>
      </c>
      <c r="N114" s="418">
        <v>0</v>
      </c>
      <c r="O114" s="418">
        <v>0</v>
      </c>
      <c r="P114" s="418">
        <f t="shared" ref="P114:P116" si="22">SUM(D114:O114)</f>
        <v>0</v>
      </c>
    </row>
    <row r="115" spans="1:16">
      <c r="A115" s="655"/>
      <c r="B115" s="655" t="s">
        <v>690</v>
      </c>
      <c r="C115" s="655"/>
      <c r="D115" s="418">
        <v>0</v>
      </c>
      <c r="E115" s="418">
        <v>0</v>
      </c>
      <c r="F115" s="418">
        <v>0</v>
      </c>
      <c r="G115" s="418">
        <v>0</v>
      </c>
      <c r="H115" s="418">
        <v>0</v>
      </c>
      <c r="I115" s="418">
        <v>0</v>
      </c>
      <c r="J115" s="418">
        <v>0</v>
      </c>
      <c r="K115" s="418">
        <v>0</v>
      </c>
      <c r="L115" s="418">
        <v>0</v>
      </c>
      <c r="M115" s="418">
        <v>0</v>
      </c>
      <c r="N115" s="418">
        <v>0</v>
      </c>
      <c r="O115" s="418">
        <v>0</v>
      </c>
      <c r="P115" s="418">
        <f t="shared" si="22"/>
        <v>0</v>
      </c>
    </row>
    <row r="116" spans="1:16">
      <c r="A116" s="655"/>
      <c r="B116" s="655" t="s">
        <v>691</v>
      </c>
      <c r="C116" s="655"/>
      <c r="D116" s="418">
        <v>0</v>
      </c>
      <c r="E116" s="418">
        <v>0</v>
      </c>
      <c r="F116" s="418">
        <v>0</v>
      </c>
      <c r="G116" s="418">
        <v>0</v>
      </c>
      <c r="H116" s="418">
        <v>0</v>
      </c>
      <c r="I116" s="418">
        <v>0</v>
      </c>
      <c r="J116" s="418">
        <v>0</v>
      </c>
      <c r="K116" s="418">
        <v>0</v>
      </c>
      <c r="L116" s="418">
        <v>0</v>
      </c>
      <c r="M116" s="418">
        <v>0</v>
      </c>
      <c r="N116" s="418">
        <v>0</v>
      </c>
      <c r="O116" s="418">
        <v>0</v>
      </c>
      <c r="P116" s="418">
        <f t="shared" si="22"/>
        <v>0</v>
      </c>
    </row>
    <row r="117" spans="1:16">
      <c r="A117" s="655"/>
      <c r="B117" s="655" t="s">
        <v>679</v>
      </c>
      <c r="C117" s="655"/>
      <c r="D117" s="418">
        <v>104819824.11833</v>
      </c>
      <c r="E117" s="418">
        <v>99058751.030000001</v>
      </c>
      <c r="F117" s="418">
        <v>104385145.29467</v>
      </c>
      <c r="G117" s="418">
        <v>95819636.994000003</v>
      </c>
      <c r="H117" s="418">
        <v>93950445.961999997</v>
      </c>
      <c r="I117" s="418">
        <v>96611639.213</v>
      </c>
      <c r="J117" s="418">
        <v>100931281.47</v>
      </c>
      <c r="K117" s="418">
        <v>101449414.502</v>
      </c>
      <c r="L117" s="418">
        <v>99711817.104000002</v>
      </c>
      <c r="M117" s="418">
        <v>99110245.459670007</v>
      </c>
      <c r="N117" s="418">
        <v>94665849.422000006</v>
      </c>
      <c r="O117" s="418">
        <v>106308240.714</v>
      </c>
      <c r="P117" s="418">
        <f>SUM(D117:O117)</f>
        <v>1196822291.2836699</v>
      </c>
    </row>
    <row r="118" spans="1:16">
      <c r="A118" s="655"/>
      <c r="B118" s="655" t="s">
        <v>680</v>
      </c>
      <c r="C118" s="655"/>
      <c r="D118" s="418">
        <v>12203335.066670001</v>
      </c>
      <c r="E118" s="418">
        <v>10935110.199999999</v>
      </c>
      <c r="F118" s="418">
        <v>11819762.693329999</v>
      </c>
      <c r="G118" s="418">
        <v>10193798.960000001</v>
      </c>
      <c r="H118" s="418">
        <v>11158280.640000001</v>
      </c>
      <c r="I118" s="418">
        <v>11736635.699999999</v>
      </c>
      <c r="J118" s="418">
        <v>13256235.26</v>
      </c>
      <c r="K118" s="418">
        <v>14144176.560000001</v>
      </c>
      <c r="L118" s="418">
        <v>15279978.18</v>
      </c>
      <c r="M118" s="418">
        <v>11559763.25333</v>
      </c>
      <c r="N118" s="418">
        <v>10691308.640000001</v>
      </c>
      <c r="O118" s="418">
        <v>13086599.300000001</v>
      </c>
      <c r="P118" s="418">
        <f t="shared" ref="P118:P127" si="23">SUM(D118:O118)</f>
        <v>146064984.45333001</v>
      </c>
    </row>
    <row r="119" spans="1:16">
      <c r="A119" s="655"/>
      <c r="B119" s="655" t="s">
        <v>677</v>
      </c>
      <c r="C119" s="655"/>
      <c r="D119" s="418">
        <v>0</v>
      </c>
      <c r="E119" s="418">
        <v>0</v>
      </c>
      <c r="F119" s="418">
        <v>0</v>
      </c>
      <c r="G119" s="418">
        <v>0</v>
      </c>
      <c r="H119" s="418">
        <v>0</v>
      </c>
      <c r="I119" s="418">
        <v>0</v>
      </c>
      <c r="J119" s="418">
        <v>0</v>
      </c>
      <c r="K119" s="418">
        <v>0</v>
      </c>
      <c r="L119" s="418">
        <v>0</v>
      </c>
      <c r="M119" s="418">
        <v>0</v>
      </c>
      <c r="N119" s="418">
        <v>0</v>
      </c>
      <c r="O119" s="418">
        <v>0</v>
      </c>
      <c r="P119" s="418">
        <f t="shared" si="23"/>
        <v>0</v>
      </c>
    </row>
    <row r="120" spans="1:16">
      <c r="A120" s="655"/>
      <c r="B120" s="655" t="s">
        <v>692</v>
      </c>
      <c r="C120" s="655"/>
      <c r="D120" s="418">
        <v>0</v>
      </c>
      <c r="E120" s="418">
        <v>0</v>
      </c>
      <c r="F120" s="418">
        <v>0</v>
      </c>
      <c r="G120" s="418">
        <v>0</v>
      </c>
      <c r="H120" s="418">
        <v>0</v>
      </c>
      <c r="I120" s="418">
        <v>0</v>
      </c>
      <c r="J120" s="418">
        <v>0</v>
      </c>
      <c r="K120" s="418">
        <v>0</v>
      </c>
      <c r="L120" s="418">
        <v>0</v>
      </c>
      <c r="M120" s="418">
        <v>0</v>
      </c>
      <c r="N120" s="418">
        <v>0</v>
      </c>
      <c r="O120" s="418">
        <v>0</v>
      </c>
      <c r="P120" s="418">
        <f t="shared" si="23"/>
        <v>0</v>
      </c>
    </row>
    <row r="121" spans="1:16">
      <c r="A121" s="655"/>
      <c r="B121" s="655" t="s">
        <v>730</v>
      </c>
      <c r="C121" s="655"/>
      <c r="D121" s="418">
        <v>0</v>
      </c>
      <c r="E121" s="418">
        <v>0</v>
      </c>
      <c r="F121" s="418">
        <v>0</v>
      </c>
      <c r="G121" s="418">
        <v>0</v>
      </c>
      <c r="H121" s="418">
        <v>0</v>
      </c>
      <c r="I121" s="418">
        <v>0</v>
      </c>
      <c r="J121" s="418">
        <v>0</v>
      </c>
      <c r="K121" s="418">
        <v>0</v>
      </c>
      <c r="L121" s="418">
        <v>0</v>
      </c>
      <c r="M121" s="418">
        <v>0</v>
      </c>
      <c r="N121" s="418">
        <v>0</v>
      </c>
      <c r="O121" s="418">
        <v>0</v>
      </c>
      <c r="P121" s="418">
        <f t="shared" si="23"/>
        <v>0</v>
      </c>
    </row>
    <row r="122" spans="1:16">
      <c r="A122" s="655"/>
      <c r="B122" s="655" t="s">
        <v>683</v>
      </c>
      <c r="C122" s="655"/>
      <c r="D122" s="418">
        <v>0</v>
      </c>
      <c r="E122" s="418">
        <v>0</v>
      </c>
      <c r="F122" s="418">
        <v>0</v>
      </c>
      <c r="G122" s="418">
        <v>0</v>
      </c>
      <c r="H122" s="418">
        <v>0</v>
      </c>
      <c r="I122" s="418">
        <v>0</v>
      </c>
      <c r="J122" s="418">
        <v>0</v>
      </c>
      <c r="K122" s="418">
        <v>0</v>
      </c>
      <c r="L122" s="418">
        <v>0</v>
      </c>
      <c r="M122" s="418">
        <v>0</v>
      </c>
      <c r="N122" s="418">
        <v>0</v>
      </c>
      <c r="O122" s="418">
        <v>0</v>
      </c>
      <c r="P122" s="418">
        <f t="shared" si="23"/>
        <v>0</v>
      </c>
    </row>
    <row r="123" spans="1:16">
      <c r="A123" s="655"/>
      <c r="B123" s="655" t="s">
        <v>684</v>
      </c>
      <c r="C123" s="655"/>
      <c r="D123" s="418">
        <v>0</v>
      </c>
      <c r="E123" s="418">
        <v>0</v>
      </c>
      <c r="F123" s="418">
        <v>0</v>
      </c>
      <c r="G123" s="418">
        <v>0</v>
      </c>
      <c r="H123" s="418">
        <v>0</v>
      </c>
      <c r="I123" s="418">
        <v>0</v>
      </c>
      <c r="J123" s="418">
        <v>0</v>
      </c>
      <c r="K123" s="418">
        <v>0</v>
      </c>
      <c r="L123" s="418">
        <v>0</v>
      </c>
      <c r="M123" s="418">
        <v>0</v>
      </c>
      <c r="N123" s="418">
        <v>0</v>
      </c>
      <c r="O123" s="418">
        <v>0</v>
      </c>
      <c r="P123" s="418">
        <f t="shared" si="23"/>
        <v>0</v>
      </c>
    </row>
    <row r="124" spans="1:16">
      <c r="A124" s="655"/>
      <c r="B124" s="655" t="s">
        <v>685</v>
      </c>
      <c r="C124" s="655"/>
      <c r="D124" s="418">
        <v>0</v>
      </c>
      <c r="E124" s="418">
        <v>0</v>
      </c>
      <c r="F124" s="418">
        <v>0</v>
      </c>
      <c r="G124" s="418">
        <v>0</v>
      </c>
      <c r="H124" s="418">
        <v>0</v>
      </c>
      <c r="I124" s="418">
        <v>0</v>
      </c>
      <c r="J124" s="418">
        <v>0</v>
      </c>
      <c r="K124" s="418">
        <v>0</v>
      </c>
      <c r="L124" s="418">
        <v>0</v>
      </c>
      <c r="M124" s="418">
        <v>0</v>
      </c>
      <c r="N124" s="418">
        <v>0</v>
      </c>
      <c r="O124" s="418">
        <v>0</v>
      </c>
      <c r="P124" s="418">
        <f t="shared" si="23"/>
        <v>0</v>
      </c>
    </row>
    <row r="125" spans="1:16">
      <c r="A125" s="655"/>
      <c r="B125" s="655" t="s">
        <v>686</v>
      </c>
      <c r="C125" s="655"/>
      <c r="D125" s="418">
        <v>0</v>
      </c>
      <c r="E125" s="418">
        <v>0</v>
      </c>
      <c r="F125" s="418">
        <v>0</v>
      </c>
      <c r="G125" s="418">
        <v>0</v>
      </c>
      <c r="H125" s="418">
        <v>0</v>
      </c>
      <c r="I125" s="418">
        <v>0</v>
      </c>
      <c r="J125" s="418">
        <v>0</v>
      </c>
      <c r="K125" s="418">
        <v>0</v>
      </c>
      <c r="L125" s="418">
        <v>0</v>
      </c>
      <c r="M125" s="418">
        <v>0</v>
      </c>
      <c r="N125" s="418">
        <v>0</v>
      </c>
      <c r="O125" s="418">
        <v>0</v>
      </c>
      <c r="P125" s="418">
        <f t="shared" si="23"/>
        <v>0</v>
      </c>
    </row>
    <row r="126" spans="1:16">
      <c r="A126" s="655"/>
      <c r="B126" s="655" t="s">
        <v>687</v>
      </c>
      <c r="C126" s="655"/>
      <c r="D126" s="418">
        <v>0</v>
      </c>
      <c r="E126" s="418">
        <v>0</v>
      </c>
      <c r="F126" s="418">
        <v>0</v>
      </c>
      <c r="G126" s="418">
        <v>0</v>
      </c>
      <c r="H126" s="418">
        <v>0</v>
      </c>
      <c r="I126" s="418">
        <v>0</v>
      </c>
      <c r="J126" s="418">
        <v>0</v>
      </c>
      <c r="K126" s="418">
        <v>0</v>
      </c>
      <c r="L126" s="418">
        <v>0</v>
      </c>
      <c r="M126" s="418">
        <v>0</v>
      </c>
      <c r="N126" s="418">
        <v>0</v>
      </c>
      <c r="O126" s="418">
        <v>0</v>
      </c>
      <c r="P126" s="418">
        <f t="shared" si="23"/>
        <v>0</v>
      </c>
    </row>
    <row r="127" spans="1:16">
      <c r="A127" s="655"/>
      <c r="B127" s="655" t="s">
        <v>785</v>
      </c>
      <c r="C127" s="655"/>
      <c r="D127" s="418"/>
      <c r="E127" s="418"/>
      <c r="F127" s="418"/>
      <c r="G127" s="418"/>
      <c r="H127" s="418">
        <v>0</v>
      </c>
      <c r="I127" s="418">
        <v>0</v>
      </c>
      <c r="J127" s="418">
        <v>0</v>
      </c>
      <c r="K127" s="418">
        <v>0</v>
      </c>
      <c r="L127" s="418">
        <v>0</v>
      </c>
      <c r="M127" s="418">
        <v>0</v>
      </c>
      <c r="N127" s="418">
        <v>0</v>
      </c>
      <c r="O127" s="418">
        <v>0</v>
      </c>
      <c r="P127" s="418">
        <f t="shared" si="23"/>
        <v>0</v>
      </c>
    </row>
    <row r="128" spans="1:16">
      <c r="A128" s="655"/>
      <c r="B128" s="655" t="s">
        <v>66</v>
      </c>
      <c r="C128" s="655"/>
      <c r="D128" s="418">
        <f>SUM(D114:D127)</f>
        <v>117023159.185</v>
      </c>
      <c r="E128" s="418">
        <f t="shared" ref="E128:P128" si="24">SUM(E114:E127)</f>
        <v>109993861.23</v>
      </c>
      <c r="F128" s="418">
        <f t="shared" si="24"/>
        <v>116204907.98800001</v>
      </c>
      <c r="G128" s="418">
        <f t="shared" si="24"/>
        <v>106013435.954</v>
      </c>
      <c r="H128" s="418">
        <f t="shared" si="24"/>
        <v>105108726.602</v>
      </c>
      <c r="I128" s="418">
        <f t="shared" si="24"/>
        <v>108348274.913</v>
      </c>
      <c r="J128" s="418">
        <f t="shared" si="24"/>
        <v>114187516.73</v>
      </c>
      <c r="K128" s="418">
        <f t="shared" si="24"/>
        <v>115593591.06200001</v>
      </c>
      <c r="L128" s="418">
        <f t="shared" si="24"/>
        <v>114991795.28400001</v>
      </c>
      <c r="M128" s="418">
        <f t="shared" si="24"/>
        <v>110670008.713</v>
      </c>
      <c r="N128" s="418">
        <f t="shared" si="24"/>
        <v>105357158.06200001</v>
      </c>
      <c r="O128" s="418">
        <f t="shared" si="24"/>
        <v>119394840.014</v>
      </c>
      <c r="P128" s="418">
        <f t="shared" si="24"/>
        <v>1342887275.737</v>
      </c>
    </row>
    <row r="129" spans="1:16">
      <c r="A129" s="655" t="s">
        <v>657</v>
      </c>
      <c r="B129" s="655" t="s">
        <v>678</v>
      </c>
      <c r="C129" s="655"/>
      <c r="D129" s="418">
        <v>0</v>
      </c>
      <c r="E129" s="418">
        <v>0</v>
      </c>
      <c r="F129" s="418">
        <v>0</v>
      </c>
      <c r="G129" s="418">
        <v>0</v>
      </c>
      <c r="H129" s="418">
        <v>0</v>
      </c>
      <c r="I129" s="418">
        <v>0</v>
      </c>
      <c r="J129" s="418">
        <v>0</v>
      </c>
      <c r="K129" s="418">
        <v>0</v>
      </c>
      <c r="L129" s="418">
        <v>0</v>
      </c>
      <c r="M129" s="418">
        <v>0</v>
      </c>
      <c r="N129" s="418">
        <v>0</v>
      </c>
      <c r="O129" s="418">
        <v>0</v>
      </c>
      <c r="P129" s="418">
        <v>0</v>
      </c>
    </row>
    <row r="130" spans="1:16">
      <c r="A130" s="655"/>
      <c r="B130" s="655" t="s">
        <v>691</v>
      </c>
      <c r="C130" s="655"/>
      <c r="D130" s="418">
        <v>0</v>
      </c>
      <c r="E130" s="418">
        <v>0</v>
      </c>
      <c r="F130" s="418">
        <v>0</v>
      </c>
      <c r="G130" s="418">
        <v>0</v>
      </c>
      <c r="H130" s="418">
        <v>0</v>
      </c>
      <c r="I130" s="418">
        <v>0</v>
      </c>
      <c r="J130" s="418">
        <v>0</v>
      </c>
      <c r="K130" s="418">
        <v>0</v>
      </c>
      <c r="L130" s="418">
        <v>0</v>
      </c>
      <c r="M130" s="418">
        <v>0</v>
      </c>
      <c r="N130" s="418">
        <v>0</v>
      </c>
      <c r="O130" s="418">
        <v>0</v>
      </c>
      <c r="P130" s="418">
        <v>0</v>
      </c>
    </row>
    <row r="131" spans="1:16">
      <c r="A131" s="655"/>
      <c r="B131" s="655" t="s">
        <v>679</v>
      </c>
      <c r="C131" s="655"/>
      <c r="D131" s="418">
        <v>3538497.44</v>
      </c>
      <c r="E131" s="418">
        <v>3217213.92</v>
      </c>
      <c r="F131" s="418">
        <v>3608455.84</v>
      </c>
      <c r="G131" s="418">
        <v>2604046.7200000002</v>
      </c>
      <c r="H131" s="418">
        <v>2247395.2000000002</v>
      </c>
      <c r="I131" s="418">
        <v>2170828.6</v>
      </c>
      <c r="J131" s="418">
        <v>2293234.84</v>
      </c>
      <c r="K131" s="418">
        <v>2518587.52</v>
      </c>
      <c r="L131" s="418">
        <v>2314246.96</v>
      </c>
      <c r="M131" s="418">
        <v>2542421.88</v>
      </c>
      <c r="N131" s="418">
        <v>2624069.36</v>
      </c>
      <c r="O131" s="418">
        <v>3289862.24</v>
      </c>
      <c r="P131" s="418">
        <f>SUM(D131:O131)</f>
        <v>32968860.520000003</v>
      </c>
    </row>
    <row r="132" spans="1:16">
      <c r="A132" s="655"/>
      <c r="B132" s="655" t="s">
        <v>680</v>
      </c>
      <c r="C132" s="655"/>
      <c r="D132" s="418">
        <v>19760</v>
      </c>
      <c r="E132" s="418">
        <v>44720</v>
      </c>
      <c r="F132" s="418">
        <v>44000</v>
      </c>
      <c r="G132" s="418">
        <v>54560</v>
      </c>
      <c r="H132" s="418">
        <v>0</v>
      </c>
      <c r="I132" s="418">
        <v>0</v>
      </c>
      <c r="J132" s="418">
        <v>0</v>
      </c>
      <c r="K132" s="418">
        <v>9800</v>
      </c>
      <c r="L132" s="418">
        <v>0</v>
      </c>
      <c r="M132" s="418">
        <v>0</v>
      </c>
      <c r="N132" s="418">
        <v>0</v>
      </c>
      <c r="O132" s="418">
        <v>0</v>
      </c>
      <c r="P132" s="418">
        <f>SUM(D132:O132)</f>
        <v>172840</v>
      </c>
    </row>
    <row r="133" spans="1:16">
      <c r="A133" s="655"/>
      <c r="B133" s="655" t="s">
        <v>677</v>
      </c>
      <c r="C133" s="655"/>
      <c r="D133" s="418">
        <v>0</v>
      </c>
      <c r="E133" s="418">
        <v>0</v>
      </c>
      <c r="F133" s="418">
        <v>0</v>
      </c>
      <c r="G133" s="418">
        <v>0</v>
      </c>
      <c r="H133" s="418">
        <v>0</v>
      </c>
      <c r="I133" s="418">
        <v>0</v>
      </c>
      <c r="J133" s="418">
        <v>0</v>
      </c>
      <c r="K133" s="418">
        <v>0</v>
      </c>
      <c r="L133" s="418">
        <v>0</v>
      </c>
      <c r="M133" s="418">
        <v>0</v>
      </c>
      <c r="N133" s="418">
        <v>0</v>
      </c>
      <c r="O133" s="418">
        <v>0</v>
      </c>
      <c r="P133" s="418">
        <v>0</v>
      </c>
    </row>
    <row r="134" spans="1:16">
      <c r="A134" s="655"/>
      <c r="B134" s="655" t="s">
        <v>682</v>
      </c>
      <c r="C134" s="655"/>
      <c r="D134" s="418">
        <v>0</v>
      </c>
      <c r="E134" s="418">
        <v>0</v>
      </c>
      <c r="F134" s="418">
        <v>0</v>
      </c>
      <c r="G134" s="418">
        <v>0</v>
      </c>
      <c r="H134" s="418">
        <v>0</v>
      </c>
      <c r="I134" s="418">
        <v>0</v>
      </c>
      <c r="J134" s="418">
        <v>0</v>
      </c>
      <c r="K134" s="418">
        <v>0</v>
      </c>
      <c r="L134" s="418">
        <v>0</v>
      </c>
      <c r="M134" s="418">
        <v>0</v>
      </c>
      <c r="N134" s="418">
        <v>0</v>
      </c>
      <c r="O134" s="418">
        <v>0</v>
      </c>
      <c r="P134" s="418">
        <v>0</v>
      </c>
    </row>
    <row r="135" spans="1:16">
      <c r="A135" s="655"/>
      <c r="B135" s="655" t="s">
        <v>730</v>
      </c>
      <c r="C135" s="655"/>
      <c r="D135" s="418">
        <v>0</v>
      </c>
      <c r="E135" s="418">
        <v>0</v>
      </c>
      <c r="F135" s="418">
        <v>0</v>
      </c>
      <c r="G135" s="418">
        <v>0</v>
      </c>
      <c r="H135" s="418">
        <v>0</v>
      </c>
      <c r="I135" s="418">
        <v>0</v>
      </c>
      <c r="J135" s="418">
        <v>0</v>
      </c>
      <c r="K135" s="418">
        <v>0</v>
      </c>
      <c r="L135" s="418">
        <v>0</v>
      </c>
      <c r="M135" s="418">
        <v>0</v>
      </c>
      <c r="N135" s="418">
        <v>0</v>
      </c>
      <c r="O135" s="418">
        <v>0</v>
      </c>
      <c r="P135" s="418">
        <v>0</v>
      </c>
    </row>
    <row r="136" spans="1:16">
      <c r="A136" s="655"/>
      <c r="B136" s="655" t="s">
        <v>683</v>
      </c>
      <c r="C136" s="655"/>
      <c r="D136" s="418">
        <v>0</v>
      </c>
      <c r="E136" s="418">
        <v>0</v>
      </c>
      <c r="F136" s="418">
        <v>0</v>
      </c>
      <c r="G136" s="418">
        <v>0</v>
      </c>
      <c r="H136" s="418">
        <v>0</v>
      </c>
      <c r="I136" s="418">
        <v>0</v>
      </c>
      <c r="J136" s="418">
        <v>0</v>
      </c>
      <c r="K136" s="418">
        <v>0</v>
      </c>
      <c r="L136" s="418">
        <v>0</v>
      </c>
      <c r="M136" s="418">
        <v>0</v>
      </c>
      <c r="N136" s="418">
        <v>0</v>
      </c>
      <c r="O136" s="418">
        <v>0</v>
      </c>
      <c r="P136" s="418">
        <v>0</v>
      </c>
    </row>
    <row r="137" spans="1:16">
      <c r="A137" s="655"/>
      <c r="B137" s="655" t="s">
        <v>684</v>
      </c>
      <c r="C137" s="655"/>
      <c r="D137" s="418">
        <v>0</v>
      </c>
      <c r="E137" s="418">
        <v>0</v>
      </c>
      <c r="F137" s="418">
        <v>0</v>
      </c>
      <c r="G137" s="418">
        <v>0</v>
      </c>
      <c r="H137" s="418">
        <v>0</v>
      </c>
      <c r="I137" s="418">
        <v>0</v>
      </c>
      <c r="J137" s="418">
        <v>0</v>
      </c>
      <c r="K137" s="418">
        <v>0</v>
      </c>
      <c r="L137" s="418">
        <v>0</v>
      </c>
      <c r="M137" s="418">
        <v>0</v>
      </c>
      <c r="N137" s="418">
        <v>0</v>
      </c>
      <c r="O137" s="418">
        <v>0</v>
      </c>
      <c r="P137" s="418">
        <v>0</v>
      </c>
    </row>
    <row r="138" spans="1:16">
      <c r="A138" s="655"/>
      <c r="B138" s="655" t="s">
        <v>685</v>
      </c>
      <c r="C138" s="655"/>
      <c r="D138" s="418">
        <v>0</v>
      </c>
      <c r="E138" s="418">
        <v>0</v>
      </c>
      <c r="F138" s="418">
        <v>0</v>
      </c>
      <c r="G138" s="418">
        <v>0</v>
      </c>
      <c r="H138" s="418">
        <v>0</v>
      </c>
      <c r="I138" s="418">
        <v>0</v>
      </c>
      <c r="J138" s="418">
        <v>0</v>
      </c>
      <c r="K138" s="418">
        <v>0</v>
      </c>
      <c r="L138" s="418">
        <v>0</v>
      </c>
      <c r="M138" s="418">
        <v>0</v>
      </c>
      <c r="N138" s="418">
        <v>0</v>
      </c>
      <c r="O138" s="418">
        <v>0</v>
      </c>
      <c r="P138" s="418">
        <v>0</v>
      </c>
    </row>
    <row r="139" spans="1:16">
      <c r="A139" s="655"/>
      <c r="B139" s="655" t="s">
        <v>686</v>
      </c>
      <c r="C139" s="655"/>
      <c r="D139" s="418">
        <v>0</v>
      </c>
      <c r="E139" s="418">
        <v>0</v>
      </c>
      <c r="F139" s="418">
        <v>0</v>
      </c>
      <c r="G139" s="418">
        <v>0</v>
      </c>
      <c r="H139" s="418">
        <v>0</v>
      </c>
      <c r="I139" s="418">
        <v>0</v>
      </c>
      <c r="J139" s="418">
        <v>0</v>
      </c>
      <c r="K139" s="418">
        <v>0</v>
      </c>
      <c r="L139" s="418">
        <v>0</v>
      </c>
      <c r="M139" s="418">
        <v>0</v>
      </c>
      <c r="N139" s="418">
        <v>0</v>
      </c>
      <c r="O139" s="418">
        <v>0</v>
      </c>
      <c r="P139" s="418">
        <v>0</v>
      </c>
    </row>
    <row r="140" spans="1:16">
      <c r="A140" s="655"/>
      <c r="B140" s="655" t="s">
        <v>687</v>
      </c>
      <c r="C140" s="655"/>
      <c r="D140" s="418">
        <v>0</v>
      </c>
      <c r="E140" s="418">
        <v>0</v>
      </c>
      <c r="F140" s="418">
        <v>0</v>
      </c>
      <c r="G140" s="418">
        <v>0</v>
      </c>
      <c r="H140" s="418">
        <v>0</v>
      </c>
      <c r="I140" s="418">
        <v>0</v>
      </c>
      <c r="J140" s="418">
        <v>0</v>
      </c>
      <c r="K140" s="418">
        <v>0</v>
      </c>
      <c r="L140" s="418">
        <v>0</v>
      </c>
      <c r="M140" s="418">
        <v>0</v>
      </c>
      <c r="N140" s="418">
        <v>0</v>
      </c>
      <c r="O140" s="418">
        <v>0</v>
      </c>
      <c r="P140" s="418">
        <v>0</v>
      </c>
    </row>
    <row r="141" spans="1:16">
      <c r="A141" s="655"/>
      <c r="B141" s="655" t="s">
        <v>690</v>
      </c>
      <c r="C141" s="655"/>
      <c r="D141" s="418"/>
      <c r="E141" s="418"/>
      <c r="F141" s="418"/>
      <c r="G141" s="418"/>
      <c r="H141" s="418">
        <v>0</v>
      </c>
      <c r="I141" s="418">
        <v>0</v>
      </c>
      <c r="J141" s="418">
        <v>0</v>
      </c>
      <c r="K141" s="418">
        <v>0</v>
      </c>
      <c r="L141" s="418">
        <v>0</v>
      </c>
      <c r="M141" s="418">
        <v>0</v>
      </c>
      <c r="N141" s="418">
        <v>0</v>
      </c>
      <c r="O141" s="418">
        <v>0</v>
      </c>
      <c r="P141" s="418">
        <v>0</v>
      </c>
    </row>
    <row r="142" spans="1:16">
      <c r="A142" s="655"/>
      <c r="B142" s="655" t="s">
        <v>785</v>
      </c>
      <c r="C142" s="655"/>
      <c r="D142" s="418"/>
      <c r="E142" s="418"/>
      <c r="F142" s="418"/>
      <c r="G142" s="418"/>
      <c r="H142" s="418">
        <v>0</v>
      </c>
      <c r="I142" s="418">
        <v>0</v>
      </c>
      <c r="J142" s="418">
        <v>0</v>
      </c>
      <c r="K142" s="418">
        <v>0</v>
      </c>
      <c r="L142" s="418">
        <v>0</v>
      </c>
      <c r="M142" s="418">
        <v>0</v>
      </c>
      <c r="N142" s="418">
        <v>0</v>
      </c>
      <c r="O142" s="418">
        <v>0</v>
      </c>
      <c r="P142" s="418">
        <v>0</v>
      </c>
    </row>
    <row r="143" spans="1:16">
      <c r="A143" s="655"/>
      <c r="B143" s="655" t="s">
        <v>66</v>
      </c>
      <c r="C143" s="655"/>
      <c r="D143" s="418">
        <f>SUM(D129:D142)</f>
        <v>3558257.44</v>
      </c>
      <c r="E143" s="418">
        <f t="shared" ref="E143:P143" si="25">SUM(E129:E142)</f>
        <v>3261933.92</v>
      </c>
      <c r="F143" s="418">
        <f t="shared" si="25"/>
        <v>3652455.84</v>
      </c>
      <c r="G143" s="418">
        <f t="shared" si="25"/>
        <v>2658606.7200000002</v>
      </c>
      <c r="H143" s="418">
        <f t="shared" si="25"/>
        <v>2247395.2000000002</v>
      </c>
      <c r="I143" s="418">
        <f t="shared" si="25"/>
        <v>2170828.6</v>
      </c>
      <c r="J143" s="418">
        <f t="shared" si="25"/>
        <v>2293234.84</v>
      </c>
      <c r="K143" s="418">
        <f t="shared" si="25"/>
        <v>2528387.52</v>
      </c>
      <c r="L143" s="418">
        <f t="shared" si="25"/>
        <v>2314246.96</v>
      </c>
      <c r="M143" s="418">
        <f t="shared" si="25"/>
        <v>2542421.88</v>
      </c>
      <c r="N143" s="418">
        <f t="shared" si="25"/>
        <v>2624069.36</v>
      </c>
      <c r="O143" s="418">
        <f t="shared" si="25"/>
        <v>3289862.24</v>
      </c>
      <c r="P143" s="418">
        <f t="shared" si="25"/>
        <v>33141700.520000003</v>
      </c>
    </row>
    <row r="144" spans="1:16">
      <c r="A144" s="655" t="s">
        <v>658</v>
      </c>
      <c r="B144" s="655" t="s">
        <v>678</v>
      </c>
      <c r="C144" s="655"/>
      <c r="D144" s="418">
        <v>0</v>
      </c>
      <c r="E144" s="418">
        <v>0</v>
      </c>
      <c r="F144" s="418">
        <v>0</v>
      </c>
      <c r="G144" s="418">
        <v>0</v>
      </c>
      <c r="H144" s="418">
        <v>0</v>
      </c>
      <c r="I144" s="418">
        <v>0</v>
      </c>
      <c r="J144" s="418">
        <v>0</v>
      </c>
      <c r="K144" s="418">
        <v>0</v>
      </c>
      <c r="L144" s="418">
        <v>0</v>
      </c>
      <c r="M144" s="418">
        <v>0</v>
      </c>
      <c r="N144" s="418">
        <v>0</v>
      </c>
      <c r="O144" s="418">
        <v>0</v>
      </c>
      <c r="P144" s="418">
        <f t="shared" ref="P144:P145" si="26">SUM(D144:O144)</f>
        <v>0</v>
      </c>
    </row>
    <row r="145" spans="1:16">
      <c r="A145" s="655"/>
      <c r="B145" s="655" t="s">
        <v>691</v>
      </c>
      <c r="C145" s="655"/>
      <c r="D145" s="418">
        <v>0</v>
      </c>
      <c r="E145" s="418">
        <v>0</v>
      </c>
      <c r="F145" s="418">
        <v>0</v>
      </c>
      <c r="G145" s="418">
        <v>0</v>
      </c>
      <c r="H145" s="418">
        <v>0</v>
      </c>
      <c r="I145" s="418">
        <v>0</v>
      </c>
      <c r="J145" s="418">
        <v>0</v>
      </c>
      <c r="K145" s="418">
        <v>0</v>
      </c>
      <c r="L145" s="418">
        <v>0</v>
      </c>
      <c r="M145" s="418">
        <v>0</v>
      </c>
      <c r="N145" s="418">
        <v>0</v>
      </c>
      <c r="O145" s="418">
        <v>0</v>
      </c>
      <c r="P145" s="418">
        <f t="shared" si="26"/>
        <v>0</v>
      </c>
    </row>
    <row r="146" spans="1:16">
      <c r="A146" s="655"/>
      <c r="B146" s="655" t="s">
        <v>679</v>
      </c>
      <c r="C146" s="655"/>
      <c r="D146" s="418">
        <v>11500000</v>
      </c>
      <c r="E146" s="418">
        <v>11500000</v>
      </c>
      <c r="F146" s="418">
        <v>11500000</v>
      </c>
      <c r="G146" s="418">
        <v>11500000</v>
      </c>
      <c r="H146" s="418">
        <v>11500000</v>
      </c>
      <c r="I146" s="418">
        <v>11500000</v>
      </c>
      <c r="J146" s="418">
        <v>11500000</v>
      </c>
      <c r="K146" s="418">
        <v>11500000</v>
      </c>
      <c r="L146" s="418">
        <v>11500000</v>
      </c>
      <c r="M146" s="418">
        <v>11500000</v>
      </c>
      <c r="N146" s="418">
        <v>11500000</v>
      </c>
      <c r="O146" s="418">
        <v>11500000</v>
      </c>
      <c r="P146" s="418">
        <f>SUM(D146:O146)</f>
        <v>138000000</v>
      </c>
    </row>
    <row r="147" spans="1:16">
      <c r="A147" s="655"/>
      <c r="B147" s="655" t="s">
        <v>680</v>
      </c>
      <c r="C147" s="655"/>
      <c r="D147" s="418">
        <v>45592060.936999999</v>
      </c>
      <c r="E147" s="418">
        <v>49242664.219999999</v>
      </c>
      <c r="F147" s="418">
        <v>44700784.479999997</v>
      </c>
      <c r="G147" s="418">
        <v>48566697.5</v>
      </c>
      <c r="H147" s="418">
        <v>42007743.899999999</v>
      </c>
      <c r="I147" s="418">
        <v>47534759.399999999</v>
      </c>
      <c r="J147" s="418">
        <v>46952995</v>
      </c>
      <c r="K147" s="418">
        <v>49905372.090000004</v>
      </c>
      <c r="L147" s="418">
        <v>51856869.141000003</v>
      </c>
      <c r="M147" s="418">
        <v>47161086.794</v>
      </c>
      <c r="N147" s="418">
        <v>47751854.770000003</v>
      </c>
      <c r="O147" s="418">
        <v>44075477.170000002</v>
      </c>
      <c r="P147" s="418">
        <f t="shared" ref="P147:P157" si="27">SUM(D147:O147)</f>
        <v>565348365.40199995</v>
      </c>
    </row>
    <row r="148" spans="1:16">
      <c r="A148" s="655"/>
      <c r="B148" s="655" t="s">
        <v>681</v>
      </c>
      <c r="C148" s="655"/>
      <c r="D148" s="418">
        <v>35383480</v>
      </c>
      <c r="E148" s="418">
        <v>30592247.399999999</v>
      </c>
      <c r="F148" s="418">
        <v>29055804</v>
      </c>
      <c r="G148" s="418">
        <v>30048328.800000001</v>
      </c>
      <c r="H148" s="418">
        <v>28282368</v>
      </c>
      <c r="I148" s="418">
        <v>33251464</v>
      </c>
      <c r="J148" s="418">
        <v>32185947</v>
      </c>
      <c r="K148" s="418">
        <v>34794329.600000001</v>
      </c>
      <c r="L148" s="418">
        <v>35012148.200000003</v>
      </c>
      <c r="M148" s="418">
        <v>33205161.600000001</v>
      </c>
      <c r="N148" s="418">
        <v>34639056</v>
      </c>
      <c r="O148" s="418">
        <v>27404254</v>
      </c>
      <c r="P148" s="418">
        <f t="shared" si="27"/>
        <v>383854588.60000002</v>
      </c>
    </row>
    <row r="149" spans="1:16">
      <c r="A149" s="655"/>
      <c r="B149" s="655" t="s">
        <v>677</v>
      </c>
      <c r="C149" s="655"/>
      <c r="D149" s="418">
        <v>0</v>
      </c>
      <c r="E149" s="418">
        <v>0</v>
      </c>
      <c r="F149" s="418">
        <v>0</v>
      </c>
      <c r="G149" s="418">
        <v>0</v>
      </c>
      <c r="H149" s="418">
        <v>0</v>
      </c>
      <c r="I149" s="418">
        <v>0</v>
      </c>
      <c r="J149" s="418">
        <v>0</v>
      </c>
      <c r="K149" s="418">
        <v>0</v>
      </c>
      <c r="L149" s="418">
        <v>0</v>
      </c>
      <c r="M149" s="418">
        <v>0</v>
      </c>
      <c r="N149" s="418">
        <v>0</v>
      </c>
      <c r="O149" s="418">
        <v>0</v>
      </c>
      <c r="P149" s="418">
        <f t="shared" si="27"/>
        <v>0</v>
      </c>
    </row>
    <row r="150" spans="1:16">
      <c r="A150" s="655"/>
      <c r="B150" s="655" t="s">
        <v>692</v>
      </c>
      <c r="C150" s="655"/>
      <c r="D150" s="418">
        <v>0</v>
      </c>
      <c r="E150" s="418">
        <v>0</v>
      </c>
      <c r="F150" s="418">
        <v>0</v>
      </c>
      <c r="G150" s="418">
        <v>0</v>
      </c>
      <c r="H150" s="418">
        <v>0</v>
      </c>
      <c r="I150" s="418">
        <v>0</v>
      </c>
      <c r="J150" s="418">
        <v>0</v>
      </c>
      <c r="K150" s="418">
        <v>0</v>
      </c>
      <c r="L150" s="418">
        <v>0</v>
      </c>
      <c r="M150" s="418">
        <v>0</v>
      </c>
      <c r="N150" s="418">
        <v>0</v>
      </c>
      <c r="O150" s="418">
        <v>0</v>
      </c>
      <c r="P150" s="418">
        <f t="shared" si="27"/>
        <v>0</v>
      </c>
    </row>
    <row r="151" spans="1:16">
      <c r="A151" s="655"/>
      <c r="B151" s="655" t="s">
        <v>730</v>
      </c>
      <c r="C151" s="655"/>
      <c r="D151" s="418">
        <v>0</v>
      </c>
      <c r="E151" s="418">
        <v>0</v>
      </c>
      <c r="F151" s="418">
        <v>0</v>
      </c>
      <c r="G151" s="418">
        <v>0</v>
      </c>
      <c r="H151" s="418">
        <v>0</v>
      </c>
      <c r="I151" s="418">
        <v>0</v>
      </c>
      <c r="J151" s="418">
        <v>0</v>
      </c>
      <c r="K151" s="418">
        <v>0</v>
      </c>
      <c r="L151" s="418">
        <v>0</v>
      </c>
      <c r="M151" s="418">
        <v>0</v>
      </c>
      <c r="N151" s="418">
        <v>0</v>
      </c>
      <c r="O151" s="418">
        <v>0</v>
      </c>
      <c r="P151" s="418">
        <f t="shared" si="27"/>
        <v>0</v>
      </c>
    </row>
    <row r="152" spans="1:16">
      <c r="A152" s="655"/>
      <c r="B152" s="655" t="s">
        <v>683</v>
      </c>
      <c r="C152" s="655"/>
      <c r="D152" s="418">
        <v>0</v>
      </c>
      <c r="E152" s="418">
        <v>0</v>
      </c>
      <c r="F152" s="418">
        <v>0</v>
      </c>
      <c r="G152" s="418">
        <v>0</v>
      </c>
      <c r="H152" s="418">
        <v>0</v>
      </c>
      <c r="I152" s="418">
        <v>0</v>
      </c>
      <c r="J152" s="418">
        <v>0</v>
      </c>
      <c r="K152" s="418">
        <v>0</v>
      </c>
      <c r="L152" s="418">
        <v>0</v>
      </c>
      <c r="M152" s="418">
        <v>0</v>
      </c>
      <c r="N152" s="418">
        <v>0</v>
      </c>
      <c r="O152" s="418">
        <v>0</v>
      </c>
      <c r="P152" s="418">
        <f t="shared" si="27"/>
        <v>0</v>
      </c>
    </row>
    <row r="153" spans="1:16">
      <c r="A153" s="655"/>
      <c r="B153" s="655" t="s">
        <v>684</v>
      </c>
      <c r="C153" s="655"/>
      <c r="D153" s="418">
        <v>0</v>
      </c>
      <c r="E153" s="418">
        <v>0</v>
      </c>
      <c r="F153" s="418">
        <v>0</v>
      </c>
      <c r="G153" s="418">
        <v>0</v>
      </c>
      <c r="H153" s="418">
        <v>0</v>
      </c>
      <c r="I153" s="418">
        <v>0</v>
      </c>
      <c r="J153" s="418">
        <v>0</v>
      </c>
      <c r="K153" s="418">
        <v>0</v>
      </c>
      <c r="L153" s="418">
        <v>0</v>
      </c>
      <c r="M153" s="418">
        <v>0</v>
      </c>
      <c r="N153" s="418">
        <v>0</v>
      </c>
      <c r="O153" s="418">
        <v>0</v>
      </c>
      <c r="P153" s="418">
        <f t="shared" si="27"/>
        <v>0</v>
      </c>
    </row>
    <row r="154" spans="1:16">
      <c r="A154" s="655"/>
      <c r="B154" s="655" t="s">
        <v>685</v>
      </c>
      <c r="C154" s="655"/>
      <c r="D154" s="418">
        <v>0</v>
      </c>
      <c r="E154" s="418">
        <v>0</v>
      </c>
      <c r="F154" s="418">
        <v>0</v>
      </c>
      <c r="G154" s="418">
        <v>0</v>
      </c>
      <c r="H154" s="418">
        <v>0</v>
      </c>
      <c r="I154" s="418">
        <v>0</v>
      </c>
      <c r="J154" s="418">
        <v>0</v>
      </c>
      <c r="K154" s="418">
        <v>0</v>
      </c>
      <c r="L154" s="418">
        <v>0</v>
      </c>
      <c r="M154" s="418">
        <v>0</v>
      </c>
      <c r="N154" s="418">
        <v>0</v>
      </c>
      <c r="O154" s="418">
        <v>0</v>
      </c>
      <c r="P154" s="418">
        <f t="shared" si="27"/>
        <v>0</v>
      </c>
    </row>
    <row r="155" spans="1:16">
      <c r="A155" s="655"/>
      <c r="B155" s="655" t="s">
        <v>686</v>
      </c>
      <c r="C155" s="655"/>
      <c r="D155" s="418">
        <v>0</v>
      </c>
      <c r="E155" s="418">
        <v>0</v>
      </c>
      <c r="F155" s="418">
        <v>0</v>
      </c>
      <c r="G155" s="418">
        <v>0</v>
      </c>
      <c r="H155" s="418">
        <v>0</v>
      </c>
      <c r="I155" s="418">
        <v>0</v>
      </c>
      <c r="J155" s="418">
        <v>0</v>
      </c>
      <c r="K155" s="418">
        <v>0</v>
      </c>
      <c r="L155" s="418">
        <v>0</v>
      </c>
      <c r="M155" s="418">
        <v>0</v>
      </c>
      <c r="N155" s="418">
        <v>0</v>
      </c>
      <c r="O155" s="418">
        <v>0</v>
      </c>
      <c r="P155" s="418">
        <f t="shared" si="27"/>
        <v>0</v>
      </c>
    </row>
    <row r="156" spans="1:16">
      <c r="A156" s="655"/>
      <c r="B156" s="655" t="s">
        <v>687</v>
      </c>
      <c r="C156" s="655"/>
      <c r="D156" s="418">
        <v>0</v>
      </c>
      <c r="E156" s="418">
        <v>0</v>
      </c>
      <c r="F156" s="418">
        <v>0</v>
      </c>
      <c r="G156" s="418">
        <v>0</v>
      </c>
      <c r="H156" s="418">
        <v>0</v>
      </c>
      <c r="I156" s="418">
        <v>0</v>
      </c>
      <c r="J156" s="418">
        <v>0</v>
      </c>
      <c r="K156" s="418">
        <v>0</v>
      </c>
      <c r="L156" s="418">
        <v>0</v>
      </c>
      <c r="M156" s="418">
        <v>0</v>
      </c>
      <c r="N156" s="418">
        <v>0</v>
      </c>
      <c r="O156" s="418">
        <v>0</v>
      </c>
      <c r="P156" s="418">
        <f t="shared" si="27"/>
        <v>0</v>
      </c>
    </row>
    <row r="157" spans="1:16">
      <c r="A157" s="655"/>
      <c r="B157" s="655" t="s">
        <v>785</v>
      </c>
      <c r="C157" s="655"/>
      <c r="D157" s="418"/>
      <c r="E157" s="418"/>
      <c r="F157" s="418"/>
      <c r="G157" s="418"/>
      <c r="H157" s="418"/>
      <c r="I157" s="418">
        <v>0</v>
      </c>
      <c r="J157" s="418">
        <v>0</v>
      </c>
      <c r="K157" s="418">
        <v>0</v>
      </c>
      <c r="L157" s="418">
        <v>0</v>
      </c>
      <c r="M157" s="418">
        <v>0</v>
      </c>
      <c r="N157" s="418">
        <v>0</v>
      </c>
      <c r="O157" s="418">
        <v>0</v>
      </c>
      <c r="P157" s="418">
        <f t="shared" si="27"/>
        <v>0</v>
      </c>
    </row>
    <row r="158" spans="1:16">
      <c r="A158" s="655"/>
      <c r="B158" s="655" t="s">
        <v>66</v>
      </c>
      <c r="C158" s="655"/>
      <c r="D158" s="418">
        <f>SUM(D144:D157)</f>
        <v>92475540.937000006</v>
      </c>
      <c r="E158" s="418">
        <f t="shared" ref="E158:P158" si="28">SUM(E144:E157)</f>
        <v>91334911.620000005</v>
      </c>
      <c r="F158" s="418">
        <f t="shared" si="28"/>
        <v>85256588.479999989</v>
      </c>
      <c r="G158" s="418">
        <f t="shared" si="28"/>
        <v>90115026.299999997</v>
      </c>
      <c r="H158" s="418">
        <f t="shared" si="28"/>
        <v>81790111.900000006</v>
      </c>
      <c r="I158" s="418">
        <f t="shared" si="28"/>
        <v>92286223.400000006</v>
      </c>
      <c r="J158" s="418">
        <f t="shared" si="28"/>
        <v>90638942</v>
      </c>
      <c r="K158" s="418">
        <f t="shared" si="28"/>
        <v>96199701.689999998</v>
      </c>
      <c r="L158" s="418">
        <f t="shared" si="28"/>
        <v>98369017.341000006</v>
      </c>
      <c r="M158" s="418">
        <f t="shared" si="28"/>
        <v>91866248.393999994</v>
      </c>
      <c r="N158" s="418">
        <f t="shared" si="28"/>
        <v>93890910.770000011</v>
      </c>
      <c r="O158" s="418">
        <f t="shared" si="28"/>
        <v>82979731.170000002</v>
      </c>
      <c r="P158" s="418">
        <f t="shared" si="28"/>
        <v>1087202954.0019999</v>
      </c>
    </row>
    <row r="159" spans="1:16">
      <c r="A159" s="655" t="s">
        <v>659</v>
      </c>
      <c r="B159" s="655" t="s">
        <v>678</v>
      </c>
      <c r="C159" s="655"/>
      <c r="D159" s="418">
        <v>0</v>
      </c>
      <c r="E159" s="418">
        <v>0</v>
      </c>
      <c r="F159" s="418">
        <v>0</v>
      </c>
      <c r="G159" s="418">
        <v>0</v>
      </c>
      <c r="H159" s="418">
        <v>0</v>
      </c>
      <c r="I159" s="418">
        <v>0</v>
      </c>
      <c r="J159" s="418">
        <v>0</v>
      </c>
      <c r="K159" s="418">
        <v>0</v>
      </c>
      <c r="L159" s="418">
        <v>0</v>
      </c>
      <c r="M159" s="418">
        <v>0</v>
      </c>
      <c r="N159" s="418">
        <v>0</v>
      </c>
      <c r="O159" s="418">
        <v>0</v>
      </c>
      <c r="P159" s="418">
        <f t="shared" ref="P159:P160" si="29">SUM(D159:O159)</f>
        <v>0</v>
      </c>
    </row>
    <row r="160" spans="1:16">
      <c r="A160" s="655"/>
      <c r="B160" s="655" t="s">
        <v>690</v>
      </c>
      <c r="C160" s="655"/>
      <c r="D160" s="418">
        <v>0</v>
      </c>
      <c r="E160" s="418">
        <v>0</v>
      </c>
      <c r="F160" s="418">
        <v>0</v>
      </c>
      <c r="G160" s="418">
        <v>0</v>
      </c>
      <c r="H160" s="418">
        <v>0</v>
      </c>
      <c r="I160" s="418">
        <v>0</v>
      </c>
      <c r="J160" s="418">
        <v>0</v>
      </c>
      <c r="K160" s="418">
        <v>0</v>
      </c>
      <c r="L160" s="418">
        <v>0</v>
      </c>
      <c r="M160" s="418">
        <v>0</v>
      </c>
      <c r="N160" s="418">
        <v>0</v>
      </c>
      <c r="O160" s="418">
        <v>0</v>
      </c>
      <c r="P160" s="418">
        <f t="shared" si="29"/>
        <v>0</v>
      </c>
    </row>
    <row r="161" spans="1:16">
      <c r="A161" s="655"/>
      <c r="B161" s="655" t="s">
        <v>679</v>
      </c>
      <c r="C161" s="655"/>
      <c r="D161" s="418">
        <v>6893.9830000000002</v>
      </c>
      <c r="E161" s="418">
        <v>6616.5619999999999</v>
      </c>
      <c r="F161" s="418">
        <v>8013.9210000000003</v>
      </c>
      <c r="G161" s="418">
        <v>155068.42199999999</v>
      </c>
      <c r="H161" s="418">
        <v>3631764.45</v>
      </c>
      <c r="I161" s="418">
        <v>5611284.4299999997</v>
      </c>
      <c r="J161" s="418">
        <v>6277474.7079999996</v>
      </c>
      <c r="K161" s="418">
        <v>5034975.2829999998</v>
      </c>
      <c r="L161" s="418">
        <v>6450053.3789999997</v>
      </c>
      <c r="M161" s="418">
        <v>2328934.0950000002</v>
      </c>
      <c r="N161" s="418">
        <v>146425.31899999999</v>
      </c>
      <c r="O161" s="418">
        <v>-6149.6809999999996</v>
      </c>
      <c r="P161" s="418">
        <f>SUM(D161:O161)</f>
        <v>29651354.870999996</v>
      </c>
    </row>
    <row r="162" spans="1:16">
      <c r="A162" s="655"/>
      <c r="B162" s="655" t="s">
        <v>677</v>
      </c>
      <c r="C162" s="655"/>
      <c r="D162" s="418">
        <v>0</v>
      </c>
      <c r="E162" s="418">
        <v>0</v>
      </c>
      <c r="F162" s="418">
        <v>0</v>
      </c>
      <c r="G162" s="418">
        <v>0</v>
      </c>
      <c r="H162" s="418">
        <v>0</v>
      </c>
      <c r="I162" s="418">
        <v>0</v>
      </c>
      <c r="J162" s="418">
        <v>0</v>
      </c>
      <c r="K162" s="418">
        <v>0</v>
      </c>
      <c r="L162" s="418">
        <v>0</v>
      </c>
      <c r="M162" s="418">
        <v>0</v>
      </c>
      <c r="N162" s="418">
        <v>0</v>
      </c>
      <c r="O162" s="418">
        <v>0</v>
      </c>
      <c r="P162" s="418">
        <f t="shared" ref="P162:P169" si="30">SUM(D162:O162)</f>
        <v>0</v>
      </c>
    </row>
    <row r="163" spans="1:16">
      <c r="A163" s="655"/>
      <c r="B163" s="655" t="s">
        <v>730</v>
      </c>
      <c r="C163" s="655"/>
      <c r="D163" s="418">
        <v>0</v>
      </c>
      <c r="E163" s="418">
        <v>0</v>
      </c>
      <c r="F163" s="418">
        <v>0</v>
      </c>
      <c r="G163" s="418">
        <v>0</v>
      </c>
      <c r="H163" s="418">
        <v>0</v>
      </c>
      <c r="I163" s="418">
        <v>0</v>
      </c>
      <c r="J163" s="418">
        <v>0</v>
      </c>
      <c r="K163" s="418">
        <v>0</v>
      </c>
      <c r="L163" s="418">
        <v>0</v>
      </c>
      <c r="M163" s="418">
        <v>0</v>
      </c>
      <c r="N163" s="418">
        <v>0</v>
      </c>
      <c r="O163" s="418">
        <v>0</v>
      </c>
      <c r="P163" s="418">
        <f t="shared" si="30"/>
        <v>0</v>
      </c>
    </row>
    <row r="164" spans="1:16">
      <c r="A164" s="655"/>
      <c r="B164" s="655" t="s">
        <v>683</v>
      </c>
      <c r="C164" s="655"/>
      <c r="D164" s="418">
        <v>0</v>
      </c>
      <c r="E164" s="418">
        <v>0</v>
      </c>
      <c r="F164" s="418">
        <v>0</v>
      </c>
      <c r="G164" s="418">
        <v>0</v>
      </c>
      <c r="H164" s="418">
        <v>0</v>
      </c>
      <c r="I164" s="418">
        <v>0</v>
      </c>
      <c r="J164" s="418">
        <v>0</v>
      </c>
      <c r="K164" s="418">
        <v>0</v>
      </c>
      <c r="L164" s="418">
        <v>0</v>
      </c>
      <c r="M164" s="418">
        <v>0</v>
      </c>
      <c r="N164" s="418">
        <v>0</v>
      </c>
      <c r="O164" s="418">
        <v>0</v>
      </c>
      <c r="P164" s="418">
        <f t="shared" si="30"/>
        <v>0</v>
      </c>
    </row>
    <row r="165" spans="1:16">
      <c r="A165" s="655"/>
      <c r="B165" s="655" t="s">
        <v>684</v>
      </c>
      <c r="C165" s="655"/>
      <c r="D165" s="418">
        <v>0</v>
      </c>
      <c r="E165" s="418">
        <v>0</v>
      </c>
      <c r="F165" s="418">
        <v>0</v>
      </c>
      <c r="G165" s="418">
        <v>0</v>
      </c>
      <c r="H165" s="418">
        <v>0</v>
      </c>
      <c r="I165" s="418">
        <v>0</v>
      </c>
      <c r="J165" s="418">
        <v>0</v>
      </c>
      <c r="K165" s="418">
        <v>0</v>
      </c>
      <c r="L165" s="418">
        <v>0</v>
      </c>
      <c r="M165" s="418">
        <v>0</v>
      </c>
      <c r="N165" s="418">
        <v>0</v>
      </c>
      <c r="O165" s="418">
        <v>0</v>
      </c>
      <c r="P165" s="418">
        <f t="shared" si="30"/>
        <v>0</v>
      </c>
    </row>
    <row r="166" spans="1:16">
      <c r="A166" s="655"/>
      <c r="B166" s="655" t="s">
        <v>685</v>
      </c>
      <c r="C166" s="655"/>
      <c r="D166" s="418">
        <v>0</v>
      </c>
      <c r="E166" s="418">
        <v>0</v>
      </c>
      <c r="F166" s="418">
        <v>0</v>
      </c>
      <c r="G166" s="418">
        <v>0</v>
      </c>
      <c r="H166" s="418">
        <v>0</v>
      </c>
      <c r="I166" s="418">
        <v>0</v>
      </c>
      <c r="J166" s="418">
        <v>0</v>
      </c>
      <c r="K166" s="418">
        <v>0</v>
      </c>
      <c r="L166" s="418">
        <v>0</v>
      </c>
      <c r="M166" s="418">
        <v>0</v>
      </c>
      <c r="N166" s="418">
        <v>0</v>
      </c>
      <c r="O166" s="418">
        <v>0</v>
      </c>
      <c r="P166" s="418">
        <f t="shared" si="30"/>
        <v>0</v>
      </c>
    </row>
    <row r="167" spans="1:16">
      <c r="A167" s="655"/>
      <c r="B167" s="655" t="s">
        <v>686</v>
      </c>
      <c r="C167" s="655"/>
      <c r="D167" s="418">
        <v>0</v>
      </c>
      <c r="E167" s="418">
        <v>0</v>
      </c>
      <c r="F167" s="418">
        <v>0</v>
      </c>
      <c r="G167" s="418">
        <v>0</v>
      </c>
      <c r="H167" s="418">
        <v>0</v>
      </c>
      <c r="I167" s="418">
        <v>0</v>
      </c>
      <c r="J167" s="418">
        <v>0</v>
      </c>
      <c r="K167" s="418">
        <v>0</v>
      </c>
      <c r="L167" s="418">
        <v>0</v>
      </c>
      <c r="M167" s="418">
        <v>0</v>
      </c>
      <c r="N167" s="418">
        <v>0</v>
      </c>
      <c r="O167" s="418">
        <v>0</v>
      </c>
      <c r="P167" s="418">
        <f t="shared" si="30"/>
        <v>0</v>
      </c>
    </row>
    <row r="168" spans="1:16">
      <c r="A168" s="655"/>
      <c r="B168" s="655" t="s">
        <v>687</v>
      </c>
      <c r="C168" s="655"/>
      <c r="D168" s="418">
        <v>0</v>
      </c>
      <c r="E168" s="418">
        <v>0</v>
      </c>
      <c r="F168" s="418">
        <v>0</v>
      </c>
      <c r="G168" s="418">
        <v>0</v>
      </c>
      <c r="H168" s="418">
        <v>0</v>
      </c>
      <c r="I168" s="418">
        <v>0</v>
      </c>
      <c r="J168" s="418">
        <v>0</v>
      </c>
      <c r="K168" s="418">
        <v>0</v>
      </c>
      <c r="L168" s="418">
        <v>0</v>
      </c>
      <c r="M168" s="418">
        <v>0</v>
      </c>
      <c r="N168" s="418">
        <v>0</v>
      </c>
      <c r="O168" s="418">
        <v>0</v>
      </c>
      <c r="P168" s="418">
        <f t="shared" si="30"/>
        <v>0</v>
      </c>
    </row>
    <row r="169" spans="1:16">
      <c r="A169" s="655"/>
      <c r="B169" s="655" t="s">
        <v>785</v>
      </c>
      <c r="C169" s="655"/>
      <c r="D169" s="418"/>
      <c r="E169" s="418"/>
      <c r="F169" s="418"/>
      <c r="G169" s="418"/>
      <c r="H169" s="418">
        <v>0</v>
      </c>
      <c r="I169" s="418">
        <v>0</v>
      </c>
      <c r="J169" s="418">
        <v>0</v>
      </c>
      <c r="K169" s="418">
        <v>0</v>
      </c>
      <c r="L169" s="418">
        <v>0</v>
      </c>
      <c r="M169" s="418">
        <v>0</v>
      </c>
      <c r="N169" s="418">
        <v>0</v>
      </c>
      <c r="O169" s="418">
        <v>0</v>
      </c>
      <c r="P169" s="418">
        <f t="shared" si="30"/>
        <v>0</v>
      </c>
    </row>
    <row r="170" spans="1:16">
      <c r="A170" s="655"/>
      <c r="B170" s="655" t="s">
        <v>66</v>
      </c>
      <c r="C170" s="655"/>
      <c r="D170" s="418">
        <f>SUM(D159:D169)</f>
        <v>6893.9830000000002</v>
      </c>
      <c r="E170" s="418">
        <f t="shared" ref="E170:P170" si="31">SUM(E159:E169)</f>
        <v>6616.5619999999999</v>
      </c>
      <c r="F170" s="418">
        <f t="shared" si="31"/>
        <v>8013.9210000000003</v>
      </c>
      <c r="G170" s="418">
        <f t="shared" si="31"/>
        <v>155068.42199999999</v>
      </c>
      <c r="H170" s="418">
        <f t="shared" si="31"/>
        <v>3631764.45</v>
      </c>
      <c r="I170" s="418">
        <f t="shared" si="31"/>
        <v>5611284.4299999997</v>
      </c>
      <c r="J170" s="418">
        <f t="shared" si="31"/>
        <v>6277474.7079999996</v>
      </c>
      <c r="K170" s="418">
        <f t="shared" si="31"/>
        <v>5034975.2829999998</v>
      </c>
      <c r="L170" s="418">
        <f t="shared" si="31"/>
        <v>6450053.3789999997</v>
      </c>
      <c r="M170" s="418">
        <f t="shared" si="31"/>
        <v>2328934.0950000002</v>
      </c>
      <c r="N170" s="418">
        <f t="shared" si="31"/>
        <v>146425.31899999999</v>
      </c>
      <c r="O170" s="418">
        <f t="shared" si="31"/>
        <v>-6149.6809999999996</v>
      </c>
      <c r="P170" s="418">
        <f t="shared" si="31"/>
        <v>29651354.870999996</v>
      </c>
    </row>
    <row r="171" spans="1:16">
      <c r="A171" s="655" t="s">
        <v>660</v>
      </c>
      <c r="B171" s="655" t="s">
        <v>678</v>
      </c>
      <c r="C171" s="655"/>
      <c r="D171" s="418">
        <v>0</v>
      </c>
      <c r="E171" s="418">
        <v>0</v>
      </c>
      <c r="F171" s="418">
        <v>0</v>
      </c>
      <c r="G171" s="418">
        <v>0</v>
      </c>
      <c r="H171" s="418">
        <v>0</v>
      </c>
      <c r="I171" s="418">
        <v>0</v>
      </c>
      <c r="J171" s="418">
        <v>0</v>
      </c>
      <c r="K171" s="418">
        <v>0</v>
      </c>
      <c r="L171" s="418">
        <v>0</v>
      </c>
      <c r="M171" s="418">
        <v>0</v>
      </c>
      <c r="N171" s="418">
        <v>0</v>
      </c>
      <c r="O171" s="418">
        <v>0</v>
      </c>
      <c r="P171" s="418">
        <f t="shared" ref="P171:P172" si="32">SUM(D171:O171)</f>
        <v>0</v>
      </c>
    </row>
    <row r="172" spans="1:16">
      <c r="A172" s="655"/>
      <c r="B172" s="655" t="s">
        <v>690</v>
      </c>
      <c r="C172" s="655"/>
      <c r="D172" s="418">
        <v>0</v>
      </c>
      <c r="E172" s="418">
        <v>0</v>
      </c>
      <c r="F172" s="418">
        <v>0</v>
      </c>
      <c r="G172" s="418">
        <v>0</v>
      </c>
      <c r="H172" s="418">
        <v>0</v>
      </c>
      <c r="I172" s="418">
        <v>0</v>
      </c>
      <c r="J172" s="418">
        <v>0</v>
      </c>
      <c r="K172" s="418">
        <v>0</v>
      </c>
      <c r="L172" s="418">
        <v>0</v>
      </c>
      <c r="M172" s="418">
        <v>0</v>
      </c>
      <c r="N172" s="418">
        <v>0</v>
      </c>
      <c r="O172" s="418">
        <v>0</v>
      </c>
      <c r="P172" s="418">
        <f t="shared" si="32"/>
        <v>0</v>
      </c>
    </row>
    <row r="173" spans="1:16">
      <c r="A173" s="655"/>
      <c r="B173" s="655" t="s">
        <v>679</v>
      </c>
      <c r="C173" s="655"/>
      <c r="D173" s="418">
        <v>1435210.8746799999</v>
      </c>
      <c r="E173" s="418">
        <v>1503739.273</v>
      </c>
      <c r="F173" s="418">
        <v>1523709.7546699999</v>
      </c>
      <c r="G173" s="418">
        <v>1665652.0679899999</v>
      </c>
      <c r="H173" s="418">
        <v>3003869.0416700002</v>
      </c>
      <c r="I173" s="418">
        <v>3927772.8139999998</v>
      </c>
      <c r="J173" s="418">
        <v>4255547.1739999996</v>
      </c>
      <c r="K173" s="418">
        <v>4519070.0588199999</v>
      </c>
      <c r="L173" s="418">
        <v>4311855.0430100001</v>
      </c>
      <c r="M173" s="418">
        <v>3150820.23899</v>
      </c>
      <c r="N173" s="418">
        <v>1598417.04317</v>
      </c>
      <c r="O173" s="418">
        <v>1537210.8538299999</v>
      </c>
      <c r="P173" s="418">
        <f>SUM(D173:O173)</f>
        <v>32432874.237830002</v>
      </c>
    </row>
    <row r="174" spans="1:16">
      <c r="A174" s="655"/>
      <c r="B174" s="655" t="s">
        <v>680</v>
      </c>
      <c r="C174" s="655"/>
      <c r="D174" s="418">
        <v>412666.02</v>
      </c>
      <c r="E174" s="418">
        <v>406370.92499999999</v>
      </c>
      <c r="F174" s="418">
        <v>442605.27733000001</v>
      </c>
      <c r="G174" s="418">
        <v>424487.97434000002</v>
      </c>
      <c r="H174" s="418">
        <v>926384.78133000003</v>
      </c>
      <c r="I174" s="418">
        <v>1280712.5279999999</v>
      </c>
      <c r="J174" s="418">
        <v>1417870.8319999999</v>
      </c>
      <c r="K174" s="418">
        <v>1438310.4180099999</v>
      </c>
      <c r="L174" s="418">
        <v>1325965.6033300001</v>
      </c>
      <c r="M174" s="418">
        <v>690173.21366999997</v>
      </c>
      <c r="N174" s="418">
        <v>367700.73066</v>
      </c>
      <c r="O174" s="418">
        <v>410897.53266999999</v>
      </c>
      <c r="P174" s="418">
        <f t="shared" ref="P174:P183" si="33">SUM(D174:O174)</f>
        <v>9544145.8363400009</v>
      </c>
    </row>
    <row r="175" spans="1:16">
      <c r="A175" s="655"/>
      <c r="B175" s="655" t="s">
        <v>681</v>
      </c>
      <c r="C175" s="655"/>
      <c r="D175" s="418">
        <v>2200634.7093199999</v>
      </c>
      <c r="E175" s="418">
        <v>1960626.794</v>
      </c>
      <c r="F175" s="418">
        <v>2088688.014</v>
      </c>
      <c r="G175" s="418">
        <v>2049603.10867</v>
      </c>
      <c r="H175" s="418">
        <v>3674504.159</v>
      </c>
      <c r="I175" s="418">
        <v>6745724.3739999998</v>
      </c>
      <c r="J175" s="418">
        <v>9685573.9049999993</v>
      </c>
      <c r="K175" s="418">
        <v>12476606.641170001</v>
      </c>
      <c r="L175" s="418">
        <v>10887708.60066</v>
      </c>
      <c r="M175" s="418">
        <v>3687442.1383400001</v>
      </c>
      <c r="N175" s="418">
        <v>1810188.65117</v>
      </c>
      <c r="O175" s="418">
        <v>2051928.8295</v>
      </c>
      <c r="P175" s="418">
        <f t="shared" si="33"/>
        <v>59319229.924829997</v>
      </c>
    </row>
    <row r="176" spans="1:16">
      <c r="A176" s="655"/>
      <c r="B176" s="655" t="s">
        <v>677</v>
      </c>
      <c r="C176" s="655"/>
      <c r="D176" s="418">
        <v>0</v>
      </c>
      <c r="E176" s="418">
        <v>0</v>
      </c>
      <c r="F176" s="418">
        <v>0</v>
      </c>
      <c r="G176" s="418">
        <v>0</v>
      </c>
      <c r="H176" s="418">
        <v>0</v>
      </c>
      <c r="I176" s="418">
        <v>0</v>
      </c>
      <c r="J176" s="418">
        <v>0</v>
      </c>
      <c r="K176" s="418">
        <v>0</v>
      </c>
      <c r="L176" s="418">
        <v>0</v>
      </c>
      <c r="M176" s="418">
        <v>0</v>
      </c>
      <c r="N176" s="418">
        <v>0</v>
      </c>
      <c r="O176" s="418">
        <v>0</v>
      </c>
      <c r="P176" s="418">
        <f t="shared" si="33"/>
        <v>0</v>
      </c>
    </row>
    <row r="177" spans="1:16">
      <c r="A177" s="655"/>
      <c r="B177" s="655" t="s">
        <v>730</v>
      </c>
      <c r="C177" s="655"/>
      <c r="D177" s="418">
        <v>0</v>
      </c>
      <c r="E177" s="418">
        <v>0</v>
      </c>
      <c r="F177" s="418">
        <v>0</v>
      </c>
      <c r="G177" s="418">
        <v>0</v>
      </c>
      <c r="H177" s="418">
        <v>0</v>
      </c>
      <c r="I177" s="418">
        <v>0</v>
      </c>
      <c r="J177" s="418">
        <v>0</v>
      </c>
      <c r="K177" s="418">
        <v>0</v>
      </c>
      <c r="L177" s="418">
        <v>0</v>
      </c>
      <c r="M177" s="418">
        <v>0</v>
      </c>
      <c r="N177" s="418">
        <v>0</v>
      </c>
      <c r="O177" s="418">
        <v>0</v>
      </c>
      <c r="P177" s="418">
        <f t="shared" si="33"/>
        <v>0</v>
      </c>
    </row>
    <row r="178" spans="1:16">
      <c r="A178" s="655"/>
      <c r="B178" s="655" t="s">
        <v>683</v>
      </c>
      <c r="C178" s="655"/>
      <c r="D178" s="418">
        <v>0</v>
      </c>
      <c r="E178" s="418">
        <v>0</v>
      </c>
      <c r="F178" s="418">
        <v>0</v>
      </c>
      <c r="G178" s="418">
        <v>0</v>
      </c>
      <c r="H178" s="418">
        <v>0</v>
      </c>
      <c r="I178" s="418">
        <v>0</v>
      </c>
      <c r="J178" s="418">
        <v>0</v>
      </c>
      <c r="K178" s="418">
        <v>0</v>
      </c>
      <c r="L178" s="418">
        <v>0</v>
      </c>
      <c r="M178" s="418">
        <v>0</v>
      </c>
      <c r="N178" s="418">
        <v>0</v>
      </c>
      <c r="O178" s="418">
        <v>0</v>
      </c>
      <c r="P178" s="418">
        <f t="shared" si="33"/>
        <v>0</v>
      </c>
    </row>
    <row r="179" spans="1:16">
      <c r="A179" s="655"/>
      <c r="B179" s="655" t="s">
        <v>684</v>
      </c>
      <c r="C179" s="655"/>
      <c r="D179" s="418">
        <v>0</v>
      </c>
      <c r="E179" s="418">
        <v>0</v>
      </c>
      <c r="F179" s="418">
        <v>0</v>
      </c>
      <c r="G179" s="418">
        <v>0</v>
      </c>
      <c r="H179" s="418">
        <v>0</v>
      </c>
      <c r="I179" s="418">
        <v>0</v>
      </c>
      <c r="J179" s="418">
        <v>0</v>
      </c>
      <c r="K179" s="418">
        <v>0</v>
      </c>
      <c r="L179" s="418">
        <v>0</v>
      </c>
      <c r="M179" s="418">
        <v>0</v>
      </c>
      <c r="N179" s="418">
        <v>0</v>
      </c>
      <c r="O179" s="418">
        <v>0</v>
      </c>
      <c r="P179" s="418">
        <f t="shared" si="33"/>
        <v>0</v>
      </c>
    </row>
    <row r="180" spans="1:16">
      <c r="A180" s="655"/>
      <c r="B180" s="655" t="s">
        <v>685</v>
      </c>
      <c r="C180" s="655"/>
      <c r="D180" s="418">
        <v>0</v>
      </c>
      <c r="E180" s="418">
        <v>0</v>
      </c>
      <c r="F180" s="418">
        <v>0</v>
      </c>
      <c r="G180" s="418">
        <v>0</v>
      </c>
      <c r="H180" s="418">
        <v>0</v>
      </c>
      <c r="I180" s="418">
        <v>0</v>
      </c>
      <c r="J180" s="418">
        <v>0</v>
      </c>
      <c r="K180" s="418">
        <v>0</v>
      </c>
      <c r="L180" s="418">
        <v>0</v>
      </c>
      <c r="M180" s="418">
        <v>0</v>
      </c>
      <c r="N180" s="418">
        <v>0</v>
      </c>
      <c r="O180" s="418">
        <v>0</v>
      </c>
      <c r="P180" s="418">
        <f t="shared" si="33"/>
        <v>0</v>
      </c>
    </row>
    <row r="181" spans="1:16">
      <c r="A181" s="655"/>
      <c r="B181" s="655" t="s">
        <v>686</v>
      </c>
      <c r="C181" s="655"/>
      <c r="D181" s="418">
        <v>0</v>
      </c>
      <c r="E181" s="418">
        <v>0</v>
      </c>
      <c r="F181" s="418">
        <v>0</v>
      </c>
      <c r="G181" s="418">
        <v>0</v>
      </c>
      <c r="H181" s="418">
        <v>0</v>
      </c>
      <c r="I181" s="418">
        <v>0</v>
      </c>
      <c r="J181" s="418">
        <v>0</v>
      </c>
      <c r="K181" s="418">
        <v>0</v>
      </c>
      <c r="L181" s="418">
        <v>0</v>
      </c>
      <c r="M181" s="418">
        <v>0</v>
      </c>
      <c r="N181" s="418">
        <v>0</v>
      </c>
      <c r="O181" s="418">
        <v>0</v>
      </c>
      <c r="P181" s="418">
        <f t="shared" si="33"/>
        <v>0</v>
      </c>
    </row>
    <row r="182" spans="1:16">
      <c r="A182" s="655"/>
      <c r="B182" s="655" t="s">
        <v>687</v>
      </c>
      <c r="C182" s="655"/>
      <c r="D182" s="418">
        <v>0</v>
      </c>
      <c r="E182" s="418">
        <v>0</v>
      </c>
      <c r="F182" s="418">
        <v>0</v>
      </c>
      <c r="G182" s="418">
        <v>0</v>
      </c>
      <c r="H182" s="418">
        <v>0</v>
      </c>
      <c r="I182" s="418">
        <v>0</v>
      </c>
      <c r="J182" s="418">
        <v>0</v>
      </c>
      <c r="K182" s="418">
        <v>0</v>
      </c>
      <c r="L182" s="418">
        <v>0</v>
      </c>
      <c r="M182" s="418">
        <v>0</v>
      </c>
      <c r="N182" s="418">
        <v>0</v>
      </c>
      <c r="O182" s="418">
        <v>0</v>
      </c>
      <c r="P182" s="418">
        <f t="shared" si="33"/>
        <v>0</v>
      </c>
    </row>
    <row r="183" spans="1:16">
      <c r="A183" s="655"/>
      <c r="B183" s="655" t="s">
        <v>785</v>
      </c>
      <c r="C183" s="655"/>
      <c r="D183" s="418"/>
      <c r="E183" s="418"/>
      <c r="F183" s="418"/>
      <c r="G183" s="418"/>
      <c r="H183" s="418">
        <v>0</v>
      </c>
      <c r="I183" s="418">
        <v>0</v>
      </c>
      <c r="J183" s="418">
        <v>0</v>
      </c>
      <c r="K183" s="418">
        <v>0</v>
      </c>
      <c r="L183" s="418">
        <v>0</v>
      </c>
      <c r="M183" s="418">
        <v>0</v>
      </c>
      <c r="N183" s="418">
        <v>0</v>
      </c>
      <c r="O183" s="418">
        <v>0</v>
      </c>
      <c r="P183" s="418">
        <f t="shared" si="33"/>
        <v>0</v>
      </c>
    </row>
    <row r="184" spans="1:16">
      <c r="A184" s="655"/>
      <c r="B184" s="655" t="s">
        <v>66</v>
      </c>
      <c r="C184" s="655"/>
      <c r="D184" s="418">
        <f>SUM(D171:D183)</f>
        <v>4048511.6039999998</v>
      </c>
      <c r="E184" s="418">
        <f t="shared" ref="E184:P184" si="34">SUM(E171:E183)</f>
        <v>3870736.9920000001</v>
      </c>
      <c r="F184" s="418">
        <f t="shared" si="34"/>
        <v>4055003.0460000001</v>
      </c>
      <c r="G184" s="418">
        <f t="shared" si="34"/>
        <v>4139743.1509999996</v>
      </c>
      <c r="H184" s="418">
        <f t="shared" si="34"/>
        <v>7604757.9820000008</v>
      </c>
      <c r="I184" s="418">
        <f t="shared" si="34"/>
        <v>11954209.716</v>
      </c>
      <c r="J184" s="418">
        <f t="shared" si="34"/>
        <v>15358991.910999998</v>
      </c>
      <c r="K184" s="418">
        <f t="shared" si="34"/>
        <v>18433987.118000001</v>
      </c>
      <c r="L184" s="418">
        <f t="shared" si="34"/>
        <v>16525529.247000001</v>
      </c>
      <c r="M184" s="418">
        <f t="shared" si="34"/>
        <v>7528435.591</v>
      </c>
      <c r="N184" s="418">
        <f t="shared" si="34"/>
        <v>3776306.4249999998</v>
      </c>
      <c r="O184" s="418">
        <f t="shared" si="34"/>
        <v>4000037.216</v>
      </c>
      <c r="P184" s="418">
        <f t="shared" si="34"/>
        <v>101296249.999</v>
      </c>
    </row>
    <row r="185" spans="1:16">
      <c r="A185" s="655" t="s">
        <v>661</v>
      </c>
      <c r="B185" s="655" t="s">
        <v>678</v>
      </c>
      <c r="C185" s="655"/>
      <c r="D185" s="418">
        <v>0</v>
      </c>
      <c r="E185" s="418">
        <v>0</v>
      </c>
      <c r="F185" s="418">
        <v>0</v>
      </c>
      <c r="G185" s="418">
        <v>0</v>
      </c>
      <c r="H185" s="418">
        <v>0</v>
      </c>
      <c r="I185" s="418">
        <v>0</v>
      </c>
      <c r="J185" s="418">
        <v>0</v>
      </c>
      <c r="K185" s="418">
        <v>0</v>
      </c>
      <c r="L185" s="418">
        <v>0</v>
      </c>
      <c r="M185" s="418">
        <v>0</v>
      </c>
      <c r="N185" s="418">
        <v>0</v>
      </c>
      <c r="O185" s="418">
        <v>0</v>
      </c>
      <c r="P185" s="418">
        <f>SUM(D185:O185)</f>
        <v>0</v>
      </c>
    </row>
    <row r="186" spans="1:16">
      <c r="A186" s="655"/>
      <c r="B186" s="655" t="s">
        <v>679</v>
      </c>
      <c r="C186" s="655"/>
      <c r="D186" s="418">
        <v>123235.696</v>
      </c>
      <c r="E186" s="418">
        <v>118172.65867</v>
      </c>
      <c r="F186" s="418">
        <v>132559.23666</v>
      </c>
      <c r="G186" s="418">
        <v>149925.82334</v>
      </c>
      <c r="H186" s="418">
        <v>275992.79632999998</v>
      </c>
      <c r="I186" s="418">
        <v>370414.76066999999</v>
      </c>
      <c r="J186" s="418">
        <v>480760.603</v>
      </c>
      <c r="K186" s="418">
        <v>503936.17001</v>
      </c>
      <c r="L186" s="418">
        <v>444415.46932999999</v>
      </c>
      <c r="M186" s="418">
        <v>235892.027</v>
      </c>
      <c r="N186" s="418">
        <v>128646.96534</v>
      </c>
      <c r="O186" s="418">
        <v>120191.73832999999</v>
      </c>
      <c r="P186" s="418">
        <f>SUM(D186:O186)</f>
        <v>3084143.9446800002</v>
      </c>
    </row>
    <row r="187" spans="1:16">
      <c r="A187" s="655"/>
      <c r="B187" s="655" t="s">
        <v>680</v>
      </c>
      <c r="C187" s="655"/>
      <c r="D187" s="418">
        <v>63177.093000000001</v>
      </c>
      <c r="E187" s="418">
        <v>63294.411330000003</v>
      </c>
      <c r="F187" s="418">
        <v>69008.147339999996</v>
      </c>
      <c r="G187" s="418">
        <v>69775.309659999999</v>
      </c>
      <c r="H187" s="418">
        <v>136598.55166999999</v>
      </c>
      <c r="I187" s="418">
        <v>203641.81333</v>
      </c>
      <c r="J187" s="418">
        <v>317846.723</v>
      </c>
      <c r="K187" s="418">
        <v>329470.72798999998</v>
      </c>
      <c r="L187" s="418">
        <v>273501.88367000001</v>
      </c>
      <c r="M187" s="418">
        <v>90713.11</v>
      </c>
      <c r="N187" s="418">
        <v>53993.033660000001</v>
      </c>
      <c r="O187" s="418">
        <v>58552.88667</v>
      </c>
      <c r="P187" s="418">
        <f t="shared" ref="P187:P197" si="35">SUM(D187:O187)</f>
        <v>1729573.6913199998</v>
      </c>
    </row>
    <row r="188" spans="1:16">
      <c r="A188" s="655"/>
      <c r="B188" s="655" t="s">
        <v>681</v>
      </c>
      <c r="C188" s="655"/>
      <c r="D188" s="418">
        <v>125994.208</v>
      </c>
      <c r="E188" s="418">
        <v>118087.571</v>
      </c>
      <c r="F188" s="418">
        <v>134762.636</v>
      </c>
      <c r="G188" s="418">
        <v>101170.874</v>
      </c>
      <c r="H188" s="418">
        <v>272912.48100000003</v>
      </c>
      <c r="I188" s="418">
        <v>401061.74599999998</v>
      </c>
      <c r="J188" s="418">
        <v>892892.91700000002</v>
      </c>
      <c r="K188" s="418">
        <v>804023.22400000005</v>
      </c>
      <c r="L188" s="418">
        <v>588822.99</v>
      </c>
      <c r="M188" s="418">
        <v>139901.26</v>
      </c>
      <c r="N188" s="418">
        <v>91323.361000000004</v>
      </c>
      <c r="O188" s="418">
        <v>127703.268</v>
      </c>
      <c r="P188" s="418">
        <f t="shared" si="35"/>
        <v>3798656.5359999998</v>
      </c>
    </row>
    <row r="189" spans="1:16">
      <c r="A189" s="655"/>
      <c r="B189" s="655" t="s">
        <v>677</v>
      </c>
      <c r="C189" s="655"/>
      <c r="D189" s="418">
        <v>0</v>
      </c>
      <c r="E189" s="418">
        <v>0</v>
      </c>
      <c r="F189" s="418">
        <v>0</v>
      </c>
      <c r="G189" s="418">
        <v>0</v>
      </c>
      <c r="H189" s="418">
        <v>0</v>
      </c>
      <c r="I189" s="418">
        <v>0</v>
      </c>
      <c r="J189" s="418">
        <v>0</v>
      </c>
      <c r="K189" s="418">
        <v>0</v>
      </c>
      <c r="L189" s="418">
        <v>0</v>
      </c>
      <c r="M189" s="418">
        <v>0</v>
      </c>
      <c r="N189" s="418">
        <v>0</v>
      </c>
      <c r="O189" s="418">
        <v>0</v>
      </c>
      <c r="P189" s="418">
        <f t="shared" si="35"/>
        <v>0</v>
      </c>
    </row>
    <row r="190" spans="1:16">
      <c r="A190" s="655"/>
      <c r="B190" s="655" t="s">
        <v>682</v>
      </c>
      <c r="C190" s="655"/>
      <c r="D190" s="418">
        <v>0</v>
      </c>
      <c r="E190" s="418">
        <v>0</v>
      </c>
      <c r="F190" s="418">
        <v>0</v>
      </c>
      <c r="G190" s="418">
        <v>0</v>
      </c>
      <c r="H190" s="418">
        <v>0</v>
      </c>
      <c r="I190" s="418">
        <v>0</v>
      </c>
      <c r="J190" s="418">
        <v>0</v>
      </c>
      <c r="K190" s="418">
        <v>0</v>
      </c>
      <c r="L190" s="418">
        <v>0</v>
      </c>
      <c r="M190" s="418">
        <v>0</v>
      </c>
      <c r="N190" s="418">
        <v>0</v>
      </c>
      <c r="O190" s="418">
        <v>0</v>
      </c>
      <c r="P190" s="418">
        <f t="shared" si="35"/>
        <v>0</v>
      </c>
    </row>
    <row r="191" spans="1:16">
      <c r="A191" s="655"/>
      <c r="B191" s="655" t="s">
        <v>730</v>
      </c>
      <c r="C191" s="655"/>
      <c r="D191" s="418">
        <v>0</v>
      </c>
      <c r="E191" s="418">
        <v>0</v>
      </c>
      <c r="F191" s="418">
        <v>0</v>
      </c>
      <c r="G191" s="418">
        <v>0</v>
      </c>
      <c r="H191" s="418">
        <v>0</v>
      </c>
      <c r="I191" s="418">
        <v>0</v>
      </c>
      <c r="J191" s="418">
        <v>0</v>
      </c>
      <c r="K191" s="418">
        <v>0</v>
      </c>
      <c r="L191" s="418">
        <v>0</v>
      </c>
      <c r="M191" s="418">
        <v>0</v>
      </c>
      <c r="N191" s="418">
        <v>0</v>
      </c>
      <c r="O191" s="418">
        <v>0</v>
      </c>
      <c r="P191" s="418">
        <f t="shared" si="35"/>
        <v>0</v>
      </c>
    </row>
    <row r="192" spans="1:16">
      <c r="A192" s="655"/>
      <c r="B192" s="655" t="s">
        <v>683</v>
      </c>
      <c r="C192" s="655"/>
      <c r="D192" s="418">
        <v>0</v>
      </c>
      <c r="E192" s="418">
        <v>0</v>
      </c>
      <c r="F192" s="418">
        <v>0</v>
      </c>
      <c r="G192" s="418">
        <v>0</v>
      </c>
      <c r="H192" s="418">
        <v>0</v>
      </c>
      <c r="I192" s="418">
        <v>0</v>
      </c>
      <c r="J192" s="418">
        <v>0</v>
      </c>
      <c r="K192" s="418">
        <v>0</v>
      </c>
      <c r="L192" s="418">
        <v>0</v>
      </c>
      <c r="M192" s="418">
        <v>0</v>
      </c>
      <c r="N192" s="418">
        <v>0</v>
      </c>
      <c r="O192" s="418">
        <v>0</v>
      </c>
      <c r="P192" s="418">
        <f t="shared" si="35"/>
        <v>0</v>
      </c>
    </row>
    <row r="193" spans="1:16">
      <c r="A193" s="655"/>
      <c r="B193" s="655" t="s">
        <v>684</v>
      </c>
      <c r="C193" s="655"/>
      <c r="D193" s="418">
        <v>0</v>
      </c>
      <c r="E193" s="418">
        <v>0</v>
      </c>
      <c r="F193" s="418">
        <v>0</v>
      </c>
      <c r="G193" s="418">
        <v>0</v>
      </c>
      <c r="H193" s="418">
        <v>0</v>
      </c>
      <c r="I193" s="418">
        <v>0</v>
      </c>
      <c r="J193" s="418">
        <v>0</v>
      </c>
      <c r="K193" s="418">
        <v>0</v>
      </c>
      <c r="L193" s="418">
        <v>0</v>
      </c>
      <c r="M193" s="418">
        <v>0</v>
      </c>
      <c r="N193" s="418">
        <v>0</v>
      </c>
      <c r="O193" s="418">
        <v>0</v>
      </c>
      <c r="P193" s="418">
        <f t="shared" si="35"/>
        <v>0</v>
      </c>
    </row>
    <row r="194" spans="1:16">
      <c r="A194" s="655"/>
      <c r="B194" s="655" t="s">
        <v>685</v>
      </c>
      <c r="C194" s="655"/>
      <c r="D194" s="418">
        <v>0</v>
      </c>
      <c r="E194" s="418">
        <v>0</v>
      </c>
      <c r="F194" s="418">
        <v>0</v>
      </c>
      <c r="G194" s="418">
        <v>0</v>
      </c>
      <c r="H194" s="418">
        <v>0</v>
      </c>
      <c r="I194" s="418">
        <v>0</v>
      </c>
      <c r="J194" s="418">
        <v>0</v>
      </c>
      <c r="K194" s="418">
        <v>0</v>
      </c>
      <c r="L194" s="418">
        <v>0</v>
      </c>
      <c r="M194" s="418">
        <v>0</v>
      </c>
      <c r="N194" s="418">
        <v>0</v>
      </c>
      <c r="O194" s="418">
        <v>0</v>
      </c>
      <c r="P194" s="418">
        <f t="shared" si="35"/>
        <v>0</v>
      </c>
    </row>
    <row r="195" spans="1:16">
      <c r="A195" s="655"/>
      <c r="B195" s="655" t="s">
        <v>686</v>
      </c>
      <c r="C195" s="655"/>
      <c r="D195" s="418">
        <v>0</v>
      </c>
      <c r="E195" s="418">
        <v>0</v>
      </c>
      <c r="F195" s="418">
        <v>0</v>
      </c>
      <c r="G195" s="418">
        <v>0</v>
      </c>
      <c r="H195" s="418">
        <v>0</v>
      </c>
      <c r="I195" s="418">
        <v>0</v>
      </c>
      <c r="J195" s="418">
        <v>0</v>
      </c>
      <c r="K195" s="418">
        <v>0</v>
      </c>
      <c r="L195" s="418">
        <v>0</v>
      </c>
      <c r="M195" s="418">
        <v>0</v>
      </c>
      <c r="N195" s="418">
        <v>0</v>
      </c>
      <c r="O195" s="418">
        <v>0</v>
      </c>
      <c r="P195" s="418">
        <f t="shared" si="35"/>
        <v>0</v>
      </c>
    </row>
    <row r="196" spans="1:16">
      <c r="A196" s="655"/>
      <c r="B196" s="655" t="s">
        <v>687</v>
      </c>
      <c r="C196" s="655"/>
      <c r="D196" s="418">
        <v>0</v>
      </c>
      <c r="E196" s="418">
        <v>0</v>
      </c>
      <c r="F196" s="418">
        <v>0</v>
      </c>
      <c r="G196" s="418">
        <v>0</v>
      </c>
      <c r="H196" s="418">
        <v>0</v>
      </c>
      <c r="I196" s="418">
        <v>0</v>
      </c>
      <c r="J196" s="418">
        <v>0</v>
      </c>
      <c r="K196" s="418">
        <v>0</v>
      </c>
      <c r="L196" s="418">
        <v>0</v>
      </c>
      <c r="M196" s="418">
        <v>0</v>
      </c>
      <c r="N196" s="418">
        <v>0</v>
      </c>
      <c r="O196" s="418">
        <v>0</v>
      </c>
      <c r="P196" s="418">
        <f t="shared" si="35"/>
        <v>0</v>
      </c>
    </row>
    <row r="197" spans="1:16">
      <c r="A197" s="655"/>
      <c r="B197" s="655" t="s">
        <v>785</v>
      </c>
      <c r="C197" s="655"/>
      <c r="D197" s="418"/>
      <c r="E197" s="418"/>
      <c r="F197" s="418"/>
      <c r="G197" s="418"/>
      <c r="H197" s="418">
        <v>0</v>
      </c>
      <c r="I197" s="418">
        <v>0</v>
      </c>
      <c r="J197" s="418">
        <v>0</v>
      </c>
      <c r="K197" s="418">
        <v>0</v>
      </c>
      <c r="L197" s="418">
        <v>0</v>
      </c>
      <c r="M197" s="418">
        <v>0</v>
      </c>
      <c r="N197" s="418">
        <v>0</v>
      </c>
      <c r="O197" s="418">
        <v>0</v>
      </c>
      <c r="P197" s="418">
        <f t="shared" si="35"/>
        <v>0</v>
      </c>
    </row>
    <row r="198" spans="1:16">
      <c r="A198" s="655"/>
      <c r="B198" s="655" t="s">
        <v>66</v>
      </c>
      <c r="C198" s="655"/>
      <c r="D198" s="418">
        <f>SUM(D185:D197)</f>
        <v>312406.99699999997</v>
      </c>
      <c r="E198" s="418">
        <f>SUM(E185:E197)</f>
        <v>299554.641</v>
      </c>
      <c r="F198" s="418">
        <f t="shared" ref="F198:P198" si="36">SUM(F185:F197)</f>
        <v>336330.02</v>
      </c>
      <c r="G198" s="418">
        <f t="shared" si="36"/>
        <v>320872.00699999998</v>
      </c>
      <c r="H198" s="418">
        <f t="shared" si="36"/>
        <v>685503.82900000003</v>
      </c>
      <c r="I198" s="418">
        <f t="shared" si="36"/>
        <v>975118.32000000007</v>
      </c>
      <c r="J198" s="418">
        <f t="shared" si="36"/>
        <v>1691500.243</v>
      </c>
      <c r="K198" s="418">
        <f t="shared" si="36"/>
        <v>1637430.122</v>
      </c>
      <c r="L198" s="418">
        <f t="shared" si="36"/>
        <v>1306740.3429999999</v>
      </c>
      <c r="M198" s="418">
        <f t="shared" si="36"/>
        <v>466506.397</v>
      </c>
      <c r="N198" s="418">
        <f t="shared" si="36"/>
        <v>273963.36</v>
      </c>
      <c r="O198" s="418">
        <f t="shared" si="36"/>
        <v>306447.89299999998</v>
      </c>
      <c r="P198" s="418">
        <f t="shared" si="36"/>
        <v>8612374.1720000003</v>
      </c>
    </row>
    <row r="199" spans="1:16">
      <c r="A199" s="655" t="s">
        <v>662</v>
      </c>
      <c r="B199" s="655" t="s">
        <v>693</v>
      </c>
      <c r="C199" s="655"/>
      <c r="D199" s="418">
        <v>0</v>
      </c>
      <c r="E199" s="418">
        <v>0</v>
      </c>
      <c r="F199" s="418">
        <v>0</v>
      </c>
      <c r="G199" s="418">
        <v>0</v>
      </c>
      <c r="H199" s="418">
        <v>0</v>
      </c>
      <c r="I199" s="418">
        <v>0</v>
      </c>
      <c r="J199" s="418">
        <v>0</v>
      </c>
      <c r="K199" s="418">
        <v>0</v>
      </c>
      <c r="L199" s="418">
        <v>0</v>
      </c>
      <c r="M199" s="418">
        <v>0</v>
      </c>
      <c r="N199" s="418">
        <v>0</v>
      </c>
      <c r="O199" s="418">
        <v>0</v>
      </c>
      <c r="P199" s="418">
        <f>SUM(D199:O199)</f>
        <v>0</v>
      </c>
    </row>
    <row r="200" spans="1:16">
      <c r="A200" s="655"/>
      <c r="B200" s="655" t="s">
        <v>677</v>
      </c>
      <c r="C200" s="655"/>
      <c r="D200" s="418">
        <v>1331.001</v>
      </c>
      <c r="E200" s="418">
        <v>5799.8010000000004</v>
      </c>
      <c r="F200" s="418">
        <v>3442.5439999999999</v>
      </c>
      <c r="G200" s="418">
        <v>3687.57</v>
      </c>
      <c r="H200" s="418">
        <v>1172</v>
      </c>
      <c r="I200" s="418">
        <v>5539.7330000000002</v>
      </c>
      <c r="J200" s="418">
        <v>1223.933</v>
      </c>
      <c r="K200" s="418">
        <v>1172</v>
      </c>
      <c r="L200" s="418">
        <v>1198.2</v>
      </c>
      <c r="M200" s="418">
        <v>1193.5989999999999</v>
      </c>
      <c r="N200" s="418">
        <v>1134.1969999999999</v>
      </c>
      <c r="O200" s="418">
        <v>1319.8969999999999</v>
      </c>
      <c r="P200" s="418">
        <f>SUM(D200:O200)</f>
        <v>28214.475000000002</v>
      </c>
    </row>
    <row r="201" spans="1:16">
      <c r="A201" s="655"/>
      <c r="B201" s="655" t="s">
        <v>683</v>
      </c>
      <c r="C201" s="655"/>
      <c r="D201" s="418">
        <v>0</v>
      </c>
      <c r="E201" s="418">
        <v>0</v>
      </c>
      <c r="F201" s="418">
        <v>0</v>
      </c>
      <c r="G201" s="418">
        <v>0</v>
      </c>
      <c r="H201" s="418">
        <v>0</v>
      </c>
      <c r="I201" s="418">
        <v>0</v>
      </c>
      <c r="J201" s="418">
        <v>0</v>
      </c>
      <c r="K201" s="418">
        <v>0</v>
      </c>
      <c r="L201" s="418">
        <v>0</v>
      </c>
      <c r="M201" s="418">
        <v>0</v>
      </c>
      <c r="N201" s="418">
        <v>0</v>
      </c>
      <c r="O201" s="418">
        <v>0</v>
      </c>
      <c r="P201" s="418">
        <f t="shared" ref="P201:P206" si="37">SUM(D201:O201)</f>
        <v>0</v>
      </c>
    </row>
    <row r="202" spans="1:16">
      <c r="A202" s="655"/>
      <c r="B202" s="655" t="s">
        <v>684</v>
      </c>
      <c r="C202" s="655"/>
      <c r="D202" s="418">
        <v>0</v>
      </c>
      <c r="E202" s="418">
        <v>0</v>
      </c>
      <c r="F202" s="418">
        <v>0</v>
      </c>
      <c r="G202" s="418">
        <v>0</v>
      </c>
      <c r="H202" s="418">
        <v>0</v>
      </c>
      <c r="I202" s="418">
        <v>0</v>
      </c>
      <c r="J202" s="418">
        <v>0</v>
      </c>
      <c r="K202" s="418">
        <v>0</v>
      </c>
      <c r="L202" s="418">
        <v>0</v>
      </c>
      <c r="M202" s="418">
        <v>0</v>
      </c>
      <c r="N202" s="418">
        <v>0</v>
      </c>
      <c r="O202" s="418">
        <v>0</v>
      </c>
      <c r="P202" s="418">
        <f t="shared" si="37"/>
        <v>0</v>
      </c>
    </row>
    <row r="203" spans="1:16">
      <c r="A203" s="655"/>
      <c r="B203" s="655" t="s">
        <v>685</v>
      </c>
      <c r="C203" s="655"/>
      <c r="D203" s="418">
        <v>0</v>
      </c>
      <c r="E203" s="418">
        <v>0</v>
      </c>
      <c r="F203" s="418">
        <v>0</v>
      </c>
      <c r="G203" s="418">
        <v>0</v>
      </c>
      <c r="H203" s="418">
        <v>0</v>
      </c>
      <c r="I203" s="418">
        <v>0</v>
      </c>
      <c r="J203" s="418">
        <v>0</v>
      </c>
      <c r="K203" s="418">
        <v>0</v>
      </c>
      <c r="L203" s="418">
        <v>0</v>
      </c>
      <c r="M203" s="418">
        <v>0</v>
      </c>
      <c r="N203" s="418">
        <v>0</v>
      </c>
      <c r="O203" s="418">
        <v>0</v>
      </c>
      <c r="P203" s="418">
        <f t="shared" si="37"/>
        <v>0</v>
      </c>
    </row>
    <row r="204" spans="1:16">
      <c r="A204" s="655"/>
      <c r="B204" s="655" t="s">
        <v>686</v>
      </c>
      <c r="C204" s="655"/>
      <c r="D204" s="418">
        <v>0</v>
      </c>
      <c r="E204" s="418">
        <v>0</v>
      </c>
      <c r="F204" s="418">
        <v>0</v>
      </c>
      <c r="G204" s="418">
        <v>0</v>
      </c>
      <c r="H204" s="418">
        <v>0</v>
      </c>
      <c r="I204" s="418">
        <v>0</v>
      </c>
      <c r="J204" s="418">
        <v>0</v>
      </c>
      <c r="K204" s="418">
        <v>0</v>
      </c>
      <c r="L204" s="418">
        <v>0</v>
      </c>
      <c r="M204" s="418">
        <v>0</v>
      </c>
      <c r="N204" s="418">
        <v>0</v>
      </c>
      <c r="O204" s="418">
        <v>0</v>
      </c>
      <c r="P204" s="418">
        <f t="shared" si="37"/>
        <v>0</v>
      </c>
    </row>
    <row r="205" spans="1:16">
      <c r="A205" s="655"/>
      <c r="B205" s="655" t="s">
        <v>687</v>
      </c>
      <c r="C205" s="655"/>
      <c r="D205" s="418">
        <v>0</v>
      </c>
      <c r="E205" s="418">
        <v>0</v>
      </c>
      <c r="F205" s="418">
        <v>0</v>
      </c>
      <c r="G205" s="418">
        <v>0</v>
      </c>
      <c r="H205" s="418">
        <v>0</v>
      </c>
      <c r="I205" s="418">
        <v>0</v>
      </c>
      <c r="J205" s="418">
        <v>0</v>
      </c>
      <c r="K205" s="418">
        <v>0</v>
      </c>
      <c r="L205" s="418">
        <v>0</v>
      </c>
      <c r="M205" s="418">
        <v>0</v>
      </c>
      <c r="N205" s="418">
        <v>0</v>
      </c>
      <c r="O205" s="418">
        <v>0</v>
      </c>
      <c r="P205" s="418">
        <f t="shared" si="37"/>
        <v>0</v>
      </c>
    </row>
    <row r="206" spans="1:16">
      <c r="A206" s="655"/>
      <c r="B206" s="655" t="s">
        <v>785</v>
      </c>
      <c r="C206" s="655"/>
      <c r="D206" s="418"/>
      <c r="E206" s="418"/>
      <c r="F206" s="418"/>
      <c r="G206" s="418"/>
      <c r="H206" s="418">
        <v>0</v>
      </c>
      <c r="I206" s="418">
        <v>0</v>
      </c>
      <c r="J206" s="418">
        <v>0</v>
      </c>
      <c r="K206" s="418">
        <v>0</v>
      </c>
      <c r="L206" s="418">
        <v>0</v>
      </c>
      <c r="M206" s="418">
        <v>0</v>
      </c>
      <c r="N206" s="418">
        <v>0</v>
      </c>
      <c r="O206" s="418">
        <v>0</v>
      </c>
      <c r="P206" s="418">
        <f t="shared" si="37"/>
        <v>0</v>
      </c>
    </row>
    <row r="207" spans="1:16">
      <c r="A207" s="655"/>
      <c r="B207" s="655" t="s">
        <v>66</v>
      </c>
      <c r="C207" s="655"/>
      <c r="D207" s="418">
        <f>SUM(D199:D206)</f>
        <v>1331.001</v>
      </c>
      <c r="E207" s="418">
        <f t="shared" ref="E207:P207" si="38">SUM(E199:E206)</f>
        <v>5799.8010000000004</v>
      </c>
      <c r="F207" s="418">
        <f t="shared" si="38"/>
        <v>3442.5439999999999</v>
      </c>
      <c r="G207" s="418">
        <f t="shared" si="38"/>
        <v>3687.57</v>
      </c>
      <c r="H207" s="418">
        <f t="shared" si="38"/>
        <v>1172</v>
      </c>
      <c r="I207" s="418">
        <f t="shared" si="38"/>
        <v>5539.7330000000002</v>
      </c>
      <c r="J207" s="418">
        <f t="shared" si="38"/>
        <v>1223.933</v>
      </c>
      <c r="K207" s="418">
        <f t="shared" si="38"/>
        <v>1172</v>
      </c>
      <c r="L207" s="418">
        <f t="shared" si="38"/>
        <v>1198.2</v>
      </c>
      <c r="M207" s="418">
        <f t="shared" si="38"/>
        <v>1193.5989999999999</v>
      </c>
      <c r="N207" s="418">
        <f t="shared" si="38"/>
        <v>1134.1969999999999</v>
      </c>
      <c r="O207" s="418">
        <f t="shared" si="38"/>
        <v>1319.8969999999999</v>
      </c>
      <c r="P207" s="418">
        <f t="shared" si="38"/>
        <v>28214.475000000002</v>
      </c>
    </row>
    <row r="208" spans="1:16">
      <c r="A208" s="655" t="s">
        <v>663</v>
      </c>
      <c r="B208" s="655" t="s">
        <v>693</v>
      </c>
      <c r="C208" s="655"/>
      <c r="D208" s="418">
        <v>0</v>
      </c>
      <c r="E208" s="418">
        <v>0</v>
      </c>
      <c r="F208" s="418">
        <v>0</v>
      </c>
      <c r="G208" s="418">
        <v>0</v>
      </c>
      <c r="H208" s="418">
        <v>0</v>
      </c>
      <c r="I208" s="418">
        <v>0</v>
      </c>
      <c r="J208" s="418">
        <v>0</v>
      </c>
      <c r="K208" s="418">
        <v>0</v>
      </c>
      <c r="L208" s="418">
        <v>0</v>
      </c>
      <c r="M208" s="418">
        <v>0</v>
      </c>
      <c r="N208" s="418">
        <v>0</v>
      </c>
      <c r="O208" s="418">
        <v>0</v>
      </c>
      <c r="P208" s="418">
        <f>SUM(D208:O208)</f>
        <v>0</v>
      </c>
    </row>
    <row r="209" spans="1:16">
      <c r="A209" s="655"/>
      <c r="B209" s="655" t="s">
        <v>677</v>
      </c>
      <c r="C209" s="655"/>
      <c r="D209" s="418">
        <v>794948.48834000004</v>
      </c>
      <c r="E209" s="418">
        <v>731550.37</v>
      </c>
      <c r="F209" s="418">
        <v>730225.50800000003</v>
      </c>
      <c r="G209" s="418">
        <v>768961.7</v>
      </c>
      <c r="H209" s="418">
        <v>761924.46299999999</v>
      </c>
      <c r="I209" s="418">
        <v>751079.321</v>
      </c>
      <c r="J209" s="418">
        <v>773990.36800000002</v>
      </c>
      <c r="K209" s="418">
        <v>750514.12899999996</v>
      </c>
      <c r="L209" s="418">
        <v>767841.35600000003</v>
      </c>
      <c r="M209" s="418">
        <v>768639.147</v>
      </c>
      <c r="N209" s="418">
        <v>719670.973</v>
      </c>
      <c r="O209" s="418">
        <v>792313.73033000005</v>
      </c>
      <c r="P209" s="418">
        <f t="shared" ref="P209:P215" si="39">SUM(D209:O209)</f>
        <v>9111659.5536700003</v>
      </c>
    </row>
    <row r="210" spans="1:16">
      <c r="A210" s="655"/>
      <c r="B210" s="655" t="s">
        <v>683</v>
      </c>
      <c r="C210" s="655"/>
      <c r="D210" s="418">
        <v>0</v>
      </c>
      <c r="E210" s="418">
        <v>0</v>
      </c>
      <c r="F210" s="418">
        <v>0</v>
      </c>
      <c r="G210" s="418">
        <v>0</v>
      </c>
      <c r="H210" s="418">
        <v>0</v>
      </c>
      <c r="I210" s="418">
        <v>0</v>
      </c>
      <c r="J210" s="418">
        <v>0</v>
      </c>
      <c r="K210" s="418">
        <v>0</v>
      </c>
      <c r="L210" s="418">
        <v>0</v>
      </c>
      <c r="M210" s="418">
        <v>0</v>
      </c>
      <c r="N210" s="418">
        <v>0</v>
      </c>
      <c r="O210" s="418">
        <v>0</v>
      </c>
      <c r="P210" s="418">
        <f t="shared" si="39"/>
        <v>0</v>
      </c>
    </row>
    <row r="211" spans="1:16">
      <c r="A211" s="655"/>
      <c r="B211" s="655" t="s">
        <v>684</v>
      </c>
      <c r="C211" s="655"/>
      <c r="D211" s="418">
        <v>0</v>
      </c>
      <c r="E211" s="418">
        <v>0</v>
      </c>
      <c r="F211" s="418">
        <v>0</v>
      </c>
      <c r="G211" s="418">
        <v>0</v>
      </c>
      <c r="H211" s="418">
        <v>0</v>
      </c>
      <c r="I211" s="418">
        <v>0</v>
      </c>
      <c r="J211" s="418">
        <v>0</v>
      </c>
      <c r="K211" s="418">
        <v>0</v>
      </c>
      <c r="L211" s="418">
        <v>0</v>
      </c>
      <c r="M211" s="418">
        <v>0</v>
      </c>
      <c r="N211" s="418">
        <v>0</v>
      </c>
      <c r="O211" s="418">
        <v>0</v>
      </c>
      <c r="P211" s="418">
        <f t="shared" si="39"/>
        <v>0</v>
      </c>
    </row>
    <row r="212" spans="1:16">
      <c r="A212" s="655"/>
      <c r="B212" s="655" t="s">
        <v>685</v>
      </c>
      <c r="C212" s="655"/>
      <c r="D212" s="418">
        <v>0</v>
      </c>
      <c r="E212" s="418">
        <v>0</v>
      </c>
      <c r="F212" s="418">
        <v>0</v>
      </c>
      <c r="G212" s="418">
        <v>0</v>
      </c>
      <c r="H212" s="418">
        <v>0</v>
      </c>
      <c r="I212" s="418">
        <v>0</v>
      </c>
      <c r="J212" s="418">
        <v>0</v>
      </c>
      <c r="K212" s="418">
        <v>0</v>
      </c>
      <c r="L212" s="418">
        <v>0</v>
      </c>
      <c r="M212" s="418">
        <v>0</v>
      </c>
      <c r="N212" s="418">
        <v>0</v>
      </c>
      <c r="O212" s="418">
        <v>0</v>
      </c>
      <c r="P212" s="418">
        <f t="shared" si="39"/>
        <v>0</v>
      </c>
    </row>
    <row r="213" spans="1:16">
      <c r="A213" s="655"/>
      <c r="B213" s="655" t="s">
        <v>686</v>
      </c>
      <c r="C213" s="655"/>
      <c r="D213" s="418">
        <v>0</v>
      </c>
      <c r="E213" s="418">
        <v>0</v>
      </c>
      <c r="F213" s="418">
        <v>0</v>
      </c>
      <c r="G213" s="418">
        <v>0</v>
      </c>
      <c r="H213" s="418">
        <v>0</v>
      </c>
      <c r="I213" s="418">
        <v>0</v>
      </c>
      <c r="J213" s="418">
        <v>0</v>
      </c>
      <c r="K213" s="418">
        <v>0</v>
      </c>
      <c r="L213" s="418">
        <v>0</v>
      </c>
      <c r="M213" s="418">
        <v>0</v>
      </c>
      <c r="N213" s="418">
        <v>0</v>
      </c>
      <c r="O213" s="418">
        <v>0</v>
      </c>
      <c r="P213" s="418">
        <f t="shared" si="39"/>
        <v>0</v>
      </c>
    </row>
    <row r="214" spans="1:16">
      <c r="A214" s="655"/>
      <c r="B214" s="655" t="s">
        <v>687</v>
      </c>
      <c r="C214" s="655"/>
      <c r="D214" s="418">
        <v>0</v>
      </c>
      <c r="E214" s="418">
        <v>0</v>
      </c>
      <c r="F214" s="418">
        <v>0</v>
      </c>
      <c r="G214" s="418">
        <v>0</v>
      </c>
      <c r="H214" s="418">
        <v>0</v>
      </c>
      <c r="I214" s="418">
        <v>0</v>
      </c>
      <c r="J214" s="418">
        <v>0</v>
      </c>
      <c r="K214" s="418">
        <v>0</v>
      </c>
      <c r="L214" s="418">
        <v>0</v>
      </c>
      <c r="M214" s="418">
        <v>0</v>
      </c>
      <c r="N214" s="418">
        <v>0</v>
      </c>
      <c r="O214" s="418">
        <v>0</v>
      </c>
      <c r="P214" s="418">
        <f t="shared" si="39"/>
        <v>0</v>
      </c>
    </row>
    <row r="215" spans="1:16">
      <c r="A215" s="655"/>
      <c r="B215" s="655" t="s">
        <v>785</v>
      </c>
      <c r="C215" s="655"/>
      <c r="D215" s="418"/>
      <c r="E215" s="418"/>
      <c r="F215" s="418"/>
      <c r="G215" s="418"/>
      <c r="H215" s="418">
        <v>0</v>
      </c>
      <c r="I215" s="418">
        <v>0</v>
      </c>
      <c r="J215" s="418">
        <v>0</v>
      </c>
      <c r="K215" s="418">
        <v>0</v>
      </c>
      <c r="L215" s="418">
        <v>0</v>
      </c>
      <c r="M215" s="418">
        <v>0</v>
      </c>
      <c r="N215" s="418">
        <v>0</v>
      </c>
      <c r="O215" s="418">
        <v>0</v>
      </c>
      <c r="P215" s="418">
        <f t="shared" si="39"/>
        <v>0</v>
      </c>
    </row>
    <row r="216" spans="1:16">
      <c r="A216" s="655"/>
      <c r="B216" s="655" t="s">
        <v>66</v>
      </c>
      <c r="C216" s="655"/>
      <c r="D216" s="418">
        <f>SUM(D208:D215)</f>
        <v>794948.48834000004</v>
      </c>
      <c r="E216" s="418">
        <f t="shared" ref="E216:P216" si="40">SUM(E208:E215)</f>
        <v>731550.37</v>
      </c>
      <c r="F216" s="418">
        <f t="shared" si="40"/>
        <v>730225.50800000003</v>
      </c>
      <c r="G216" s="418">
        <f t="shared" si="40"/>
        <v>768961.7</v>
      </c>
      <c r="H216" s="418">
        <f t="shared" si="40"/>
        <v>761924.46299999999</v>
      </c>
      <c r="I216" s="418">
        <f t="shared" si="40"/>
        <v>751079.321</v>
      </c>
      <c r="J216" s="418">
        <f t="shared" si="40"/>
        <v>773990.36800000002</v>
      </c>
      <c r="K216" s="418">
        <f t="shared" si="40"/>
        <v>750514.12899999996</v>
      </c>
      <c r="L216" s="418">
        <f t="shared" si="40"/>
        <v>767841.35600000003</v>
      </c>
      <c r="M216" s="418">
        <f t="shared" si="40"/>
        <v>768639.147</v>
      </c>
      <c r="N216" s="418">
        <f t="shared" si="40"/>
        <v>719670.973</v>
      </c>
      <c r="O216" s="418">
        <f t="shared" si="40"/>
        <v>792313.73033000005</v>
      </c>
      <c r="P216" s="418">
        <f t="shared" si="40"/>
        <v>9111659.5536700003</v>
      </c>
    </row>
    <row r="217" spans="1:16">
      <c r="A217" s="655" t="s">
        <v>664</v>
      </c>
      <c r="B217" s="655" t="s">
        <v>693</v>
      </c>
      <c r="C217" s="655"/>
      <c r="D217" s="418">
        <v>0</v>
      </c>
      <c r="E217" s="418">
        <v>0</v>
      </c>
      <c r="F217" s="418">
        <v>0</v>
      </c>
      <c r="G217" s="418">
        <v>0</v>
      </c>
      <c r="H217" s="418">
        <v>0</v>
      </c>
      <c r="I217" s="418">
        <v>0</v>
      </c>
      <c r="J217" s="418">
        <v>0</v>
      </c>
      <c r="K217" s="418">
        <v>0</v>
      </c>
      <c r="L217" s="418">
        <v>0</v>
      </c>
      <c r="M217" s="418">
        <v>0</v>
      </c>
      <c r="N217" s="418">
        <v>0</v>
      </c>
      <c r="O217" s="418">
        <v>0</v>
      </c>
      <c r="P217" s="418">
        <f>SUM(D217:O217)</f>
        <v>0</v>
      </c>
    </row>
    <row r="218" spans="1:16">
      <c r="A218" s="655"/>
      <c r="B218" s="655" t="s">
        <v>677</v>
      </c>
      <c r="C218" s="655"/>
      <c r="D218" s="418">
        <v>16437.332999999999</v>
      </c>
      <c r="E218" s="418">
        <v>16274.564</v>
      </c>
      <c r="F218" s="418">
        <v>16254.268</v>
      </c>
      <c r="G218" s="418">
        <v>16474.791000000001</v>
      </c>
      <c r="H218" s="418">
        <v>16211.932000000001</v>
      </c>
      <c r="I218" s="418">
        <v>17031.564999999999</v>
      </c>
      <c r="J218" s="418">
        <v>16479.297999999999</v>
      </c>
      <c r="K218" s="418">
        <v>16393.999</v>
      </c>
      <c r="L218" s="418">
        <v>17425.798999999999</v>
      </c>
      <c r="M218" s="418">
        <v>16144.83</v>
      </c>
      <c r="N218" s="418">
        <v>15360.35</v>
      </c>
      <c r="O218" s="418">
        <v>-57376.377119999997</v>
      </c>
      <c r="P218" s="418">
        <f>SUM(D218:O218)</f>
        <v>123112.35188</v>
      </c>
    </row>
    <row r="219" spans="1:16">
      <c r="A219" s="655"/>
      <c r="B219" s="655" t="s">
        <v>683</v>
      </c>
      <c r="C219" s="655"/>
      <c r="D219" s="418">
        <v>0</v>
      </c>
      <c r="E219" s="418">
        <v>0</v>
      </c>
      <c r="F219" s="418">
        <v>0</v>
      </c>
      <c r="G219" s="418">
        <v>0</v>
      </c>
      <c r="H219" s="418">
        <v>0</v>
      </c>
      <c r="I219" s="418">
        <v>0</v>
      </c>
      <c r="J219" s="418">
        <v>0</v>
      </c>
      <c r="K219" s="418">
        <v>0</v>
      </c>
      <c r="L219" s="418">
        <v>0</v>
      </c>
      <c r="M219" s="418">
        <v>0</v>
      </c>
      <c r="N219" s="418">
        <v>0</v>
      </c>
      <c r="O219" s="418">
        <v>0</v>
      </c>
      <c r="P219" s="418">
        <f t="shared" ref="P219:P224" si="41">SUM(D219:O219)</f>
        <v>0</v>
      </c>
    </row>
    <row r="220" spans="1:16">
      <c r="A220" s="655"/>
      <c r="B220" s="655" t="s">
        <v>684</v>
      </c>
      <c r="C220" s="655"/>
      <c r="D220" s="418">
        <v>0</v>
      </c>
      <c r="E220" s="418">
        <v>0</v>
      </c>
      <c r="F220" s="418">
        <v>0</v>
      </c>
      <c r="G220" s="418">
        <v>0</v>
      </c>
      <c r="H220" s="418">
        <v>0</v>
      </c>
      <c r="I220" s="418">
        <v>0</v>
      </c>
      <c r="J220" s="418">
        <v>0</v>
      </c>
      <c r="K220" s="418">
        <v>0</v>
      </c>
      <c r="L220" s="418">
        <v>0</v>
      </c>
      <c r="M220" s="418">
        <v>0</v>
      </c>
      <c r="N220" s="418">
        <v>0</v>
      </c>
      <c r="O220" s="418">
        <v>0</v>
      </c>
      <c r="P220" s="418">
        <f t="shared" si="41"/>
        <v>0</v>
      </c>
    </row>
    <row r="221" spans="1:16">
      <c r="A221" s="655"/>
      <c r="B221" s="655" t="s">
        <v>685</v>
      </c>
      <c r="C221" s="655"/>
      <c r="D221" s="418">
        <v>0</v>
      </c>
      <c r="E221" s="418">
        <v>0</v>
      </c>
      <c r="F221" s="418">
        <v>0</v>
      </c>
      <c r="G221" s="418">
        <v>0</v>
      </c>
      <c r="H221" s="418">
        <v>0</v>
      </c>
      <c r="I221" s="418">
        <v>0</v>
      </c>
      <c r="J221" s="418">
        <v>0</v>
      </c>
      <c r="K221" s="418">
        <v>0</v>
      </c>
      <c r="L221" s="418">
        <v>0</v>
      </c>
      <c r="M221" s="418">
        <v>0</v>
      </c>
      <c r="N221" s="418">
        <v>0</v>
      </c>
      <c r="O221" s="418">
        <v>0</v>
      </c>
      <c r="P221" s="418">
        <f t="shared" si="41"/>
        <v>0</v>
      </c>
    </row>
    <row r="222" spans="1:16">
      <c r="A222" s="655"/>
      <c r="B222" s="655" t="s">
        <v>686</v>
      </c>
      <c r="C222" s="655"/>
      <c r="D222" s="418">
        <v>0</v>
      </c>
      <c r="E222" s="418">
        <v>0</v>
      </c>
      <c r="F222" s="418">
        <v>0</v>
      </c>
      <c r="G222" s="418">
        <v>0</v>
      </c>
      <c r="H222" s="418">
        <v>0</v>
      </c>
      <c r="I222" s="418">
        <v>0</v>
      </c>
      <c r="J222" s="418">
        <v>0</v>
      </c>
      <c r="K222" s="418">
        <v>0</v>
      </c>
      <c r="L222" s="418">
        <v>0</v>
      </c>
      <c r="M222" s="418">
        <v>0</v>
      </c>
      <c r="N222" s="418">
        <v>0</v>
      </c>
      <c r="O222" s="418">
        <v>0</v>
      </c>
      <c r="P222" s="418">
        <f t="shared" si="41"/>
        <v>0</v>
      </c>
    </row>
    <row r="223" spans="1:16">
      <c r="A223" s="655"/>
      <c r="B223" s="655" t="s">
        <v>687</v>
      </c>
      <c r="C223" s="655"/>
      <c r="D223" s="418">
        <v>0</v>
      </c>
      <c r="E223" s="418">
        <v>0</v>
      </c>
      <c r="F223" s="418">
        <v>0</v>
      </c>
      <c r="G223" s="418">
        <v>0</v>
      </c>
      <c r="H223" s="418">
        <v>0</v>
      </c>
      <c r="I223" s="418">
        <v>0</v>
      </c>
      <c r="J223" s="418">
        <v>0</v>
      </c>
      <c r="K223" s="418">
        <v>0</v>
      </c>
      <c r="L223" s="418">
        <v>0</v>
      </c>
      <c r="M223" s="418">
        <v>0</v>
      </c>
      <c r="N223" s="418">
        <v>0</v>
      </c>
      <c r="O223" s="418">
        <v>0</v>
      </c>
      <c r="P223" s="418">
        <f t="shared" si="41"/>
        <v>0</v>
      </c>
    </row>
    <row r="224" spans="1:16">
      <c r="A224" s="655"/>
      <c r="B224" s="655" t="s">
        <v>785</v>
      </c>
      <c r="C224" s="655"/>
      <c r="D224" s="418"/>
      <c r="E224" s="418"/>
      <c r="F224" s="418"/>
      <c r="G224" s="418"/>
      <c r="H224" s="418">
        <v>0</v>
      </c>
      <c r="I224" s="418">
        <v>0</v>
      </c>
      <c r="J224" s="418">
        <v>0</v>
      </c>
      <c r="K224" s="418">
        <v>0</v>
      </c>
      <c r="L224" s="418">
        <v>0</v>
      </c>
      <c r="M224" s="418">
        <v>0</v>
      </c>
      <c r="N224" s="418">
        <v>0</v>
      </c>
      <c r="O224" s="418">
        <v>0</v>
      </c>
      <c r="P224" s="418">
        <f t="shared" si="41"/>
        <v>0</v>
      </c>
    </row>
    <row r="225" spans="1:16">
      <c r="A225" s="655"/>
      <c r="B225" s="655" t="s">
        <v>66</v>
      </c>
      <c r="C225" s="655"/>
      <c r="D225" s="418">
        <f>SUM(D217:D224)</f>
        <v>16437.332999999999</v>
      </c>
      <c r="E225" s="418">
        <f t="shared" ref="E225:P225" si="42">SUM(E217:E224)</f>
        <v>16274.564</v>
      </c>
      <c r="F225" s="418">
        <f t="shared" si="42"/>
        <v>16254.268</v>
      </c>
      <c r="G225" s="418">
        <f t="shared" si="42"/>
        <v>16474.791000000001</v>
      </c>
      <c r="H225" s="418">
        <f t="shared" si="42"/>
        <v>16211.932000000001</v>
      </c>
      <c r="I225" s="418">
        <f t="shared" si="42"/>
        <v>17031.564999999999</v>
      </c>
      <c r="J225" s="418">
        <f t="shared" si="42"/>
        <v>16479.297999999999</v>
      </c>
      <c r="K225" s="418">
        <f t="shared" si="42"/>
        <v>16393.999</v>
      </c>
      <c r="L225" s="418">
        <f t="shared" si="42"/>
        <v>17425.798999999999</v>
      </c>
      <c r="M225" s="418">
        <f t="shared" si="42"/>
        <v>16144.83</v>
      </c>
      <c r="N225" s="418">
        <f t="shared" si="42"/>
        <v>15360.35</v>
      </c>
      <c r="O225" s="418">
        <f t="shared" si="42"/>
        <v>-57376.377119999997</v>
      </c>
      <c r="P225" s="418">
        <f t="shared" si="42"/>
        <v>123112.35188</v>
      </c>
    </row>
    <row r="226" spans="1:16">
      <c r="A226" s="655" t="s">
        <v>665</v>
      </c>
      <c r="B226" s="655" t="s">
        <v>693</v>
      </c>
      <c r="C226" s="655"/>
      <c r="D226" s="418">
        <v>0</v>
      </c>
      <c r="E226" s="418">
        <v>0</v>
      </c>
      <c r="F226" s="418">
        <v>0</v>
      </c>
      <c r="G226" s="418">
        <v>0</v>
      </c>
      <c r="H226" s="418">
        <v>0</v>
      </c>
      <c r="I226" s="418">
        <v>0</v>
      </c>
      <c r="J226" s="418">
        <v>0</v>
      </c>
      <c r="K226" s="418">
        <v>0</v>
      </c>
      <c r="L226" s="418">
        <v>0</v>
      </c>
      <c r="M226" s="418">
        <v>0</v>
      </c>
      <c r="N226" s="418">
        <v>0</v>
      </c>
      <c r="O226" s="418">
        <v>0</v>
      </c>
      <c r="P226" s="418">
        <f>SUM(D226:O226)</f>
        <v>0</v>
      </c>
    </row>
    <row r="227" spans="1:16">
      <c r="A227" s="655"/>
      <c r="B227" s="655" t="s">
        <v>677</v>
      </c>
      <c r="C227" s="655"/>
      <c r="D227" s="418">
        <v>36190.500999999997</v>
      </c>
      <c r="E227" s="418">
        <v>35813.033000000003</v>
      </c>
      <c r="F227" s="418">
        <v>33924.413</v>
      </c>
      <c r="G227" s="418">
        <v>33857.317000000003</v>
      </c>
      <c r="H227" s="418">
        <v>34884.633000000002</v>
      </c>
      <c r="I227" s="418">
        <v>37147.800999999999</v>
      </c>
      <c r="J227" s="418">
        <v>33986.000999999997</v>
      </c>
      <c r="K227" s="418">
        <v>34799.300000000003</v>
      </c>
      <c r="L227" s="418">
        <v>38298.567000000003</v>
      </c>
      <c r="M227" s="418">
        <v>33875.633999999998</v>
      </c>
      <c r="N227" s="418">
        <v>33764.055</v>
      </c>
      <c r="O227" s="418">
        <v>38381.917000000001</v>
      </c>
      <c r="P227" s="418">
        <f>SUM(D227:O227)</f>
        <v>424923.17200000002</v>
      </c>
    </row>
    <row r="228" spans="1:16">
      <c r="A228" s="655"/>
      <c r="B228" s="655" t="s">
        <v>683</v>
      </c>
      <c r="C228" s="655"/>
      <c r="D228" s="418">
        <v>0</v>
      </c>
      <c r="E228" s="418">
        <v>0</v>
      </c>
      <c r="F228" s="418">
        <v>0</v>
      </c>
      <c r="G228" s="418">
        <v>0</v>
      </c>
      <c r="H228" s="418">
        <v>0</v>
      </c>
      <c r="I228" s="418">
        <v>0</v>
      </c>
      <c r="J228" s="418">
        <v>0</v>
      </c>
      <c r="K228" s="418">
        <v>0</v>
      </c>
      <c r="L228" s="418">
        <v>0</v>
      </c>
      <c r="M228" s="418">
        <v>0</v>
      </c>
      <c r="N228" s="418">
        <v>0</v>
      </c>
      <c r="O228" s="418">
        <v>0</v>
      </c>
      <c r="P228" s="418">
        <f t="shared" ref="P228:P233" si="43">SUM(D228:O228)</f>
        <v>0</v>
      </c>
    </row>
    <row r="229" spans="1:16">
      <c r="A229" s="655"/>
      <c r="B229" s="655" t="s">
        <v>684</v>
      </c>
      <c r="C229" s="655"/>
      <c r="D229" s="418">
        <v>0</v>
      </c>
      <c r="E229" s="418">
        <v>0</v>
      </c>
      <c r="F229" s="418">
        <v>0</v>
      </c>
      <c r="G229" s="418">
        <v>0</v>
      </c>
      <c r="H229" s="418">
        <v>0</v>
      </c>
      <c r="I229" s="418">
        <v>0</v>
      </c>
      <c r="J229" s="418">
        <v>0</v>
      </c>
      <c r="K229" s="418">
        <v>0</v>
      </c>
      <c r="L229" s="418">
        <v>0</v>
      </c>
      <c r="M229" s="418">
        <v>0</v>
      </c>
      <c r="N229" s="418">
        <v>0</v>
      </c>
      <c r="O229" s="418">
        <v>0</v>
      </c>
      <c r="P229" s="418">
        <f t="shared" si="43"/>
        <v>0</v>
      </c>
    </row>
    <row r="230" spans="1:16">
      <c r="A230" s="655"/>
      <c r="B230" s="655" t="s">
        <v>685</v>
      </c>
      <c r="C230" s="655"/>
      <c r="D230" s="418">
        <v>0</v>
      </c>
      <c r="E230" s="418">
        <v>0</v>
      </c>
      <c r="F230" s="418">
        <v>0</v>
      </c>
      <c r="G230" s="418">
        <v>0</v>
      </c>
      <c r="H230" s="418">
        <v>0</v>
      </c>
      <c r="I230" s="418">
        <v>0</v>
      </c>
      <c r="J230" s="418">
        <v>0</v>
      </c>
      <c r="K230" s="418">
        <v>0</v>
      </c>
      <c r="L230" s="418">
        <v>0</v>
      </c>
      <c r="M230" s="418">
        <v>0</v>
      </c>
      <c r="N230" s="418">
        <v>0</v>
      </c>
      <c r="O230" s="418">
        <v>0</v>
      </c>
      <c r="P230" s="418">
        <f t="shared" si="43"/>
        <v>0</v>
      </c>
    </row>
    <row r="231" spans="1:16">
      <c r="A231" s="655"/>
      <c r="B231" s="655" t="s">
        <v>686</v>
      </c>
      <c r="C231" s="655"/>
      <c r="D231" s="418">
        <v>0</v>
      </c>
      <c r="E231" s="418">
        <v>0</v>
      </c>
      <c r="F231" s="418">
        <v>0</v>
      </c>
      <c r="G231" s="418">
        <v>0</v>
      </c>
      <c r="H231" s="418">
        <v>0</v>
      </c>
      <c r="I231" s="418">
        <v>0</v>
      </c>
      <c r="J231" s="418">
        <v>0</v>
      </c>
      <c r="K231" s="418">
        <v>0</v>
      </c>
      <c r="L231" s="418">
        <v>0</v>
      </c>
      <c r="M231" s="418">
        <v>0</v>
      </c>
      <c r="N231" s="418">
        <v>0</v>
      </c>
      <c r="O231" s="418">
        <v>0</v>
      </c>
      <c r="P231" s="418">
        <f t="shared" si="43"/>
        <v>0</v>
      </c>
    </row>
    <row r="232" spans="1:16">
      <c r="A232" s="655"/>
      <c r="B232" s="655" t="s">
        <v>687</v>
      </c>
      <c r="C232" s="655"/>
      <c r="D232" s="418">
        <v>0</v>
      </c>
      <c r="E232" s="418">
        <v>0</v>
      </c>
      <c r="F232" s="418">
        <v>0</v>
      </c>
      <c r="G232" s="418">
        <v>0</v>
      </c>
      <c r="H232" s="418">
        <v>0</v>
      </c>
      <c r="I232" s="418">
        <v>0</v>
      </c>
      <c r="J232" s="418">
        <v>0</v>
      </c>
      <c r="K232" s="418">
        <v>0</v>
      </c>
      <c r="L232" s="418">
        <v>0</v>
      </c>
      <c r="M232" s="418">
        <v>0</v>
      </c>
      <c r="N232" s="418">
        <v>0</v>
      </c>
      <c r="O232" s="418">
        <v>0</v>
      </c>
      <c r="P232" s="418">
        <f t="shared" si="43"/>
        <v>0</v>
      </c>
    </row>
    <row r="233" spans="1:16">
      <c r="A233" s="655"/>
      <c r="B233" s="655" t="s">
        <v>785</v>
      </c>
      <c r="C233" s="655"/>
      <c r="D233" s="418"/>
      <c r="E233" s="418"/>
      <c r="F233" s="418"/>
      <c r="G233" s="418"/>
      <c r="H233" s="418">
        <v>0</v>
      </c>
      <c r="I233" s="418">
        <v>0</v>
      </c>
      <c r="J233" s="418">
        <v>0</v>
      </c>
      <c r="K233" s="418">
        <v>0</v>
      </c>
      <c r="L233" s="418">
        <v>0</v>
      </c>
      <c r="M233" s="418">
        <v>0</v>
      </c>
      <c r="N233" s="418">
        <v>0</v>
      </c>
      <c r="O233" s="418">
        <v>0</v>
      </c>
      <c r="P233" s="418">
        <f t="shared" si="43"/>
        <v>0</v>
      </c>
    </row>
    <row r="234" spans="1:16">
      <c r="A234" s="655"/>
      <c r="B234" s="655" t="s">
        <v>66</v>
      </c>
      <c r="C234" s="655"/>
      <c r="D234" s="418">
        <f>SUM(D226:D233)</f>
        <v>36190.500999999997</v>
      </c>
      <c r="E234" s="418">
        <f t="shared" ref="E234:P234" si="44">SUM(E226:E233)</f>
        <v>35813.033000000003</v>
      </c>
      <c r="F234" s="418">
        <f t="shared" si="44"/>
        <v>33924.413</v>
      </c>
      <c r="G234" s="418">
        <f t="shared" si="44"/>
        <v>33857.317000000003</v>
      </c>
      <c r="H234" s="418">
        <f t="shared" si="44"/>
        <v>34884.633000000002</v>
      </c>
      <c r="I234" s="418">
        <f t="shared" si="44"/>
        <v>37147.800999999999</v>
      </c>
      <c r="J234" s="418">
        <f t="shared" si="44"/>
        <v>33986.000999999997</v>
      </c>
      <c r="K234" s="418">
        <f t="shared" si="44"/>
        <v>34799.300000000003</v>
      </c>
      <c r="L234" s="418">
        <f t="shared" si="44"/>
        <v>38298.567000000003</v>
      </c>
      <c r="M234" s="418">
        <f t="shared" si="44"/>
        <v>33875.633999999998</v>
      </c>
      <c r="N234" s="418">
        <f t="shared" si="44"/>
        <v>33764.055</v>
      </c>
      <c r="O234" s="418">
        <f t="shared" si="44"/>
        <v>38381.917000000001</v>
      </c>
      <c r="P234" s="418">
        <f t="shared" si="44"/>
        <v>424923.17200000002</v>
      </c>
    </row>
    <row r="235" spans="1:16">
      <c r="A235" s="655" t="s">
        <v>666</v>
      </c>
      <c r="B235" s="655" t="s">
        <v>693</v>
      </c>
      <c r="C235" s="655"/>
      <c r="D235" s="418">
        <v>0</v>
      </c>
      <c r="E235" s="418">
        <v>0</v>
      </c>
      <c r="F235" s="418">
        <v>0</v>
      </c>
      <c r="G235" s="418">
        <v>0</v>
      </c>
      <c r="H235" s="418">
        <v>0</v>
      </c>
      <c r="I235" s="418">
        <v>0</v>
      </c>
      <c r="J235" s="418">
        <v>0</v>
      </c>
      <c r="K235" s="418">
        <v>0</v>
      </c>
      <c r="L235" s="418">
        <v>0</v>
      </c>
      <c r="M235" s="418">
        <v>0</v>
      </c>
      <c r="N235" s="418">
        <v>0</v>
      </c>
      <c r="O235" s="418">
        <v>0</v>
      </c>
      <c r="P235" s="418">
        <f>SUM(D235:O235)</f>
        <v>0</v>
      </c>
    </row>
    <row r="236" spans="1:16">
      <c r="A236" s="655"/>
      <c r="B236" s="655" t="s">
        <v>677</v>
      </c>
      <c r="C236" s="655"/>
      <c r="D236" s="418">
        <v>94723.862999999998</v>
      </c>
      <c r="E236" s="418">
        <v>87020.865999999995</v>
      </c>
      <c r="F236" s="418">
        <v>82039.502999999997</v>
      </c>
      <c r="G236" s="418">
        <v>94277.933000000005</v>
      </c>
      <c r="H236" s="418">
        <v>69727.032000000007</v>
      </c>
      <c r="I236" s="418">
        <v>87191.264999999999</v>
      </c>
      <c r="J236" s="418">
        <v>88913.097999999998</v>
      </c>
      <c r="K236" s="418">
        <v>84810.832999999999</v>
      </c>
      <c r="L236" s="418">
        <v>90197.163</v>
      </c>
      <c r="M236" s="418">
        <v>87190.630999999994</v>
      </c>
      <c r="N236" s="418">
        <v>83214.792000000001</v>
      </c>
      <c r="O236" s="418">
        <v>92626.005000000005</v>
      </c>
      <c r="P236" s="418">
        <f>SUM(D236:O236)</f>
        <v>1041932.9840000002</v>
      </c>
    </row>
    <row r="237" spans="1:16">
      <c r="A237" s="655"/>
      <c r="B237" s="655" t="s">
        <v>683</v>
      </c>
      <c r="C237" s="655"/>
      <c r="D237" s="418">
        <v>0</v>
      </c>
      <c r="E237" s="418">
        <v>0</v>
      </c>
      <c r="F237" s="418">
        <v>0</v>
      </c>
      <c r="G237" s="418">
        <v>0</v>
      </c>
      <c r="H237" s="418">
        <v>0</v>
      </c>
      <c r="I237" s="418">
        <v>0</v>
      </c>
      <c r="J237" s="418">
        <v>0</v>
      </c>
      <c r="K237" s="418">
        <v>0</v>
      </c>
      <c r="L237" s="418">
        <v>0</v>
      </c>
      <c r="M237" s="418">
        <v>0</v>
      </c>
      <c r="N237" s="418">
        <v>0</v>
      </c>
      <c r="O237" s="418">
        <v>0</v>
      </c>
      <c r="P237" s="418">
        <f t="shared" ref="P237:P242" si="45">SUM(D237:O237)</f>
        <v>0</v>
      </c>
    </row>
    <row r="238" spans="1:16">
      <c r="A238" s="655"/>
      <c r="B238" s="655" t="s">
        <v>684</v>
      </c>
      <c r="C238" s="655"/>
      <c r="D238" s="418">
        <v>0</v>
      </c>
      <c r="E238" s="418">
        <v>0</v>
      </c>
      <c r="F238" s="418">
        <v>0</v>
      </c>
      <c r="G238" s="418">
        <v>0</v>
      </c>
      <c r="H238" s="418">
        <v>0</v>
      </c>
      <c r="I238" s="418">
        <v>0</v>
      </c>
      <c r="J238" s="418">
        <v>0</v>
      </c>
      <c r="K238" s="418">
        <v>0</v>
      </c>
      <c r="L238" s="418">
        <v>0</v>
      </c>
      <c r="M238" s="418">
        <v>0</v>
      </c>
      <c r="N238" s="418">
        <v>0</v>
      </c>
      <c r="O238" s="418">
        <v>0</v>
      </c>
      <c r="P238" s="418">
        <f t="shared" si="45"/>
        <v>0</v>
      </c>
    </row>
    <row r="239" spans="1:16">
      <c r="A239" s="655"/>
      <c r="B239" s="655" t="s">
        <v>685</v>
      </c>
      <c r="C239" s="655"/>
      <c r="D239" s="418">
        <v>0</v>
      </c>
      <c r="E239" s="418">
        <v>0</v>
      </c>
      <c r="F239" s="418">
        <v>0</v>
      </c>
      <c r="G239" s="418">
        <v>0</v>
      </c>
      <c r="H239" s="418">
        <v>0</v>
      </c>
      <c r="I239" s="418">
        <v>0</v>
      </c>
      <c r="J239" s="418">
        <v>0</v>
      </c>
      <c r="K239" s="418">
        <v>0</v>
      </c>
      <c r="L239" s="418">
        <v>0</v>
      </c>
      <c r="M239" s="418">
        <v>0</v>
      </c>
      <c r="N239" s="418">
        <v>0</v>
      </c>
      <c r="O239" s="418">
        <v>0</v>
      </c>
      <c r="P239" s="418">
        <f t="shared" si="45"/>
        <v>0</v>
      </c>
    </row>
    <row r="240" spans="1:16">
      <c r="A240" s="655"/>
      <c r="B240" s="655" t="s">
        <v>686</v>
      </c>
      <c r="C240" s="655"/>
      <c r="D240" s="418">
        <v>0</v>
      </c>
      <c r="E240" s="418">
        <v>0</v>
      </c>
      <c r="F240" s="418">
        <v>0</v>
      </c>
      <c r="G240" s="418">
        <v>0</v>
      </c>
      <c r="H240" s="418">
        <v>0</v>
      </c>
      <c r="I240" s="418">
        <v>0</v>
      </c>
      <c r="J240" s="418">
        <v>0</v>
      </c>
      <c r="K240" s="418">
        <v>0</v>
      </c>
      <c r="L240" s="418">
        <v>0</v>
      </c>
      <c r="M240" s="418">
        <v>0</v>
      </c>
      <c r="N240" s="418">
        <v>0</v>
      </c>
      <c r="O240" s="418">
        <v>0</v>
      </c>
      <c r="P240" s="418">
        <f t="shared" si="45"/>
        <v>0</v>
      </c>
    </row>
    <row r="241" spans="1:16">
      <c r="A241" s="655"/>
      <c r="B241" s="655" t="s">
        <v>687</v>
      </c>
      <c r="C241" s="655"/>
      <c r="D241" s="418">
        <v>0</v>
      </c>
      <c r="E241" s="418">
        <v>0</v>
      </c>
      <c r="F241" s="418">
        <v>0</v>
      </c>
      <c r="G241" s="418">
        <v>0</v>
      </c>
      <c r="H241" s="418">
        <v>0</v>
      </c>
      <c r="I241" s="418">
        <v>0</v>
      </c>
      <c r="J241" s="418">
        <v>0</v>
      </c>
      <c r="K241" s="418">
        <v>0</v>
      </c>
      <c r="L241" s="418">
        <v>0</v>
      </c>
      <c r="M241" s="418">
        <v>0</v>
      </c>
      <c r="N241" s="418">
        <v>0</v>
      </c>
      <c r="O241" s="418">
        <v>0</v>
      </c>
      <c r="P241" s="418">
        <f t="shared" si="45"/>
        <v>0</v>
      </c>
    </row>
    <row r="242" spans="1:16">
      <c r="A242" s="655"/>
      <c r="B242" s="655" t="s">
        <v>785</v>
      </c>
      <c r="C242" s="655"/>
      <c r="D242" s="418"/>
      <c r="E242" s="418"/>
      <c r="F242" s="418"/>
      <c r="G242" s="418"/>
      <c r="H242" s="418">
        <v>0</v>
      </c>
      <c r="I242" s="418">
        <v>0</v>
      </c>
      <c r="J242" s="418">
        <v>0</v>
      </c>
      <c r="K242" s="418">
        <v>0</v>
      </c>
      <c r="L242" s="418">
        <v>0</v>
      </c>
      <c r="M242" s="418">
        <v>0</v>
      </c>
      <c r="N242" s="418">
        <v>0</v>
      </c>
      <c r="O242" s="418">
        <v>0</v>
      </c>
      <c r="P242" s="418">
        <f t="shared" si="45"/>
        <v>0</v>
      </c>
    </row>
    <row r="243" spans="1:16">
      <c r="A243" s="655"/>
      <c r="B243" s="655" t="s">
        <v>66</v>
      </c>
      <c r="C243" s="655"/>
      <c r="D243" s="418">
        <f>SUM(D235:D242)</f>
        <v>94723.862999999998</v>
      </c>
      <c r="E243" s="418">
        <f t="shared" ref="E243:O243" si="46">SUM(E235:E242)</f>
        <v>87020.865999999995</v>
      </c>
      <c r="F243" s="418">
        <f t="shared" si="46"/>
        <v>82039.502999999997</v>
      </c>
      <c r="G243" s="418">
        <f t="shared" si="46"/>
        <v>94277.933000000005</v>
      </c>
      <c r="H243" s="418">
        <f t="shared" si="46"/>
        <v>69727.032000000007</v>
      </c>
      <c r="I243" s="418">
        <f t="shared" si="46"/>
        <v>87191.264999999999</v>
      </c>
      <c r="J243" s="418">
        <f t="shared" si="46"/>
        <v>88913.097999999998</v>
      </c>
      <c r="K243" s="418">
        <f t="shared" si="46"/>
        <v>84810.832999999999</v>
      </c>
      <c r="L243" s="418">
        <f t="shared" si="46"/>
        <v>90197.163</v>
      </c>
      <c r="M243" s="418">
        <f t="shared" si="46"/>
        <v>87190.630999999994</v>
      </c>
      <c r="N243" s="418">
        <f t="shared" si="46"/>
        <v>83214.792000000001</v>
      </c>
      <c r="O243" s="418">
        <f t="shared" si="46"/>
        <v>92626.005000000005</v>
      </c>
      <c r="P243" s="418">
        <f>SUM(P235:P242)</f>
        <v>1041932.9840000002</v>
      </c>
    </row>
    <row r="244" spans="1:16">
      <c r="A244" s="655" t="s">
        <v>667</v>
      </c>
      <c r="B244" s="655" t="s">
        <v>693</v>
      </c>
      <c r="C244" s="655"/>
      <c r="D244" s="418">
        <v>0</v>
      </c>
      <c r="E244" s="418">
        <v>0</v>
      </c>
      <c r="F244" s="418">
        <v>0</v>
      </c>
      <c r="G244" s="418">
        <v>0</v>
      </c>
      <c r="H244" s="418">
        <v>0</v>
      </c>
      <c r="I244" s="418">
        <v>0</v>
      </c>
      <c r="J244" s="418">
        <v>0</v>
      </c>
      <c r="K244" s="418">
        <v>0</v>
      </c>
      <c r="L244" s="418">
        <v>0</v>
      </c>
      <c r="M244" s="418">
        <v>0</v>
      </c>
      <c r="N244" s="418">
        <v>0</v>
      </c>
      <c r="O244" s="418">
        <v>0</v>
      </c>
      <c r="P244" s="418">
        <f>SUM(D244:O244)</f>
        <v>0</v>
      </c>
    </row>
    <row r="245" spans="1:16">
      <c r="A245" s="655"/>
      <c r="B245" s="655" t="s">
        <v>677</v>
      </c>
      <c r="C245" s="655"/>
      <c r="D245" s="418">
        <v>423839.93099999998</v>
      </c>
      <c r="E245" s="418">
        <v>387188.75699999998</v>
      </c>
      <c r="F245" s="418">
        <v>388239.98200000002</v>
      </c>
      <c r="G245" s="418">
        <v>379370.27591999999</v>
      </c>
      <c r="H245" s="418">
        <v>393289.64199999999</v>
      </c>
      <c r="I245" s="418">
        <v>395650.48798999999</v>
      </c>
      <c r="J245" s="418">
        <v>391992.74800000002</v>
      </c>
      <c r="K245" s="418">
        <v>391199.821</v>
      </c>
      <c r="L245" s="418">
        <v>405301.93400000001</v>
      </c>
      <c r="M245" s="418">
        <v>382397.59600000002</v>
      </c>
      <c r="N245" s="418">
        <v>375705.80822000001</v>
      </c>
      <c r="O245" s="418">
        <v>418658.96399999998</v>
      </c>
      <c r="P245" s="418">
        <f>SUM(D245:O245)</f>
        <v>4732835.9471299993</v>
      </c>
    </row>
    <row r="246" spans="1:16">
      <c r="A246" s="655"/>
      <c r="B246" s="655" t="s">
        <v>683</v>
      </c>
      <c r="C246" s="655"/>
      <c r="D246" s="418">
        <v>0</v>
      </c>
      <c r="E246" s="418">
        <v>0</v>
      </c>
      <c r="F246" s="418">
        <v>0</v>
      </c>
      <c r="G246" s="418">
        <v>0</v>
      </c>
      <c r="H246" s="418">
        <v>0</v>
      </c>
      <c r="I246" s="418">
        <v>0</v>
      </c>
      <c r="J246" s="418">
        <v>0</v>
      </c>
      <c r="K246" s="418">
        <v>0</v>
      </c>
      <c r="L246" s="418">
        <v>0</v>
      </c>
      <c r="M246" s="418">
        <v>0</v>
      </c>
      <c r="N246" s="418">
        <v>0</v>
      </c>
      <c r="O246" s="418">
        <v>0</v>
      </c>
      <c r="P246" s="418">
        <f t="shared" ref="P246:P251" si="47">SUM(D246:O246)</f>
        <v>0</v>
      </c>
    </row>
    <row r="247" spans="1:16">
      <c r="A247" s="655"/>
      <c r="B247" s="655" t="s">
        <v>684</v>
      </c>
      <c r="C247" s="655"/>
      <c r="D247" s="418">
        <v>0</v>
      </c>
      <c r="E247" s="418">
        <v>0</v>
      </c>
      <c r="F247" s="418">
        <v>0</v>
      </c>
      <c r="G247" s="418">
        <v>0</v>
      </c>
      <c r="H247" s="418">
        <v>0</v>
      </c>
      <c r="I247" s="418">
        <v>0</v>
      </c>
      <c r="J247" s="418">
        <v>0</v>
      </c>
      <c r="K247" s="418">
        <v>0</v>
      </c>
      <c r="L247" s="418">
        <v>0</v>
      </c>
      <c r="M247" s="418">
        <v>0</v>
      </c>
      <c r="N247" s="418">
        <v>0</v>
      </c>
      <c r="O247" s="418">
        <v>0</v>
      </c>
      <c r="P247" s="418">
        <f t="shared" si="47"/>
        <v>0</v>
      </c>
    </row>
    <row r="248" spans="1:16">
      <c r="A248" s="655"/>
      <c r="B248" s="655" t="s">
        <v>685</v>
      </c>
      <c r="C248" s="655"/>
      <c r="D248" s="418">
        <v>0</v>
      </c>
      <c r="E248" s="418">
        <v>0</v>
      </c>
      <c r="F248" s="418">
        <v>0</v>
      </c>
      <c r="G248" s="418">
        <v>0</v>
      </c>
      <c r="H248" s="418">
        <v>0</v>
      </c>
      <c r="I248" s="418">
        <v>0</v>
      </c>
      <c r="J248" s="418">
        <v>0</v>
      </c>
      <c r="K248" s="418">
        <v>0</v>
      </c>
      <c r="L248" s="418">
        <v>0</v>
      </c>
      <c r="M248" s="418">
        <v>0</v>
      </c>
      <c r="N248" s="418">
        <v>0</v>
      </c>
      <c r="O248" s="418">
        <v>0</v>
      </c>
      <c r="P248" s="418">
        <f t="shared" si="47"/>
        <v>0</v>
      </c>
    </row>
    <row r="249" spans="1:16">
      <c r="A249" s="655"/>
      <c r="B249" s="655" t="s">
        <v>686</v>
      </c>
      <c r="C249" s="655"/>
      <c r="D249" s="418">
        <v>0</v>
      </c>
      <c r="E249" s="418">
        <v>0</v>
      </c>
      <c r="F249" s="418">
        <v>0</v>
      </c>
      <c r="G249" s="418">
        <v>0</v>
      </c>
      <c r="H249" s="418">
        <v>0</v>
      </c>
      <c r="I249" s="418">
        <v>0</v>
      </c>
      <c r="J249" s="418">
        <v>0</v>
      </c>
      <c r="K249" s="418">
        <v>0</v>
      </c>
      <c r="L249" s="418">
        <v>0</v>
      </c>
      <c r="M249" s="418">
        <v>0</v>
      </c>
      <c r="N249" s="418">
        <v>0</v>
      </c>
      <c r="O249" s="418">
        <v>0</v>
      </c>
      <c r="P249" s="418">
        <f t="shared" si="47"/>
        <v>0</v>
      </c>
    </row>
    <row r="250" spans="1:16">
      <c r="A250" s="655"/>
      <c r="B250" s="655" t="s">
        <v>687</v>
      </c>
      <c r="C250" s="655"/>
      <c r="D250" s="418">
        <v>0</v>
      </c>
      <c r="E250" s="418">
        <v>0</v>
      </c>
      <c r="F250" s="418">
        <v>0</v>
      </c>
      <c r="G250" s="418">
        <v>0</v>
      </c>
      <c r="H250" s="418">
        <v>0</v>
      </c>
      <c r="I250" s="418">
        <v>0</v>
      </c>
      <c r="J250" s="418">
        <v>0</v>
      </c>
      <c r="K250" s="418">
        <v>0</v>
      </c>
      <c r="L250" s="418">
        <v>0</v>
      </c>
      <c r="M250" s="418">
        <v>0</v>
      </c>
      <c r="N250" s="418">
        <v>0</v>
      </c>
      <c r="O250" s="418">
        <v>0</v>
      </c>
      <c r="P250" s="418">
        <f t="shared" si="47"/>
        <v>0</v>
      </c>
    </row>
    <row r="251" spans="1:16">
      <c r="A251" s="655"/>
      <c r="B251" s="655" t="s">
        <v>785</v>
      </c>
      <c r="C251" s="655"/>
      <c r="D251" s="418"/>
      <c r="E251" s="418"/>
      <c r="F251" s="418"/>
      <c r="G251" s="418"/>
      <c r="H251" s="418">
        <v>0</v>
      </c>
      <c r="I251" s="418">
        <v>0</v>
      </c>
      <c r="J251" s="418">
        <v>0</v>
      </c>
      <c r="K251" s="418">
        <v>0</v>
      </c>
      <c r="L251" s="418">
        <v>0</v>
      </c>
      <c r="M251" s="418">
        <v>0</v>
      </c>
      <c r="N251" s="418">
        <v>0</v>
      </c>
      <c r="O251" s="418">
        <v>0</v>
      </c>
      <c r="P251" s="418">
        <f t="shared" si="47"/>
        <v>0</v>
      </c>
    </row>
    <row r="252" spans="1:16">
      <c r="A252" s="655"/>
      <c r="B252" s="655" t="s">
        <v>66</v>
      </c>
      <c r="C252" s="655"/>
      <c r="D252" s="418">
        <f>SUM(D244:D251)</f>
        <v>423839.93099999998</v>
      </c>
      <c r="E252" s="418">
        <f t="shared" ref="E252:P252" si="48">SUM(E244:E251)</f>
        <v>387188.75699999998</v>
      </c>
      <c r="F252" s="418">
        <f t="shared" si="48"/>
        <v>388239.98200000002</v>
      </c>
      <c r="G252" s="418">
        <f t="shared" si="48"/>
        <v>379370.27591999999</v>
      </c>
      <c r="H252" s="418">
        <f t="shared" si="48"/>
        <v>393289.64199999999</v>
      </c>
      <c r="I252" s="418">
        <f t="shared" si="48"/>
        <v>395650.48798999999</v>
      </c>
      <c r="J252" s="418">
        <f t="shared" si="48"/>
        <v>391992.74800000002</v>
      </c>
      <c r="K252" s="418">
        <f t="shared" si="48"/>
        <v>391199.821</v>
      </c>
      <c r="L252" s="418">
        <f t="shared" si="48"/>
        <v>405301.93400000001</v>
      </c>
      <c r="M252" s="418">
        <f t="shared" si="48"/>
        <v>382397.59600000002</v>
      </c>
      <c r="N252" s="418">
        <f t="shared" si="48"/>
        <v>375705.80822000001</v>
      </c>
      <c r="O252" s="418">
        <f t="shared" si="48"/>
        <v>418658.96399999998</v>
      </c>
      <c r="P252" s="418">
        <f t="shared" si="48"/>
        <v>4732835.9471299993</v>
      </c>
    </row>
    <row r="253" spans="1:16">
      <c r="A253" s="655" t="s">
        <v>668</v>
      </c>
      <c r="B253" s="655" t="s">
        <v>693</v>
      </c>
      <c r="C253" s="655"/>
      <c r="D253" s="418">
        <v>0</v>
      </c>
      <c r="E253" s="418">
        <v>0</v>
      </c>
      <c r="F253" s="418">
        <v>0</v>
      </c>
      <c r="G253" s="418">
        <v>0</v>
      </c>
      <c r="H253" s="418">
        <v>0</v>
      </c>
      <c r="I253" s="418">
        <v>0</v>
      </c>
      <c r="J253" s="418">
        <v>0</v>
      </c>
      <c r="K253" s="418">
        <v>0</v>
      </c>
      <c r="L253" s="418">
        <v>0</v>
      </c>
      <c r="M253" s="418">
        <v>0</v>
      </c>
      <c r="N253" s="418">
        <v>0</v>
      </c>
      <c r="O253" s="418">
        <v>0</v>
      </c>
      <c r="P253" s="418">
        <f>SUM(D253:O253)</f>
        <v>0</v>
      </c>
    </row>
    <row r="254" spans="1:16">
      <c r="A254" s="655"/>
      <c r="B254" s="655" t="s">
        <v>677</v>
      </c>
      <c r="C254" s="655"/>
      <c r="D254" s="418">
        <v>220619.03899999999</v>
      </c>
      <c r="E254" s="418">
        <v>201931.54629</v>
      </c>
      <c r="F254" s="418">
        <v>203174.64799999999</v>
      </c>
      <c r="G254" s="418">
        <v>207838.198</v>
      </c>
      <c r="H254" s="418">
        <v>204366.97899999999</v>
      </c>
      <c r="I254" s="418">
        <v>209330.76500000001</v>
      </c>
      <c r="J254" s="418">
        <v>211160.42800000001</v>
      </c>
      <c r="K254" s="418">
        <v>206632.55300000001</v>
      </c>
      <c r="L254" s="418">
        <v>214611.43799999999</v>
      </c>
      <c r="M254" s="418">
        <v>200868.76800000001</v>
      </c>
      <c r="N254" s="418">
        <v>199402.976</v>
      </c>
      <c r="O254" s="418">
        <v>219307.83799999999</v>
      </c>
      <c r="P254" s="418">
        <f>SUM(D254:O254)</f>
        <v>2499245.1762899999</v>
      </c>
    </row>
    <row r="255" spans="1:16">
      <c r="A255" s="655"/>
      <c r="B255" s="655" t="s">
        <v>682</v>
      </c>
      <c r="C255" s="655"/>
      <c r="D255" s="418">
        <v>0</v>
      </c>
      <c r="E255" s="418">
        <v>0</v>
      </c>
      <c r="F255" s="418">
        <v>0</v>
      </c>
      <c r="G255" s="418">
        <v>0</v>
      </c>
      <c r="H255" s="418">
        <v>0</v>
      </c>
      <c r="I255" s="418">
        <v>0</v>
      </c>
      <c r="J255" s="418">
        <v>0</v>
      </c>
      <c r="K255" s="418">
        <v>0</v>
      </c>
      <c r="L255" s="418">
        <v>0</v>
      </c>
      <c r="M255" s="418">
        <v>0</v>
      </c>
      <c r="N255" s="418">
        <v>0</v>
      </c>
      <c r="O255" s="418">
        <v>0</v>
      </c>
      <c r="P255" s="418">
        <f t="shared" ref="P255:P261" si="49">SUM(D255:O255)</f>
        <v>0</v>
      </c>
    </row>
    <row r="256" spans="1:16">
      <c r="A256" s="655"/>
      <c r="B256" s="655" t="s">
        <v>683</v>
      </c>
      <c r="C256" s="655"/>
      <c r="D256" s="418">
        <v>0</v>
      </c>
      <c r="E256" s="418">
        <v>0</v>
      </c>
      <c r="F256" s="418">
        <v>0</v>
      </c>
      <c r="G256" s="418">
        <v>0</v>
      </c>
      <c r="H256" s="418">
        <v>0</v>
      </c>
      <c r="I256" s="418">
        <v>0</v>
      </c>
      <c r="J256" s="418">
        <v>0</v>
      </c>
      <c r="K256" s="418">
        <v>0</v>
      </c>
      <c r="L256" s="418">
        <v>0</v>
      </c>
      <c r="M256" s="418">
        <v>0</v>
      </c>
      <c r="N256" s="418">
        <v>0</v>
      </c>
      <c r="O256" s="418">
        <v>0</v>
      </c>
      <c r="P256" s="418">
        <f t="shared" si="49"/>
        <v>0</v>
      </c>
    </row>
    <row r="257" spans="1:16">
      <c r="A257" s="655"/>
      <c r="B257" s="655" t="s">
        <v>684</v>
      </c>
      <c r="C257" s="655"/>
      <c r="D257" s="418">
        <v>0</v>
      </c>
      <c r="E257" s="418">
        <v>0</v>
      </c>
      <c r="F257" s="418">
        <v>0</v>
      </c>
      <c r="G257" s="418">
        <v>0</v>
      </c>
      <c r="H257" s="418">
        <v>0</v>
      </c>
      <c r="I257" s="418">
        <v>0</v>
      </c>
      <c r="J257" s="418">
        <v>0</v>
      </c>
      <c r="K257" s="418">
        <v>0</v>
      </c>
      <c r="L257" s="418">
        <v>0</v>
      </c>
      <c r="M257" s="418">
        <v>0</v>
      </c>
      <c r="N257" s="418">
        <v>0</v>
      </c>
      <c r="O257" s="418">
        <v>0</v>
      </c>
      <c r="P257" s="418">
        <f t="shared" si="49"/>
        <v>0</v>
      </c>
    </row>
    <row r="258" spans="1:16">
      <c r="A258" s="655"/>
      <c r="B258" s="655" t="s">
        <v>685</v>
      </c>
      <c r="C258" s="655"/>
      <c r="D258" s="418">
        <v>0</v>
      </c>
      <c r="E258" s="418">
        <v>0</v>
      </c>
      <c r="F258" s="418">
        <v>0</v>
      </c>
      <c r="G258" s="418">
        <v>0</v>
      </c>
      <c r="H258" s="418">
        <v>0</v>
      </c>
      <c r="I258" s="418">
        <v>0</v>
      </c>
      <c r="J258" s="418">
        <v>0</v>
      </c>
      <c r="K258" s="418">
        <v>0</v>
      </c>
      <c r="L258" s="418">
        <v>0</v>
      </c>
      <c r="M258" s="418">
        <v>0</v>
      </c>
      <c r="N258" s="418">
        <v>0</v>
      </c>
      <c r="O258" s="418">
        <v>0</v>
      </c>
      <c r="P258" s="418">
        <f t="shared" si="49"/>
        <v>0</v>
      </c>
    </row>
    <row r="259" spans="1:16">
      <c r="A259" s="655"/>
      <c r="B259" s="655" t="s">
        <v>686</v>
      </c>
      <c r="C259" s="655"/>
      <c r="D259" s="418">
        <v>0</v>
      </c>
      <c r="E259" s="418">
        <v>0</v>
      </c>
      <c r="F259" s="418">
        <v>0</v>
      </c>
      <c r="G259" s="418">
        <v>0</v>
      </c>
      <c r="H259" s="418">
        <v>0</v>
      </c>
      <c r="I259" s="418">
        <v>0</v>
      </c>
      <c r="J259" s="418">
        <v>0</v>
      </c>
      <c r="K259" s="418">
        <v>0</v>
      </c>
      <c r="L259" s="418">
        <v>0</v>
      </c>
      <c r="M259" s="418">
        <v>0</v>
      </c>
      <c r="N259" s="418">
        <v>0</v>
      </c>
      <c r="O259" s="418">
        <v>0</v>
      </c>
      <c r="P259" s="418">
        <f t="shared" si="49"/>
        <v>0</v>
      </c>
    </row>
    <row r="260" spans="1:16">
      <c r="A260" s="655"/>
      <c r="B260" s="655" t="s">
        <v>687</v>
      </c>
      <c r="C260" s="655"/>
      <c r="D260" s="418">
        <v>0</v>
      </c>
      <c r="E260" s="418">
        <v>0</v>
      </c>
      <c r="F260" s="418">
        <v>0</v>
      </c>
      <c r="G260" s="418">
        <v>0</v>
      </c>
      <c r="H260" s="418">
        <v>0</v>
      </c>
      <c r="I260" s="418">
        <v>0</v>
      </c>
      <c r="J260" s="418">
        <v>0</v>
      </c>
      <c r="K260" s="418">
        <v>0</v>
      </c>
      <c r="L260" s="418">
        <v>0</v>
      </c>
      <c r="M260" s="418">
        <v>0</v>
      </c>
      <c r="N260" s="418">
        <v>0</v>
      </c>
      <c r="O260" s="418">
        <v>0</v>
      </c>
      <c r="P260" s="418">
        <f t="shared" si="49"/>
        <v>0</v>
      </c>
    </row>
    <row r="261" spans="1:16">
      <c r="A261" s="655"/>
      <c r="B261" s="655" t="s">
        <v>785</v>
      </c>
      <c r="C261" s="655"/>
      <c r="D261" s="418"/>
      <c r="E261" s="418"/>
      <c r="F261" s="418"/>
      <c r="G261" s="418"/>
      <c r="H261" s="418">
        <v>0</v>
      </c>
      <c r="I261" s="418">
        <v>0</v>
      </c>
      <c r="J261" s="418">
        <v>0</v>
      </c>
      <c r="K261" s="418">
        <v>0</v>
      </c>
      <c r="L261" s="418">
        <v>0</v>
      </c>
      <c r="M261" s="418">
        <v>0</v>
      </c>
      <c r="N261" s="418">
        <v>0</v>
      </c>
      <c r="O261" s="418">
        <v>0</v>
      </c>
      <c r="P261" s="418">
        <f t="shared" si="49"/>
        <v>0</v>
      </c>
    </row>
    <row r="262" spans="1:16">
      <c r="A262" s="655"/>
      <c r="B262" s="655" t="s">
        <v>66</v>
      </c>
      <c r="C262" s="655"/>
      <c r="D262" s="418">
        <f>SUM(D253:D261)</f>
        <v>220619.03899999999</v>
      </c>
      <c r="E262" s="418">
        <f t="shared" ref="E262:P262" si="50">SUM(E253:E261)</f>
        <v>201931.54629</v>
      </c>
      <c r="F262" s="418">
        <f t="shared" si="50"/>
        <v>203174.64799999999</v>
      </c>
      <c r="G262" s="418">
        <f t="shared" si="50"/>
        <v>207838.198</v>
      </c>
      <c r="H262" s="418">
        <f t="shared" si="50"/>
        <v>204366.97899999999</v>
      </c>
      <c r="I262" s="418">
        <f t="shared" si="50"/>
        <v>209330.76500000001</v>
      </c>
      <c r="J262" s="418">
        <f t="shared" si="50"/>
        <v>211160.42800000001</v>
      </c>
      <c r="K262" s="418">
        <f t="shared" si="50"/>
        <v>206632.55300000001</v>
      </c>
      <c r="L262" s="418">
        <f t="shared" si="50"/>
        <v>214611.43799999999</v>
      </c>
      <c r="M262" s="418">
        <f t="shared" si="50"/>
        <v>200868.76800000001</v>
      </c>
      <c r="N262" s="418">
        <f t="shared" si="50"/>
        <v>199402.976</v>
      </c>
      <c r="O262" s="418">
        <f t="shared" si="50"/>
        <v>219307.83799999999</v>
      </c>
      <c r="P262" s="418">
        <f t="shared" si="50"/>
        <v>2499245.1762899999</v>
      </c>
    </row>
    <row r="263" spans="1:16">
      <c r="A263" s="655" t="s">
        <v>669</v>
      </c>
      <c r="B263" s="655" t="s">
        <v>694</v>
      </c>
      <c r="C263" s="655"/>
      <c r="D263" s="418">
        <v>0</v>
      </c>
      <c r="E263" s="418">
        <v>0</v>
      </c>
      <c r="F263" s="418">
        <v>0</v>
      </c>
      <c r="G263" s="418">
        <v>0</v>
      </c>
      <c r="H263" s="418">
        <v>0</v>
      </c>
      <c r="I263" s="418">
        <v>0</v>
      </c>
      <c r="J263" s="418">
        <v>0</v>
      </c>
      <c r="K263" s="418">
        <v>0</v>
      </c>
      <c r="L263" s="418">
        <v>0</v>
      </c>
      <c r="M263" s="418">
        <v>0</v>
      </c>
      <c r="N263" s="418">
        <v>0</v>
      </c>
      <c r="O263" s="418">
        <v>0</v>
      </c>
      <c r="P263" s="418">
        <v>0</v>
      </c>
    </row>
    <row r="264" spans="1:16">
      <c r="A264" s="655"/>
      <c r="B264" s="655" t="s">
        <v>677</v>
      </c>
      <c r="C264" s="655"/>
      <c r="D264" s="418"/>
      <c r="E264" s="418"/>
      <c r="F264" s="418">
        <v>0</v>
      </c>
      <c r="G264" s="418">
        <v>0</v>
      </c>
      <c r="H264" s="418">
        <v>0</v>
      </c>
      <c r="I264" s="418">
        <v>0</v>
      </c>
      <c r="J264" s="418">
        <v>0</v>
      </c>
      <c r="K264" s="418">
        <v>0</v>
      </c>
      <c r="L264" s="418">
        <v>0</v>
      </c>
      <c r="M264" s="418">
        <v>0</v>
      </c>
      <c r="N264" s="418">
        <v>0</v>
      </c>
      <c r="O264" s="418">
        <v>0</v>
      </c>
      <c r="P264" s="418">
        <v>0</v>
      </c>
    </row>
    <row r="265" spans="1:16">
      <c r="A265" s="655"/>
      <c r="B265" s="655" t="s">
        <v>66</v>
      </c>
      <c r="C265" s="655"/>
      <c r="D265" s="418">
        <v>0</v>
      </c>
      <c r="E265" s="418">
        <v>0</v>
      </c>
      <c r="F265" s="418">
        <v>0</v>
      </c>
      <c r="G265" s="418">
        <v>0</v>
      </c>
      <c r="H265" s="418">
        <v>0</v>
      </c>
      <c r="I265" s="418">
        <v>0</v>
      </c>
      <c r="J265" s="418">
        <v>0</v>
      </c>
      <c r="K265" s="418">
        <v>0</v>
      </c>
      <c r="L265" s="418">
        <v>0</v>
      </c>
      <c r="M265" s="418">
        <v>0</v>
      </c>
      <c r="N265" s="418">
        <v>0</v>
      </c>
      <c r="O265" s="418">
        <v>0</v>
      </c>
      <c r="P265" s="418">
        <v>0</v>
      </c>
    </row>
    <row r="266" spans="1:16">
      <c r="A266" s="655" t="s">
        <v>670</v>
      </c>
      <c r="B266" s="655" t="s">
        <v>694</v>
      </c>
      <c r="C266" s="655"/>
      <c r="D266" s="418">
        <v>0</v>
      </c>
      <c r="E266" s="418">
        <v>0</v>
      </c>
      <c r="F266" s="418">
        <v>0</v>
      </c>
      <c r="G266" s="418">
        <v>0</v>
      </c>
      <c r="H266" s="418">
        <v>0</v>
      </c>
      <c r="I266" s="418">
        <v>0</v>
      </c>
      <c r="J266" s="418">
        <v>0</v>
      </c>
      <c r="K266" s="418">
        <v>0</v>
      </c>
      <c r="L266" s="418">
        <v>0</v>
      </c>
      <c r="M266" s="418">
        <v>0</v>
      </c>
      <c r="N266" s="418">
        <v>0</v>
      </c>
      <c r="O266" s="418">
        <v>0</v>
      </c>
      <c r="P266" s="418">
        <v>0</v>
      </c>
    </row>
    <row r="267" spans="1:16" s="683" customFormat="1">
      <c r="B267" s="683" t="s">
        <v>66</v>
      </c>
      <c r="D267" s="418">
        <v>0</v>
      </c>
      <c r="E267" s="418">
        <v>0</v>
      </c>
      <c r="F267" s="418">
        <v>0</v>
      </c>
      <c r="G267" s="418">
        <v>0</v>
      </c>
      <c r="H267" s="418">
        <v>0</v>
      </c>
      <c r="I267" s="418">
        <v>0</v>
      </c>
      <c r="J267" s="418">
        <v>0</v>
      </c>
      <c r="K267" s="418">
        <v>0</v>
      </c>
      <c r="L267" s="418">
        <v>0</v>
      </c>
      <c r="M267" s="418">
        <v>0</v>
      </c>
      <c r="N267" s="418">
        <v>0</v>
      </c>
      <c r="O267" s="418">
        <v>0</v>
      </c>
      <c r="P267" s="418">
        <v>0</v>
      </c>
    </row>
    <row r="268" spans="1:16" s="683" customFormat="1">
      <c r="A268" s="683" t="s">
        <v>671</v>
      </c>
      <c r="B268" s="683" t="s">
        <v>677</v>
      </c>
      <c r="D268" s="418">
        <v>0</v>
      </c>
      <c r="E268" s="418">
        <v>0</v>
      </c>
      <c r="F268" s="418">
        <v>0</v>
      </c>
      <c r="G268" s="418">
        <v>0</v>
      </c>
      <c r="H268" s="418">
        <v>0</v>
      </c>
      <c r="I268" s="418">
        <v>0</v>
      </c>
      <c r="J268" s="418">
        <v>0</v>
      </c>
      <c r="K268" s="418">
        <v>0</v>
      </c>
      <c r="L268" s="418">
        <v>0</v>
      </c>
      <c r="M268" s="418">
        <v>0</v>
      </c>
      <c r="N268" s="418">
        <v>0</v>
      </c>
      <c r="O268" s="418">
        <v>0</v>
      </c>
      <c r="P268" s="418">
        <v>0</v>
      </c>
    </row>
    <row r="269" spans="1:16" s="683" customFormat="1">
      <c r="B269" s="683" t="s">
        <v>66</v>
      </c>
      <c r="D269" s="418">
        <v>0</v>
      </c>
      <c r="E269" s="418">
        <v>0</v>
      </c>
      <c r="F269" s="418">
        <v>0</v>
      </c>
      <c r="G269" s="418">
        <v>0</v>
      </c>
      <c r="H269" s="418">
        <v>0</v>
      </c>
      <c r="I269" s="418">
        <v>0</v>
      </c>
      <c r="J269" s="418">
        <v>0</v>
      </c>
      <c r="K269" s="418">
        <v>0</v>
      </c>
      <c r="L269" s="418">
        <v>0</v>
      </c>
      <c r="M269" s="418">
        <v>0</v>
      </c>
      <c r="N269" s="418">
        <v>0</v>
      </c>
      <c r="O269" s="418">
        <v>0</v>
      </c>
      <c r="P269" s="418">
        <v>0</v>
      </c>
    </row>
    <row r="270" spans="1:16" s="683" customFormat="1">
      <c r="A270" s="683" t="s">
        <v>672</v>
      </c>
      <c r="B270" s="683" t="s">
        <v>677</v>
      </c>
      <c r="D270" s="418">
        <v>0</v>
      </c>
      <c r="E270" s="418">
        <v>0</v>
      </c>
      <c r="F270" s="418">
        <v>0</v>
      </c>
      <c r="G270" s="418">
        <v>0</v>
      </c>
      <c r="H270" s="418">
        <v>0</v>
      </c>
      <c r="I270" s="418">
        <v>0</v>
      </c>
      <c r="J270" s="418">
        <v>0</v>
      </c>
      <c r="K270" s="418">
        <v>0</v>
      </c>
      <c r="L270" s="418">
        <v>0</v>
      </c>
      <c r="M270" s="418">
        <v>0</v>
      </c>
      <c r="N270" s="418">
        <v>0</v>
      </c>
      <c r="O270" s="418">
        <v>0</v>
      </c>
      <c r="P270" s="418">
        <v>0</v>
      </c>
    </row>
    <row r="271" spans="1:16" s="683" customFormat="1">
      <c r="B271" s="683" t="s">
        <v>66</v>
      </c>
      <c r="D271" s="418">
        <v>0</v>
      </c>
      <c r="E271" s="418">
        <v>0</v>
      </c>
      <c r="F271" s="418">
        <v>0</v>
      </c>
      <c r="G271" s="418">
        <v>0</v>
      </c>
      <c r="H271" s="418">
        <v>0</v>
      </c>
      <c r="I271" s="418">
        <v>0</v>
      </c>
      <c r="J271" s="418">
        <v>0</v>
      </c>
      <c r="K271" s="418">
        <v>0</v>
      </c>
      <c r="L271" s="418">
        <v>0</v>
      </c>
      <c r="M271" s="418">
        <v>0</v>
      </c>
      <c r="N271" s="418">
        <v>0</v>
      </c>
      <c r="O271" s="418">
        <v>0</v>
      </c>
      <c r="P271" s="418">
        <v>0</v>
      </c>
    </row>
    <row r="272" spans="1:16" s="683" customFormat="1">
      <c r="A272" s="683" t="s">
        <v>673</v>
      </c>
      <c r="B272" s="683" t="s">
        <v>695</v>
      </c>
      <c r="D272" s="418">
        <v>0</v>
      </c>
      <c r="E272" s="418">
        <v>0</v>
      </c>
      <c r="F272" s="418">
        <v>0</v>
      </c>
      <c r="G272" s="418">
        <v>0</v>
      </c>
      <c r="H272" s="418">
        <v>0</v>
      </c>
      <c r="I272" s="418">
        <v>0</v>
      </c>
      <c r="J272" s="418">
        <v>0</v>
      </c>
      <c r="K272" s="418">
        <v>0</v>
      </c>
      <c r="L272" s="418">
        <v>0</v>
      </c>
      <c r="M272" s="418">
        <v>0</v>
      </c>
      <c r="N272" s="418">
        <v>0</v>
      </c>
      <c r="O272" s="418">
        <v>0</v>
      </c>
      <c r="P272" s="418">
        <v>0</v>
      </c>
    </row>
    <row r="273" spans="1:16" s="683" customFormat="1">
      <c r="B273" s="683" t="s">
        <v>696</v>
      </c>
      <c r="D273" s="418">
        <v>0</v>
      </c>
      <c r="E273" s="418">
        <v>0</v>
      </c>
      <c r="F273" s="418">
        <v>0</v>
      </c>
      <c r="G273" s="418">
        <v>0</v>
      </c>
      <c r="H273" s="418">
        <v>0</v>
      </c>
      <c r="I273" s="418">
        <v>0</v>
      </c>
      <c r="J273" s="418">
        <v>0</v>
      </c>
      <c r="K273" s="418">
        <v>0</v>
      </c>
      <c r="L273" s="418">
        <v>0</v>
      </c>
      <c r="M273" s="418">
        <v>0</v>
      </c>
      <c r="N273" s="418">
        <v>0</v>
      </c>
      <c r="O273" s="418">
        <v>0</v>
      </c>
      <c r="P273" s="418">
        <v>0</v>
      </c>
    </row>
    <row r="274" spans="1:16" s="683" customFormat="1">
      <c r="B274" s="683" t="s">
        <v>66</v>
      </c>
      <c r="D274" s="418">
        <v>0</v>
      </c>
      <c r="E274" s="418">
        <v>0</v>
      </c>
      <c r="F274" s="418">
        <v>0</v>
      </c>
      <c r="G274" s="418">
        <v>0</v>
      </c>
      <c r="H274" s="418">
        <v>0</v>
      </c>
      <c r="I274" s="418">
        <v>0</v>
      </c>
      <c r="J274" s="418">
        <v>0</v>
      </c>
      <c r="K274" s="418">
        <v>0</v>
      </c>
      <c r="L274" s="418">
        <v>0</v>
      </c>
      <c r="M274" s="418">
        <v>0</v>
      </c>
      <c r="N274" s="418">
        <v>0</v>
      </c>
      <c r="O274" s="418">
        <v>0</v>
      </c>
      <c r="P274" s="418">
        <v>0</v>
      </c>
    </row>
    <row r="275" spans="1:16" s="683" customFormat="1">
      <c r="A275" s="683" t="s">
        <v>66</v>
      </c>
      <c r="D275" s="418">
        <f>D68+D83+D98+D113+D128+D143+D158+D170+D184+D198+D207+D216+D225+D234+D243+D252+D262</f>
        <v>547354540.4263401</v>
      </c>
      <c r="E275" s="418">
        <f t="shared" ref="E275:P275" si="51">E68+E83+E98+E113+E128+E143+E158+E170+E184+E198+E207+E216+E225+E234+E243+E252+E262</f>
        <v>516536324.68428999</v>
      </c>
      <c r="F275" s="418">
        <f t="shared" si="51"/>
        <v>544642264.96499991</v>
      </c>
      <c r="G275" s="418">
        <f t="shared" si="51"/>
        <v>444134378.42592007</v>
      </c>
      <c r="H275" s="418">
        <f t="shared" si="51"/>
        <v>407170728.63099998</v>
      </c>
      <c r="I275" s="418">
        <f t="shared" si="51"/>
        <v>418743394.13499004</v>
      </c>
      <c r="J275" s="418">
        <f t="shared" si="51"/>
        <v>447379892.70099992</v>
      </c>
      <c r="K275" s="418">
        <f t="shared" si="51"/>
        <v>475019789.43999994</v>
      </c>
      <c r="L275" s="418">
        <f t="shared" si="51"/>
        <v>468097468.79200006</v>
      </c>
      <c r="M275" s="418">
        <f t="shared" si="51"/>
        <v>430408085.39300001</v>
      </c>
      <c r="N275" s="418">
        <f t="shared" si="51"/>
        <v>454247365.41122013</v>
      </c>
      <c r="O275" s="418">
        <f t="shared" si="51"/>
        <v>530380127.32321</v>
      </c>
      <c r="P275" s="418">
        <f t="shared" si="51"/>
        <v>5684114360.3279705</v>
      </c>
    </row>
    <row r="276" spans="1:16" s="683" customFormat="1">
      <c r="D276" s="418"/>
      <c r="E276" s="418"/>
      <c r="F276" s="418"/>
      <c r="G276" s="418"/>
      <c r="H276" s="418"/>
      <c r="I276" s="418"/>
      <c r="J276" s="418"/>
      <c r="K276" s="418"/>
      <c r="L276" s="418"/>
      <c r="M276" s="418"/>
      <c r="N276" s="418"/>
      <c r="O276" s="418"/>
      <c r="P276" s="418"/>
    </row>
    <row r="277" spans="1:16" s="683" customFormat="1">
      <c r="D277" s="418"/>
      <c r="E277" s="418"/>
      <c r="F277" s="418"/>
      <c r="G277" s="418"/>
      <c r="H277" s="418"/>
      <c r="I277" s="418"/>
      <c r="J277" s="418"/>
      <c r="K277" s="418"/>
      <c r="L277" s="418"/>
      <c r="M277" s="418"/>
      <c r="N277" s="418"/>
      <c r="O277" s="418"/>
      <c r="P277" s="418"/>
    </row>
    <row r="278" spans="1:16" s="683" customFormat="1">
      <c r="D278" s="418"/>
      <c r="E278" s="418"/>
      <c r="F278" s="418"/>
      <c r="G278" s="418"/>
      <c r="H278" s="418"/>
      <c r="I278" s="418"/>
      <c r="J278" s="418"/>
      <c r="K278" s="418"/>
      <c r="L278" s="418"/>
      <c r="M278" s="418"/>
      <c r="N278" s="418"/>
      <c r="O278" s="418"/>
      <c r="P278" s="418"/>
    </row>
    <row r="279" spans="1:16" s="683" customFormat="1">
      <c r="D279" s="418"/>
      <c r="E279" s="418"/>
      <c r="F279" s="418"/>
      <c r="G279" s="418"/>
      <c r="H279" s="418"/>
      <c r="I279" s="418"/>
      <c r="J279" s="418"/>
      <c r="K279" s="418"/>
      <c r="L279" s="418"/>
      <c r="M279" s="418"/>
      <c r="N279" s="418"/>
      <c r="O279" s="418"/>
      <c r="P279" s="418"/>
    </row>
    <row r="281" spans="1:16">
      <c r="A281" s="655" t="s">
        <v>565</v>
      </c>
      <c r="B281" s="655"/>
      <c r="C281" s="655"/>
      <c r="D281" s="683">
        <v>201901</v>
      </c>
      <c r="E281" s="748">
        <v>201902</v>
      </c>
      <c r="F281" s="748">
        <v>201903</v>
      </c>
      <c r="G281" s="748">
        <v>201904</v>
      </c>
      <c r="H281" s="748">
        <v>201905</v>
      </c>
      <c r="I281" s="748">
        <v>201906</v>
      </c>
      <c r="J281" s="748">
        <v>201907</v>
      </c>
      <c r="K281" s="748">
        <v>201908</v>
      </c>
      <c r="L281" s="748">
        <v>201909</v>
      </c>
      <c r="M281" s="748">
        <v>201910</v>
      </c>
      <c r="N281" s="748">
        <v>201911</v>
      </c>
      <c r="O281" s="748">
        <v>201912</v>
      </c>
      <c r="P281" s="418"/>
    </row>
    <row r="282" spans="1:16">
      <c r="A282" s="655"/>
      <c r="B282" s="655"/>
      <c r="C282" s="409" t="s">
        <v>674</v>
      </c>
      <c r="D282" s="643">
        <f>D68+D83</f>
        <v>268421353.00100002</v>
      </c>
      <c r="E282" s="643">
        <f t="shared" ref="E282:O282" si="52">E68+E83</f>
        <v>248463642.29500002</v>
      </c>
      <c r="F282" s="643">
        <f t="shared" si="52"/>
        <v>272094704.38</v>
      </c>
      <c r="G282" s="643">
        <f t="shared" si="52"/>
        <v>189257389.23899999</v>
      </c>
      <c r="H282" s="643">
        <f t="shared" si="52"/>
        <v>159137014.24199998</v>
      </c>
      <c r="I282" s="643">
        <f t="shared" si="52"/>
        <v>150640891.35699999</v>
      </c>
      <c r="J282" s="643">
        <f t="shared" si="52"/>
        <v>167011451.32799998</v>
      </c>
      <c r="K282" s="643">
        <f t="shared" si="52"/>
        <v>182841597.602</v>
      </c>
      <c r="L282" s="643">
        <f t="shared" si="52"/>
        <v>175504029.74200001</v>
      </c>
      <c r="M282" s="643">
        <f t="shared" si="52"/>
        <v>166990370.697</v>
      </c>
      <c r="N282" s="643">
        <f t="shared" si="52"/>
        <v>197141568.961</v>
      </c>
      <c r="O282" s="643">
        <f t="shared" si="52"/>
        <v>258761011.98700002</v>
      </c>
      <c r="P282" s="418">
        <f>SUM(D282:O282)</f>
        <v>2436265024.8310003</v>
      </c>
    </row>
    <row r="283" spans="1:16">
      <c r="A283" s="655"/>
      <c r="B283" s="655"/>
      <c r="C283" s="409" t="s">
        <v>483</v>
      </c>
      <c r="D283" s="643">
        <f>D98+D113</f>
        <v>59920327.122999996</v>
      </c>
      <c r="E283" s="643">
        <f t="shared" ref="E283:O283" si="53">E98+E113</f>
        <v>57839488.487000003</v>
      </c>
      <c r="F283" s="643">
        <f t="shared" si="53"/>
        <v>61576960.423999995</v>
      </c>
      <c r="G283" s="643">
        <f t="shared" si="53"/>
        <v>49969768.848000005</v>
      </c>
      <c r="H283" s="643">
        <f t="shared" si="53"/>
        <v>45483877.745000005</v>
      </c>
      <c r="I283" s="643">
        <f t="shared" si="53"/>
        <v>45253592.461000003</v>
      </c>
      <c r="J283" s="643">
        <f t="shared" si="53"/>
        <v>48403035.067000002</v>
      </c>
      <c r="K283" s="643">
        <f t="shared" si="53"/>
        <v>51264596.407999992</v>
      </c>
      <c r="L283" s="643">
        <f t="shared" si="53"/>
        <v>51101182.038999997</v>
      </c>
      <c r="M283" s="643">
        <f t="shared" si="53"/>
        <v>46524849.420999996</v>
      </c>
      <c r="N283" s="643">
        <f t="shared" si="53"/>
        <v>49608710.002999999</v>
      </c>
      <c r="O283" s="643">
        <f t="shared" si="53"/>
        <v>60149114.510000005</v>
      </c>
      <c r="P283" s="418">
        <f t="shared" ref="P283:P288" si="54">SUM(D283:O283)</f>
        <v>627095502.53599989</v>
      </c>
    </row>
    <row r="284" spans="1:16">
      <c r="A284" s="655"/>
      <c r="B284" s="655"/>
      <c r="C284" s="409" t="s">
        <v>484</v>
      </c>
      <c r="D284" s="643">
        <f>D128+D143</f>
        <v>120581416.625</v>
      </c>
      <c r="E284" s="643">
        <f t="shared" ref="E284:O284" si="55">E128+E143</f>
        <v>113255795.15000001</v>
      </c>
      <c r="F284" s="643">
        <f t="shared" si="55"/>
        <v>119857363.82800001</v>
      </c>
      <c r="G284" s="643">
        <f t="shared" si="55"/>
        <v>108672042.67399999</v>
      </c>
      <c r="H284" s="643">
        <f t="shared" si="55"/>
        <v>107356121.802</v>
      </c>
      <c r="I284" s="643">
        <f t="shared" si="55"/>
        <v>110519103.513</v>
      </c>
      <c r="J284" s="643">
        <f t="shared" si="55"/>
        <v>116480751.57000001</v>
      </c>
      <c r="K284" s="643">
        <f t="shared" si="55"/>
        <v>118121978.582</v>
      </c>
      <c r="L284" s="643">
        <f t="shared" si="55"/>
        <v>117306042.244</v>
      </c>
      <c r="M284" s="643">
        <f t="shared" si="55"/>
        <v>113212430.59299999</v>
      </c>
      <c r="N284" s="643">
        <f t="shared" si="55"/>
        <v>107981227.42200001</v>
      </c>
      <c r="O284" s="643">
        <f t="shared" si="55"/>
        <v>122684702.25399999</v>
      </c>
      <c r="P284" s="418">
        <f t="shared" si="54"/>
        <v>1376028976.257</v>
      </c>
    </row>
    <row r="285" spans="1:16">
      <c r="A285" s="655"/>
      <c r="B285" s="655"/>
      <c r="C285" s="409" t="s">
        <v>398</v>
      </c>
      <c r="D285" s="643">
        <f>D158</f>
        <v>92475540.937000006</v>
      </c>
      <c r="E285" s="643">
        <f t="shared" ref="E285:O285" si="56">E158</f>
        <v>91334911.620000005</v>
      </c>
      <c r="F285" s="643">
        <f t="shared" si="56"/>
        <v>85256588.479999989</v>
      </c>
      <c r="G285" s="643">
        <f t="shared" si="56"/>
        <v>90115026.299999997</v>
      </c>
      <c r="H285" s="643">
        <f t="shared" si="56"/>
        <v>81790111.900000006</v>
      </c>
      <c r="I285" s="643">
        <f t="shared" si="56"/>
        <v>92286223.400000006</v>
      </c>
      <c r="J285" s="643">
        <f t="shared" si="56"/>
        <v>90638942</v>
      </c>
      <c r="K285" s="643">
        <f t="shared" si="56"/>
        <v>96199701.689999998</v>
      </c>
      <c r="L285" s="643">
        <f t="shared" si="56"/>
        <v>98369017.341000006</v>
      </c>
      <c r="M285" s="643">
        <f t="shared" si="56"/>
        <v>91866248.393999994</v>
      </c>
      <c r="N285" s="643">
        <f t="shared" si="56"/>
        <v>93890910.770000011</v>
      </c>
      <c r="O285" s="643">
        <f t="shared" si="56"/>
        <v>82979731.170000002</v>
      </c>
      <c r="P285" s="418">
        <f t="shared" si="54"/>
        <v>1087202954.0019999</v>
      </c>
    </row>
    <row r="286" spans="1:16">
      <c r="A286" s="655"/>
      <c r="B286" s="655"/>
      <c r="C286" s="409" t="s">
        <v>485</v>
      </c>
      <c r="D286" s="643">
        <f>D170+D184+D198</f>
        <v>4367812.5839999998</v>
      </c>
      <c r="E286" s="643">
        <f t="shared" ref="E286:O286" si="57">E170+E184+E198</f>
        <v>4176908.1949999998</v>
      </c>
      <c r="F286" s="643">
        <f t="shared" si="57"/>
        <v>4399346.9869999997</v>
      </c>
      <c r="G286" s="643">
        <f t="shared" si="57"/>
        <v>4615683.58</v>
      </c>
      <c r="H286" s="643">
        <f t="shared" si="57"/>
        <v>11922026.261</v>
      </c>
      <c r="I286" s="643">
        <f t="shared" si="57"/>
        <v>18540612.465999998</v>
      </c>
      <c r="J286" s="643">
        <f t="shared" si="57"/>
        <v>23327966.862</v>
      </c>
      <c r="K286" s="643">
        <f t="shared" si="57"/>
        <v>25106392.523000002</v>
      </c>
      <c r="L286" s="643">
        <f t="shared" si="57"/>
        <v>24282322.969000001</v>
      </c>
      <c r="M286" s="643">
        <f t="shared" si="57"/>
        <v>10323876.083000001</v>
      </c>
      <c r="N286" s="643">
        <f t="shared" si="57"/>
        <v>4196695.1040000003</v>
      </c>
      <c r="O286" s="643">
        <f t="shared" si="57"/>
        <v>4300335.4280000003</v>
      </c>
      <c r="P286" s="418">
        <f t="shared" si="54"/>
        <v>139559979.042</v>
      </c>
    </row>
    <row r="287" spans="1:16">
      <c r="A287" s="655"/>
      <c r="B287" s="655"/>
      <c r="C287" s="409" t="s">
        <v>486</v>
      </c>
      <c r="D287" s="643">
        <f>D207+D216+D234+D225+D243+D262+D252</f>
        <v>1588090.1563400002</v>
      </c>
      <c r="E287" s="643">
        <f t="shared" ref="E287:O287" si="58">E207+E216+E234+E225+E243+E262+E252</f>
        <v>1465578.93729</v>
      </c>
      <c r="F287" s="643">
        <f t="shared" si="58"/>
        <v>1457300.8660000002</v>
      </c>
      <c r="G287" s="643">
        <f t="shared" si="58"/>
        <v>1504467.7849199998</v>
      </c>
      <c r="H287" s="643">
        <f t="shared" si="58"/>
        <v>1481576.6810000001</v>
      </c>
      <c r="I287" s="643">
        <f t="shared" si="58"/>
        <v>1502970.93799</v>
      </c>
      <c r="J287" s="643">
        <f t="shared" si="58"/>
        <v>1517745.8739999998</v>
      </c>
      <c r="K287" s="643">
        <f t="shared" si="58"/>
        <v>1485522.635</v>
      </c>
      <c r="L287" s="643">
        <f t="shared" si="58"/>
        <v>1534874.4569999999</v>
      </c>
      <c r="M287" s="643">
        <f t="shared" si="58"/>
        <v>1490310.2050000001</v>
      </c>
      <c r="N287" s="643">
        <f t="shared" si="58"/>
        <v>1428253.1512200001</v>
      </c>
      <c r="O287" s="643">
        <f t="shared" si="58"/>
        <v>1505231.9742099999</v>
      </c>
      <c r="P287" s="418">
        <f>SUM(D287:O287)</f>
        <v>17961923.65997</v>
      </c>
    </row>
    <row r="288" spans="1:16">
      <c r="A288" s="655"/>
      <c r="B288" s="655"/>
      <c r="C288" s="410" t="s">
        <v>66</v>
      </c>
      <c r="D288" s="643">
        <f>SUM(D282:D287)</f>
        <v>547354540.42633998</v>
      </c>
      <c r="E288" s="643">
        <f t="shared" ref="E288:O288" si="59">SUM(E282:E287)</f>
        <v>516536324.68429005</v>
      </c>
      <c r="F288" s="643">
        <f t="shared" si="59"/>
        <v>544642264.96500003</v>
      </c>
      <c r="G288" s="643">
        <f t="shared" si="59"/>
        <v>444134378.42592001</v>
      </c>
      <c r="H288" s="643">
        <f t="shared" si="59"/>
        <v>407170728.63099998</v>
      </c>
      <c r="I288" s="643">
        <f t="shared" si="59"/>
        <v>418743394.13498998</v>
      </c>
      <c r="J288" s="643">
        <f t="shared" si="59"/>
        <v>447379892.70099998</v>
      </c>
      <c r="K288" s="643">
        <f t="shared" si="59"/>
        <v>475019789.44</v>
      </c>
      <c r="L288" s="643">
        <f t="shared" si="59"/>
        <v>468097468.79200006</v>
      </c>
      <c r="M288" s="643">
        <f t="shared" si="59"/>
        <v>430408085.39299995</v>
      </c>
      <c r="N288" s="643">
        <f t="shared" si="59"/>
        <v>454247365.41122001</v>
      </c>
      <c r="O288" s="643">
        <f t="shared" si="59"/>
        <v>530380127.32321006</v>
      </c>
      <c r="P288" s="418">
        <f t="shared" si="54"/>
        <v>5684114360.3279696</v>
      </c>
    </row>
    <row r="289" spans="1:16">
      <c r="A289" s="655"/>
      <c r="B289" s="655"/>
      <c r="C289" s="655"/>
      <c r="D289" s="418"/>
      <c r="E289" s="418"/>
      <c r="F289" s="418"/>
      <c r="G289" s="418"/>
      <c r="H289" s="418"/>
      <c r="I289" s="418"/>
      <c r="J289" s="418"/>
      <c r="K289" s="418"/>
      <c r="L289" s="418"/>
      <c r="M289" s="418"/>
      <c r="N289" s="418"/>
      <c r="O289" s="418"/>
      <c r="P289" s="418"/>
    </row>
    <row r="290" spans="1:16">
      <c r="A290" s="655"/>
      <c r="B290" s="655"/>
      <c r="C290" s="655"/>
      <c r="D290" s="418">
        <f>D275-D288</f>
        <v>0</v>
      </c>
      <c r="E290" s="418">
        <f t="shared" ref="E290:O290" si="60">E275-E288</f>
        <v>0</v>
      </c>
      <c r="F290" s="418">
        <f t="shared" si="60"/>
        <v>0</v>
      </c>
      <c r="G290" s="418">
        <f t="shared" si="60"/>
        <v>0</v>
      </c>
      <c r="H290" s="418">
        <f t="shared" si="60"/>
        <v>0</v>
      </c>
      <c r="I290" s="418">
        <f t="shared" si="60"/>
        <v>0</v>
      </c>
      <c r="J290" s="418">
        <f t="shared" si="60"/>
        <v>0</v>
      </c>
      <c r="K290" s="418">
        <f t="shared" si="60"/>
        <v>0</v>
      </c>
      <c r="L290" s="418">
        <f t="shared" si="60"/>
        <v>0</v>
      </c>
      <c r="M290" s="418">
        <f t="shared" si="60"/>
        <v>0</v>
      </c>
      <c r="N290" s="418">
        <f t="shared" si="60"/>
        <v>0</v>
      </c>
      <c r="O290" s="418">
        <f t="shared" si="60"/>
        <v>0</v>
      </c>
      <c r="P290" s="418"/>
    </row>
    <row r="292" spans="1:16">
      <c r="A292" s="655" t="s">
        <v>783</v>
      </c>
      <c r="B292" s="655"/>
      <c r="C292" s="655"/>
      <c r="D292" s="655"/>
      <c r="E292" s="655"/>
      <c r="F292" s="655"/>
      <c r="G292" s="655"/>
      <c r="H292" s="655"/>
      <c r="I292" s="655"/>
      <c r="J292" s="655"/>
      <c r="K292" s="655"/>
      <c r="L292" s="655"/>
      <c r="M292" s="655"/>
      <c r="N292" s="655"/>
      <c r="O292" s="655"/>
      <c r="P292" s="655"/>
    </row>
    <row r="293" spans="1:16">
      <c r="A293" s="655"/>
      <c r="B293" s="655"/>
      <c r="C293" s="655"/>
      <c r="D293" s="655"/>
      <c r="E293" s="655"/>
      <c r="F293" s="655"/>
      <c r="G293" s="655"/>
      <c r="H293" s="655"/>
      <c r="I293" s="655"/>
      <c r="J293" s="655"/>
      <c r="K293" s="655"/>
      <c r="L293" s="655"/>
      <c r="M293" s="655"/>
      <c r="N293" s="655"/>
      <c r="O293" s="655"/>
      <c r="P293" s="655"/>
    </row>
    <row r="294" spans="1:16">
      <c r="A294" s="655" t="s">
        <v>479</v>
      </c>
      <c r="B294" s="655"/>
      <c r="C294" s="655"/>
      <c r="D294" s="655"/>
      <c r="E294" s="655"/>
      <c r="F294" s="655"/>
      <c r="G294" s="655"/>
      <c r="H294" s="655"/>
      <c r="I294" s="655"/>
      <c r="J294" s="655"/>
      <c r="K294" s="655"/>
      <c r="L294" s="655"/>
      <c r="M294" s="655"/>
      <c r="N294" s="655"/>
      <c r="O294" s="655"/>
      <c r="P294" s="655"/>
    </row>
    <row r="295" spans="1:16">
      <c r="A295" s="655"/>
      <c r="B295" s="655"/>
      <c r="C295" s="655"/>
      <c r="D295" s="655"/>
      <c r="E295" s="655"/>
      <c r="F295" s="655"/>
      <c r="G295" s="655"/>
      <c r="H295" s="655"/>
      <c r="I295" s="655"/>
      <c r="J295" s="655"/>
      <c r="K295" s="655"/>
      <c r="L295" s="655"/>
      <c r="M295" s="655"/>
      <c r="N295" s="655"/>
      <c r="O295" s="655"/>
      <c r="P295" s="655"/>
    </row>
    <row r="296" spans="1:16">
      <c r="A296" s="655"/>
      <c r="B296" s="655"/>
      <c r="C296" s="655"/>
      <c r="D296" s="655" t="s">
        <v>784</v>
      </c>
      <c r="E296" s="655"/>
      <c r="F296" s="655"/>
      <c r="G296" s="655"/>
      <c r="H296" s="655"/>
      <c r="I296" s="655"/>
      <c r="J296" s="655"/>
      <c r="K296" s="655"/>
      <c r="L296" s="655"/>
      <c r="M296" s="655"/>
      <c r="N296" s="655"/>
      <c r="O296" s="655"/>
      <c r="P296" s="655"/>
    </row>
    <row r="297" spans="1:16">
      <c r="A297" s="655"/>
      <c r="B297" s="655"/>
      <c r="C297" s="655" t="s">
        <v>475</v>
      </c>
      <c r="D297" s="683" t="s">
        <v>771</v>
      </c>
      <c r="E297" s="683" t="s">
        <v>772</v>
      </c>
      <c r="F297" s="683" t="s">
        <v>773</v>
      </c>
      <c r="G297" s="683" t="s">
        <v>774</v>
      </c>
      <c r="H297" s="683" t="s">
        <v>775</v>
      </c>
      <c r="I297" s="683" t="s">
        <v>776</v>
      </c>
      <c r="J297" s="683" t="s">
        <v>777</v>
      </c>
      <c r="K297" s="683" t="s">
        <v>778</v>
      </c>
      <c r="L297" s="683" t="s">
        <v>779</v>
      </c>
      <c r="M297" s="683" t="s">
        <v>780</v>
      </c>
      <c r="N297" s="683" t="s">
        <v>781</v>
      </c>
      <c r="O297" s="683" t="s">
        <v>782</v>
      </c>
      <c r="P297" s="655" t="s">
        <v>478</v>
      </c>
    </row>
    <row r="298" spans="1:16">
      <c r="A298" s="655" t="s">
        <v>480</v>
      </c>
      <c r="B298" s="655" t="s">
        <v>392</v>
      </c>
      <c r="C298" s="655"/>
      <c r="D298" s="655"/>
      <c r="E298" s="655"/>
      <c r="F298" s="655"/>
      <c r="G298" s="655"/>
      <c r="H298" s="655"/>
      <c r="I298" s="655"/>
      <c r="J298" s="655"/>
      <c r="K298" s="655"/>
      <c r="L298" s="655"/>
      <c r="M298" s="655"/>
      <c r="N298" s="655"/>
      <c r="O298" s="655"/>
      <c r="P298" s="655"/>
    </row>
    <row r="299" spans="1:16" ht="13.8" thickBot="1">
      <c r="A299" s="809" t="s">
        <v>164</v>
      </c>
      <c r="B299" s="809" t="s">
        <v>393</v>
      </c>
      <c r="C299" s="749" t="s">
        <v>481</v>
      </c>
      <c r="D299" s="751">
        <v>126345126</v>
      </c>
      <c r="E299" s="751">
        <v>123665373</v>
      </c>
      <c r="F299" s="751">
        <v>102864779</v>
      </c>
      <c r="G299" s="751">
        <v>79253910</v>
      </c>
      <c r="H299" s="751">
        <v>77047881</v>
      </c>
      <c r="I299" s="751">
        <v>78919795</v>
      </c>
      <c r="J299" s="751">
        <v>91004591</v>
      </c>
      <c r="K299" s="751">
        <v>98756098</v>
      </c>
      <c r="L299" s="751">
        <v>77115939</v>
      </c>
      <c r="M299" s="751">
        <v>98956893</v>
      </c>
      <c r="N299" s="751">
        <v>121833489</v>
      </c>
      <c r="O299" s="751">
        <v>122208219</v>
      </c>
      <c r="P299" s="752">
        <v>1197972093</v>
      </c>
    </row>
    <row r="300" spans="1:16" ht="13.8" thickBot="1">
      <c r="A300" s="814"/>
      <c r="B300" s="810"/>
      <c r="C300" s="749" t="s">
        <v>482</v>
      </c>
      <c r="D300" s="751">
        <v>-127093842</v>
      </c>
      <c r="E300" s="751">
        <v>-126345126</v>
      </c>
      <c r="F300" s="751">
        <v>-123665373</v>
      </c>
      <c r="G300" s="751">
        <v>-102864779</v>
      </c>
      <c r="H300" s="751">
        <v>-79253910</v>
      </c>
      <c r="I300" s="751">
        <v>-77047881</v>
      </c>
      <c r="J300" s="751">
        <v>-78919795</v>
      </c>
      <c r="K300" s="751">
        <v>-91004591</v>
      </c>
      <c r="L300" s="751">
        <v>-98756098</v>
      </c>
      <c r="M300" s="751">
        <v>-77115939</v>
      </c>
      <c r="N300" s="751">
        <v>-98956893</v>
      </c>
      <c r="O300" s="751">
        <v>-121833489</v>
      </c>
      <c r="P300" s="752">
        <v>-1202857716</v>
      </c>
    </row>
    <row r="301" spans="1:16" ht="13.8" thickBot="1">
      <c r="A301" s="814"/>
      <c r="B301" s="809" t="s">
        <v>655</v>
      </c>
      <c r="C301" s="749" t="s">
        <v>481</v>
      </c>
      <c r="D301" s="751">
        <v>273631</v>
      </c>
      <c r="E301" s="751">
        <v>270017</v>
      </c>
      <c r="F301" s="751">
        <v>224428</v>
      </c>
      <c r="G301" s="751">
        <v>164004</v>
      </c>
      <c r="H301" s="751">
        <v>147751</v>
      </c>
      <c r="I301" s="751">
        <v>131250</v>
      </c>
      <c r="J301" s="751">
        <v>141788</v>
      </c>
      <c r="K301" s="751">
        <v>145054</v>
      </c>
      <c r="L301" s="751">
        <v>113913</v>
      </c>
      <c r="M301" s="751">
        <v>136212</v>
      </c>
      <c r="N301" s="751">
        <v>205766</v>
      </c>
      <c r="O301" s="751">
        <v>233766</v>
      </c>
      <c r="P301" s="752">
        <v>2187580</v>
      </c>
    </row>
    <row r="302" spans="1:16" ht="13.8" thickBot="1">
      <c r="A302" s="814"/>
      <c r="B302" s="810"/>
      <c r="C302" s="749" t="s">
        <v>482</v>
      </c>
      <c r="D302" s="751">
        <v>-269574</v>
      </c>
      <c r="E302" s="751">
        <v>-273631</v>
      </c>
      <c r="F302" s="751">
        <v>-270017</v>
      </c>
      <c r="G302" s="751">
        <v>-224428</v>
      </c>
      <c r="H302" s="751">
        <v>-164004</v>
      </c>
      <c r="I302" s="751">
        <v>-147751</v>
      </c>
      <c r="J302" s="751">
        <v>-131250</v>
      </c>
      <c r="K302" s="751">
        <v>-141788</v>
      </c>
      <c r="L302" s="751">
        <v>-145054</v>
      </c>
      <c r="M302" s="751">
        <v>-113913</v>
      </c>
      <c r="N302" s="751">
        <v>-136212</v>
      </c>
      <c r="O302" s="751">
        <v>-205766</v>
      </c>
      <c r="P302" s="752">
        <v>-2223388</v>
      </c>
    </row>
    <row r="303" spans="1:16" ht="13.8" thickBot="1">
      <c r="A303" s="814"/>
      <c r="B303" s="809" t="s">
        <v>394</v>
      </c>
      <c r="C303" s="749" t="s">
        <v>481</v>
      </c>
      <c r="D303" s="751">
        <v>24924085</v>
      </c>
      <c r="E303" s="751">
        <v>25442340</v>
      </c>
      <c r="F303" s="751">
        <v>20492468</v>
      </c>
      <c r="G303" s="751">
        <v>18731044</v>
      </c>
      <c r="H303" s="751">
        <v>20033011</v>
      </c>
      <c r="I303" s="751">
        <v>21804441</v>
      </c>
      <c r="J303" s="751">
        <v>24302464</v>
      </c>
      <c r="K303" s="751">
        <v>25501155</v>
      </c>
      <c r="L303" s="751">
        <v>20636289</v>
      </c>
      <c r="M303" s="751">
        <v>25009635</v>
      </c>
      <c r="N303" s="751">
        <v>27517043</v>
      </c>
      <c r="O303" s="751">
        <v>25195627</v>
      </c>
      <c r="P303" s="752">
        <v>279589602</v>
      </c>
    </row>
    <row r="304" spans="1:16" ht="13.8" thickBot="1">
      <c r="A304" s="814"/>
      <c r="B304" s="810"/>
      <c r="C304" s="749" t="s">
        <v>482</v>
      </c>
      <c r="D304" s="751">
        <v>-26276394</v>
      </c>
      <c r="E304" s="751">
        <v>-24924085</v>
      </c>
      <c r="F304" s="751">
        <v>-25442340</v>
      </c>
      <c r="G304" s="751">
        <v>-20492468</v>
      </c>
      <c r="H304" s="751">
        <v>-18731044</v>
      </c>
      <c r="I304" s="751">
        <v>-20033011</v>
      </c>
      <c r="J304" s="751">
        <v>-21804441</v>
      </c>
      <c r="K304" s="751">
        <v>-24302464</v>
      </c>
      <c r="L304" s="751">
        <v>-25501155</v>
      </c>
      <c r="M304" s="751">
        <v>-20636289</v>
      </c>
      <c r="N304" s="751">
        <v>-25009635</v>
      </c>
      <c r="O304" s="751">
        <v>-27517043</v>
      </c>
      <c r="P304" s="752">
        <v>-280670369</v>
      </c>
    </row>
    <row r="305" spans="1:16" ht="13.8" thickBot="1">
      <c r="A305" s="814"/>
      <c r="B305" s="809" t="s">
        <v>395</v>
      </c>
      <c r="C305" s="749" t="s">
        <v>481</v>
      </c>
      <c r="D305" s="751">
        <v>3225387</v>
      </c>
      <c r="E305" s="751">
        <v>3288593</v>
      </c>
      <c r="F305" s="751">
        <v>2735330</v>
      </c>
      <c r="G305" s="751">
        <v>2153685</v>
      </c>
      <c r="H305" s="751">
        <v>1951017</v>
      </c>
      <c r="I305" s="751">
        <v>1887387</v>
      </c>
      <c r="J305" s="751">
        <v>2036165</v>
      </c>
      <c r="K305" s="751">
        <v>2148130</v>
      </c>
      <c r="L305" s="751">
        <v>1769263</v>
      </c>
      <c r="M305" s="751">
        <v>2512593</v>
      </c>
      <c r="N305" s="751">
        <v>3086251</v>
      </c>
      <c r="O305" s="751">
        <v>3158611</v>
      </c>
      <c r="P305" s="752">
        <v>29952412</v>
      </c>
    </row>
    <row r="306" spans="1:16" ht="13.8" thickBot="1">
      <c r="A306" s="814"/>
      <c r="B306" s="810"/>
      <c r="C306" s="749" t="s">
        <v>482</v>
      </c>
      <c r="D306" s="751">
        <v>-3165785</v>
      </c>
      <c r="E306" s="751">
        <v>-3225387</v>
      </c>
      <c r="F306" s="751">
        <v>-3288593</v>
      </c>
      <c r="G306" s="751">
        <v>-2735330</v>
      </c>
      <c r="H306" s="751">
        <v>-2153685</v>
      </c>
      <c r="I306" s="751">
        <v>-1951017</v>
      </c>
      <c r="J306" s="751">
        <v>-1887387</v>
      </c>
      <c r="K306" s="751">
        <v>-2036165</v>
      </c>
      <c r="L306" s="751">
        <v>-2148130</v>
      </c>
      <c r="M306" s="751">
        <v>-1769263</v>
      </c>
      <c r="N306" s="751">
        <v>-2512593</v>
      </c>
      <c r="O306" s="751">
        <v>-3086251</v>
      </c>
      <c r="P306" s="752">
        <v>-29959586</v>
      </c>
    </row>
    <row r="307" spans="1:16" ht="13.8" thickBot="1">
      <c r="A307" s="814"/>
      <c r="B307" s="809" t="s">
        <v>396</v>
      </c>
      <c r="C307" s="749" t="s">
        <v>481</v>
      </c>
      <c r="D307" s="751">
        <v>54809718</v>
      </c>
      <c r="E307" s="751">
        <v>54469939</v>
      </c>
      <c r="F307" s="751">
        <v>43737316</v>
      </c>
      <c r="G307" s="751">
        <v>44169806</v>
      </c>
      <c r="H307" s="751">
        <v>50651191</v>
      </c>
      <c r="I307" s="751">
        <v>56488170</v>
      </c>
      <c r="J307" s="751">
        <v>61944423</v>
      </c>
      <c r="K307" s="751">
        <v>62170005</v>
      </c>
      <c r="L307" s="751">
        <v>50298406</v>
      </c>
      <c r="M307" s="751">
        <v>65264233</v>
      </c>
      <c r="N307" s="751">
        <v>64803850</v>
      </c>
      <c r="O307" s="751">
        <v>56115148</v>
      </c>
      <c r="P307" s="752">
        <v>664922205</v>
      </c>
    </row>
    <row r="308" spans="1:16" ht="13.8" thickBot="1">
      <c r="A308" s="814"/>
      <c r="B308" s="810"/>
      <c r="C308" s="749" t="s">
        <v>482</v>
      </c>
      <c r="D308" s="751">
        <v>-59753857</v>
      </c>
      <c r="E308" s="751">
        <v>-54809718</v>
      </c>
      <c r="F308" s="751">
        <v>-54469939</v>
      </c>
      <c r="G308" s="751">
        <v>-43737316</v>
      </c>
      <c r="H308" s="751">
        <v>-44169806</v>
      </c>
      <c r="I308" s="751">
        <v>-50651191</v>
      </c>
      <c r="J308" s="751">
        <v>-56488170</v>
      </c>
      <c r="K308" s="751">
        <v>-61944423</v>
      </c>
      <c r="L308" s="751">
        <v>-62170005</v>
      </c>
      <c r="M308" s="751">
        <v>-50298406</v>
      </c>
      <c r="N308" s="751">
        <v>-65264233</v>
      </c>
      <c r="O308" s="751">
        <v>-64803850</v>
      </c>
      <c r="P308" s="752">
        <v>-668560914</v>
      </c>
    </row>
    <row r="309" spans="1:16" ht="13.8" thickBot="1">
      <c r="A309" s="814"/>
      <c r="B309" s="809" t="s">
        <v>397</v>
      </c>
      <c r="C309" s="749" t="s">
        <v>481</v>
      </c>
      <c r="D309" s="751">
        <v>1678552</v>
      </c>
      <c r="E309" s="751">
        <v>1627128</v>
      </c>
      <c r="F309" s="751">
        <v>1383853</v>
      </c>
      <c r="G309" s="751">
        <v>1115653</v>
      </c>
      <c r="H309" s="751">
        <v>1090220</v>
      </c>
      <c r="I309" s="751">
        <v>1139214</v>
      </c>
      <c r="J309" s="751">
        <v>1251547</v>
      </c>
      <c r="K309" s="751">
        <v>1367645</v>
      </c>
      <c r="L309" s="751">
        <v>1018384</v>
      </c>
      <c r="M309" s="751">
        <v>1508696</v>
      </c>
      <c r="N309" s="751">
        <v>1624452</v>
      </c>
      <c r="O309" s="751">
        <v>1556783</v>
      </c>
      <c r="P309" s="752">
        <v>16362127</v>
      </c>
    </row>
    <row r="310" spans="1:16" ht="13.8" thickBot="1">
      <c r="A310" s="814"/>
      <c r="B310" s="810"/>
      <c r="C310" s="749" t="s">
        <v>482</v>
      </c>
      <c r="D310" s="751">
        <v>-1589576</v>
      </c>
      <c r="E310" s="751">
        <v>-1678552</v>
      </c>
      <c r="F310" s="751">
        <v>-1627128</v>
      </c>
      <c r="G310" s="751">
        <v>-1383853</v>
      </c>
      <c r="H310" s="751">
        <v>-1115653</v>
      </c>
      <c r="I310" s="751">
        <v>-1090220</v>
      </c>
      <c r="J310" s="751">
        <v>-1139214</v>
      </c>
      <c r="K310" s="751">
        <v>-1251547</v>
      </c>
      <c r="L310" s="751">
        <v>-1367645</v>
      </c>
      <c r="M310" s="751">
        <v>-1018384</v>
      </c>
      <c r="N310" s="751">
        <v>-1508696</v>
      </c>
      <c r="O310" s="751">
        <v>-1624452</v>
      </c>
      <c r="P310" s="752">
        <v>-16394920</v>
      </c>
    </row>
    <row r="311" spans="1:16" ht="13.8" thickBot="1">
      <c r="A311" s="814"/>
      <c r="B311" s="809" t="s">
        <v>398</v>
      </c>
      <c r="C311" s="749" t="s">
        <v>481</v>
      </c>
      <c r="D311" s="751">
        <v>91484247</v>
      </c>
      <c r="E311" s="751">
        <v>84934068</v>
      </c>
      <c r="F311" s="751">
        <v>89487500</v>
      </c>
      <c r="G311" s="751">
        <v>79454560</v>
      </c>
      <c r="H311" s="751">
        <v>92015166</v>
      </c>
      <c r="I311" s="751">
        <v>91195162</v>
      </c>
      <c r="J311" s="751">
        <v>95775976</v>
      </c>
      <c r="K311" s="751">
        <v>94768404</v>
      </c>
      <c r="L311" s="751">
        <v>91927127</v>
      </c>
      <c r="M311" s="751">
        <v>93727705</v>
      </c>
      <c r="N311" s="751">
        <v>83601582</v>
      </c>
      <c r="O311" s="751">
        <v>90893021</v>
      </c>
      <c r="P311" s="752">
        <v>1079264518</v>
      </c>
    </row>
    <row r="312" spans="1:16" ht="13.8" thickBot="1">
      <c r="A312" s="814"/>
      <c r="B312" s="810"/>
      <c r="C312" s="749" t="s">
        <v>482</v>
      </c>
      <c r="D312" s="751">
        <v>-92515285</v>
      </c>
      <c r="E312" s="751">
        <v>-91484247</v>
      </c>
      <c r="F312" s="751">
        <v>-84934068</v>
      </c>
      <c r="G312" s="751">
        <v>-89487500</v>
      </c>
      <c r="H312" s="751">
        <v>-79454560</v>
      </c>
      <c r="I312" s="751">
        <v>-92015166</v>
      </c>
      <c r="J312" s="751">
        <v>-91195162</v>
      </c>
      <c r="K312" s="751">
        <v>-95775976</v>
      </c>
      <c r="L312" s="751">
        <v>-94768404</v>
      </c>
      <c r="M312" s="751">
        <v>-91927127</v>
      </c>
      <c r="N312" s="751">
        <v>-93727705</v>
      </c>
      <c r="O312" s="751">
        <v>-83601582</v>
      </c>
      <c r="P312" s="752">
        <v>-1080886782</v>
      </c>
    </row>
    <row r="313" spans="1:16" ht="13.8" thickBot="1">
      <c r="A313" s="814"/>
      <c r="B313" s="809" t="s">
        <v>399</v>
      </c>
      <c r="C313" s="749" t="s">
        <v>481</v>
      </c>
      <c r="D313" s="751">
        <v>1686223</v>
      </c>
      <c r="E313" s="751">
        <v>1751695</v>
      </c>
      <c r="F313" s="751">
        <v>1396018</v>
      </c>
      <c r="G313" s="751">
        <v>1602289</v>
      </c>
      <c r="H313" s="751">
        <v>2739460</v>
      </c>
      <c r="I313" s="751">
        <v>4758420</v>
      </c>
      <c r="J313" s="751">
        <v>6396055</v>
      </c>
      <c r="K313" s="751">
        <v>8016094</v>
      </c>
      <c r="L313" s="751">
        <v>6038413</v>
      </c>
      <c r="M313" s="751">
        <v>3879449</v>
      </c>
      <c r="N313" s="751">
        <v>2094330</v>
      </c>
      <c r="O313" s="751">
        <v>1779535</v>
      </c>
      <c r="P313" s="752">
        <v>42137981</v>
      </c>
    </row>
    <row r="314" spans="1:16" ht="13.8" thickBot="1">
      <c r="A314" s="814"/>
      <c r="B314" s="810"/>
      <c r="C314" s="749" t="s">
        <v>482</v>
      </c>
      <c r="D314" s="751">
        <v>-1728595</v>
      </c>
      <c r="E314" s="751">
        <v>-1686223</v>
      </c>
      <c r="F314" s="751">
        <v>-1751695</v>
      </c>
      <c r="G314" s="751">
        <v>-1396018</v>
      </c>
      <c r="H314" s="751">
        <v>-1602289</v>
      </c>
      <c r="I314" s="751">
        <v>-2739460</v>
      </c>
      <c r="J314" s="751">
        <v>-4758420</v>
      </c>
      <c r="K314" s="751">
        <v>-6396055</v>
      </c>
      <c r="L314" s="751">
        <v>-8016094</v>
      </c>
      <c r="M314" s="751">
        <v>-6038413</v>
      </c>
      <c r="N314" s="751">
        <v>-3879449</v>
      </c>
      <c r="O314" s="751">
        <v>-2094330</v>
      </c>
      <c r="P314" s="752">
        <v>-42087041</v>
      </c>
    </row>
    <row r="315" spans="1:16" ht="13.8" thickBot="1">
      <c r="A315" s="814"/>
      <c r="B315" s="809" t="s">
        <v>400</v>
      </c>
      <c r="C315" s="749" t="s">
        <v>481</v>
      </c>
      <c r="D315" s="751">
        <v>137133</v>
      </c>
      <c r="E315" s="751">
        <v>139725</v>
      </c>
      <c r="F315" s="751">
        <v>118877</v>
      </c>
      <c r="G315" s="751">
        <v>114155</v>
      </c>
      <c r="H315" s="751">
        <v>192447</v>
      </c>
      <c r="I315" s="751">
        <v>0</v>
      </c>
      <c r="J315" s="751">
        <v>651581</v>
      </c>
      <c r="K315" s="751">
        <v>636344</v>
      </c>
      <c r="L315" s="751">
        <v>409129</v>
      </c>
      <c r="M315" s="751">
        <v>186928</v>
      </c>
      <c r="N315" s="751">
        <v>143627</v>
      </c>
      <c r="O315" s="751">
        <v>134463</v>
      </c>
      <c r="P315" s="752">
        <v>2864409</v>
      </c>
    </row>
    <row r="316" spans="1:16" ht="13.8" thickBot="1">
      <c r="A316" s="814"/>
      <c r="B316" s="810"/>
      <c r="C316" s="749" t="s">
        <v>482</v>
      </c>
      <c r="D316" s="751">
        <v>-122329</v>
      </c>
      <c r="E316" s="751">
        <v>-137133</v>
      </c>
      <c r="F316" s="751">
        <v>-139725</v>
      </c>
      <c r="G316" s="751">
        <v>-118877</v>
      </c>
      <c r="H316" s="751">
        <v>-114155</v>
      </c>
      <c r="I316" s="751">
        <v>-192447</v>
      </c>
      <c r="J316" s="751">
        <v>0</v>
      </c>
      <c r="K316" s="751">
        <v>-651581</v>
      </c>
      <c r="L316" s="751">
        <v>-636344</v>
      </c>
      <c r="M316" s="751">
        <v>-409129</v>
      </c>
      <c r="N316" s="751">
        <v>-186928</v>
      </c>
      <c r="O316" s="751">
        <v>-143627</v>
      </c>
      <c r="P316" s="752">
        <v>-2852275</v>
      </c>
    </row>
    <row r="317" spans="1:16" ht="13.8" thickBot="1">
      <c r="A317" s="814"/>
      <c r="B317" s="809" t="s">
        <v>661</v>
      </c>
      <c r="C317" s="749" t="s">
        <v>481</v>
      </c>
      <c r="D317" s="753"/>
      <c r="E317" s="753"/>
      <c r="F317" s="753"/>
      <c r="G317" s="753"/>
      <c r="H317" s="753"/>
      <c r="I317" s="751">
        <v>324152</v>
      </c>
      <c r="J317" s="751">
        <v>0</v>
      </c>
      <c r="K317" s="751">
        <v>0</v>
      </c>
      <c r="L317" s="751">
        <v>0</v>
      </c>
      <c r="M317" s="751">
        <v>0</v>
      </c>
      <c r="N317" s="751">
        <v>0</v>
      </c>
      <c r="O317" s="751">
        <v>0</v>
      </c>
      <c r="P317" s="752">
        <v>324152</v>
      </c>
    </row>
    <row r="318" spans="1:16" ht="13.8" thickBot="1">
      <c r="A318" s="810"/>
      <c r="B318" s="810"/>
      <c r="C318" s="749" t="s">
        <v>482</v>
      </c>
      <c r="D318" s="753"/>
      <c r="E318" s="753"/>
      <c r="F318" s="753"/>
      <c r="G318" s="753"/>
      <c r="H318" s="753"/>
      <c r="I318" s="753"/>
      <c r="J318" s="751">
        <v>-324152</v>
      </c>
      <c r="K318" s="751">
        <v>0</v>
      </c>
      <c r="L318" s="751">
        <v>0</v>
      </c>
      <c r="M318" s="751">
        <v>0</v>
      </c>
      <c r="N318" s="751">
        <v>0</v>
      </c>
      <c r="O318" s="751">
        <v>0</v>
      </c>
      <c r="P318" s="752">
        <v>-324152</v>
      </c>
    </row>
    <row r="319" spans="1:16" ht="13.8" thickBot="1">
      <c r="A319" s="811" t="s">
        <v>66</v>
      </c>
      <c r="B319" s="812"/>
      <c r="C319" s="813"/>
      <c r="D319" s="754">
        <f>SUM(D299:D318)</f>
        <v>-7951135</v>
      </c>
      <c r="E319" s="754">
        <f t="shared" ref="E319:P319" si="61">SUM(E299:E318)</f>
        <v>-8975224</v>
      </c>
      <c r="F319" s="754">
        <f t="shared" si="61"/>
        <v>-33148309</v>
      </c>
      <c r="G319" s="754">
        <f t="shared" si="61"/>
        <v>-35681463</v>
      </c>
      <c r="H319" s="754">
        <f t="shared" si="61"/>
        <v>19109038</v>
      </c>
      <c r="I319" s="754">
        <f t="shared" si="61"/>
        <v>10779847</v>
      </c>
      <c r="J319" s="754">
        <f t="shared" si="61"/>
        <v>26856599</v>
      </c>
      <c r="K319" s="754">
        <f t="shared" si="61"/>
        <v>10004339</v>
      </c>
      <c r="L319" s="754">
        <f t="shared" si="61"/>
        <v>-44182066</v>
      </c>
      <c r="M319" s="754">
        <f t="shared" si="61"/>
        <v>41855481</v>
      </c>
      <c r="N319" s="754">
        <f t="shared" si="61"/>
        <v>13728046</v>
      </c>
      <c r="O319" s="754">
        <f t="shared" si="61"/>
        <v>-3635217</v>
      </c>
      <c r="P319" s="754">
        <f t="shared" si="61"/>
        <v>-11240064</v>
      </c>
    </row>
    <row r="322" spans="3:17">
      <c r="C322" s="409" t="s">
        <v>674</v>
      </c>
      <c r="D322" s="418">
        <f>SUM(D299:D302)</f>
        <v>-744659</v>
      </c>
      <c r="E322" s="418">
        <f t="shared" ref="E322:O322" si="62">SUM(E299:E302)</f>
        <v>-2683367</v>
      </c>
      <c r="F322" s="418">
        <f t="shared" si="62"/>
        <v>-20846183</v>
      </c>
      <c r="G322" s="418">
        <f t="shared" si="62"/>
        <v>-23671293</v>
      </c>
      <c r="H322" s="418">
        <f t="shared" si="62"/>
        <v>-2222282</v>
      </c>
      <c r="I322" s="418">
        <f t="shared" si="62"/>
        <v>1855413</v>
      </c>
      <c r="J322" s="418">
        <f t="shared" si="62"/>
        <v>12095334</v>
      </c>
      <c r="K322" s="418">
        <f t="shared" si="62"/>
        <v>7754773</v>
      </c>
      <c r="L322" s="418">
        <f t="shared" si="62"/>
        <v>-21671300</v>
      </c>
      <c r="M322" s="418">
        <f t="shared" si="62"/>
        <v>21863253</v>
      </c>
      <c r="N322" s="418">
        <f t="shared" si="62"/>
        <v>22946150</v>
      </c>
      <c r="O322" s="418">
        <f t="shared" si="62"/>
        <v>402730</v>
      </c>
      <c r="P322" s="418">
        <f>SUM(D322:O322)</f>
        <v>-4921431</v>
      </c>
    </row>
    <row r="323" spans="3:17">
      <c r="C323" s="409" t="s">
        <v>483</v>
      </c>
      <c r="D323" s="418">
        <f>SUM(D303:D306)</f>
        <v>-1292707</v>
      </c>
      <c r="E323" s="418">
        <f t="shared" ref="E323:O323" si="63">SUM(E303:E306)</f>
        <v>581461</v>
      </c>
      <c r="F323" s="418">
        <f t="shared" si="63"/>
        <v>-5503135</v>
      </c>
      <c r="G323" s="418">
        <f t="shared" si="63"/>
        <v>-2343069</v>
      </c>
      <c r="H323" s="418">
        <f t="shared" si="63"/>
        <v>1099299</v>
      </c>
      <c r="I323" s="418">
        <f t="shared" si="63"/>
        <v>1707800</v>
      </c>
      <c r="J323" s="418">
        <f t="shared" si="63"/>
        <v>2646801</v>
      </c>
      <c r="K323" s="418">
        <f t="shared" si="63"/>
        <v>1310656</v>
      </c>
      <c r="L323" s="418">
        <f t="shared" si="63"/>
        <v>-5243733</v>
      </c>
      <c r="M323" s="418">
        <f t="shared" si="63"/>
        <v>5116676</v>
      </c>
      <c r="N323" s="418">
        <f t="shared" si="63"/>
        <v>3081066</v>
      </c>
      <c r="O323" s="418">
        <f t="shared" si="63"/>
        <v>-2249056</v>
      </c>
      <c r="P323" s="418">
        <f t="shared" ref="P323:P326" si="64">SUM(D323:O323)</f>
        <v>-1087941</v>
      </c>
      <c r="Q323" s="692"/>
    </row>
    <row r="324" spans="3:17">
      <c r="C324" s="409" t="s">
        <v>484</v>
      </c>
      <c r="D324" s="418">
        <f>SUM(D307:D310)</f>
        <v>-4855163</v>
      </c>
      <c r="E324" s="418">
        <f t="shared" ref="E324:O324" si="65">SUM(E307:E310)</f>
        <v>-391203</v>
      </c>
      <c r="F324" s="418">
        <f t="shared" si="65"/>
        <v>-10975898</v>
      </c>
      <c r="G324" s="418">
        <f t="shared" si="65"/>
        <v>164290</v>
      </c>
      <c r="H324" s="418">
        <f t="shared" si="65"/>
        <v>6455952</v>
      </c>
      <c r="I324" s="418">
        <f t="shared" si="65"/>
        <v>5885973</v>
      </c>
      <c r="J324" s="418">
        <f t="shared" si="65"/>
        <v>5568586</v>
      </c>
      <c r="K324" s="418">
        <f t="shared" si="65"/>
        <v>341680</v>
      </c>
      <c r="L324" s="418">
        <f t="shared" si="65"/>
        <v>-12220860</v>
      </c>
      <c r="M324" s="418">
        <f t="shared" si="65"/>
        <v>15456139</v>
      </c>
      <c r="N324" s="418">
        <f t="shared" si="65"/>
        <v>-344627</v>
      </c>
      <c r="O324" s="418">
        <f t="shared" si="65"/>
        <v>-8756371</v>
      </c>
      <c r="P324" s="418">
        <f t="shared" si="64"/>
        <v>-3671502</v>
      </c>
      <c r="Q324" s="692"/>
    </row>
    <row r="325" spans="3:17">
      <c r="C325" s="409" t="s">
        <v>398</v>
      </c>
      <c r="D325" s="418">
        <f>SUM(D311:D312)</f>
        <v>-1031038</v>
      </c>
      <c r="E325" s="418">
        <f t="shared" ref="E325:O325" si="66">SUM(E311:E312)</f>
        <v>-6550179</v>
      </c>
      <c r="F325" s="418">
        <f t="shared" si="66"/>
        <v>4553432</v>
      </c>
      <c r="G325" s="418">
        <f t="shared" si="66"/>
        <v>-10032940</v>
      </c>
      <c r="H325" s="418">
        <f t="shared" si="66"/>
        <v>12560606</v>
      </c>
      <c r="I325" s="418">
        <f t="shared" si="66"/>
        <v>-820004</v>
      </c>
      <c r="J325" s="418">
        <f t="shared" si="66"/>
        <v>4580814</v>
      </c>
      <c r="K325" s="418">
        <f t="shared" si="66"/>
        <v>-1007572</v>
      </c>
      <c r="L325" s="418">
        <f t="shared" si="66"/>
        <v>-2841277</v>
      </c>
      <c r="M325" s="418">
        <f t="shared" si="66"/>
        <v>1800578</v>
      </c>
      <c r="N325" s="418">
        <f t="shared" si="66"/>
        <v>-10126123</v>
      </c>
      <c r="O325" s="418">
        <f t="shared" si="66"/>
        <v>7291439</v>
      </c>
      <c r="P325" s="418">
        <f t="shared" si="64"/>
        <v>-1622264</v>
      </c>
      <c r="Q325" s="692"/>
    </row>
    <row r="326" spans="3:17">
      <c r="C326" s="409" t="s">
        <v>485</v>
      </c>
      <c r="D326" s="418">
        <f>SUM(D313:D318)</f>
        <v>-27568</v>
      </c>
      <c r="E326" s="418">
        <f t="shared" ref="E326:O326" si="67">SUM(E313:E318)</f>
        <v>68064</v>
      </c>
      <c r="F326" s="418">
        <f t="shared" si="67"/>
        <v>-376525</v>
      </c>
      <c r="G326" s="418">
        <f t="shared" si="67"/>
        <v>201549</v>
      </c>
      <c r="H326" s="418">
        <f t="shared" si="67"/>
        <v>1215463</v>
      </c>
      <c r="I326" s="418">
        <f t="shared" si="67"/>
        <v>2150665</v>
      </c>
      <c r="J326" s="418">
        <f t="shared" si="67"/>
        <v>1965064</v>
      </c>
      <c r="K326" s="418">
        <f t="shared" si="67"/>
        <v>1604802</v>
      </c>
      <c r="L326" s="418">
        <f t="shared" si="67"/>
        <v>-2204896</v>
      </c>
      <c r="M326" s="418">
        <f t="shared" si="67"/>
        <v>-2381165</v>
      </c>
      <c r="N326" s="418">
        <f t="shared" si="67"/>
        <v>-1828420</v>
      </c>
      <c r="O326" s="418">
        <f t="shared" si="67"/>
        <v>-323959</v>
      </c>
      <c r="P326" s="418">
        <f t="shared" si="64"/>
        <v>63074</v>
      </c>
      <c r="Q326" s="692"/>
    </row>
    <row r="327" spans="3:17">
      <c r="D327" s="541">
        <f>SUM(D322:D326)</f>
        <v>-7951135</v>
      </c>
      <c r="E327" s="541">
        <f t="shared" ref="E327:O327" si="68">SUM(E322:E326)</f>
        <v>-8975224</v>
      </c>
      <c r="F327" s="541">
        <f t="shared" si="68"/>
        <v>-33148309</v>
      </c>
      <c r="G327" s="541">
        <f t="shared" si="68"/>
        <v>-35681463</v>
      </c>
      <c r="H327" s="541">
        <f t="shared" si="68"/>
        <v>19109038</v>
      </c>
      <c r="I327" s="541">
        <f t="shared" si="68"/>
        <v>10779847</v>
      </c>
      <c r="J327" s="541">
        <f t="shared" si="68"/>
        <v>26856599</v>
      </c>
      <c r="K327" s="541">
        <f t="shared" si="68"/>
        <v>10004339</v>
      </c>
      <c r="L327" s="541">
        <f t="shared" si="68"/>
        <v>-44182066</v>
      </c>
      <c r="M327" s="541">
        <f t="shared" si="68"/>
        <v>41855481</v>
      </c>
      <c r="N327" s="541">
        <f t="shared" si="68"/>
        <v>13728046</v>
      </c>
      <c r="O327" s="541">
        <f t="shared" si="68"/>
        <v>-3635217</v>
      </c>
      <c r="P327" s="418">
        <f>SUM(D327:O327)</f>
        <v>-11240064</v>
      </c>
    </row>
    <row r="328" spans="3:17">
      <c r="D328" s="541">
        <f>D319-D327</f>
        <v>0</v>
      </c>
      <c r="E328" s="541">
        <f t="shared" ref="E328:N328" si="69">E319-E327</f>
        <v>0</v>
      </c>
      <c r="F328" s="541">
        <f t="shared" si="69"/>
        <v>0</v>
      </c>
      <c r="G328" s="541">
        <f t="shared" si="69"/>
        <v>0</v>
      </c>
      <c r="H328" s="541">
        <f t="shared" si="69"/>
        <v>0</v>
      </c>
      <c r="I328" s="541">
        <f t="shared" si="69"/>
        <v>0</v>
      </c>
      <c r="J328" s="541">
        <f t="shared" si="69"/>
        <v>0</v>
      </c>
      <c r="K328" s="541">
        <f t="shared" si="69"/>
        <v>0</v>
      </c>
      <c r="L328" s="541">
        <f t="shared" si="69"/>
        <v>0</v>
      </c>
      <c r="M328" s="541">
        <f t="shared" si="69"/>
        <v>0</v>
      </c>
      <c r="N328" s="541">
        <f t="shared" si="69"/>
        <v>0</v>
      </c>
      <c r="O328" s="410" t="s">
        <v>66</v>
      </c>
      <c r="P328" s="418">
        <f>SUM(P322:P326)</f>
        <v>-11240064</v>
      </c>
    </row>
    <row r="329" spans="3:17">
      <c r="O329" s="418"/>
      <c r="P329" s="418"/>
    </row>
    <row r="330" spans="3:17">
      <c r="O330" s="418"/>
      <c r="P330" s="418">
        <f>P328-P319</f>
        <v>0</v>
      </c>
    </row>
    <row r="339" spans="1:17">
      <c r="A339" s="434" t="s">
        <v>914</v>
      </c>
      <c r="B339" s="655"/>
      <c r="C339" s="655"/>
      <c r="D339" s="655"/>
      <c r="E339" s="655"/>
      <c r="F339" s="655"/>
      <c r="G339" s="655"/>
      <c r="H339" s="655"/>
      <c r="I339" s="655"/>
      <c r="J339" s="655"/>
      <c r="K339" s="655"/>
      <c r="L339" s="655"/>
      <c r="M339" s="655"/>
      <c r="N339" s="655"/>
      <c r="O339" s="655"/>
      <c r="P339" s="655"/>
    </row>
    <row r="340" spans="1:17">
      <c r="A340" s="655"/>
      <c r="B340" s="655"/>
      <c r="C340" s="655"/>
      <c r="D340" s="655"/>
      <c r="E340" s="655"/>
      <c r="F340" s="655"/>
      <c r="G340" s="655"/>
      <c r="H340" s="655"/>
      <c r="I340" s="655"/>
      <c r="J340" s="655"/>
      <c r="K340" s="655"/>
      <c r="L340" s="655"/>
      <c r="M340" s="655"/>
      <c r="N340" s="655"/>
      <c r="O340" s="655"/>
      <c r="P340" s="655"/>
    </row>
    <row r="341" spans="1:17">
      <c r="A341" s="655" t="s">
        <v>474</v>
      </c>
      <c r="B341" s="655"/>
      <c r="C341" s="655"/>
      <c r="D341" s="655"/>
      <c r="E341" s="655"/>
      <c r="F341" s="655"/>
      <c r="G341" s="655"/>
      <c r="H341" s="655"/>
      <c r="I341" s="655"/>
      <c r="J341" s="655"/>
      <c r="K341" s="655"/>
      <c r="L341" s="655"/>
      <c r="M341" s="655"/>
      <c r="N341" s="655"/>
      <c r="O341" s="655"/>
      <c r="P341" s="655"/>
    </row>
    <row r="342" spans="1:17">
      <c r="A342" s="655"/>
      <c r="B342" s="655"/>
      <c r="C342" s="655"/>
      <c r="D342" s="655"/>
      <c r="E342" s="655"/>
      <c r="F342" s="655"/>
      <c r="G342" s="655"/>
      <c r="H342" s="655"/>
      <c r="I342" s="655"/>
      <c r="J342" s="655"/>
      <c r="K342" s="655"/>
      <c r="L342" s="655"/>
      <c r="M342" s="655"/>
      <c r="N342" s="655"/>
      <c r="O342" s="655"/>
      <c r="P342" s="655"/>
    </row>
    <row r="343" spans="1:17">
      <c r="A343" s="655"/>
      <c r="B343" s="655"/>
      <c r="C343" s="655"/>
      <c r="D343" s="655" t="s">
        <v>697</v>
      </c>
      <c r="E343" s="655"/>
      <c r="F343" s="655"/>
      <c r="G343" s="655"/>
      <c r="H343" s="655"/>
      <c r="I343" s="655"/>
      <c r="J343" s="655"/>
      <c r="K343" s="655"/>
      <c r="L343" s="655"/>
      <c r="M343" s="655"/>
      <c r="N343" s="655"/>
      <c r="O343" s="655"/>
      <c r="P343" s="655"/>
    </row>
    <row r="344" spans="1:17">
      <c r="A344" s="655"/>
      <c r="B344" s="655"/>
      <c r="C344" s="655" t="s">
        <v>475</v>
      </c>
      <c r="D344" s="683">
        <v>201901</v>
      </c>
      <c r="E344" s="748">
        <v>201902</v>
      </c>
      <c r="F344" s="748">
        <v>201903</v>
      </c>
      <c r="G344" s="748">
        <v>201904</v>
      </c>
      <c r="H344" s="748">
        <v>201905</v>
      </c>
      <c r="I344" s="748">
        <v>201906</v>
      </c>
      <c r="J344" s="748">
        <v>201907</v>
      </c>
      <c r="K344" s="748">
        <v>201908</v>
      </c>
      <c r="L344" s="748">
        <v>201909</v>
      </c>
      <c r="M344" s="748">
        <v>201910</v>
      </c>
      <c r="N344" s="748">
        <v>201911</v>
      </c>
      <c r="O344" s="748">
        <v>201912</v>
      </c>
      <c r="P344" s="655" t="s">
        <v>478</v>
      </c>
    </row>
    <row r="346" spans="1:17">
      <c r="A346" s="748" t="s">
        <v>915</v>
      </c>
      <c r="B346" s="748"/>
      <c r="C346" s="748"/>
      <c r="D346" s="748"/>
      <c r="E346" s="748"/>
      <c r="F346" s="748"/>
      <c r="G346" s="748"/>
      <c r="H346" s="748"/>
      <c r="I346" s="748"/>
      <c r="J346" s="748"/>
      <c r="K346" s="748"/>
      <c r="L346" s="748"/>
      <c r="M346" s="748"/>
      <c r="N346" s="748"/>
      <c r="O346" s="748"/>
      <c r="P346" s="748"/>
      <c r="Q346" s="748"/>
    </row>
    <row r="347" spans="1:17">
      <c r="A347" s="748" t="s">
        <v>916</v>
      </c>
      <c r="B347" s="748"/>
      <c r="C347" s="748"/>
      <c r="D347" s="748"/>
      <c r="E347" s="748"/>
      <c r="F347" s="748"/>
      <c r="G347" s="748"/>
      <c r="H347" s="748"/>
      <c r="I347" s="748"/>
      <c r="J347" s="748"/>
      <c r="K347" s="748"/>
      <c r="L347" s="748"/>
      <c r="M347" s="748"/>
      <c r="N347" s="748"/>
      <c r="O347" s="748"/>
      <c r="P347" s="748"/>
      <c r="Q347" s="748"/>
    </row>
    <row r="348" spans="1:17" ht="14.4">
      <c r="A348" s="748"/>
      <c r="B348" s="748" t="s">
        <v>917</v>
      </c>
      <c r="C348" s="748"/>
      <c r="D348" s="755">
        <v>210947.73</v>
      </c>
      <c r="E348" s="755">
        <v>213666.06</v>
      </c>
      <c r="F348" s="755">
        <v>231146.78</v>
      </c>
      <c r="G348" s="755">
        <v>197713.04</v>
      </c>
      <c r="H348" s="755">
        <v>208742.72</v>
      </c>
      <c r="I348" s="755">
        <v>227748.21</v>
      </c>
      <c r="J348" s="755">
        <v>237912.8</v>
      </c>
      <c r="K348" s="755">
        <v>260707.5</v>
      </c>
      <c r="L348" s="755">
        <v>264421.15999999997</v>
      </c>
      <c r="M348" s="755">
        <v>247952.67</v>
      </c>
      <c r="N348" s="755">
        <v>236848.6</v>
      </c>
      <c r="O348" s="755">
        <v>228751.6</v>
      </c>
      <c r="P348" s="588">
        <f>SUM(D348:O348)</f>
        <v>2766558.87</v>
      </c>
      <c r="Q348" s="748"/>
    </row>
    <row r="349" spans="1:17" ht="14.4">
      <c r="A349" s="748"/>
      <c r="B349" s="748" t="s">
        <v>918</v>
      </c>
      <c r="C349" s="748"/>
      <c r="D349" s="755">
        <v>0</v>
      </c>
      <c r="E349" s="755">
        <v>0</v>
      </c>
      <c r="F349" s="755">
        <v>0</v>
      </c>
      <c r="G349" s="755">
        <v>0</v>
      </c>
      <c r="H349" s="755">
        <v>0</v>
      </c>
      <c r="I349" s="755">
        <v>0</v>
      </c>
      <c r="J349" s="755">
        <v>0</v>
      </c>
      <c r="K349" s="755">
        <v>0</v>
      </c>
      <c r="L349" s="755">
        <v>0</v>
      </c>
      <c r="M349" s="755">
        <v>0</v>
      </c>
      <c r="N349" s="755">
        <v>0</v>
      </c>
      <c r="O349" s="755">
        <v>0</v>
      </c>
      <c r="P349" s="588">
        <f>SUM(D349:O349)</f>
        <v>0</v>
      </c>
      <c r="Q349" s="748"/>
    </row>
    <row r="350" spans="1:17" ht="14.4">
      <c r="A350" s="748"/>
      <c r="B350" s="748" t="s">
        <v>919</v>
      </c>
      <c r="C350" s="748"/>
      <c r="D350" s="755">
        <v>6.5</v>
      </c>
      <c r="E350" s="756">
        <f>D350</f>
        <v>6.5</v>
      </c>
      <c r="F350" s="756">
        <f t="shared" ref="F350:O351" si="70">E350</f>
        <v>6.5</v>
      </c>
      <c r="G350" s="756">
        <f t="shared" si="70"/>
        <v>6.5</v>
      </c>
      <c r="H350" s="756">
        <f t="shared" si="70"/>
        <v>6.5</v>
      </c>
      <c r="I350" s="756">
        <f t="shared" si="70"/>
        <v>6.5</v>
      </c>
      <c r="J350" s="756">
        <f t="shared" si="70"/>
        <v>6.5</v>
      </c>
      <c r="K350" s="756">
        <f t="shared" si="70"/>
        <v>6.5</v>
      </c>
      <c r="L350" s="756">
        <f t="shared" si="70"/>
        <v>6.5</v>
      </c>
      <c r="M350" s="756">
        <f t="shared" si="70"/>
        <v>6.5</v>
      </c>
      <c r="N350" s="756">
        <f t="shared" si="70"/>
        <v>6.5</v>
      </c>
      <c r="O350" s="756">
        <f t="shared" si="70"/>
        <v>6.5</v>
      </c>
      <c r="P350" s="748"/>
      <c r="Q350" s="748"/>
    </row>
    <row r="351" spans="1:17" ht="14.4">
      <c r="A351" s="748"/>
      <c r="B351" s="748" t="s">
        <v>920</v>
      </c>
      <c r="C351" s="748"/>
      <c r="D351" s="755">
        <v>0.5</v>
      </c>
      <c r="E351" s="756">
        <f>D351</f>
        <v>0.5</v>
      </c>
      <c r="F351" s="756">
        <f t="shared" si="70"/>
        <v>0.5</v>
      </c>
      <c r="G351" s="756">
        <f t="shared" si="70"/>
        <v>0.5</v>
      </c>
      <c r="H351" s="756">
        <f t="shared" si="70"/>
        <v>0.5</v>
      </c>
      <c r="I351" s="756">
        <f t="shared" si="70"/>
        <v>0.5</v>
      </c>
      <c r="J351" s="756">
        <f t="shared" si="70"/>
        <v>0.5</v>
      </c>
      <c r="K351" s="756">
        <f t="shared" si="70"/>
        <v>0.5</v>
      </c>
      <c r="L351" s="756">
        <f t="shared" si="70"/>
        <v>0.5</v>
      </c>
      <c r="M351" s="756">
        <f t="shared" si="70"/>
        <v>0.5</v>
      </c>
      <c r="N351" s="756">
        <f t="shared" si="70"/>
        <v>0.5</v>
      </c>
      <c r="O351" s="756">
        <f t="shared" si="70"/>
        <v>0.5</v>
      </c>
      <c r="P351" s="748"/>
      <c r="Q351" s="748"/>
    </row>
    <row r="352" spans="1:17">
      <c r="A352" s="748" t="s">
        <v>921</v>
      </c>
      <c r="B352" s="748"/>
      <c r="C352" s="748"/>
      <c r="D352" s="748"/>
      <c r="E352" s="748"/>
      <c r="F352" s="748"/>
      <c r="G352" s="748"/>
      <c r="H352" s="748"/>
      <c r="I352" s="748"/>
      <c r="J352" s="748"/>
      <c r="K352" s="748"/>
      <c r="L352" s="748"/>
      <c r="M352" s="748"/>
      <c r="N352" s="748"/>
      <c r="O352" s="748"/>
      <c r="P352" s="748"/>
      <c r="Q352" s="748"/>
    </row>
    <row r="353" spans="1:17" ht="14.4">
      <c r="A353" s="748"/>
      <c r="B353" s="748" t="s">
        <v>917</v>
      </c>
      <c r="C353" s="748"/>
      <c r="D353" s="755">
        <v>7626.84</v>
      </c>
      <c r="E353" s="755">
        <v>7923.84</v>
      </c>
      <c r="F353" s="755">
        <v>8197.2000000000007</v>
      </c>
      <c r="G353" s="755">
        <v>6605.04</v>
      </c>
      <c r="H353" s="755">
        <v>5549.55</v>
      </c>
      <c r="I353" s="755">
        <v>4194.29</v>
      </c>
      <c r="J353" s="755">
        <v>4294.84</v>
      </c>
      <c r="K353" s="755">
        <v>6707.5</v>
      </c>
      <c r="L353" s="755">
        <v>6604.23</v>
      </c>
      <c r="M353" s="755">
        <v>7089.95</v>
      </c>
      <c r="N353" s="755">
        <v>8859.67</v>
      </c>
      <c r="O353" s="755">
        <v>8790.0300000000007</v>
      </c>
      <c r="P353" s="588">
        <f t="shared" ref="P353:P354" si="71">SUM(D353:O353)</f>
        <v>82442.98</v>
      </c>
      <c r="Q353" s="748"/>
    </row>
    <row r="354" spans="1:17" ht="14.4">
      <c r="A354" s="748"/>
      <c r="B354" s="748" t="s">
        <v>918</v>
      </c>
      <c r="C354" s="748"/>
      <c r="D354" s="755">
        <v>0</v>
      </c>
      <c r="E354" s="755">
        <v>0</v>
      </c>
      <c r="F354" s="755">
        <v>0</v>
      </c>
      <c r="G354" s="755">
        <v>0</v>
      </c>
      <c r="H354" s="755">
        <v>0</v>
      </c>
      <c r="I354" s="755">
        <v>0</v>
      </c>
      <c r="J354" s="755">
        <v>0</v>
      </c>
      <c r="K354" s="755">
        <v>0</v>
      </c>
      <c r="L354" s="755">
        <v>0</v>
      </c>
      <c r="M354" s="755">
        <v>0</v>
      </c>
      <c r="N354" s="755">
        <v>0</v>
      </c>
      <c r="O354" s="755">
        <v>0</v>
      </c>
      <c r="P354" s="588">
        <f t="shared" si="71"/>
        <v>0</v>
      </c>
      <c r="Q354" s="748"/>
    </row>
    <row r="355" spans="1:17" ht="14.4">
      <c r="A355" s="748"/>
      <c r="B355" s="748" t="s">
        <v>919</v>
      </c>
      <c r="C355" s="748"/>
      <c r="D355" s="755">
        <v>6.5</v>
      </c>
      <c r="E355" s="756">
        <f>D355</f>
        <v>6.5</v>
      </c>
      <c r="F355" s="756">
        <f t="shared" ref="F355:O356" si="72">E355</f>
        <v>6.5</v>
      </c>
      <c r="G355" s="756">
        <f t="shared" si="72"/>
        <v>6.5</v>
      </c>
      <c r="H355" s="756">
        <f t="shared" si="72"/>
        <v>6.5</v>
      </c>
      <c r="I355" s="756">
        <f t="shared" si="72"/>
        <v>6.5</v>
      </c>
      <c r="J355" s="756">
        <f t="shared" si="72"/>
        <v>6.5</v>
      </c>
      <c r="K355" s="756">
        <f t="shared" si="72"/>
        <v>6.5</v>
      </c>
      <c r="L355" s="756">
        <f t="shared" si="72"/>
        <v>6.5</v>
      </c>
      <c r="M355" s="756">
        <f t="shared" si="72"/>
        <v>6.5</v>
      </c>
      <c r="N355" s="756">
        <f t="shared" si="72"/>
        <v>6.5</v>
      </c>
      <c r="O355" s="756">
        <f t="shared" si="72"/>
        <v>6.5</v>
      </c>
      <c r="P355" s="748"/>
      <c r="Q355" s="748"/>
    </row>
    <row r="356" spans="1:17" ht="14.4">
      <c r="A356" s="748"/>
      <c r="B356" s="748" t="s">
        <v>920</v>
      </c>
      <c r="C356" s="748"/>
      <c r="D356" s="755">
        <v>0.5</v>
      </c>
      <c r="E356" s="756">
        <f>D356</f>
        <v>0.5</v>
      </c>
      <c r="F356" s="756">
        <f t="shared" si="72"/>
        <v>0.5</v>
      </c>
      <c r="G356" s="756">
        <f t="shared" si="72"/>
        <v>0.5</v>
      </c>
      <c r="H356" s="756">
        <f t="shared" si="72"/>
        <v>0.5</v>
      </c>
      <c r="I356" s="756">
        <f t="shared" si="72"/>
        <v>0.5</v>
      </c>
      <c r="J356" s="756">
        <f t="shared" si="72"/>
        <v>0.5</v>
      </c>
      <c r="K356" s="756">
        <f t="shared" si="72"/>
        <v>0.5</v>
      </c>
      <c r="L356" s="756">
        <f t="shared" si="72"/>
        <v>0.5</v>
      </c>
      <c r="M356" s="756">
        <f t="shared" si="72"/>
        <v>0.5</v>
      </c>
      <c r="N356" s="756">
        <f t="shared" si="72"/>
        <v>0.5</v>
      </c>
      <c r="O356" s="756">
        <f t="shared" si="72"/>
        <v>0.5</v>
      </c>
      <c r="P356" s="748"/>
      <c r="Q356" s="748"/>
    </row>
    <row r="357" spans="1:17">
      <c r="A357" s="748" t="s">
        <v>922</v>
      </c>
      <c r="B357" s="748"/>
      <c r="C357" s="748"/>
      <c r="D357" s="748"/>
      <c r="E357" s="748"/>
      <c r="F357" s="748"/>
      <c r="G357" s="748"/>
      <c r="H357" s="748"/>
      <c r="I357" s="748"/>
      <c r="J357" s="748"/>
      <c r="K357" s="748"/>
      <c r="L357" s="748"/>
      <c r="M357" s="748"/>
      <c r="N357" s="748"/>
      <c r="O357" s="748"/>
      <c r="P357" s="748"/>
      <c r="Q357" s="748"/>
    </row>
    <row r="358" spans="1:17" ht="14.4">
      <c r="A358" s="748"/>
      <c r="B358" s="748" t="s">
        <v>917</v>
      </c>
      <c r="C358" s="748"/>
      <c r="D358" s="757">
        <v>1323996.9099999999</v>
      </c>
      <c r="E358" s="757">
        <v>1285571.51</v>
      </c>
      <c r="F358" s="757">
        <v>1368216.58</v>
      </c>
      <c r="G358" s="757">
        <v>1311816.22</v>
      </c>
      <c r="H358" s="757">
        <v>1343031.12</v>
      </c>
      <c r="I358" s="757">
        <v>1469575.33</v>
      </c>
      <c r="J358" s="757">
        <v>1497363.67</v>
      </c>
      <c r="K358" s="757">
        <v>1539350.45</v>
      </c>
      <c r="L358" s="757">
        <v>1489775.05</v>
      </c>
      <c r="M358" s="757">
        <v>1513382.8</v>
      </c>
      <c r="N358" s="757">
        <v>1394984.26</v>
      </c>
      <c r="O358" s="757">
        <v>1352514.19</v>
      </c>
      <c r="P358" s="588">
        <f t="shared" ref="P358:P360" si="73">SUM(D358:O358)</f>
        <v>16889578.09</v>
      </c>
      <c r="Q358" s="748"/>
    </row>
    <row r="359" spans="1:17" ht="14.4">
      <c r="A359" s="748"/>
      <c r="B359" s="748" t="s">
        <v>918</v>
      </c>
      <c r="C359" s="748"/>
      <c r="D359" s="755">
        <v>9113.23</v>
      </c>
      <c r="E359" s="755">
        <v>8668.18</v>
      </c>
      <c r="F359" s="755">
        <v>8492.15</v>
      </c>
      <c r="G359" s="755">
        <v>9184.44</v>
      </c>
      <c r="H359" s="755">
        <v>10070.290000000001</v>
      </c>
      <c r="I359" s="755">
        <v>10933.33</v>
      </c>
      <c r="J359" s="755">
        <v>12202.77</v>
      </c>
      <c r="K359" s="755">
        <v>11821.83</v>
      </c>
      <c r="L359" s="755">
        <v>12466.38</v>
      </c>
      <c r="M359" s="755">
        <v>11497.97</v>
      </c>
      <c r="N359" s="755">
        <v>11126.52</v>
      </c>
      <c r="O359" s="755">
        <v>10683.54</v>
      </c>
      <c r="P359" s="588">
        <f t="shared" si="73"/>
        <v>126260.63</v>
      </c>
      <c r="Q359" s="748"/>
    </row>
    <row r="360" spans="1:17" ht="14.4">
      <c r="A360" s="748"/>
      <c r="B360" s="748" t="s">
        <v>923</v>
      </c>
      <c r="C360" s="748"/>
      <c r="D360" s="755">
        <v>-3897.25</v>
      </c>
      <c r="E360" s="755">
        <v>-13267.62</v>
      </c>
      <c r="F360" s="755">
        <v>-4203.5200000000004</v>
      </c>
      <c r="G360" s="755">
        <v>-4123.3599999999997</v>
      </c>
      <c r="H360" s="755">
        <v>-4769.8900000000003</v>
      </c>
      <c r="I360" s="755">
        <v>-5017.3500000000004</v>
      </c>
      <c r="J360" s="755">
        <v>-4718.68</v>
      </c>
      <c r="K360" s="755">
        <v>-5313.78</v>
      </c>
      <c r="L360" s="755">
        <v>-5340.07</v>
      </c>
      <c r="M360" s="755">
        <v>-5371</v>
      </c>
      <c r="N360" s="755">
        <v>-4934</v>
      </c>
      <c r="O360" s="755">
        <v>-4212.6899999999996</v>
      </c>
      <c r="P360" s="588">
        <f t="shared" si="73"/>
        <v>-65169.210000000006</v>
      </c>
      <c r="Q360" s="748"/>
    </row>
    <row r="361" spans="1:17" ht="14.4">
      <c r="A361" s="748"/>
      <c r="B361" s="748" t="s">
        <v>919</v>
      </c>
      <c r="C361" s="748"/>
      <c r="D361" s="755">
        <v>6.5</v>
      </c>
      <c r="E361" s="756">
        <f>D361</f>
        <v>6.5</v>
      </c>
      <c r="F361" s="756">
        <f t="shared" ref="F361:O363" si="74">E361</f>
        <v>6.5</v>
      </c>
      <c r="G361" s="756">
        <f t="shared" si="74"/>
        <v>6.5</v>
      </c>
      <c r="H361" s="756">
        <f t="shared" si="74"/>
        <v>6.5</v>
      </c>
      <c r="I361" s="756">
        <f t="shared" si="74"/>
        <v>6.5</v>
      </c>
      <c r="J361" s="756">
        <f t="shared" si="74"/>
        <v>6.5</v>
      </c>
      <c r="K361" s="756">
        <f t="shared" si="74"/>
        <v>6.5</v>
      </c>
      <c r="L361" s="756">
        <f t="shared" si="74"/>
        <v>6.5</v>
      </c>
      <c r="M361" s="756">
        <f t="shared" si="74"/>
        <v>6.5</v>
      </c>
      <c r="N361" s="756">
        <f t="shared" si="74"/>
        <v>6.5</v>
      </c>
      <c r="O361" s="756">
        <f t="shared" si="74"/>
        <v>6.5</v>
      </c>
      <c r="P361" s="748"/>
      <c r="Q361" s="748"/>
    </row>
    <row r="362" spans="1:17" ht="14.4">
      <c r="A362" s="748"/>
      <c r="B362" s="748" t="s">
        <v>920</v>
      </c>
      <c r="C362" s="748"/>
      <c r="D362" s="755">
        <v>0.5</v>
      </c>
      <c r="E362" s="756">
        <f>D362</f>
        <v>0.5</v>
      </c>
      <c r="F362" s="756">
        <f t="shared" si="74"/>
        <v>0.5</v>
      </c>
      <c r="G362" s="756">
        <f t="shared" si="74"/>
        <v>0.5</v>
      </c>
      <c r="H362" s="756">
        <f t="shared" si="74"/>
        <v>0.5</v>
      </c>
      <c r="I362" s="756">
        <f t="shared" si="74"/>
        <v>0.5</v>
      </c>
      <c r="J362" s="756">
        <f t="shared" si="74"/>
        <v>0.5</v>
      </c>
      <c r="K362" s="756">
        <f t="shared" si="74"/>
        <v>0.5</v>
      </c>
      <c r="L362" s="756">
        <f t="shared" si="74"/>
        <v>0.5</v>
      </c>
      <c r="M362" s="756">
        <f t="shared" si="74"/>
        <v>0.5</v>
      </c>
      <c r="N362" s="756">
        <f t="shared" si="74"/>
        <v>0.5</v>
      </c>
      <c r="O362" s="756">
        <f t="shared" si="74"/>
        <v>0.5</v>
      </c>
      <c r="P362" s="748"/>
      <c r="Q362" s="748"/>
    </row>
    <row r="363" spans="1:17" ht="14.4">
      <c r="A363" s="748"/>
      <c r="B363" s="748" t="s">
        <v>924</v>
      </c>
      <c r="C363" s="748"/>
      <c r="D363" s="755">
        <v>-0.2</v>
      </c>
      <c r="E363" s="756">
        <f>D363</f>
        <v>-0.2</v>
      </c>
      <c r="F363" s="756">
        <f t="shared" si="74"/>
        <v>-0.2</v>
      </c>
      <c r="G363" s="756">
        <f t="shared" si="74"/>
        <v>-0.2</v>
      </c>
      <c r="H363" s="756">
        <f t="shared" si="74"/>
        <v>-0.2</v>
      </c>
      <c r="I363" s="756">
        <f t="shared" si="74"/>
        <v>-0.2</v>
      </c>
      <c r="J363" s="756">
        <f t="shared" si="74"/>
        <v>-0.2</v>
      </c>
      <c r="K363" s="756">
        <f t="shared" si="74"/>
        <v>-0.2</v>
      </c>
      <c r="L363" s="756">
        <f t="shared" si="74"/>
        <v>-0.2</v>
      </c>
      <c r="M363" s="756">
        <f t="shared" si="74"/>
        <v>-0.2</v>
      </c>
      <c r="N363" s="756">
        <f t="shared" si="74"/>
        <v>-0.2</v>
      </c>
      <c r="O363" s="756">
        <f t="shared" si="74"/>
        <v>-0.2</v>
      </c>
      <c r="P363" s="748"/>
      <c r="Q363" s="748"/>
    </row>
    <row r="364" spans="1:17">
      <c r="A364" s="748" t="s">
        <v>925</v>
      </c>
      <c r="B364" s="748"/>
      <c r="C364" s="748"/>
      <c r="D364" s="748"/>
      <c r="E364" s="748"/>
      <c r="F364" s="748"/>
      <c r="G364" s="748"/>
      <c r="H364" s="748"/>
      <c r="I364" s="748"/>
      <c r="J364" s="748"/>
      <c r="K364" s="748"/>
      <c r="L364" s="748"/>
      <c r="M364" s="748"/>
      <c r="N364" s="748"/>
      <c r="O364" s="748"/>
      <c r="P364" s="748"/>
      <c r="Q364" s="748"/>
    </row>
    <row r="365" spans="1:17" ht="14.4">
      <c r="A365" s="748"/>
      <c r="B365" s="748" t="s">
        <v>917</v>
      </c>
      <c r="C365" s="748"/>
      <c r="D365" s="755">
        <v>31412.65</v>
      </c>
      <c r="E365" s="755">
        <v>32464</v>
      </c>
      <c r="F365" s="755">
        <v>35972.1</v>
      </c>
      <c r="G365" s="755">
        <v>26928.86</v>
      </c>
      <c r="H365" s="755">
        <v>21101.919999999998</v>
      </c>
      <c r="I365" s="755">
        <v>20721.34</v>
      </c>
      <c r="J365" s="755">
        <v>21544.74</v>
      </c>
      <c r="K365" s="755">
        <v>23156.35</v>
      </c>
      <c r="L365" s="755">
        <v>21024.53</v>
      </c>
      <c r="M365" s="755">
        <v>27308.44</v>
      </c>
      <c r="N365" s="755">
        <v>31090.45</v>
      </c>
      <c r="O365" s="755">
        <v>29927.94</v>
      </c>
      <c r="P365" s="588">
        <f t="shared" ref="P365:P367" si="75">SUM(D365:O365)</f>
        <v>322653.32</v>
      </c>
      <c r="Q365" s="748"/>
    </row>
    <row r="366" spans="1:17" ht="14.4">
      <c r="A366" s="748"/>
      <c r="B366" s="748" t="s">
        <v>918</v>
      </c>
      <c r="C366" s="748"/>
      <c r="D366" s="755">
        <v>0</v>
      </c>
      <c r="E366" s="755">
        <v>0</v>
      </c>
      <c r="F366" s="755">
        <v>0</v>
      </c>
      <c r="G366" s="755">
        <v>0</v>
      </c>
      <c r="H366" s="755">
        <v>0</v>
      </c>
      <c r="I366" s="755">
        <v>2.98</v>
      </c>
      <c r="J366" s="755">
        <v>3.68</v>
      </c>
      <c r="K366" s="755">
        <v>5.84</v>
      </c>
      <c r="L366" s="755">
        <v>3.92</v>
      </c>
      <c r="M366" s="755">
        <v>15.39</v>
      </c>
      <c r="N366" s="755">
        <v>0</v>
      </c>
      <c r="O366" s="755">
        <v>0</v>
      </c>
      <c r="P366" s="588">
        <f t="shared" si="75"/>
        <v>31.810000000000002</v>
      </c>
      <c r="Q366" s="748"/>
    </row>
    <row r="367" spans="1:17" ht="14.4">
      <c r="A367" s="748"/>
      <c r="B367" s="748" t="s">
        <v>923</v>
      </c>
      <c r="C367" s="748"/>
      <c r="D367" s="755">
        <v>0</v>
      </c>
      <c r="E367" s="755">
        <v>0</v>
      </c>
      <c r="F367" s="755">
        <v>0</v>
      </c>
      <c r="G367" s="755">
        <v>0</v>
      </c>
      <c r="H367" s="755">
        <v>0</v>
      </c>
      <c r="I367" s="755">
        <v>0</v>
      </c>
      <c r="J367" s="755">
        <v>0</v>
      </c>
      <c r="K367" s="755">
        <v>0</v>
      </c>
      <c r="L367" s="755">
        <v>0</v>
      </c>
      <c r="M367" s="755">
        <v>0</v>
      </c>
      <c r="N367" s="755">
        <v>0</v>
      </c>
      <c r="O367" s="755">
        <v>0</v>
      </c>
      <c r="P367" s="588">
        <f t="shared" si="75"/>
        <v>0</v>
      </c>
      <c r="Q367" s="748"/>
    </row>
    <row r="368" spans="1:17" ht="14.4">
      <c r="A368" s="748"/>
      <c r="B368" s="748" t="s">
        <v>919</v>
      </c>
      <c r="C368" s="748"/>
      <c r="D368" s="755">
        <v>6.5</v>
      </c>
      <c r="E368" s="756">
        <f>D368</f>
        <v>6.5</v>
      </c>
      <c r="F368" s="756">
        <f t="shared" ref="F368:O370" si="76">E368</f>
        <v>6.5</v>
      </c>
      <c r="G368" s="756">
        <f t="shared" si="76"/>
        <v>6.5</v>
      </c>
      <c r="H368" s="756">
        <f t="shared" si="76"/>
        <v>6.5</v>
      </c>
      <c r="I368" s="756">
        <f t="shared" si="76"/>
        <v>6.5</v>
      </c>
      <c r="J368" s="756">
        <f t="shared" si="76"/>
        <v>6.5</v>
      </c>
      <c r="K368" s="756">
        <f t="shared" si="76"/>
        <v>6.5</v>
      </c>
      <c r="L368" s="756">
        <f t="shared" si="76"/>
        <v>6.5</v>
      </c>
      <c r="M368" s="756">
        <f t="shared" si="76"/>
        <v>6.5</v>
      </c>
      <c r="N368" s="756">
        <f t="shared" si="76"/>
        <v>6.5</v>
      </c>
      <c r="O368" s="756">
        <f t="shared" si="76"/>
        <v>6.5</v>
      </c>
      <c r="P368" s="748"/>
      <c r="Q368" s="748"/>
    </row>
    <row r="369" spans="1:17" ht="14.4">
      <c r="A369" s="748"/>
      <c r="B369" s="748" t="s">
        <v>920</v>
      </c>
      <c r="C369" s="748"/>
      <c r="D369" s="755">
        <v>0.5</v>
      </c>
      <c r="E369" s="756">
        <f>D369</f>
        <v>0.5</v>
      </c>
      <c r="F369" s="756">
        <f t="shared" si="76"/>
        <v>0.5</v>
      </c>
      <c r="G369" s="756">
        <f t="shared" si="76"/>
        <v>0.5</v>
      </c>
      <c r="H369" s="756">
        <f t="shared" si="76"/>
        <v>0.5</v>
      </c>
      <c r="I369" s="756">
        <f t="shared" si="76"/>
        <v>0.5</v>
      </c>
      <c r="J369" s="756">
        <f t="shared" si="76"/>
        <v>0.5</v>
      </c>
      <c r="K369" s="756">
        <f t="shared" si="76"/>
        <v>0.5</v>
      </c>
      <c r="L369" s="756">
        <f t="shared" si="76"/>
        <v>0.5</v>
      </c>
      <c r="M369" s="756">
        <f t="shared" si="76"/>
        <v>0.5</v>
      </c>
      <c r="N369" s="756">
        <f t="shared" si="76"/>
        <v>0.5</v>
      </c>
      <c r="O369" s="756">
        <f t="shared" si="76"/>
        <v>0.5</v>
      </c>
      <c r="P369" s="748"/>
      <c r="Q369" s="748"/>
    </row>
    <row r="370" spans="1:17" ht="14.4">
      <c r="A370" s="748"/>
      <c r="B370" s="748" t="s">
        <v>924</v>
      </c>
      <c r="C370" s="748"/>
      <c r="D370" s="755">
        <v>-0.2</v>
      </c>
      <c r="E370" s="756">
        <f>D370</f>
        <v>-0.2</v>
      </c>
      <c r="F370" s="756">
        <f t="shared" si="76"/>
        <v>-0.2</v>
      </c>
      <c r="G370" s="756">
        <f t="shared" si="76"/>
        <v>-0.2</v>
      </c>
      <c r="H370" s="756">
        <f t="shared" si="76"/>
        <v>-0.2</v>
      </c>
      <c r="I370" s="756">
        <f t="shared" si="76"/>
        <v>-0.2</v>
      </c>
      <c r="J370" s="756">
        <f t="shared" si="76"/>
        <v>-0.2</v>
      </c>
      <c r="K370" s="756">
        <f t="shared" si="76"/>
        <v>-0.2</v>
      </c>
      <c r="L370" s="756">
        <f t="shared" si="76"/>
        <v>-0.2</v>
      </c>
      <c r="M370" s="756">
        <f t="shared" si="76"/>
        <v>-0.2</v>
      </c>
      <c r="N370" s="756">
        <f t="shared" si="76"/>
        <v>-0.2</v>
      </c>
      <c r="O370" s="756">
        <f t="shared" si="76"/>
        <v>-0.2</v>
      </c>
      <c r="P370" s="748"/>
      <c r="Q370" s="748"/>
    </row>
    <row r="371" spans="1:17">
      <c r="A371" s="748" t="s">
        <v>926</v>
      </c>
      <c r="B371" s="748"/>
      <c r="C371" s="748"/>
      <c r="D371" s="748"/>
      <c r="E371" s="748"/>
      <c r="F371" s="748"/>
      <c r="G371" s="748"/>
      <c r="H371" s="748"/>
      <c r="I371" s="748"/>
      <c r="J371" s="748"/>
      <c r="K371" s="748"/>
      <c r="L371" s="748"/>
      <c r="M371" s="748"/>
      <c r="N371" s="748"/>
      <c r="O371" s="748"/>
      <c r="P371" s="748"/>
      <c r="Q371" s="748"/>
    </row>
    <row r="372" spans="1:17" ht="14.4">
      <c r="A372" s="748"/>
      <c r="B372" s="748" t="s">
        <v>917</v>
      </c>
      <c r="C372" s="748"/>
      <c r="D372" s="755">
        <v>666432.23</v>
      </c>
      <c r="E372" s="755">
        <v>652001.65</v>
      </c>
      <c r="F372" s="755">
        <v>686228.85</v>
      </c>
      <c r="G372" s="755">
        <v>673260.36</v>
      </c>
      <c r="H372" s="755">
        <v>660927.79</v>
      </c>
      <c r="I372" s="755">
        <v>725362.24</v>
      </c>
      <c r="J372" s="755">
        <v>694676.39</v>
      </c>
      <c r="K372" s="755">
        <v>706268.77</v>
      </c>
      <c r="L372" s="755">
        <v>741565.98</v>
      </c>
      <c r="M372" s="755">
        <v>733036.77</v>
      </c>
      <c r="N372" s="755">
        <v>705514.82</v>
      </c>
      <c r="O372" s="755">
        <v>662546.63</v>
      </c>
      <c r="P372" s="588">
        <f t="shared" ref="P372:P375" si="77">SUM(D372:O372)</f>
        <v>8307822.4799999995</v>
      </c>
      <c r="Q372" s="418"/>
    </row>
    <row r="373" spans="1:17" ht="14.4">
      <c r="A373" s="748"/>
      <c r="B373" s="748" t="s">
        <v>927</v>
      </c>
      <c r="C373" s="748"/>
      <c r="D373" s="755">
        <v>-19158.52</v>
      </c>
      <c r="E373" s="755">
        <v>-19530.38</v>
      </c>
      <c r="F373" s="755">
        <v>-19520.25</v>
      </c>
      <c r="G373" s="755">
        <v>-19393.53</v>
      </c>
      <c r="H373" s="755">
        <v>-19101.2</v>
      </c>
      <c r="I373" s="755">
        <v>-21280.44</v>
      </c>
      <c r="J373" s="755">
        <v>-20110.23</v>
      </c>
      <c r="K373" s="755">
        <v>-20385.759999999998</v>
      </c>
      <c r="L373" s="755">
        <v>-20922.39</v>
      </c>
      <c r="M373" s="755">
        <v>-20525.259999999998</v>
      </c>
      <c r="N373" s="755">
        <v>-17120.55</v>
      </c>
      <c r="O373" s="755">
        <v>-16629.810000000001</v>
      </c>
      <c r="P373" s="588">
        <f t="shared" si="77"/>
        <v>-233678.32</v>
      </c>
      <c r="Q373" s="418"/>
    </row>
    <row r="374" spans="1:17" ht="14.4">
      <c r="A374" s="748"/>
      <c r="B374" s="748" t="s">
        <v>928</v>
      </c>
      <c r="C374" s="748"/>
      <c r="D374" s="755">
        <v>-9986.11</v>
      </c>
      <c r="E374" s="755">
        <v>-13362.28</v>
      </c>
      <c r="F374" s="755">
        <v>-11794.68</v>
      </c>
      <c r="G374" s="755">
        <v>-11909.8</v>
      </c>
      <c r="H374" s="755">
        <v>-9559.61</v>
      </c>
      <c r="I374" s="755">
        <v>-9692.86</v>
      </c>
      <c r="J374" s="755">
        <v>-10133.27</v>
      </c>
      <c r="K374" s="755">
        <v>-9427.7900000000009</v>
      </c>
      <c r="L374" s="755">
        <v>-9094.2199999999993</v>
      </c>
      <c r="M374" s="755">
        <v>-9902.5300000000007</v>
      </c>
      <c r="N374" s="755">
        <v>-10866.28</v>
      </c>
      <c r="O374" s="755">
        <v>-14918.64</v>
      </c>
      <c r="P374" s="588">
        <f t="shared" si="77"/>
        <v>-130648.06999999999</v>
      </c>
      <c r="Q374" s="418"/>
    </row>
    <row r="375" spans="1:17" ht="14.4">
      <c r="A375" s="748"/>
      <c r="B375" s="748" t="s">
        <v>929</v>
      </c>
      <c r="C375" s="748"/>
      <c r="D375" s="755">
        <v>-72979.48</v>
      </c>
      <c r="E375" s="755">
        <v>-68140.800000000003</v>
      </c>
      <c r="F375" s="755">
        <v>-68342.399999999994</v>
      </c>
      <c r="G375" s="755">
        <v>-72980.320000000007</v>
      </c>
      <c r="H375" s="755">
        <v>-71971.48</v>
      </c>
      <c r="I375" s="755">
        <v>-70963.48</v>
      </c>
      <c r="J375" s="755">
        <v>-72173.08</v>
      </c>
      <c r="K375" s="755">
        <v>-73181.08</v>
      </c>
      <c r="L375" s="755">
        <v>-75602.42</v>
      </c>
      <c r="M375" s="755">
        <v>-72979.48</v>
      </c>
      <c r="N375" s="755">
        <v>-75801.87</v>
      </c>
      <c r="O375" s="755">
        <v>-71769.88</v>
      </c>
      <c r="P375" s="588">
        <f t="shared" si="77"/>
        <v>-866885.77</v>
      </c>
      <c r="Q375" s="418"/>
    </row>
    <row r="376" spans="1:17" ht="14.4">
      <c r="A376" s="748"/>
      <c r="B376" s="748" t="s">
        <v>919</v>
      </c>
      <c r="C376" s="748"/>
      <c r="D376" s="755">
        <v>6.5</v>
      </c>
      <c r="E376" s="756">
        <f t="shared" ref="E376:O379" si="78">D376</f>
        <v>6.5</v>
      </c>
      <c r="F376" s="756">
        <f t="shared" si="78"/>
        <v>6.5</v>
      </c>
      <c r="G376" s="756">
        <f t="shared" si="78"/>
        <v>6.5</v>
      </c>
      <c r="H376" s="756">
        <f t="shared" si="78"/>
        <v>6.5</v>
      </c>
      <c r="I376" s="756">
        <f t="shared" si="78"/>
        <v>6.5</v>
      </c>
      <c r="J376" s="756">
        <f t="shared" si="78"/>
        <v>6.5</v>
      </c>
      <c r="K376" s="756">
        <f t="shared" si="78"/>
        <v>6.5</v>
      </c>
      <c r="L376" s="756">
        <f t="shared" si="78"/>
        <v>6.5</v>
      </c>
      <c r="M376" s="756">
        <f t="shared" si="78"/>
        <v>6.5</v>
      </c>
      <c r="N376" s="756">
        <f t="shared" si="78"/>
        <v>6.5</v>
      </c>
      <c r="O376" s="756">
        <f t="shared" si="78"/>
        <v>6.5</v>
      </c>
      <c r="P376" s="748"/>
      <c r="Q376" s="748"/>
    </row>
    <row r="377" spans="1:17" ht="14.4">
      <c r="A377" s="748"/>
      <c r="B377" s="748" t="s">
        <v>930</v>
      </c>
      <c r="C377" s="748"/>
      <c r="D377" s="755">
        <v>-0.2</v>
      </c>
      <c r="E377" s="756">
        <f t="shared" si="78"/>
        <v>-0.2</v>
      </c>
      <c r="F377" s="756">
        <f t="shared" si="78"/>
        <v>-0.2</v>
      </c>
      <c r="G377" s="756">
        <f t="shared" si="78"/>
        <v>-0.2</v>
      </c>
      <c r="H377" s="756">
        <f t="shared" si="78"/>
        <v>-0.2</v>
      </c>
      <c r="I377" s="756">
        <f t="shared" si="78"/>
        <v>-0.2</v>
      </c>
      <c r="J377" s="756">
        <f t="shared" si="78"/>
        <v>-0.2</v>
      </c>
      <c r="K377" s="756">
        <f t="shared" si="78"/>
        <v>-0.2</v>
      </c>
      <c r="L377" s="756">
        <f t="shared" si="78"/>
        <v>-0.2</v>
      </c>
      <c r="M377" s="756">
        <f t="shared" si="78"/>
        <v>-0.2</v>
      </c>
      <c r="N377" s="756">
        <f t="shared" si="78"/>
        <v>-0.2</v>
      </c>
      <c r="O377" s="756">
        <f t="shared" si="78"/>
        <v>-0.2</v>
      </c>
      <c r="P377" s="748"/>
      <c r="Q377" s="748"/>
    </row>
    <row r="378" spans="1:17" ht="14.4">
      <c r="A378" s="748"/>
      <c r="B378" s="748" t="s">
        <v>931</v>
      </c>
      <c r="C378" s="748"/>
      <c r="D378" s="755">
        <v>-1.1000000000000001</v>
      </c>
      <c r="E378" s="756">
        <f t="shared" si="78"/>
        <v>-1.1000000000000001</v>
      </c>
      <c r="F378" s="756">
        <f t="shared" si="78"/>
        <v>-1.1000000000000001</v>
      </c>
      <c r="G378" s="756">
        <f t="shared" si="78"/>
        <v>-1.1000000000000001</v>
      </c>
      <c r="H378" s="756">
        <f t="shared" si="78"/>
        <v>-1.1000000000000001</v>
      </c>
      <c r="I378" s="756">
        <f t="shared" si="78"/>
        <v>-1.1000000000000001</v>
      </c>
      <c r="J378" s="756">
        <f t="shared" si="78"/>
        <v>-1.1000000000000001</v>
      </c>
      <c r="K378" s="756">
        <f t="shared" si="78"/>
        <v>-1.1000000000000001</v>
      </c>
      <c r="L378" s="756">
        <f t="shared" si="78"/>
        <v>-1.1000000000000001</v>
      </c>
      <c r="M378" s="756">
        <f t="shared" si="78"/>
        <v>-1.1000000000000001</v>
      </c>
      <c r="N378" s="756">
        <f t="shared" si="78"/>
        <v>-1.1000000000000001</v>
      </c>
      <c r="O378" s="756">
        <f t="shared" si="78"/>
        <v>-1.1000000000000001</v>
      </c>
      <c r="P378" s="748"/>
      <c r="Q378" s="748"/>
    </row>
    <row r="379" spans="1:17" ht="14.4">
      <c r="A379" s="748"/>
      <c r="B379" s="748" t="s">
        <v>932</v>
      </c>
      <c r="C379" s="748"/>
      <c r="D379" s="755">
        <v>-1.4</v>
      </c>
      <c r="E379" s="756">
        <f t="shared" si="78"/>
        <v>-1.4</v>
      </c>
      <c r="F379" s="756">
        <f t="shared" si="78"/>
        <v>-1.4</v>
      </c>
      <c r="G379" s="756">
        <f t="shared" si="78"/>
        <v>-1.4</v>
      </c>
      <c r="H379" s="756">
        <f t="shared" si="78"/>
        <v>-1.4</v>
      </c>
      <c r="I379" s="756">
        <f t="shared" si="78"/>
        <v>-1.4</v>
      </c>
      <c r="J379" s="756">
        <f t="shared" si="78"/>
        <v>-1.4</v>
      </c>
      <c r="K379" s="756">
        <f t="shared" si="78"/>
        <v>-1.4</v>
      </c>
      <c r="L379" s="756">
        <f t="shared" si="78"/>
        <v>-1.4</v>
      </c>
      <c r="M379" s="756">
        <f t="shared" si="78"/>
        <v>-1.4</v>
      </c>
      <c r="N379" s="756">
        <f t="shared" si="78"/>
        <v>-1.4</v>
      </c>
      <c r="O379" s="756">
        <f t="shared" si="78"/>
        <v>-1.4</v>
      </c>
      <c r="P379" s="748"/>
      <c r="Q379" s="748"/>
    </row>
    <row r="380" spans="1:17">
      <c r="A380" s="748" t="s">
        <v>933</v>
      </c>
      <c r="B380" s="748"/>
      <c r="C380" s="748"/>
      <c r="D380" s="748"/>
      <c r="E380" s="748"/>
      <c r="F380" s="748"/>
      <c r="G380" s="748"/>
      <c r="H380" s="748"/>
      <c r="I380" s="748"/>
      <c r="J380" s="748"/>
      <c r="K380" s="748"/>
      <c r="L380" s="748"/>
      <c r="M380" s="748"/>
      <c r="N380" s="748"/>
      <c r="O380" s="748"/>
      <c r="P380" s="748"/>
      <c r="Q380" s="748"/>
    </row>
    <row r="381" spans="1:17" ht="14.4">
      <c r="A381" s="748"/>
      <c r="B381" s="748" t="s">
        <v>918</v>
      </c>
      <c r="C381" s="748"/>
      <c r="D381" s="755">
        <v>0</v>
      </c>
      <c r="E381" s="755">
        <v>0</v>
      </c>
      <c r="F381" s="755">
        <v>0</v>
      </c>
      <c r="G381" s="755">
        <v>0</v>
      </c>
      <c r="H381" s="755">
        <v>0</v>
      </c>
      <c r="I381" s="755">
        <v>0</v>
      </c>
      <c r="J381" s="755">
        <v>0</v>
      </c>
      <c r="K381" s="755">
        <v>0</v>
      </c>
      <c r="L381" s="755">
        <v>0</v>
      </c>
      <c r="M381" s="755">
        <v>0</v>
      </c>
      <c r="N381" s="755">
        <v>0</v>
      </c>
      <c r="O381" s="755">
        <v>0</v>
      </c>
      <c r="P381" s="588">
        <f t="shared" ref="P381" si="79">SUM(D381:O381)</f>
        <v>0</v>
      </c>
      <c r="Q381" s="748"/>
    </row>
    <row r="382" spans="1:17" ht="14.4">
      <c r="A382" s="748"/>
      <c r="B382" s="748" t="s">
        <v>920</v>
      </c>
      <c r="C382" s="748"/>
      <c r="D382" s="755">
        <v>0.5</v>
      </c>
      <c r="E382" s="645">
        <f>D382</f>
        <v>0.5</v>
      </c>
      <c r="F382" s="645">
        <f t="shared" ref="F382:O382" si="80">E382</f>
        <v>0.5</v>
      </c>
      <c r="G382" s="645">
        <f t="shared" si="80"/>
        <v>0.5</v>
      </c>
      <c r="H382" s="645">
        <f t="shared" si="80"/>
        <v>0.5</v>
      </c>
      <c r="I382" s="645">
        <f t="shared" si="80"/>
        <v>0.5</v>
      </c>
      <c r="J382" s="645">
        <f t="shared" si="80"/>
        <v>0.5</v>
      </c>
      <c r="K382" s="645">
        <f t="shared" si="80"/>
        <v>0.5</v>
      </c>
      <c r="L382" s="645">
        <f t="shared" si="80"/>
        <v>0.5</v>
      </c>
      <c r="M382" s="645">
        <f t="shared" si="80"/>
        <v>0.5</v>
      </c>
      <c r="N382" s="645">
        <f t="shared" si="80"/>
        <v>0.5</v>
      </c>
      <c r="O382" s="645">
        <f t="shared" si="80"/>
        <v>0.5</v>
      </c>
      <c r="P382" s="748"/>
      <c r="Q382" s="748"/>
    </row>
    <row r="383" spans="1:17">
      <c r="A383" s="748" t="s">
        <v>934</v>
      </c>
      <c r="B383" s="748"/>
      <c r="C383" s="748"/>
      <c r="D383" s="748"/>
      <c r="E383" s="748"/>
      <c r="F383" s="748"/>
      <c r="G383" s="748"/>
      <c r="H383" s="748"/>
      <c r="I383" s="748"/>
      <c r="J383" s="748"/>
      <c r="K383" s="748"/>
      <c r="L383" s="748"/>
      <c r="M383" s="748"/>
      <c r="N383" s="748"/>
      <c r="O383" s="748"/>
      <c r="P383" s="748"/>
      <c r="Q383" s="748"/>
    </row>
    <row r="384" spans="1:17" ht="14.4">
      <c r="A384" s="748"/>
      <c r="B384" s="748" t="s">
        <v>918</v>
      </c>
      <c r="C384" s="748"/>
      <c r="D384" s="755">
        <v>0</v>
      </c>
      <c r="E384" s="755">
        <v>0</v>
      </c>
      <c r="F384" s="755">
        <v>0</v>
      </c>
      <c r="G384" s="755">
        <v>0</v>
      </c>
      <c r="H384" s="755">
        <v>0</v>
      </c>
      <c r="I384" s="755">
        <v>0</v>
      </c>
      <c r="J384" s="755">
        <v>0</v>
      </c>
      <c r="K384" s="755">
        <v>0</v>
      </c>
      <c r="L384" s="755">
        <v>0</v>
      </c>
      <c r="M384" s="755">
        <v>0</v>
      </c>
      <c r="N384" s="755">
        <v>0</v>
      </c>
      <c r="O384" s="755">
        <v>0</v>
      </c>
      <c r="P384" s="588">
        <f t="shared" ref="P384" si="81">SUM(D384:O384)</f>
        <v>0</v>
      </c>
      <c r="Q384" s="748"/>
    </row>
    <row r="385" spans="1:17" ht="14.4">
      <c r="A385" s="748"/>
      <c r="B385" s="748" t="s">
        <v>920</v>
      </c>
      <c r="C385" s="748"/>
      <c r="D385" s="755">
        <v>0.5</v>
      </c>
      <c r="E385" s="645">
        <f>D385</f>
        <v>0.5</v>
      </c>
      <c r="F385" s="645">
        <f t="shared" ref="F385:O385" si="82">E385</f>
        <v>0.5</v>
      </c>
      <c r="G385" s="645">
        <f t="shared" si="82"/>
        <v>0.5</v>
      </c>
      <c r="H385" s="645">
        <f t="shared" si="82"/>
        <v>0.5</v>
      </c>
      <c r="I385" s="645">
        <f t="shared" si="82"/>
        <v>0.5</v>
      </c>
      <c r="J385" s="645">
        <f t="shared" si="82"/>
        <v>0.5</v>
      </c>
      <c r="K385" s="645">
        <f t="shared" si="82"/>
        <v>0.5</v>
      </c>
      <c r="L385" s="645">
        <f t="shared" si="82"/>
        <v>0.5</v>
      </c>
      <c r="M385" s="645">
        <f t="shared" si="82"/>
        <v>0.5</v>
      </c>
      <c r="N385" s="645">
        <f t="shared" si="82"/>
        <v>0.5</v>
      </c>
      <c r="O385" s="645">
        <f t="shared" si="82"/>
        <v>0.5</v>
      </c>
      <c r="P385" s="748"/>
      <c r="Q385" s="748"/>
    </row>
    <row r="386" spans="1:17">
      <c r="A386" s="748" t="s">
        <v>935</v>
      </c>
      <c r="B386" s="748"/>
      <c r="C386" s="748"/>
      <c r="D386" s="748"/>
      <c r="E386" s="748"/>
      <c r="F386" s="748"/>
      <c r="G386" s="748"/>
      <c r="H386" s="748"/>
      <c r="I386" s="748"/>
      <c r="J386" s="748"/>
      <c r="K386" s="748"/>
      <c r="L386" s="748"/>
      <c r="M386" s="748"/>
      <c r="N386" s="748"/>
      <c r="O386" s="748"/>
      <c r="P386" s="748"/>
      <c r="Q386" s="748"/>
    </row>
    <row r="387" spans="1:17" ht="14.4">
      <c r="A387" s="748"/>
      <c r="B387" s="748" t="s">
        <v>918</v>
      </c>
      <c r="C387" s="748"/>
      <c r="D387" s="755">
        <v>0</v>
      </c>
      <c r="E387" s="755">
        <v>0</v>
      </c>
      <c r="F387" s="755">
        <v>0</v>
      </c>
      <c r="G387" s="755">
        <v>0</v>
      </c>
      <c r="H387" s="755">
        <v>0</v>
      </c>
      <c r="I387" s="755">
        <v>0</v>
      </c>
      <c r="J387" s="755">
        <v>0</v>
      </c>
      <c r="K387" s="755">
        <v>0</v>
      </c>
      <c r="L387" s="755">
        <v>0</v>
      </c>
      <c r="M387" s="755">
        <v>0</v>
      </c>
      <c r="N387" s="755">
        <v>0</v>
      </c>
      <c r="O387" s="755">
        <v>0</v>
      </c>
      <c r="P387" s="588">
        <f t="shared" ref="P387" si="83">SUM(D387:O387)</f>
        <v>0</v>
      </c>
      <c r="Q387" s="748"/>
    </row>
    <row r="388" spans="1:17" ht="14.4">
      <c r="A388" s="748"/>
      <c r="B388" s="748" t="s">
        <v>920</v>
      </c>
      <c r="C388" s="748"/>
      <c r="D388" s="755">
        <v>0.5</v>
      </c>
      <c r="E388" s="645">
        <f>D388</f>
        <v>0.5</v>
      </c>
      <c r="F388" s="645">
        <f t="shared" ref="F388:O388" si="84">E388</f>
        <v>0.5</v>
      </c>
      <c r="G388" s="645">
        <f t="shared" si="84"/>
        <v>0.5</v>
      </c>
      <c r="H388" s="645">
        <f t="shared" si="84"/>
        <v>0.5</v>
      </c>
      <c r="I388" s="645">
        <f t="shared" si="84"/>
        <v>0.5</v>
      </c>
      <c r="J388" s="645">
        <f t="shared" si="84"/>
        <v>0.5</v>
      </c>
      <c r="K388" s="645">
        <f t="shared" si="84"/>
        <v>0.5</v>
      </c>
      <c r="L388" s="645">
        <f t="shared" si="84"/>
        <v>0.5</v>
      </c>
      <c r="M388" s="645">
        <f t="shared" si="84"/>
        <v>0.5</v>
      </c>
      <c r="N388" s="645">
        <f t="shared" si="84"/>
        <v>0.5</v>
      </c>
      <c r="O388" s="645">
        <f t="shared" si="84"/>
        <v>0.5</v>
      </c>
      <c r="P388" s="748"/>
      <c r="Q388" s="748"/>
    </row>
  </sheetData>
  <mergeCells count="12">
    <mergeCell ref="B317:B318"/>
    <mergeCell ref="A319:C319"/>
    <mergeCell ref="A299:A318"/>
    <mergeCell ref="B299:B300"/>
    <mergeCell ref="B301:B302"/>
    <mergeCell ref="B303:B304"/>
    <mergeCell ref="B305:B306"/>
    <mergeCell ref="B307:B308"/>
    <mergeCell ref="B309:B310"/>
    <mergeCell ref="B311:B312"/>
    <mergeCell ref="B313:B314"/>
    <mergeCell ref="B315:B316"/>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DAD34058-5F0F-40EB-95EB-A929A46593E6}"/>
</file>

<file path=customXml/itemProps2.xml><?xml version="1.0" encoding="utf-8"?>
<ds:datastoreItem xmlns:ds="http://schemas.openxmlformats.org/officeDocument/2006/customXml" ds:itemID="{E9EBF57F-2A57-4465-A9E2-93B47B1C0104}"/>
</file>

<file path=customXml/itemProps3.xml><?xml version="1.0" encoding="utf-8"?>
<ds:datastoreItem xmlns:ds="http://schemas.openxmlformats.org/officeDocument/2006/customXml" ds:itemID="{C69C79E9-3537-44E1-B36F-6A4C62372173}"/>
</file>

<file path=customXml/itemProps4.xml><?xml version="1.0" encoding="utf-8"?>
<ds:datastoreItem xmlns:ds="http://schemas.openxmlformats.org/officeDocument/2006/customXml" ds:itemID="{9608D443-7AF8-41EC-A886-01808A636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42</vt:i4>
      </vt:variant>
    </vt:vector>
  </HeadingPairs>
  <TitlesOfParts>
    <vt:vector size="60" baseType="lpstr">
      <vt:lpstr>Pres &amp; Prop Rev</vt:lpstr>
      <vt:lpstr>Rate Design</vt:lpstr>
      <vt:lpstr>Exh 1</vt:lpstr>
      <vt:lpstr>Exh 2</vt:lpstr>
      <vt:lpstr>Exh 3</vt:lpstr>
      <vt:lpstr>ROR</vt:lpstr>
      <vt:lpstr>Rate Spread GRC</vt:lpstr>
      <vt:lpstr>Bill Determ</vt:lpstr>
      <vt:lpstr>Tax Adj</vt:lpstr>
      <vt:lpstr>Bill Impact</vt:lpstr>
      <vt:lpstr>LIRAP</vt:lpstr>
      <vt:lpstr>WA Sch 25</vt:lpstr>
      <vt:lpstr>Lighting summary</vt:lpstr>
      <vt:lpstr>St Lts</vt:lpstr>
      <vt:lpstr>Area Lts</vt:lpstr>
      <vt:lpstr>Capital Recovery Factor Calc</vt:lpstr>
      <vt:lpstr>Block Data</vt:lpstr>
      <vt:lpstr>REVRUNS 12ME1219</vt:lpstr>
      <vt:lpstr>Base1_Billing2</vt:lpstr>
      <vt:lpstr>ERM</vt:lpstr>
      <vt:lpstr>'Area Lts'!Print_Area</vt:lpstr>
      <vt:lpstr>'Bill Determ'!Print_Area</vt:lpstr>
      <vt:lpstr>'Bill Impact'!Print_Area</vt:lpstr>
      <vt:lpstr>'Block Data'!Print_Area</vt:lpstr>
      <vt:lpstr>'Capital Recovery Factor Calc'!Print_Area</vt:lpstr>
      <vt:lpstr>'Exh 1'!Print_Area</vt:lpstr>
      <vt:lpstr>'Exh 2'!Print_Area</vt:lpstr>
      <vt:lpstr>'Exh 3'!Print_Area</vt:lpstr>
      <vt:lpstr>'Lighting summary'!Print_Area</vt:lpstr>
      <vt:lpstr>LIRAP!Print_Area</vt:lpstr>
      <vt:lpstr>'Pres &amp; Prop Rev'!Print_Area</vt:lpstr>
      <vt:lpstr>'Rate Design'!Print_Area</vt:lpstr>
      <vt:lpstr>'Rate Spread GRC'!Print_Area</vt:lpstr>
      <vt:lpstr>'REVRUNS 12ME1219'!Print_Area</vt:lpstr>
      <vt:lpstr>ROR!Print_Area</vt:lpstr>
      <vt:lpstr>'St Lts'!Print_Area</vt:lpstr>
      <vt:lpstr>'Tax Adj'!Print_Area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Kimball, Paul</cp:lastModifiedBy>
  <cp:lastPrinted>2020-10-26T17:21:07Z</cp:lastPrinted>
  <dcterms:created xsi:type="dcterms:W3CDTF">2002-06-14T21:00:48Z</dcterms:created>
  <dcterms:modified xsi:type="dcterms:W3CDTF">2020-10-30T20:43:32Z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