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Cost of Service Study\Testimony and Exhibits\"/>
    </mc:Choice>
  </mc:AlternateContent>
  <bookViews>
    <workbookView xWindow="0" yWindow="0" windowWidth="21864" windowHeight="9012"/>
  </bookViews>
  <sheets>
    <sheet name="Exh. RJA-2" sheetId="1" r:id="rId1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52511" calcMode="manual" iterateCount="20" iterateDelta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M98" i="1"/>
  <c r="L98" i="1"/>
  <c r="K98" i="1"/>
  <c r="J98" i="1"/>
  <c r="I98" i="1"/>
  <c r="E98" i="1"/>
  <c r="A98" i="1"/>
  <c r="A97" i="1"/>
  <c r="N96" i="1"/>
  <c r="M96" i="1"/>
  <c r="L96" i="1"/>
  <c r="K96" i="1"/>
  <c r="J96" i="1"/>
  <c r="I96" i="1"/>
  <c r="E96" i="1"/>
  <c r="A96" i="1"/>
  <c r="A95" i="1"/>
  <c r="N94" i="1"/>
  <c r="M94" i="1"/>
  <c r="L94" i="1"/>
  <c r="K94" i="1"/>
  <c r="J94" i="1"/>
  <c r="I94" i="1"/>
  <c r="E94" i="1"/>
  <c r="A94" i="1"/>
  <c r="A93" i="1"/>
  <c r="A92" i="1"/>
  <c r="N91" i="1"/>
  <c r="M91" i="1"/>
  <c r="L91" i="1"/>
  <c r="K91" i="1"/>
  <c r="J91" i="1"/>
  <c r="I91" i="1"/>
  <c r="E91" i="1"/>
  <c r="A91" i="1"/>
  <c r="N90" i="1"/>
  <c r="M90" i="1"/>
  <c r="L90" i="1"/>
  <c r="K90" i="1"/>
  <c r="J90" i="1"/>
  <c r="I90" i="1"/>
  <c r="E90" i="1"/>
  <c r="A90" i="1"/>
  <c r="N89" i="1"/>
  <c r="M89" i="1"/>
  <c r="L89" i="1"/>
  <c r="K89" i="1"/>
  <c r="J89" i="1"/>
  <c r="I89" i="1"/>
  <c r="E89" i="1"/>
  <c r="A89" i="1"/>
  <c r="N88" i="1"/>
  <c r="M88" i="1"/>
  <c r="L88" i="1"/>
  <c r="K88" i="1"/>
  <c r="J88" i="1"/>
  <c r="I88" i="1"/>
  <c r="E88" i="1"/>
  <c r="A88" i="1"/>
  <c r="A87" i="1"/>
  <c r="N86" i="1"/>
  <c r="M86" i="1"/>
  <c r="L86" i="1"/>
  <c r="K86" i="1"/>
  <c r="J86" i="1"/>
  <c r="I86" i="1"/>
  <c r="E86" i="1"/>
  <c r="A86" i="1"/>
  <c r="A85" i="1"/>
  <c r="A84" i="1"/>
  <c r="J83" i="1"/>
  <c r="E83" i="1"/>
  <c r="A83" i="1"/>
  <c r="J82" i="1"/>
  <c r="E82" i="1"/>
  <c r="C82" i="1"/>
  <c r="A82" i="1"/>
  <c r="A81" i="1"/>
  <c r="A80" i="1"/>
  <c r="N79" i="1"/>
  <c r="M79" i="1"/>
  <c r="L79" i="1"/>
  <c r="K79" i="1"/>
  <c r="I79" i="1"/>
  <c r="E79" i="1"/>
  <c r="A79" i="1"/>
  <c r="N78" i="1"/>
  <c r="M78" i="1"/>
  <c r="L78" i="1"/>
  <c r="K78" i="1"/>
  <c r="J78" i="1"/>
  <c r="I78" i="1"/>
  <c r="A78" i="1"/>
  <c r="J77" i="1"/>
  <c r="A77" i="1"/>
  <c r="E76" i="1"/>
  <c r="A76" i="1"/>
  <c r="A75" i="1"/>
  <c r="A74" i="1"/>
  <c r="A73" i="1"/>
  <c r="A72" i="1"/>
  <c r="A71" i="1"/>
  <c r="N70" i="1"/>
  <c r="M70" i="1"/>
  <c r="L70" i="1"/>
  <c r="K70" i="1"/>
  <c r="J70" i="1"/>
  <c r="I70" i="1"/>
  <c r="E70" i="1"/>
  <c r="C70" i="1"/>
  <c r="A70" i="1"/>
  <c r="A69" i="1"/>
  <c r="N68" i="1"/>
  <c r="M68" i="1"/>
  <c r="L68" i="1"/>
  <c r="K68" i="1"/>
  <c r="J68" i="1"/>
  <c r="I68" i="1"/>
  <c r="E68" i="1"/>
  <c r="C68" i="1"/>
  <c r="A68" i="1"/>
  <c r="A67" i="1"/>
  <c r="N66" i="1"/>
  <c r="M66" i="1"/>
  <c r="L66" i="1"/>
  <c r="K66" i="1"/>
  <c r="J66" i="1"/>
  <c r="I66" i="1"/>
  <c r="E66" i="1"/>
  <c r="A66" i="1"/>
  <c r="A65" i="1"/>
  <c r="A64" i="1"/>
  <c r="A63" i="1"/>
  <c r="A62" i="1"/>
  <c r="A61" i="1"/>
  <c r="N60" i="1"/>
  <c r="M60" i="1"/>
  <c r="L60" i="1"/>
  <c r="K60" i="1"/>
  <c r="J60" i="1"/>
  <c r="I60" i="1"/>
  <c r="E60" i="1"/>
  <c r="A60" i="1"/>
  <c r="N59" i="1"/>
  <c r="M59" i="1"/>
  <c r="L59" i="1"/>
  <c r="K59" i="1"/>
  <c r="J59" i="1"/>
  <c r="I59" i="1"/>
  <c r="A59" i="1"/>
  <c r="A58" i="1"/>
  <c r="A57" i="1"/>
  <c r="A56" i="1"/>
  <c r="A55" i="1"/>
  <c r="N54" i="1"/>
  <c r="M54" i="1"/>
  <c r="L54" i="1"/>
  <c r="K54" i="1"/>
  <c r="J54" i="1"/>
  <c r="I54" i="1"/>
  <c r="E54" i="1"/>
  <c r="A54" i="1"/>
  <c r="A53" i="1"/>
  <c r="N52" i="1"/>
  <c r="M52" i="1"/>
  <c r="L52" i="1"/>
  <c r="K52" i="1"/>
  <c r="J52" i="1"/>
  <c r="I52" i="1"/>
  <c r="E52" i="1"/>
  <c r="A52" i="1"/>
  <c r="A51" i="1"/>
  <c r="A50" i="1"/>
  <c r="A49" i="1"/>
  <c r="A48" i="1"/>
  <c r="A47" i="1"/>
  <c r="A46" i="1"/>
  <c r="A45" i="1"/>
  <c r="N44" i="1"/>
  <c r="M44" i="1"/>
  <c r="L44" i="1"/>
  <c r="K44" i="1"/>
  <c r="J44" i="1"/>
  <c r="I44" i="1"/>
  <c r="E44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N30" i="1"/>
  <c r="M30" i="1"/>
  <c r="L30" i="1"/>
  <c r="K30" i="1"/>
  <c r="J30" i="1"/>
  <c r="I30" i="1"/>
  <c r="E30" i="1"/>
  <c r="A30" i="1"/>
  <c r="A29" i="1"/>
  <c r="A28" i="1"/>
  <c r="A27" i="1"/>
  <c r="N26" i="1"/>
  <c r="M26" i="1"/>
  <c r="L26" i="1"/>
  <c r="K26" i="1"/>
  <c r="J26" i="1"/>
  <c r="I26" i="1"/>
  <c r="E26" i="1"/>
  <c r="A26" i="1"/>
  <c r="A25" i="1"/>
  <c r="A24" i="1"/>
  <c r="A23" i="1"/>
  <c r="A22" i="1"/>
  <c r="A21" i="1"/>
  <c r="A20" i="1"/>
  <c r="A19" i="1"/>
  <c r="A18" i="1"/>
  <c r="N17" i="1"/>
  <c r="M17" i="1"/>
  <c r="L17" i="1"/>
  <c r="K17" i="1"/>
  <c r="J17" i="1"/>
  <c r="I17" i="1"/>
  <c r="E17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<sst xmlns="http://schemas.openxmlformats.org/spreadsheetml/2006/main" count="91" uniqueCount="74">
  <si>
    <t>Northwest Natural Gas Company</t>
  </si>
  <si>
    <t>12 Months Ended September 30, 2018</t>
  </si>
  <si>
    <t>Summary of Cost of Service Study Results</t>
  </si>
  <si>
    <t>Schedule 1</t>
  </si>
  <si>
    <t>Schedule 2</t>
  </si>
  <si>
    <t>Schedule 3</t>
  </si>
  <si>
    <t>Schedule 27</t>
  </si>
  <si>
    <t>Schedule 41</t>
  </si>
  <si>
    <t>Schedule 42</t>
  </si>
  <si>
    <t>REVENUE REQUIREMENT SUMMARY</t>
  </si>
  <si>
    <t>ACCOUNT BALANCE</t>
  </si>
  <si>
    <t>General
Sales Service</t>
  </si>
  <si>
    <t>Residential
Sales Service</t>
  </si>
  <si>
    <t>Basic Firm
Sales Service</t>
  </si>
  <si>
    <t>Residential Heating Dry Out</t>
  </si>
  <si>
    <t>Non-Residential
Sales &amp; Transport</t>
  </si>
  <si>
    <t>Lg. Vol. Non-Res.
Sales and Transport</t>
  </si>
  <si>
    <t/>
  </si>
  <si>
    <t>PLANT IN SERVICE</t>
  </si>
  <si>
    <t>Intangible Plant</t>
  </si>
  <si>
    <t>Production Plant</t>
  </si>
  <si>
    <t>Storgae Plant</t>
  </si>
  <si>
    <t>Transmission Plant</t>
  </si>
  <si>
    <t>Distribution Plant</t>
  </si>
  <si>
    <t>General Plant</t>
  </si>
  <si>
    <t>Subtotal - Plant in Service</t>
  </si>
  <si>
    <t>ACCUMULATED DEPRECIATION</t>
  </si>
  <si>
    <t>Storage Plant</t>
  </si>
  <si>
    <t>Subtotal - Accumulated Depreciation</t>
  </si>
  <si>
    <t>OTHER RATEBASE ITEMS</t>
  </si>
  <si>
    <t>TOTAL RATEBASE</t>
  </si>
  <si>
    <t>EXPENSES</t>
  </si>
  <si>
    <t>Production Expenses</t>
  </si>
  <si>
    <t>Storage Expenses</t>
  </si>
  <si>
    <t>Transmission Expenses</t>
  </si>
  <si>
    <t>Distribution Expenses</t>
  </si>
  <si>
    <t>Demand Accounts Expense</t>
  </si>
  <si>
    <t>Demand Service &amp; Information Expense</t>
  </si>
  <si>
    <t>Sales Expense</t>
  </si>
  <si>
    <t>Administrative and General Expense</t>
  </si>
  <si>
    <t>Depreciation and Amortization Expense</t>
  </si>
  <si>
    <t>Taxes Other Than Income &amp; Rev</t>
  </si>
  <si>
    <t>Income and Revenue Taxes</t>
  </si>
  <si>
    <t>Subtoal - Expenses</t>
  </si>
  <si>
    <t>REVENUE</t>
  </si>
  <si>
    <t>Rate Schedule Revenue</t>
  </si>
  <si>
    <t>Special Contract Revenue</t>
  </si>
  <si>
    <t>Other Revenue</t>
  </si>
  <si>
    <t>TOTAL REVENUE</t>
  </si>
  <si>
    <t>NET INCOME - Current Rates</t>
  </si>
  <si>
    <t>RATE OF RETURN - Current Rates</t>
  </si>
  <si>
    <t>REVENUE REQUIREMENT AT EQUAL RATES OF RETURN</t>
  </si>
  <si>
    <t xml:space="preserve">REQUIRED RATE OF RETURN </t>
  </si>
  <si>
    <t>Required Operating Income</t>
  </si>
  <si>
    <t>REVENUE GROSS UP</t>
  </si>
  <si>
    <t>Federal Income Tax</t>
  </si>
  <si>
    <t>Revenue Tax</t>
  </si>
  <si>
    <t>Uncollectible</t>
  </si>
  <si>
    <t>Subtotal - Revenue Gross Up</t>
  </si>
  <si>
    <t>RATE SCHEDULE REVENUE AS PROPOSED</t>
  </si>
  <si>
    <t>Step 1</t>
  </si>
  <si>
    <t>System Average Increase to Margin</t>
  </si>
  <si>
    <t>Multiple of System Average Increase to Class</t>
  </si>
  <si>
    <t>Percent Increase to Class Revenue</t>
  </si>
  <si>
    <t>Increase Step 1</t>
  </si>
  <si>
    <t>Step 2</t>
  </si>
  <si>
    <t>Increase Step 2</t>
  </si>
  <si>
    <t>PROPOSED RATE REVENUE INCREASE</t>
  </si>
  <si>
    <t xml:space="preserve">Rate Schedule Revenue </t>
  </si>
  <si>
    <t xml:space="preserve">PROPOSED REVENUE </t>
  </si>
  <si>
    <t>CURRENT REVENUE TO COST RATIO</t>
  </si>
  <si>
    <t>PARITY RATIO AT CURRENT RATES</t>
  </si>
  <si>
    <t>PROPOSED REVENUE TO COST RATIO</t>
  </si>
  <si>
    <t>Exh. RJA-2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</si>
</sst>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000%"/>
    <numFmt numFmtId="166" formatCode="_(* #,##0_);_(* \(#,##0\);_(* &quot;-&quot;??_);_(@_)"/>
    <numFmt numFmtId="167" formatCode="_(* #,##0.00_);_(* \(#,##0.00\);_(* &quot;-&quot;_);_(@_)"/>
    <numFmt numFmtId="168" formatCode="_(* #,##0.0000_);_(* \(#,##0.000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37" fontId="3" fillId="0" borderId="0" xfId="0" applyNumberFormat="1" applyFont="1"/>
    <xf numFmtId="0" fontId="3" fillId="0" borderId="0" xfId="0" applyFont="1"/>
    <xf numFmtId="37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37" fontId="4" fillId="0" borderId="0" xfId="0" applyNumberFormat="1" applyFont="1" applyAlignment="1">
      <alignment horizontal="center" wrapText="1"/>
    </xf>
    <xf numFmtId="0" fontId="0" fillId="0" borderId="0" xfId="0" applyAlignment="1">
      <alignment horizontal="left" indent="1"/>
    </xf>
    <xf numFmtId="41" fontId="0" fillId="0" borderId="0" xfId="0" applyNumberFormat="1"/>
    <xf numFmtId="0" fontId="3" fillId="0" borderId="0" xfId="0" applyFont="1" applyAlignment="1">
      <alignment horizontal="center"/>
    </xf>
    <xf numFmtId="41" fontId="0" fillId="0" borderId="1" xfId="0" applyNumberFormat="1" applyBorder="1"/>
    <xf numFmtId="41" fontId="0" fillId="0" borderId="0" xfId="0" applyNumberFormat="1" applyBorder="1"/>
    <xf numFmtId="0" fontId="3" fillId="0" borderId="0" xfId="0" applyFont="1" applyAlignment="1">
      <alignment horizontal="left"/>
    </xf>
    <xf numFmtId="0" fontId="0" fillId="0" borderId="0" xfId="0" applyFont="1"/>
    <xf numFmtId="41" fontId="6" fillId="0" borderId="0" xfId="0" applyNumberFormat="1" applyFont="1"/>
    <xf numFmtId="10" fontId="0" fillId="0" borderId="0" xfId="2" applyNumberFormat="1" applyFont="1"/>
    <xf numFmtId="164" fontId="0" fillId="0" borderId="0" xfId="2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8" fillId="0" borderId="0" xfId="2" applyNumberFormat="1" applyFont="1"/>
    <xf numFmtId="165" fontId="8" fillId="0" borderId="0" xfId="0" applyNumberFormat="1" applyFont="1"/>
    <xf numFmtId="0" fontId="2" fillId="0" borderId="0" xfId="0" applyFont="1"/>
    <xf numFmtId="41" fontId="8" fillId="0" borderId="0" xfId="0" applyNumberFormat="1" applyFont="1"/>
    <xf numFmtId="0" fontId="10" fillId="0" borderId="0" xfId="0" applyFont="1"/>
    <xf numFmtId="164" fontId="2" fillId="0" borderId="0" xfId="2" applyNumberFormat="1" applyFont="1"/>
    <xf numFmtId="41" fontId="2" fillId="0" borderId="0" xfId="0" applyNumberFormat="1" applyFont="1"/>
    <xf numFmtId="166" fontId="11" fillId="0" borderId="0" xfId="1" applyNumberFormat="1" applyFont="1"/>
    <xf numFmtId="0" fontId="3" fillId="0" borderId="0" xfId="0" applyFont="1" applyFill="1"/>
    <xf numFmtId="41" fontId="3" fillId="0" borderId="0" xfId="0" applyNumberFormat="1" applyFont="1"/>
    <xf numFmtId="167" fontId="0" fillId="0" borderId="0" xfId="0" applyNumberFormat="1"/>
    <xf numFmtId="167" fontId="0" fillId="0" borderId="0" xfId="0" applyNumberFormat="1" applyFill="1"/>
    <xf numFmtId="41" fontId="0" fillId="0" borderId="0" xfId="2" applyNumberFormat="1" applyFont="1"/>
    <xf numFmtId="166" fontId="0" fillId="0" borderId="0" xfId="0" applyNumberFormat="1"/>
    <xf numFmtId="167" fontId="3" fillId="0" borderId="0" xfId="0" applyNumberFormat="1" applyFont="1"/>
    <xf numFmtId="16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view="pageLayout" topLeftCell="B1" zoomScale="50" zoomScaleNormal="100" zoomScalePageLayoutView="50" workbookViewId="0">
      <selection activeCell="O4" sqref="O4"/>
    </sheetView>
  </sheetViews>
  <sheetFormatPr defaultRowHeight="14.4" x14ac:dyDescent="0.3"/>
  <cols>
    <col min="1" max="1" width="4.88671875" customWidth="1"/>
    <col min="2" max="2" width="4.109375" customWidth="1"/>
    <col min="3" max="3" width="44.6640625" customWidth="1"/>
    <col min="4" max="4" width="3.6640625" customWidth="1"/>
    <col min="5" max="5" width="18" bestFit="1" customWidth="1"/>
    <col min="6" max="6" width="17.5546875" hidden="1" customWidth="1"/>
    <col min="7" max="7" width="24.33203125" hidden="1" customWidth="1"/>
    <col min="8" max="8" width="3.6640625" customWidth="1"/>
    <col min="9" max="13" width="17.44140625" customWidth="1"/>
    <col min="14" max="14" width="19.33203125" customWidth="1"/>
    <col min="15" max="15" width="11.5546875" bestFit="1" customWidth="1"/>
  </cols>
  <sheetData>
    <row r="1" spans="1:14" x14ac:dyDescent="0.3">
      <c r="C1" s="1" t="s">
        <v>0</v>
      </c>
    </row>
    <row r="2" spans="1:14" x14ac:dyDescent="0.3">
      <c r="C2" s="1" t="s">
        <v>1</v>
      </c>
    </row>
    <row r="3" spans="1:14" x14ac:dyDescent="0.3">
      <c r="C3" s="1" t="s">
        <v>73</v>
      </c>
    </row>
    <row r="4" spans="1:14" x14ac:dyDescent="0.3">
      <c r="C4" s="2" t="s">
        <v>2</v>
      </c>
    </row>
    <row r="7" spans="1:14" x14ac:dyDescent="0.3">
      <c r="I7" s="3" t="s">
        <v>3</v>
      </c>
      <c r="J7" s="3" t="s">
        <v>4</v>
      </c>
      <c r="K7" s="3" t="s">
        <v>5</v>
      </c>
      <c r="L7" s="3" t="s">
        <v>6</v>
      </c>
      <c r="M7" s="3" t="s">
        <v>7</v>
      </c>
      <c r="N7" s="3" t="s">
        <v>8</v>
      </c>
    </row>
    <row r="8" spans="1:14" ht="36" customHeight="1" x14ac:dyDescent="0.45">
      <c r="B8" s="4"/>
      <c r="C8" s="5" t="s">
        <v>9</v>
      </c>
      <c r="D8" s="6"/>
      <c r="E8" s="7" t="s">
        <v>10</v>
      </c>
      <c r="F8" s="7"/>
      <c r="G8" s="7"/>
      <c r="H8" s="8"/>
      <c r="I8" s="9" t="s">
        <v>11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</row>
    <row r="9" spans="1:14" x14ac:dyDescent="0.3">
      <c r="A9" t="str">
        <f ca="1">IF(C9="","",MAX($A$8:A8)+1)</f>
        <v/>
      </c>
      <c r="B9" s="4"/>
      <c r="C9" s="10" t="s">
        <v>17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3">
      <c r="A10">
        <f ca="1">IF(C10="","",MAX($A$8:A9)+1)</f>
        <v>1</v>
      </c>
      <c r="B10" s="12"/>
      <c r="C10" s="2" t="s">
        <v>18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3">
      <c r="A11">
        <f ca="1">IF(C11="","",MAX($A$8:A10)+1)</f>
        <v>2</v>
      </c>
      <c r="B11" s="4" t="s">
        <v>17</v>
      </c>
      <c r="C11" t="s">
        <v>19</v>
      </c>
      <c r="E11" s="11">
        <v>12189447.635233505</v>
      </c>
      <c r="F11" s="11"/>
      <c r="G11" s="11"/>
      <c r="H11" s="11"/>
      <c r="I11" s="11">
        <v>84205.572379150763</v>
      </c>
      <c r="J11" s="11">
        <v>9127167.2206957936</v>
      </c>
      <c r="K11" s="11">
        <v>2188911.4893759331</v>
      </c>
      <c r="L11" s="11">
        <v>162265.41619562576</v>
      </c>
      <c r="M11" s="11">
        <v>291693.42829951021</v>
      </c>
      <c r="N11" s="11">
        <v>335204.50828749308</v>
      </c>
    </row>
    <row r="12" spans="1:14" x14ac:dyDescent="0.3">
      <c r="A12">
        <f ca="1">IF(C12="","",MAX($A$8:A11)+1)</f>
        <v>3</v>
      </c>
      <c r="C12" t="s">
        <v>20</v>
      </c>
      <c r="E12" s="11">
        <v>9884852.8084180783</v>
      </c>
      <c r="F12" s="11"/>
      <c r="G12" s="11"/>
      <c r="H12" s="11"/>
      <c r="I12" s="11">
        <v>28277.866914280065</v>
      </c>
      <c r="J12" s="11">
        <v>6997669.4320863914</v>
      </c>
      <c r="K12" s="11">
        <v>2143183.7991333851</v>
      </c>
      <c r="L12" s="11">
        <v>85852.097933108642</v>
      </c>
      <c r="M12" s="11">
        <v>396227.94965686533</v>
      </c>
      <c r="N12" s="11">
        <v>233641.66269404773</v>
      </c>
    </row>
    <row r="13" spans="1:14" x14ac:dyDescent="0.3">
      <c r="A13">
        <f ca="1">IF(C13="","",MAX($A$8:A12)+1)</f>
        <v>4</v>
      </c>
      <c r="C13" t="s">
        <v>21</v>
      </c>
      <c r="E13" s="11">
        <v>8682697.7554211617</v>
      </c>
      <c r="F13" s="11"/>
      <c r="G13" s="11"/>
      <c r="H13" s="11"/>
      <c r="I13" s="11">
        <v>26155.827012886053</v>
      </c>
      <c r="J13" s="11">
        <v>6131330.7889372315</v>
      </c>
      <c r="K13" s="11">
        <v>1945639.9887161963</v>
      </c>
      <c r="L13" s="11">
        <v>67160.161340799867</v>
      </c>
      <c r="M13" s="11">
        <v>363962.6801154571</v>
      </c>
      <c r="N13" s="11">
        <v>148448.30929859084</v>
      </c>
    </row>
    <row r="14" spans="1:14" x14ac:dyDescent="0.3">
      <c r="A14">
        <f ca="1">IF(C14="","",MAX($A$8:A13)+1)</f>
        <v>5</v>
      </c>
      <c r="C14" t="s">
        <v>22</v>
      </c>
      <c r="E14" s="11">
        <v>19675586.044587329</v>
      </c>
      <c r="F14" s="11"/>
      <c r="G14" s="11"/>
      <c r="H14" s="11"/>
      <c r="I14" s="11">
        <v>56146.400121521445</v>
      </c>
      <c r="J14" s="11">
        <v>13528562.740923272</v>
      </c>
      <c r="K14" s="11">
        <v>4218180.2547748322</v>
      </c>
      <c r="L14" s="11">
        <v>159557.72527315537</v>
      </c>
      <c r="M14" s="11">
        <v>849517.58865800628</v>
      </c>
      <c r="N14" s="11">
        <v>863621.33483654144</v>
      </c>
    </row>
    <row r="15" spans="1:14" x14ac:dyDescent="0.3">
      <c r="A15">
        <f ca="1">IF(C15="","",MAX($A$8:A14)+1)</f>
        <v>6</v>
      </c>
      <c r="C15" t="s">
        <v>23</v>
      </c>
      <c r="E15" s="11">
        <v>272635196.50434285</v>
      </c>
      <c r="F15" s="11"/>
      <c r="G15" s="11"/>
      <c r="H15" s="11"/>
      <c r="I15" s="11">
        <v>1501553.5723151874</v>
      </c>
      <c r="J15" s="11">
        <v>197328085.36857003</v>
      </c>
      <c r="K15" s="11">
        <v>50530152.572046958</v>
      </c>
      <c r="L15" s="11">
        <v>2599184.3257492403</v>
      </c>
      <c r="M15" s="11">
        <v>9155169.2198163569</v>
      </c>
      <c r="N15" s="11">
        <v>11521051.445845056</v>
      </c>
    </row>
    <row r="16" spans="1:14" x14ac:dyDescent="0.3">
      <c r="A16">
        <f ca="1">IF(C16="","",MAX($A$8:A15)+1)</f>
        <v>7</v>
      </c>
      <c r="C16" t="s">
        <v>24</v>
      </c>
      <c r="E16" s="11">
        <v>24138283.230480801</v>
      </c>
      <c r="F16" s="11"/>
      <c r="G16" s="11"/>
      <c r="H16" s="11"/>
      <c r="I16" s="11">
        <v>127387.41675980175</v>
      </c>
      <c r="J16" s="11">
        <v>17422897.001274474</v>
      </c>
      <c r="K16" s="11">
        <v>4551222.3931692094</v>
      </c>
      <c r="L16" s="11">
        <v>225359.66164988684</v>
      </c>
      <c r="M16" s="11">
        <v>828629.58863953524</v>
      </c>
      <c r="N16" s="11">
        <v>982787.16898790118</v>
      </c>
    </row>
    <row r="17" spans="1:14" x14ac:dyDescent="0.3">
      <c r="A17">
        <f ca="1">IF(C17="","",MAX($A$8:A16)+1)</f>
        <v>8</v>
      </c>
      <c r="C17" t="s">
        <v>25</v>
      </c>
      <c r="E17" s="13">
        <f ca="1">SUBTOTAL(9,E11:E16)</f>
        <v>347206063.97848374</v>
      </c>
      <c r="F17" s="11"/>
      <c r="G17" s="11"/>
      <c r="H17" s="11"/>
      <c r="I17" s="13">
        <f t="shared" ref="I17:N17" ca="1" si="0">SUBTOTAL(9,I11:I16)</f>
        <v>1823726.6555028276</v>
      </c>
      <c r="J17" s="13">
        <f t="shared" ca="1" si="0"/>
        <v>250535712.55248719</v>
      </c>
      <c r="K17" s="13">
        <f t="shared" ca="1" si="0"/>
        <v>65577290.497216515</v>
      </c>
      <c r="L17" s="13">
        <f t="shared" ca="1" si="0"/>
        <v>3299379.3881418169</v>
      </c>
      <c r="M17" s="13">
        <f t="shared" ca="1" si="0"/>
        <v>11885200.45518573</v>
      </c>
      <c r="N17" s="13">
        <f t="shared" ca="1" si="0"/>
        <v>14084754.429949632</v>
      </c>
    </row>
    <row r="18" spans="1:14" x14ac:dyDescent="0.3">
      <c r="A18" t="str">
        <f ca="1">IF(C18="","",MAX($A$8:A17)+1)</f>
        <v/>
      </c>
      <c r="C18" t="s">
        <v>17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3">
      <c r="A19">
        <f ca="1">IF(C19="","",MAX($A$8:A18)+1)</f>
        <v>9</v>
      </c>
      <c r="C19" s="2" t="s">
        <v>26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3">
      <c r="A20">
        <f ca="1">IF(C20="","",MAX($A$8:A19)+1)</f>
        <v>10</v>
      </c>
      <c r="C20" t="s">
        <v>19</v>
      </c>
      <c r="E20" s="11">
        <v>-7140268.975912503</v>
      </c>
      <c r="F20" s="11"/>
      <c r="G20" s="11"/>
      <c r="H20" s="11"/>
      <c r="I20" s="11">
        <v>-58021.853402688001</v>
      </c>
      <c r="J20" s="11">
        <v>-5489269.5762630682</v>
      </c>
      <c r="K20" s="11">
        <v>-1233298.6859410906</v>
      </c>
      <c r="L20" s="11">
        <v>-114973.70699963097</v>
      </c>
      <c r="M20" s="11">
        <v>-116854.00204345639</v>
      </c>
      <c r="N20" s="11">
        <v>-127851.15126256799</v>
      </c>
    </row>
    <row r="21" spans="1:14" x14ac:dyDescent="0.3">
      <c r="A21">
        <f ca="1">IF(C21="","",MAX($A$8:A20)+1)</f>
        <v>11</v>
      </c>
      <c r="C21" t="s">
        <v>20</v>
      </c>
      <c r="E21" s="11">
        <v>-5249414.5214159144</v>
      </c>
      <c r="F21" s="11"/>
      <c r="G21" s="11"/>
      <c r="H21" s="11"/>
      <c r="I21" s="11">
        <v>-15017.142702223438</v>
      </c>
      <c r="J21" s="11">
        <v>-3716157.260488457</v>
      </c>
      <c r="K21" s="11">
        <v>-1138151.5107289273</v>
      </c>
      <c r="L21" s="11">
        <v>-45592.307575918778</v>
      </c>
      <c r="M21" s="11">
        <v>-210419.39551677241</v>
      </c>
      <c r="N21" s="11">
        <v>-124076.90440361475</v>
      </c>
    </row>
    <row r="22" spans="1:14" x14ac:dyDescent="0.3">
      <c r="A22">
        <f ca="1">IF(C22="","",MAX($A$8:A21)+1)</f>
        <v>12</v>
      </c>
      <c r="C22" t="s">
        <v>27</v>
      </c>
      <c r="E22" s="11">
        <v>-3136765.913507082</v>
      </c>
      <c r="F22" s="11"/>
      <c r="G22" s="11"/>
      <c r="H22" s="11"/>
      <c r="I22" s="11">
        <v>-9449.2183103325224</v>
      </c>
      <c r="J22" s="11">
        <v>-2215043.0620675115</v>
      </c>
      <c r="K22" s="11">
        <v>-702894.1198316809</v>
      </c>
      <c r="L22" s="11">
        <v>-24262.701613438643</v>
      </c>
      <c r="M22" s="11">
        <v>-131487.44329629964</v>
      </c>
      <c r="N22" s="11">
        <v>-53629.368387819639</v>
      </c>
    </row>
    <row r="23" spans="1:14" x14ac:dyDescent="0.3">
      <c r="A23">
        <f ca="1">IF(C23="","",MAX($A$8:A22)+1)</f>
        <v>13</v>
      </c>
      <c r="C23" t="s">
        <v>22</v>
      </c>
      <c r="E23" s="11">
        <v>-5239361.1859662477</v>
      </c>
      <c r="F23" s="11"/>
      <c r="G23" s="11"/>
      <c r="H23" s="11"/>
      <c r="I23" s="11">
        <v>-14985.235767966695</v>
      </c>
      <c r="J23" s="11">
        <v>-3700050.6896965462</v>
      </c>
      <c r="K23" s="11">
        <v>-1134898.3627286248</v>
      </c>
      <c r="L23" s="11">
        <v>-45250.476531142544</v>
      </c>
      <c r="M23" s="11">
        <v>-211383.10833614002</v>
      </c>
      <c r="N23" s="11">
        <v>-132793.31290582701</v>
      </c>
    </row>
    <row r="24" spans="1:14" x14ac:dyDescent="0.3">
      <c r="A24">
        <f ca="1">IF(C24="","",MAX($A$8:A23)+1)</f>
        <v>14</v>
      </c>
      <c r="C24" t="s">
        <v>23</v>
      </c>
      <c r="E24" s="11">
        <v>-110420687.13291666</v>
      </c>
      <c r="F24" s="11"/>
      <c r="G24" s="11"/>
      <c r="H24" s="11"/>
      <c r="I24" s="11">
        <v>-636020.273826894</v>
      </c>
      <c r="J24" s="11">
        <v>-80810606.372649983</v>
      </c>
      <c r="K24" s="11">
        <v>-20183860.562318247</v>
      </c>
      <c r="L24" s="11">
        <v>-1092019.3947002839</v>
      </c>
      <c r="M24" s="11">
        <v>-3523077.9563551224</v>
      </c>
      <c r="N24" s="11">
        <v>-4175102.5730661438</v>
      </c>
    </row>
    <row r="25" spans="1:14" x14ac:dyDescent="0.3">
      <c r="A25">
        <f ca="1">IF(C25="","",MAX($A$8:A24)+1)</f>
        <v>15</v>
      </c>
      <c r="C25" t="s">
        <v>24</v>
      </c>
      <c r="E25" s="11">
        <v>-5714597.0293686008</v>
      </c>
      <c r="F25" s="11"/>
      <c r="G25" s="11"/>
      <c r="H25" s="11"/>
      <c r="I25" s="11">
        <v>-31036.683594065216</v>
      </c>
      <c r="J25" s="11">
        <v>-4137248.849449466</v>
      </c>
      <c r="K25" s="11">
        <v>-1070640.7297696518</v>
      </c>
      <c r="L25" s="11">
        <v>-53064.827125450931</v>
      </c>
      <c r="M25" s="11">
        <v>-193309.05029882118</v>
      </c>
      <c r="N25" s="11">
        <v>-229296.88913114541</v>
      </c>
    </row>
    <row r="26" spans="1:14" x14ac:dyDescent="0.3">
      <c r="A26">
        <f ca="1">IF(C26="","",MAX($A$8:A25)+1)</f>
        <v>16</v>
      </c>
      <c r="C26" t="s">
        <v>28</v>
      </c>
      <c r="E26" s="13">
        <f ca="1">SUBTOTAL(9,E20:E25)</f>
        <v>-136901094.759087</v>
      </c>
      <c r="F26" s="11"/>
      <c r="G26" s="11"/>
      <c r="H26" s="11"/>
      <c r="I26" s="13">
        <f t="shared" ref="I26:N26" ca="1" si="1">SUBTOTAL(9,I20:I25)</f>
        <v>-764530.40760416992</v>
      </c>
      <c r="J26" s="13">
        <f t="shared" ca="1" si="1"/>
        <v>-100068375.81061503</v>
      </c>
      <c r="K26" s="13">
        <f t="shared" ca="1" si="1"/>
        <v>-25463743.971318223</v>
      </c>
      <c r="L26" s="13">
        <f t="shared" ca="1" si="1"/>
        <v>-1375163.4145458657</v>
      </c>
      <c r="M26" s="13">
        <f t="shared" ca="1" si="1"/>
        <v>-4386530.9558466123</v>
      </c>
      <c r="N26" s="13">
        <f t="shared" ca="1" si="1"/>
        <v>-4842750.1991571188</v>
      </c>
    </row>
    <row r="27" spans="1:14" x14ac:dyDescent="0.3">
      <c r="A27" t="str">
        <f ca="1">IF(C27="","",MAX($A$8:A26)+1)</f>
        <v/>
      </c>
      <c r="C27" t="s">
        <v>17</v>
      </c>
      <c r="E27" s="11"/>
      <c r="F27" s="11"/>
      <c r="G27" s="11"/>
      <c r="H27" s="11"/>
      <c r="I27" s="14"/>
      <c r="J27" s="14"/>
      <c r="K27" s="14"/>
      <c r="L27" s="14"/>
      <c r="M27" s="14"/>
      <c r="N27" s="14"/>
    </row>
    <row r="28" spans="1:14" x14ac:dyDescent="0.3">
      <c r="A28">
        <f ca="1">IF(C28="","",MAX($A$8:A27)+1)</f>
        <v>17</v>
      </c>
      <c r="C28" s="2" t="s">
        <v>29</v>
      </c>
      <c r="E28" s="11">
        <v>-23826025.802317169</v>
      </c>
      <c r="F28" s="11"/>
      <c r="G28" s="11"/>
      <c r="H28" s="11"/>
      <c r="I28" s="11">
        <v>-128462.39883479079</v>
      </c>
      <c r="J28" s="11">
        <v>-17416354.367076635</v>
      </c>
      <c r="K28" s="11">
        <v>-4499089.1254744995</v>
      </c>
      <c r="L28" s="11">
        <v>-228543.97560533835</v>
      </c>
      <c r="M28" s="11">
        <v>-789105.13608071196</v>
      </c>
      <c r="N28" s="11">
        <v>-764470.79924519313</v>
      </c>
    </row>
    <row r="29" spans="1:14" x14ac:dyDescent="0.3">
      <c r="A29" t="str">
        <f ca="1">IF(C29="","",MAX($A$8:A28)+1)</f>
        <v/>
      </c>
      <c r="C29" t="s">
        <v>17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3">
      <c r="A30">
        <f ca="1">IF(C30="","",MAX($A$8:A29)+1)</f>
        <v>18</v>
      </c>
      <c r="C30" s="15" t="s">
        <v>30</v>
      </c>
      <c r="E30" s="11">
        <f ca="1">SUBTOTAL(9,E11:E28)</f>
        <v>186478943.41707954</v>
      </c>
      <c r="F30" s="11"/>
      <c r="G30" s="11"/>
      <c r="H30" s="11"/>
      <c r="I30" s="11">
        <f t="shared" ref="I30:N30" ca="1" si="2">SUBTOTAL(9,I11:I28)</f>
        <v>930733.849063867</v>
      </c>
      <c r="J30" s="11">
        <f t="shared" ca="1" si="2"/>
        <v>133050982.37479556</v>
      </c>
      <c r="K30" s="11">
        <f t="shared" ca="1" si="2"/>
        <v>35614457.400423788</v>
      </c>
      <c r="L30" s="11">
        <f t="shared" ca="1" si="2"/>
        <v>1695671.9979906129</v>
      </c>
      <c r="M30" s="11">
        <f t="shared" ca="1" si="2"/>
        <v>6709564.3632584065</v>
      </c>
      <c r="N30" s="11">
        <f t="shared" ca="1" si="2"/>
        <v>8477533.4315473195</v>
      </c>
    </row>
    <row r="31" spans="1:14" x14ac:dyDescent="0.3">
      <c r="A31" t="str">
        <f ca="1">IF(C31="","",MAX($A$8:A30)+1)</f>
        <v/>
      </c>
      <c r="C31" t="s">
        <v>17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3">
      <c r="A32">
        <f ca="1">IF(C32="","",MAX($A$8:A31)+1)</f>
        <v>19</v>
      </c>
      <c r="C32" s="2" t="s">
        <v>31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3">
      <c r="A33">
        <f ca="1">IF(C33="","",MAX($A$8:A32)+1)</f>
        <v>20</v>
      </c>
      <c r="C33" t="s">
        <v>32</v>
      </c>
      <c r="E33" s="11">
        <v>361398.69862959988</v>
      </c>
      <c r="F33" s="11"/>
      <c r="G33" s="11"/>
      <c r="H33" s="11"/>
      <c r="I33" s="11">
        <v>1030.8098956438212</v>
      </c>
      <c r="J33" s="11">
        <v>254170.35711594683</v>
      </c>
      <c r="K33" s="11">
        <v>78038.60426536882</v>
      </c>
      <c r="L33" s="11">
        <v>3108.8245000184797</v>
      </c>
      <c r="M33" s="11">
        <v>14663.151584266499</v>
      </c>
      <c r="N33" s="11">
        <v>10386.951268355355</v>
      </c>
    </row>
    <row r="34" spans="1:14" x14ac:dyDescent="0.3">
      <c r="A34">
        <f ca="1">IF(C34="","",MAX($A$8:A33)+1)</f>
        <v>21</v>
      </c>
      <c r="C34" t="s">
        <v>33</v>
      </c>
      <c r="E34" s="11">
        <v>321081.46528399992</v>
      </c>
      <c r="F34" s="11"/>
      <c r="G34" s="11"/>
      <c r="H34" s="11"/>
      <c r="I34" s="11">
        <v>969.74447174869874</v>
      </c>
      <c r="J34" s="11">
        <v>226200.86027427219</v>
      </c>
      <c r="K34" s="11">
        <v>72036.808642210191</v>
      </c>
      <c r="L34" s="11">
        <v>2471.9572717074916</v>
      </c>
      <c r="M34" s="11">
        <v>13668.340262289217</v>
      </c>
      <c r="N34" s="11">
        <v>5733.7543617721476</v>
      </c>
    </row>
    <row r="35" spans="1:14" x14ac:dyDescent="0.3">
      <c r="A35">
        <f ca="1">IF(C35="","",MAX($A$8:A34)+1)</f>
        <v>22</v>
      </c>
      <c r="C35" t="s">
        <v>34</v>
      </c>
      <c r="E35" s="11">
        <v>155022.19047011994</v>
      </c>
      <c r="F35" s="11"/>
      <c r="G35" s="11"/>
      <c r="H35" s="11"/>
      <c r="I35" s="11">
        <v>442.37248710792431</v>
      </c>
      <c r="J35" s="11">
        <v>106590.34121056405</v>
      </c>
      <c r="K35" s="11">
        <v>33234.666627522965</v>
      </c>
      <c r="L35" s="11">
        <v>1257.1411099126399</v>
      </c>
      <c r="M35" s="11">
        <v>6693.2734373564926</v>
      </c>
      <c r="N35" s="11">
        <v>6804.3955976558846</v>
      </c>
    </row>
    <row r="36" spans="1:14" x14ac:dyDescent="0.3">
      <c r="A36">
        <f ca="1">IF(C36="","",MAX($A$8:A35)+1)</f>
        <v>23</v>
      </c>
      <c r="C36" t="s">
        <v>35</v>
      </c>
      <c r="E36" s="11">
        <v>4986650.8913402492</v>
      </c>
      <c r="F36" s="11"/>
      <c r="G36" s="11"/>
      <c r="H36" s="11"/>
      <c r="I36" s="11">
        <v>35239.614175406154</v>
      </c>
      <c r="J36" s="11">
        <v>3683345.7002709373</v>
      </c>
      <c r="K36" s="11">
        <v>863496.27033694962</v>
      </c>
      <c r="L36" s="11">
        <v>42435.635944837544</v>
      </c>
      <c r="M36" s="11">
        <v>146087.93391487701</v>
      </c>
      <c r="N36" s="11">
        <v>216045.73669724257</v>
      </c>
    </row>
    <row r="37" spans="1:14" x14ac:dyDescent="0.3">
      <c r="A37">
        <f ca="1">IF(C37="","",MAX($A$8:A36)+1)</f>
        <v>24</v>
      </c>
      <c r="C37" t="s">
        <v>36</v>
      </c>
      <c r="E37" s="11">
        <v>2389851.4081391692</v>
      </c>
      <c r="F37" s="11"/>
      <c r="G37" s="11"/>
      <c r="H37" s="11"/>
      <c r="I37" s="11">
        <v>25309.265019000166</v>
      </c>
      <c r="J37" s="11">
        <v>2099257.1704036635</v>
      </c>
      <c r="K37" s="11">
        <v>181978.5272689338</v>
      </c>
      <c r="L37" s="11">
        <v>23723.893771303919</v>
      </c>
      <c r="M37" s="11">
        <v>28263.404348080909</v>
      </c>
      <c r="N37" s="11">
        <v>31319.147328186871</v>
      </c>
    </row>
    <row r="38" spans="1:14" x14ac:dyDescent="0.3">
      <c r="A38">
        <f ca="1">IF(C38="","",MAX($A$8:A37)+1)</f>
        <v>25</v>
      </c>
      <c r="C38" t="s">
        <v>37</v>
      </c>
      <c r="E38" s="11">
        <v>646079.97830500023</v>
      </c>
      <c r="F38" s="11"/>
      <c r="G38" s="11"/>
      <c r="H38" s="11"/>
      <c r="I38" s="11">
        <v>5950.9700468131432</v>
      </c>
      <c r="J38" s="11">
        <v>495799.51144364284</v>
      </c>
      <c r="K38" s="11">
        <v>71355.846191255434</v>
      </c>
      <c r="L38" s="11">
        <v>5037.7443674378328</v>
      </c>
      <c r="M38" s="11">
        <v>20132.628484749304</v>
      </c>
      <c r="N38" s="11">
        <v>47803.277771101661</v>
      </c>
    </row>
    <row r="39" spans="1:14" x14ac:dyDescent="0.3">
      <c r="A39">
        <f ca="1">IF(C39="","",MAX($A$8:A38)+1)</f>
        <v>26</v>
      </c>
      <c r="C39" t="s">
        <v>38</v>
      </c>
      <c r="E39" s="11">
        <v>188259.806674313</v>
      </c>
      <c r="F39" s="11"/>
      <c r="G39" s="11"/>
      <c r="H39" s="11"/>
      <c r="I39" s="11">
        <v>2047.945807454448</v>
      </c>
      <c r="J39" s="11">
        <v>170462.44577416408</v>
      </c>
      <c r="K39" s="11">
        <v>13603.492474680159</v>
      </c>
      <c r="L39" s="11">
        <v>1773.0208937073639</v>
      </c>
      <c r="M39" s="11">
        <v>270.70598726767446</v>
      </c>
      <c r="N39" s="11">
        <v>102.19573703928863</v>
      </c>
    </row>
    <row r="40" spans="1:14" x14ac:dyDescent="0.3">
      <c r="A40">
        <f ca="1">IF(C40="","",MAX($A$8:A39)+1)</f>
        <v>27</v>
      </c>
      <c r="C40" t="s">
        <v>39</v>
      </c>
      <c r="E40" s="11">
        <v>9085604.9113805499</v>
      </c>
      <c r="F40" s="11"/>
      <c r="G40" s="11"/>
      <c r="H40" s="11"/>
      <c r="I40" s="11">
        <v>78127.960081047408</v>
      </c>
      <c r="J40" s="11">
        <v>7103896.1908973102</v>
      </c>
      <c r="K40" s="11">
        <v>1240353.9151327149</v>
      </c>
      <c r="L40" s="11">
        <v>81584.87144864515</v>
      </c>
      <c r="M40" s="11">
        <v>209877.36652776739</v>
      </c>
      <c r="N40" s="11">
        <v>371764.60729306529</v>
      </c>
    </row>
    <row r="41" spans="1:14" x14ac:dyDescent="0.3">
      <c r="A41">
        <f ca="1">IF(C41="","",MAX($A$8:A40)+1)</f>
        <v>28</v>
      </c>
      <c r="C41" t="s">
        <v>40</v>
      </c>
      <c r="E41" s="11">
        <v>9563551.0915138312</v>
      </c>
      <c r="F41" s="11"/>
      <c r="G41" s="11"/>
      <c r="H41" s="11"/>
      <c r="I41" s="11">
        <v>53404.336150728835</v>
      </c>
      <c r="J41" s="11">
        <v>6961888.8303997852</v>
      </c>
      <c r="K41" s="11">
        <v>1771670.6643745238</v>
      </c>
      <c r="L41" s="11">
        <v>91320.666408446414</v>
      </c>
      <c r="M41" s="11">
        <v>314076.67224700016</v>
      </c>
      <c r="N41" s="11">
        <v>371189.92193334451</v>
      </c>
    </row>
    <row r="42" spans="1:14" x14ac:dyDescent="0.3">
      <c r="A42">
        <f ca="1">IF(C42="","",MAX($A$8:A41)+1)</f>
        <v>29</v>
      </c>
      <c r="C42" t="s">
        <v>41</v>
      </c>
      <c r="E42" s="11">
        <v>5171840.9808292491</v>
      </c>
      <c r="F42" s="11"/>
      <c r="G42" s="11"/>
      <c r="H42" s="11"/>
      <c r="I42" s="11">
        <v>29647.112163136546</v>
      </c>
      <c r="J42" s="11">
        <v>3778788.7287795432</v>
      </c>
      <c r="K42" s="11">
        <v>936739.11673729843</v>
      </c>
      <c r="L42" s="11">
        <v>48698.207881843024</v>
      </c>
      <c r="M42" s="11">
        <v>168966.9142871513</v>
      </c>
      <c r="N42" s="11">
        <v>209000.90098027454</v>
      </c>
    </row>
    <row r="43" spans="1:14" x14ac:dyDescent="0.3">
      <c r="A43">
        <f ca="1">IF(C43="","",MAX($A$8:A42)+1)</f>
        <v>30</v>
      </c>
      <c r="C43" t="s">
        <v>42</v>
      </c>
      <c r="E43" s="11">
        <v>1074020.4737849478</v>
      </c>
      <c r="F43" s="11"/>
      <c r="G43" s="11"/>
      <c r="H43" s="11"/>
      <c r="I43" s="11">
        <v>7188.0200666270266</v>
      </c>
      <c r="J43" s="11">
        <v>808296.12382231758</v>
      </c>
      <c r="K43" s="11">
        <v>174494.46917892847</v>
      </c>
      <c r="L43" s="11">
        <v>10752.646171143366</v>
      </c>
      <c r="M43" s="11">
        <v>31370.883631338133</v>
      </c>
      <c r="N43" s="11">
        <v>41918.330914592989</v>
      </c>
    </row>
    <row r="44" spans="1:14" x14ac:dyDescent="0.3">
      <c r="A44">
        <f ca="1">IF(C44="","",MAX($A$8:A43)+1)</f>
        <v>31</v>
      </c>
      <c r="C44" t="s">
        <v>43</v>
      </c>
      <c r="E44" s="13">
        <f ca="1">SUBTOTAL(9,E33:E43)</f>
        <v>33943361.896351032</v>
      </c>
      <c r="F44" s="11"/>
      <c r="G44" s="11"/>
      <c r="H44" s="11"/>
      <c r="I44" s="13">
        <f t="shared" ref="I44:N44" ca="1" si="3">SUBTOTAL(9,I33:I43)</f>
        <v>239358.15036471418</v>
      </c>
      <c r="J44" s="13">
        <f t="shared" ca="1" si="3"/>
        <v>25688696.260392148</v>
      </c>
      <c r="K44" s="13">
        <f t="shared" ca="1" si="3"/>
        <v>5437002.381230386</v>
      </c>
      <c r="L44" s="13">
        <f t="shared" ca="1" si="3"/>
        <v>312164.60976900323</v>
      </c>
      <c r="M44" s="13">
        <f t="shared" ca="1" si="3"/>
        <v>954071.27471214405</v>
      </c>
      <c r="N44" s="13">
        <f t="shared" ca="1" si="3"/>
        <v>1312069.2198826314</v>
      </c>
    </row>
    <row r="45" spans="1:14" x14ac:dyDescent="0.3">
      <c r="A45" t="str">
        <f ca="1">IF(C45="","",MAX($A$8:A44)+1)</f>
        <v/>
      </c>
      <c r="C45" s="2" t="s">
        <v>17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3">
      <c r="A46">
        <f ca="1">IF(C46="","",MAX($A$8:A45)+1)</f>
        <v>32</v>
      </c>
      <c r="C46" s="2" t="s">
        <v>44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3">
      <c r="A47">
        <f ca="1">IF(C47="","",MAX($A$8:A46)+1)</f>
        <v>33</v>
      </c>
      <c r="C47" s="16" t="s">
        <v>45</v>
      </c>
      <c r="E47" s="11">
        <v>41397485.315276787</v>
      </c>
      <c r="F47" s="11"/>
      <c r="G47" s="11"/>
      <c r="H47" s="11"/>
      <c r="I47" s="11">
        <v>205673.46142368694</v>
      </c>
      <c r="J47" s="11">
        <v>27765814.387779463</v>
      </c>
      <c r="K47" s="11">
        <v>8598554.5167402085</v>
      </c>
      <c r="L47" s="11">
        <v>195260.61634887644</v>
      </c>
      <c r="M47" s="11">
        <v>1969924.1764346147</v>
      </c>
      <c r="N47" s="11">
        <v>2662258.1565499278</v>
      </c>
    </row>
    <row r="48" spans="1:14" x14ac:dyDescent="0.3">
      <c r="A48">
        <f ca="1">IF(C48="","",MAX($A$8:A47)+1)</f>
        <v>34</v>
      </c>
      <c r="C48" s="16" t="s">
        <v>46</v>
      </c>
      <c r="E48" s="11">
        <v>239628.12539002372</v>
      </c>
      <c r="F48" s="11"/>
      <c r="G48" s="11"/>
      <c r="H48" s="11"/>
      <c r="I48" s="11">
        <v>1340.5341995188592</v>
      </c>
      <c r="J48" s="11">
        <v>180971.44622677367</v>
      </c>
      <c r="K48" s="11">
        <v>56043.479388780819</v>
      </c>
      <c r="L48" s="11">
        <v>1272.6655749503257</v>
      </c>
      <c r="M48" s="11">
        <v>0</v>
      </c>
      <c r="N48" s="11">
        <v>0</v>
      </c>
    </row>
    <row r="49" spans="1:14" x14ac:dyDescent="0.3">
      <c r="A49">
        <f ca="1">IF(C49="","",MAX($A$8:A48)+1)</f>
        <v>35</v>
      </c>
      <c r="C49" s="16" t="s">
        <v>47</v>
      </c>
      <c r="E49" s="11">
        <v>239204.36071666668</v>
      </c>
      <c r="F49" s="11"/>
      <c r="G49" s="11"/>
      <c r="H49" s="11"/>
      <c r="I49" s="11">
        <v>1188.4294053504177</v>
      </c>
      <c r="J49" s="11">
        <v>160437.37511648916</v>
      </c>
      <c r="K49" s="11">
        <v>49684.460797555483</v>
      </c>
      <c r="L49" s="11">
        <v>1128.2615490086084</v>
      </c>
      <c r="M49" s="11">
        <v>11382.68302278876</v>
      </c>
      <c r="N49" s="11">
        <v>15383.15082547422</v>
      </c>
    </row>
    <row r="50" spans="1:14" x14ac:dyDescent="0.3">
      <c r="A50">
        <f ca="1">IF(C50="","",MAX($A$8:A49)+1)</f>
        <v>36</v>
      </c>
      <c r="C50" s="2" t="s">
        <v>48</v>
      </c>
      <c r="E50" s="13">
        <v>41876317.801383473</v>
      </c>
      <c r="F50" s="11"/>
      <c r="G50" s="11"/>
      <c r="H50" s="11"/>
      <c r="I50" s="13">
        <v>208202.42502855623</v>
      </c>
      <c r="J50" s="13">
        <v>28107223.209122729</v>
      </c>
      <c r="K50" s="13">
        <v>8704282.456926547</v>
      </c>
      <c r="L50" s="13">
        <v>197661.54347283536</v>
      </c>
      <c r="M50" s="13">
        <v>1981306.8594574034</v>
      </c>
      <c r="N50" s="13">
        <v>2677641.3073754022</v>
      </c>
    </row>
    <row r="51" spans="1:14" x14ac:dyDescent="0.3">
      <c r="A51" t="str">
        <f ca="1">IF(C51="","",MAX($A$8:A50)+1)</f>
        <v/>
      </c>
      <c r="C51" t="s">
        <v>17</v>
      </c>
      <c r="E51" s="17"/>
      <c r="F51" s="11"/>
      <c r="G51" s="11"/>
      <c r="H51" s="11"/>
      <c r="I51" s="17"/>
      <c r="J51" s="17"/>
      <c r="K51" s="17"/>
      <c r="L51" s="17"/>
      <c r="M51" s="17"/>
      <c r="N51" s="17"/>
    </row>
    <row r="52" spans="1:14" x14ac:dyDescent="0.3">
      <c r="A52">
        <f ca="1">IF(C52="","",MAX($A$8:A51)+1)</f>
        <v>37</v>
      </c>
      <c r="C52" s="2" t="s">
        <v>49</v>
      </c>
      <c r="E52" s="11">
        <f ca="1">E50-E44</f>
        <v>7932955.905032441</v>
      </c>
      <c r="F52" s="11"/>
      <c r="G52" s="11"/>
      <c r="H52" s="11"/>
      <c r="I52" s="11">
        <f t="shared" ref="I52:N52" ca="1" si="4">I50-I44</f>
        <v>-31155.72533615795</v>
      </c>
      <c r="J52" s="11">
        <f t="shared" ca="1" si="4"/>
        <v>2418526.9487305805</v>
      </c>
      <c r="K52" s="11">
        <f t="shared" ca="1" si="4"/>
        <v>3267280.075696161</v>
      </c>
      <c r="L52" s="11">
        <f t="shared" ca="1" si="4"/>
        <v>-114503.06629616788</v>
      </c>
      <c r="M52" s="11">
        <f t="shared" ca="1" si="4"/>
        <v>1027235.5847452594</v>
      </c>
      <c r="N52" s="11">
        <f t="shared" ca="1" si="4"/>
        <v>1365572.0874927707</v>
      </c>
    </row>
    <row r="53" spans="1:14" x14ac:dyDescent="0.3">
      <c r="A53" t="str">
        <f ca="1">IF(C53="","",MAX($A$8:A52)+1)</f>
        <v/>
      </c>
      <c r="C53" s="2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3">
      <c r="A54">
        <f ca="1">IF(C54="","",MAX($A$8:A53)+1)</f>
        <v>38</v>
      </c>
      <c r="C54" s="2" t="s">
        <v>50</v>
      </c>
      <c r="E54" s="18">
        <f ca="1">E52/E30</f>
        <v>4.254075961428825E-2</v>
      </c>
      <c r="F54" s="11"/>
      <c r="G54" s="11"/>
      <c r="H54" s="11"/>
      <c r="I54" s="18">
        <f t="shared" ref="I54:N54" ca="1" si="5">I52/I30</f>
        <v>-3.3474365810907604E-2</v>
      </c>
      <c r="J54" s="18">
        <f t="shared" ca="1" si="5"/>
        <v>1.8177445258673514E-2</v>
      </c>
      <c r="K54" s="18">
        <f t="shared" ca="1" si="5"/>
        <v>9.1740273871399283E-2</v>
      </c>
      <c r="L54" s="18">
        <f t="shared" ca="1" si="5"/>
        <v>-6.7526659891686061E-2</v>
      </c>
      <c r="M54" s="18">
        <f t="shared" ca="1" si="5"/>
        <v>0.15310019088130436</v>
      </c>
      <c r="N54" s="18">
        <f t="shared" ca="1" si="5"/>
        <v>0.16108129782314837</v>
      </c>
    </row>
    <row r="55" spans="1:14" x14ac:dyDescent="0.3">
      <c r="A55" t="str">
        <f ca="1">IF(C55="","",MAX($A$8:A54)+1)</f>
        <v/>
      </c>
      <c r="C55" s="2"/>
      <c r="E55" s="19"/>
      <c r="F55" s="11"/>
      <c r="G55" s="11"/>
      <c r="H55" s="11"/>
      <c r="I55" s="19"/>
      <c r="J55" s="19"/>
      <c r="K55" s="19"/>
      <c r="L55" s="19"/>
      <c r="M55" s="19"/>
      <c r="N55" s="19"/>
    </row>
    <row r="56" spans="1:14" x14ac:dyDescent="0.3">
      <c r="A56" t="str">
        <f ca="1">IF(C56="","",MAX($A$8:A55)+1)</f>
        <v/>
      </c>
      <c r="C56" s="2"/>
      <c r="E56" s="19"/>
      <c r="F56" s="11"/>
      <c r="G56" s="11"/>
      <c r="H56" s="11"/>
      <c r="I56" s="19"/>
      <c r="J56" s="19"/>
      <c r="K56" s="19"/>
      <c r="L56" s="19"/>
      <c r="M56" s="19"/>
      <c r="N56" s="19"/>
    </row>
    <row r="57" spans="1:14" x14ac:dyDescent="0.3">
      <c r="A57">
        <f ca="1">IF(C57="","",MAX($A$8:A56)+1)</f>
        <v>39</v>
      </c>
      <c r="C57" s="20" t="s">
        <v>51</v>
      </c>
      <c r="E57" s="19"/>
      <c r="F57" s="11"/>
      <c r="G57" s="11"/>
      <c r="H57" s="11"/>
      <c r="I57" s="19"/>
      <c r="J57" s="19"/>
      <c r="K57" s="19"/>
      <c r="L57" s="19"/>
      <c r="M57" s="19"/>
      <c r="N57" s="19"/>
    </row>
    <row r="58" spans="1:14" x14ac:dyDescent="0.3">
      <c r="A58" t="str">
        <f ca="1">IF(C58="","",MAX($A$8:A57)+1)</f>
        <v/>
      </c>
      <c r="C58" s="2"/>
      <c r="E58" s="19"/>
      <c r="F58" s="11"/>
      <c r="G58" s="11"/>
      <c r="H58" s="11"/>
      <c r="I58" s="19"/>
      <c r="J58" s="19"/>
      <c r="K58" s="19"/>
      <c r="L58" s="19"/>
      <c r="M58" s="19"/>
      <c r="N58" s="19"/>
    </row>
    <row r="59" spans="1:14" s="25" customFormat="1" x14ac:dyDescent="0.3">
      <c r="A59">
        <f ca="1">IF(C59="","",MAX($A$8:A58)+1)</f>
        <v>40</v>
      </c>
      <c r="B59" s="21"/>
      <c r="C59" s="22" t="s">
        <v>52</v>
      </c>
      <c r="D59" s="21"/>
      <c r="E59" s="23">
        <v>7.6289921197126645E-2</v>
      </c>
      <c r="F59" s="24"/>
      <c r="G59" s="24"/>
      <c r="H59" s="24"/>
      <c r="I59" s="23">
        <f ca="1">$E59</f>
        <v>7.6289921197126645E-2</v>
      </c>
      <c r="J59" s="23">
        <f t="shared" ref="J59:N59" ca="1" si="6">$E59</f>
        <v>7.6289921197126645E-2</v>
      </c>
      <c r="K59" s="23">
        <f t="shared" ca="1" si="6"/>
        <v>7.6289921197126645E-2</v>
      </c>
      <c r="L59" s="23">
        <f t="shared" ca="1" si="6"/>
        <v>7.6289921197126645E-2</v>
      </c>
      <c r="M59" s="23">
        <f t="shared" ca="1" si="6"/>
        <v>7.6289921197126645E-2</v>
      </c>
      <c r="N59" s="23">
        <f t="shared" ca="1" si="6"/>
        <v>7.6289921197126645E-2</v>
      </c>
    </row>
    <row r="60" spans="1:14" s="25" customFormat="1" x14ac:dyDescent="0.3">
      <c r="A60">
        <f ca="1">IF(C60="","",MAX($A$8:A59)+1)</f>
        <v>41</v>
      </c>
      <c r="B60" s="21"/>
      <c r="C60" s="22" t="s">
        <v>53</v>
      </c>
      <c r="D60" s="21"/>
      <c r="E60" s="11">
        <f ca="1">E59*E30</f>
        <v>14226463.898212437</v>
      </c>
      <c r="F60" s="26"/>
      <c r="G60" s="26"/>
      <c r="H60" s="26"/>
      <c r="I60" s="26">
        <f t="shared" ref="I60:N60" ca="1" si="7">I59*I30</f>
        <v>71005.612000580775</v>
      </c>
      <c r="J60" s="26">
        <f t="shared" ca="1" si="7"/>
        <v>10150448.960573439</v>
      </c>
      <c r="K60" s="26">
        <f t="shared" ca="1" si="7"/>
        <v>2717024.1485567545</v>
      </c>
      <c r="L60" s="26">
        <f t="shared" ca="1" si="7"/>
        <v>129362.68310287815</v>
      </c>
      <c r="M60" s="26">
        <f t="shared" ca="1" si="7"/>
        <v>511872.13654003304</v>
      </c>
      <c r="N60" s="26">
        <f t="shared" ca="1" si="7"/>
        <v>646750.35743875161</v>
      </c>
    </row>
    <row r="61" spans="1:14" s="25" customFormat="1" x14ac:dyDescent="0.3">
      <c r="A61" t="str">
        <f ca="1">IF(C61="","",MAX($A$8:A60)+1)</f>
        <v/>
      </c>
      <c r="C61" s="27" t="s">
        <v>17</v>
      </c>
      <c r="E61" s="28"/>
      <c r="F61" s="29"/>
      <c r="G61" s="29"/>
      <c r="H61" s="29"/>
      <c r="I61" s="30"/>
      <c r="J61" s="30"/>
      <c r="K61" s="30"/>
      <c r="L61" s="30"/>
      <c r="M61" s="30"/>
      <c r="N61" s="30"/>
    </row>
    <row r="62" spans="1:14" x14ac:dyDescent="0.3">
      <c r="A62">
        <f ca="1">IF(C62="","",MAX($A$8:A61)+1)</f>
        <v>42</v>
      </c>
      <c r="C62" s="2" t="s">
        <v>54</v>
      </c>
      <c r="E62" s="19"/>
      <c r="F62" s="11"/>
      <c r="G62" s="11"/>
      <c r="H62" s="11"/>
      <c r="I62" s="19"/>
      <c r="J62" s="19"/>
      <c r="K62" s="19"/>
      <c r="L62" s="19"/>
      <c r="M62" s="19"/>
      <c r="N62" s="19"/>
    </row>
    <row r="63" spans="1:14" x14ac:dyDescent="0.3">
      <c r="A63">
        <f ca="1">IF(C63="","",MAX($A$8:A62)+1)</f>
        <v>43</v>
      </c>
      <c r="C63" t="s">
        <v>55</v>
      </c>
      <c r="E63" s="11">
        <v>1672957.8209718973</v>
      </c>
      <c r="F63" s="11"/>
      <c r="G63" s="11"/>
      <c r="H63" s="11"/>
      <c r="I63" s="11">
        <v>21157.797135478144</v>
      </c>
      <c r="J63" s="11">
        <v>1601294.9875028669</v>
      </c>
      <c r="K63" s="11">
        <v>0</v>
      </c>
      <c r="L63" s="11">
        <v>50505.036333553129</v>
      </c>
      <c r="M63" s="11">
        <v>0</v>
      </c>
      <c r="N63" s="11">
        <v>0</v>
      </c>
    </row>
    <row r="64" spans="1:14" x14ac:dyDescent="0.3">
      <c r="A64">
        <f ca="1">IF(C64="","",MAX($A$8:A63)+1)</f>
        <v>44</v>
      </c>
      <c r="C64" t="s">
        <v>56</v>
      </c>
      <c r="E64" s="11">
        <v>336803.99624151638</v>
      </c>
      <c r="F64" s="11"/>
      <c r="G64" s="11"/>
      <c r="H64" s="11"/>
      <c r="I64" s="11">
        <v>4259.5399223851982</v>
      </c>
      <c r="J64" s="11">
        <v>322376.6577923391</v>
      </c>
      <c r="K64" s="11">
        <v>0</v>
      </c>
      <c r="L64" s="11">
        <v>10167.798526792278</v>
      </c>
      <c r="M64" s="11">
        <v>0</v>
      </c>
      <c r="N64" s="11">
        <v>0</v>
      </c>
    </row>
    <row r="65" spans="1:14" x14ac:dyDescent="0.3">
      <c r="A65">
        <f ca="1">IF(C65="","",MAX($A$8:A64)+1)</f>
        <v>45</v>
      </c>
      <c r="C65" t="s">
        <v>57</v>
      </c>
      <c r="E65" s="11">
        <v>8773.5321909047998</v>
      </c>
      <c r="F65" s="11"/>
      <c r="G65" s="11"/>
      <c r="H65" s="11"/>
      <c r="I65" s="11">
        <v>110.95833495007706</v>
      </c>
      <c r="J65" s="11">
        <v>8397.7091017328767</v>
      </c>
      <c r="K65" s="11">
        <v>0</v>
      </c>
      <c r="L65" s="11">
        <v>264.86475422185094</v>
      </c>
      <c r="M65" s="11">
        <v>0</v>
      </c>
      <c r="N65" s="11">
        <v>0</v>
      </c>
    </row>
    <row r="66" spans="1:14" x14ac:dyDescent="0.3">
      <c r="A66">
        <f ca="1">IF(C66="","",MAX($A$8:A65)+1)</f>
        <v>46</v>
      </c>
      <c r="C66" t="s">
        <v>58</v>
      </c>
      <c r="E66" s="13">
        <f ca="1">SUBTOTAL(9,E63:E65)</f>
        <v>2018535.3494043185</v>
      </c>
      <c r="F66" s="11"/>
      <c r="G66" s="11"/>
      <c r="H66" s="11"/>
      <c r="I66" s="13">
        <f t="shared" ref="I66:N66" ca="1" si="8">SUBTOTAL(9,I63:I65)</f>
        <v>25528.295392813416</v>
      </c>
      <c r="J66" s="13">
        <f t="shared" ca="1" si="8"/>
        <v>1932069.3543969388</v>
      </c>
      <c r="K66" s="13">
        <f t="shared" ca="1" si="8"/>
        <v>0</v>
      </c>
      <c r="L66" s="13">
        <f t="shared" ca="1" si="8"/>
        <v>60937.69961456726</v>
      </c>
      <c r="M66" s="13">
        <f t="shared" ca="1" si="8"/>
        <v>0</v>
      </c>
      <c r="N66" s="13">
        <f t="shared" ca="1" si="8"/>
        <v>0</v>
      </c>
    </row>
    <row r="67" spans="1:14" x14ac:dyDescent="0.3">
      <c r="A67" t="str">
        <f ca="1">IF(C67="","",MAX($A$8:A66)+1)</f>
        <v/>
      </c>
      <c r="C67" t="s">
        <v>17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3">
      <c r="A68">
        <f ca="1">IF(C68="","",MAX($A$8:A67)+1)</f>
        <v>47</v>
      </c>
      <c r="C68" s="2" t="str">
        <f ca="1">"TOTAL REVENUE REQUIREMENT [lines "&amp;A44&amp;"+"&amp;A60&amp;"+"&amp;A66&amp;"]"</f>
        <v>TOTAL REVENUE REQUIREMENT [lines 31+41+46]</v>
      </c>
      <c r="E68" s="11">
        <f ca="1">E44+E60+E66</f>
        <v>50188361.143967792</v>
      </c>
      <c r="F68" s="11"/>
      <c r="G68" s="11"/>
      <c r="H68" s="11"/>
      <c r="I68" s="11">
        <f t="shared" ref="I68:N68" ca="1" si="9">I44+I60+I66</f>
        <v>335892.05775810836</v>
      </c>
      <c r="J68" s="11">
        <f t="shared" ca="1" si="9"/>
        <v>37771214.575362526</v>
      </c>
      <c r="K68" s="11">
        <f t="shared" ca="1" si="9"/>
        <v>8154026.52978714</v>
      </c>
      <c r="L68" s="11">
        <f t="shared" ca="1" si="9"/>
        <v>502464.99248644867</v>
      </c>
      <c r="M68" s="11">
        <f t="shared" ca="1" si="9"/>
        <v>1465943.4112521771</v>
      </c>
      <c r="N68" s="11">
        <f t="shared" ca="1" si="9"/>
        <v>1958819.5773213832</v>
      </c>
    </row>
    <row r="69" spans="1:14" x14ac:dyDescent="0.3">
      <c r="A69" t="str">
        <f ca="1">IF(C69="","",MAX($A$8:A68)+1)</f>
        <v/>
      </c>
      <c r="C69" t="s">
        <v>17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3">
      <c r="A70">
        <f ca="1">IF(C70="","",MAX($A$8:A69)+1)</f>
        <v>48</v>
      </c>
      <c r="C70" s="31" t="str">
        <f ca="1">"REVENUE EXCESS (DEFICIENCY) [line "&amp;A50&amp;"-line "&amp;A68&amp;"]"</f>
        <v>REVENUE EXCESS (DEFICIENCY) [line 36-line 47]</v>
      </c>
      <c r="E70" s="11">
        <f ca="1">E50-E68</f>
        <v>-8312043.3425843194</v>
      </c>
      <c r="F70" s="11"/>
      <c r="G70" s="11"/>
      <c r="H70" s="11"/>
      <c r="I70" s="11">
        <f t="shared" ref="I70:N70" ca="1" si="10">I50-I68</f>
        <v>-127689.63272955213</v>
      </c>
      <c r="J70" s="11">
        <f t="shared" ca="1" si="10"/>
        <v>-9663991.3662397973</v>
      </c>
      <c r="K70" s="11">
        <f t="shared" ca="1" si="10"/>
        <v>550255.92713940702</v>
      </c>
      <c r="L70" s="11">
        <f t="shared" ca="1" si="10"/>
        <v>-304803.44901361328</v>
      </c>
      <c r="M70" s="11">
        <f t="shared" ca="1" si="10"/>
        <v>515363.44820522633</v>
      </c>
      <c r="N70" s="11">
        <f t="shared" ca="1" si="10"/>
        <v>718821.73005401902</v>
      </c>
    </row>
    <row r="71" spans="1:14" x14ac:dyDescent="0.3">
      <c r="A71" t="str">
        <f ca="1">IF(C71="","",MAX($A$8:A70)+1)</f>
        <v/>
      </c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x14ac:dyDescent="0.3">
      <c r="A72" t="str">
        <f ca="1">IF(C72="","",MAX($A$8:A71)+1)</f>
        <v/>
      </c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s="2" customFormat="1" x14ac:dyDescent="0.3">
      <c r="A73">
        <f ca="1">IF(C73="","",MAX($A$8:A72)+1)</f>
        <v>49</v>
      </c>
      <c r="C73" s="2" t="s">
        <v>59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3">
      <c r="A74" t="str">
        <f ca="1">IF(C74="","",MAX($A$8:A73)+1)</f>
        <v/>
      </c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x14ac:dyDescent="0.3">
      <c r="A75">
        <f ca="1">IF(C75="","",MAX($A$8:A74)+1)</f>
        <v>50</v>
      </c>
      <c r="C75" s="2" t="s">
        <v>60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3">
      <c r="A76">
        <f ca="1">IF(C76="","",MAX($A$8:A75)+1)</f>
        <v>51</v>
      </c>
      <c r="C76" s="21" t="s">
        <v>61</v>
      </c>
      <c r="E76" s="18">
        <f ca="1">-E70/E47</f>
        <v>0.20078618977169976</v>
      </c>
      <c r="F76" s="11"/>
      <c r="G76" s="11"/>
      <c r="H76" s="11"/>
      <c r="I76" s="11"/>
      <c r="J76" s="33"/>
      <c r="K76" s="33"/>
      <c r="L76" s="11"/>
      <c r="M76" s="33"/>
      <c r="N76" s="33"/>
    </row>
    <row r="77" spans="1:14" x14ac:dyDescent="0.3">
      <c r="A77">
        <f ca="1">IF(C77="","",MAX($A$8:A76)+1)</f>
        <v>52</v>
      </c>
      <c r="C77" t="s">
        <v>62</v>
      </c>
      <c r="E77" s="11"/>
      <c r="F77" s="11"/>
      <c r="G77" s="11"/>
      <c r="H77" s="11"/>
      <c r="I77" s="34">
        <v>2.25</v>
      </c>
      <c r="J77" s="34">
        <f ca="1">J78/E76</f>
        <v>1.0326373946335929</v>
      </c>
      <c r="K77" s="34">
        <v>0.9</v>
      </c>
      <c r="L77" s="34">
        <v>2.5</v>
      </c>
      <c r="M77" s="34">
        <v>0.9</v>
      </c>
      <c r="N77" s="34">
        <v>0.85</v>
      </c>
    </row>
    <row r="78" spans="1:14" x14ac:dyDescent="0.3">
      <c r="A78">
        <f ca="1">IF(C78="","",MAX($A$8:A77)+1)</f>
        <v>53</v>
      </c>
      <c r="C78" t="s">
        <v>63</v>
      </c>
      <c r="E78" s="11"/>
      <c r="F78" s="11"/>
      <c r="G78" s="11"/>
      <c r="H78" s="11"/>
      <c r="I78" s="18">
        <f ca="1">I77*$E$76</f>
        <v>0.45176892698632448</v>
      </c>
      <c r="J78" s="18">
        <f ca="1">J83/J82</f>
        <v>0.20733932788425424</v>
      </c>
      <c r="K78" s="18">
        <f ca="1">K77*$E$76</f>
        <v>0.18070757079452979</v>
      </c>
      <c r="L78" s="18">
        <f ca="1">L77*$E$76</f>
        <v>0.50196547442924944</v>
      </c>
      <c r="M78" s="18">
        <f ca="1">M77*$E$76</f>
        <v>0.18070757079452979</v>
      </c>
      <c r="N78" s="18">
        <f ca="1">N77*$E$76</f>
        <v>0.17066826130594479</v>
      </c>
    </row>
    <row r="79" spans="1:14" x14ac:dyDescent="0.3">
      <c r="A79">
        <f ca="1">IF(C79="","",MAX($A$8:A78)+1)</f>
        <v>54</v>
      </c>
      <c r="C79" t="s">
        <v>64</v>
      </c>
      <c r="E79" s="11">
        <f ca="1">SUM(I79:N79)</f>
        <v>2555098.0492631677</v>
      </c>
      <c r="F79" s="11"/>
      <c r="G79" s="11"/>
      <c r="H79" s="11"/>
      <c r="I79" s="11">
        <f ca="1">I78*I47</f>
        <v>92916.878976942244</v>
      </c>
      <c r="J79" s="11"/>
      <c r="K79" s="11">
        <f ca="1">K78*K47</f>
        <v>1553823.8990644552</v>
      </c>
      <c r="L79" s="11">
        <f ca="1">L78*L47</f>
        <v>98014.087922911422</v>
      </c>
      <c r="M79" s="11">
        <f ca="1">M78*M47</f>
        <v>355980.21257291391</v>
      </c>
      <c r="N79" s="11">
        <f ca="1">N78*N47</f>
        <v>454362.97072594595</v>
      </c>
    </row>
    <row r="80" spans="1:14" x14ac:dyDescent="0.3">
      <c r="A80" t="str">
        <f ca="1">IF(C80="","",MAX($A$8:A79)+1)</f>
        <v/>
      </c>
      <c r="E80" s="11"/>
      <c r="F80" s="11"/>
      <c r="G80" s="11"/>
      <c r="H80" s="11"/>
      <c r="I80" s="18"/>
      <c r="J80" s="18"/>
      <c r="K80" s="18"/>
      <c r="L80" s="18"/>
      <c r="M80" s="18"/>
      <c r="N80" s="18"/>
    </row>
    <row r="81" spans="1:14" x14ac:dyDescent="0.3">
      <c r="A81">
        <f ca="1">IF(C81="","",MAX($A$8:A80)+1)</f>
        <v>55</v>
      </c>
      <c r="C81" s="2" t="s">
        <v>65</v>
      </c>
      <c r="E81" s="11"/>
      <c r="F81" s="11"/>
      <c r="G81" s="11"/>
      <c r="H81" s="11"/>
      <c r="I81" s="18"/>
      <c r="J81" s="18"/>
      <c r="K81" s="18"/>
      <c r="L81" s="18"/>
      <c r="M81" s="18"/>
      <c r="N81" s="18"/>
    </row>
    <row r="82" spans="1:14" x14ac:dyDescent="0.3">
      <c r="A82">
        <f ca="1">IF(C82="","",MAX($A$8:A81)+1)</f>
        <v>56</v>
      </c>
      <c r="C82" t="str">
        <f ca="1">"Remainder allocated on Current Revenue (ln "&amp;A47&amp;")"</f>
        <v>Remainder allocated on Current Revenue (ln 33)</v>
      </c>
      <c r="E82" s="11">
        <f ca="1">SUM(I82:N82)</f>
        <v>27765814.387779459</v>
      </c>
      <c r="F82" s="11"/>
      <c r="G82" s="11"/>
      <c r="H82" s="11"/>
      <c r="I82" s="18"/>
      <c r="J82" s="35">
        <f ca="1">J47</f>
        <v>27765814.387779463</v>
      </c>
      <c r="K82" s="35"/>
      <c r="L82" s="18"/>
      <c r="M82" s="35"/>
      <c r="N82" s="35"/>
    </row>
    <row r="83" spans="1:14" x14ac:dyDescent="0.3">
      <c r="A83">
        <f ca="1">IF(C83="","",MAX($A$8:A82)+1)</f>
        <v>57</v>
      </c>
      <c r="C83" t="s">
        <v>66</v>
      </c>
      <c r="E83" s="11">
        <f ca="1">SUM(I83:N83)</f>
        <v>5756945.2933211494</v>
      </c>
      <c r="F83" s="11"/>
      <c r="G83" s="11"/>
      <c r="H83" s="11"/>
      <c r="I83" s="18"/>
      <c r="J83" s="36">
        <f ca="1">J82/$E$82*(-$E$70-$E$79)</f>
        <v>5756945.2933211522</v>
      </c>
      <c r="K83" s="36"/>
      <c r="L83" s="18"/>
      <c r="M83" s="36"/>
      <c r="N83" s="36"/>
    </row>
    <row r="84" spans="1:14" x14ac:dyDescent="0.3">
      <c r="A84" t="str">
        <f ca="1">IF(C84="","",MAX($A$8:A83)+1)</f>
        <v/>
      </c>
      <c r="E84" s="11"/>
      <c r="F84" s="11"/>
      <c r="G84" s="11"/>
      <c r="H84" s="11"/>
      <c r="I84" s="18"/>
      <c r="J84" s="18"/>
      <c r="K84" s="18"/>
      <c r="L84" s="18"/>
      <c r="M84" s="18"/>
      <c r="N84" s="18"/>
    </row>
    <row r="85" spans="1:14" x14ac:dyDescent="0.3">
      <c r="A85" t="str">
        <f ca="1">IF(C85="","",MAX($A$8:A84)+1)</f>
        <v/>
      </c>
      <c r="E85" s="11"/>
      <c r="F85" s="11"/>
      <c r="G85" s="11"/>
      <c r="H85" s="11"/>
      <c r="I85" s="11"/>
      <c r="J85" s="18"/>
      <c r="K85" s="11"/>
      <c r="L85" s="11"/>
      <c r="M85" s="11"/>
      <c r="N85" s="11"/>
    </row>
    <row r="86" spans="1:14" x14ac:dyDescent="0.3">
      <c r="A86">
        <f ca="1">IF(C86="","",MAX($A$8:A85)+1)</f>
        <v>58</v>
      </c>
      <c r="C86" s="2" t="s">
        <v>67</v>
      </c>
      <c r="E86" s="11">
        <f ca="1">SUM(I86:N86)</f>
        <v>8312043.3425843166</v>
      </c>
      <c r="F86" s="11"/>
      <c r="G86" s="11"/>
      <c r="H86" s="11"/>
      <c r="I86" s="36">
        <f t="shared" ref="I86:N86" ca="1" si="11">I83+I79</f>
        <v>92916.878976942244</v>
      </c>
      <c r="J86" s="36">
        <f t="shared" ca="1" si="11"/>
        <v>5756945.2933211522</v>
      </c>
      <c r="K86" s="36">
        <f t="shared" ca="1" si="11"/>
        <v>1553823.8990644552</v>
      </c>
      <c r="L86" s="36">
        <f t="shared" ca="1" si="11"/>
        <v>98014.087922911422</v>
      </c>
      <c r="M86" s="36">
        <f t="shared" ca="1" si="11"/>
        <v>355980.21257291391</v>
      </c>
      <c r="N86" s="36">
        <f t="shared" ca="1" si="11"/>
        <v>454362.97072594595</v>
      </c>
    </row>
    <row r="87" spans="1:14" x14ac:dyDescent="0.3">
      <c r="A87" t="str">
        <f ca="1">IF(C87="","",MAX($A$8:A86)+1)</f>
        <v/>
      </c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3">
      <c r="A88">
        <f ca="1">IF(C88="","",MAX($A$8:A87)+1)</f>
        <v>59</v>
      </c>
      <c r="C88" t="s">
        <v>68</v>
      </c>
      <c r="E88" s="11">
        <f ca="1">E47+E86</f>
        <v>49709528.657861106</v>
      </c>
      <c r="I88" s="11">
        <f t="shared" ref="I88:N88" ca="1" si="12">I47+I86</f>
        <v>298590.34040062921</v>
      </c>
      <c r="J88" s="11">
        <f t="shared" ca="1" si="12"/>
        <v>33522759.681100614</v>
      </c>
      <c r="K88" s="11">
        <f t="shared" ca="1" si="12"/>
        <v>10152378.415804664</v>
      </c>
      <c r="L88" s="11">
        <f t="shared" ca="1" si="12"/>
        <v>293274.70427178789</v>
      </c>
      <c r="M88" s="11">
        <f t="shared" ca="1" si="12"/>
        <v>2325904.3890075288</v>
      </c>
      <c r="N88" s="11">
        <f t="shared" ca="1" si="12"/>
        <v>3116621.1272758739</v>
      </c>
    </row>
    <row r="89" spans="1:14" x14ac:dyDescent="0.3">
      <c r="A89">
        <f ca="1">IF(C89="","",MAX($A$8:A88)+1)</f>
        <v>60</v>
      </c>
      <c r="C89" s="16" t="s">
        <v>46</v>
      </c>
      <c r="E89" s="11">
        <f ca="1">E48</f>
        <v>239628.12539002372</v>
      </c>
      <c r="I89" s="11">
        <f t="shared" ref="I89:N90" ca="1" si="13">I48</f>
        <v>1340.5341995188592</v>
      </c>
      <c r="J89" s="11">
        <f t="shared" ca="1" si="13"/>
        <v>180971.44622677367</v>
      </c>
      <c r="K89" s="11">
        <f t="shared" ca="1" si="13"/>
        <v>56043.479388780819</v>
      </c>
      <c r="L89" s="11">
        <f t="shared" ca="1" si="13"/>
        <v>1272.6655749503257</v>
      </c>
      <c r="M89" s="11">
        <f t="shared" ca="1" si="13"/>
        <v>0</v>
      </c>
      <c r="N89" s="11">
        <f t="shared" ca="1" si="13"/>
        <v>0</v>
      </c>
    </row>
    <row r="90" spans="1:14" x14ac:dyDescent="0.3">
      <c r="A90">
        <f ca="1">IF(C90="","",MAX($A$8:A89)+1)</f>
        <v>61</v>
      </c>
      <c r="C90" t="s">
        <v>47</v>
      </c>
      <c r="E90" s="11">
        <f ca="1">E49</f>
        <v>239204.36071666668</v>
      </c>
      <c r="F90" s="11"/>
      <c r="G90" s="11"/>
      <c r="H90" s="11"/>
      <c r="I90" s="11">
        <f t="shared" ca="1" si="13"/>
        <v>1188.4294053504177</v>
      </c>
      <c r="J90" s="11">
        <f t="shared" ca="1" si="13"/>
        <v>160437.37511648916</v>
      </c>
      <c r="K90" s="11">
        <f t="shared" ca="1" si="13"/>
        <v>49684.460797555483</v>
      </c>
      <c r="L90" s="11">
        <f t="shared" ca="1" si="13"/>
        <v>1128.2615490086084</v>
      </c>
      <c r="M90" s="11">
        <f t="shared" ca="1" si="13"/>
        <v>11382.68302278876</v>
      </c>
      <c r="N90" s="11">
        <f t="shared" ca="1" si="13"/>
        <v>15383.15082547422</v>
      </c>
    </row>
    <row r="91" spans="1:14" x14ac:dyDescent="0.3">
      <c r="A91">
        <f ca="1">IF(C91="","",MAX($A$8:A90)+1)</f>
        <v>62</v>
      </c>
      <c r="C91" s="2" t="s">
        <v>69</v>
      </c>
      <c r="E91" s="13">
        <f ca="1">SUM(E88:E90)</f>
        <v>50188361.143967792</v>
      </c>
      <c r="F91" s="11"/>
      <c r="G91" s="11"/>
      <c r="H91" s="11"/>
      <c r="I91" s="13">
        <f t="shared" ref="I91:N91" ca="1" si="14">SUM(I88:I90)</f>
        <v>301119.30400549847</v>
      </c>
      <c r="J91" s="13">
        <f t="shared" ca="1" si="14"/>
        <v>33864168.50244388</v>
      </c>
      <c r="K91" s="13">
        <f t="shared" ca="1" si="14"/>
        <v>10258106.355991</v>
      </c>
      <c r="L91" s="13">
        <f t="shared" ca="1" si="14"/>
        <v>295675.63139574684</v>
      </c>
      <c r="M91" s="13">
        <f t="shared" ca="1" si="14"/>
        <v>2337287.0720303175</v>
      </c>
      <c r="N91" s="13">
        <f t="shared" ca="1" si="14"/>
        <v>3132004.2781013483</v>
      </c>
    </row>
    <row r="92" spans="1:14" x14ac:dyDescent="0.3">
      <c r="A92" t="str">
        <f ca="1">IF(C92="","",MAX($A$8:A91)+1)</f>
        <v/>
      </c>
      <c r="C92" s="2"/>
      <c r="E92" s="14"/>
      <c r="F92" s="11"/>
      <c r="G92" s="11"/>
      <c r="H92" s="11"/>
      <c r="I92" s="14"/>
      <c r="J92" s="14"/>
      <c r="K92" s="14"/>
      <c r="L92" s="14"/>
      <c r="M92" s="14"/>
      <c r="N92" s="14"/>
    </row>
    <row r="93" spans="1:14" x14ac:dyDescent="0.3">
      <c r="A93" t="str">
        <f ca="1">IF(C93="","",MAX($A$8:A92)+1)</f>
        <v/>
      </c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3">
      <c r="A94">
        <f ca="1">IF(C94="","",MAX($A$8:A93)+1)</f>
        <v>63</v>
      </c>
      <c r="C94" s="2" t="s">
        <v>70</v>
      </c>
      <c r="E94" s="33">
        <f ca="1">E50/E$68</f>
        <v>0.83438304911489714</v>
      </c>
      <c r="F94" s="11"/>
      <c r="G94" s="11"/>
      <c r="H94" s="11"/>
      <c r="I94" s="33">
        <f t="shared" ref="I94:N94" ca="1" si="15">I50/I$68</f>
        <v>0.61984920518273334</v>
      </c>
      <c r="J94" s="33">
        <f t="shared" ca="1" si="15"/>
        <v>0.74414401350642712</v>
      </c>
      <c r="K94" s="33">
        <f t="shared" ca="1" si="15"/>
        <v>1.0674827246550265</v>
      </c>
      <c r="L94" s="33">
        <f t="shared" ca="1" si="15"/>
        <v>0.39338371116106408</v>
      </c>
      <c r="M94" s="33">
        <f t="shared" ca="1" si="15"/>
        <v>1.3515575323368139</v>
      </c>
      <c r="N94" s="33">
        <f t="shared" ca="1" si="15"/>
        <v>1.3669667887621291</v>
      </c>
    </row>
    <row r="95" spans="1:14" x14ac:dyDescent="0.3">
      <c r="A95" t="str">
        <f ca="1">IF(C95="","",MAX($A$8:A94)+1)</f>
        <v/>
      </c>
      <c r="C95" s="2"/>
      <c r="E95" s="33"/>
      <c r="F95" s="11"/>
      <c r="G95" s="11"/>
      <c r="H95" s="11"/>
      <c r="I95" s="33"/>
      <c r="J95" s="33"/>
      <c r="K95" s="33"/>
      <c r="L95" s="33"/>
      <c r="M95" s="33"/>
      <c r="N95" s="33"/>
    </row>
    <row r="96" spans="1:14" s="2" customFormat="1" x14ac:dyDescent="0.3">
      <c r="A96">
        <f ca="1">IF(C96="","",MAX($A$8:A95)+1)</f>
        <v>64</v>
      </c>
      <c r="C96" s="2" t="s">
        <v>71</v>
      </c>
      <c r="E96" s="37">
        <f ca="1">E94/$E94</f>
        <v>1</v>
      </c>
      <c r="F96" s="37"/>
      <c r="G96" s="37"/>
      <c r="H96" s="37"/>
      <c r="I96" s="37">
        <f t="shared" ref="I96:N96" ca="1" si="16">I94/$E94</f>
        <v>0.74288326667261695</v>
      </c>
      <c r="J96" s="37">
        <f t="shared" ca="1" si="16"/>
        <v>0.89184939015216758</v>
      </c>
      <c r="K96" s="37">
        <f t="shared" ca="1" si="16"/>
        <v>1.27936770262459</v>
      </c>
      <c r="L96" s="37">
        <f t="shared" ca="1" si="16"/>
        <v>0.47146656631910305</v>
      </c>
      <c r="M96" s="37">
        <f t="shared" ca="1" si="16"/>
        <v>1.6198286072212622</v>
      </c>
      <c r="N96" s="37">
        <f t="shared" ca="1" si="16"/>
        <v>1.6382964517462213</v>
      </c>
    </row>
    <row r="97" spans="1:14" x14ac:dyDescent="0.3">
      <c r="A97" t="str">
        <f ca="1">IF(C97="","",MAX($A$8:A96)+1)</f>
        <v/>
      </c>
      <c r="C97" s="2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x14ac:dyDescent="0.3">
      <c r="A98">
        <f ca="1">IF(C98="","",MAX($A$8:A97)+1)</f>
        <v>65</v>
      </c>
      <c r="C98" s="2" t="s">
        <v>72</v>
      </c>
      <c r="E98" s="33">
        <f ca="1">E91/E$68</f>
        <v>1</v>
      </c>
      <c r="F98" s="11"/>
      <c r="G98" s="11"/>
      <c r="H98" s="11"/>
      <c r="I98" s="33">
        <f t="shared" ref="I98:N98" ca="1" si="17">I91/I$68</f>
        <v>0.89647640380454785</v>
      </c>
      <c r="J98" s="33">
        <f t="shared" ca="1" si="17"/>
        <v>0.89656022140555836</v>
      </c>
      <c r="K98" s="33">
        <f ca="1">K91/K$68</f>
        <v>1.2580418175630816</v>
      </c>
      <c r="L98" s="33">
        <f t="shared" ca="1" si="17"/>
        <v>0.5884502120885986</v>
      </c>
      <c r="M98" s="33">
        <f t="shared" ca="1" si="17"/>
        <v>1.5943910618172208</v>
      </c>
      <c r="N98" s="33">
        <f t="shared" ca="1" si="17"/>
        <v>1.5989243288982511</v>
      </c>
    </row>
    <row r="99" spans="1:14" x14ac:dyDescent="0.3">
      <c r="E99" s="11"/>
      <c r="F99" s="11"/>
      <c r="G99" s="11"/>
      <c r="H99" s="11"/>
      <c r="I99" s="11"/>
      <c r="J99" s="38"/>
      <c r="K99" s="11"/>
      <c r="L99" s="11"/>
      <c r="M99" s="11"/>
      <c r="N99" s="11"/>
    </row>
    <row r="100" spans="1:14" x14ac:dyDescent="0.3">
      <c r="E100" s="11"/>
      <c r="F100" s="11"/>
      <c r="G100" s="11"/>
      <c r="H100" s="11"/>
      <c r="I100" s="11"/>
      <c r="J100" s="38"/>
      <c r="K100" s="11"/>
      <c r="L100" s="11"/>
      <c r="M100" s="11"/>
      <c r="N100" s="11"/>
    </row>
    <row r="101" spans="1:14" x14ac:dyDescent="0.3"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</sheetData>
  <pageMargins left="0.7" right="0.7" top="0.75" bottom="0.75" header="0.75" footer="0.3"/>
  <pageSetup scale="61" orientation="landscape" horizontalDpi="1200" verticalDpi="1200" r:id="rId1"/>
  <headerFooter>
    <oddHeader>&amp;RExh. RJA-2
Page &amp;P of &amp;N</oddHeader>
  </headerFooter>
  <rowBreaks count="1" manualBreakCount="1">
    <brk id="54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2018-12-31T08:00:00+00:00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0610B3D-43B9-46EE-B1C9-A0C3F69E07AB}"/>
</file>

<file path=customXml/itemProps2.xml><?xml version="1.0" encoding="utf-8"?>
<ds:datastoreItem xmlns:ds="http://schemas.openxmlformats.org/officeDocument/2006/customXml" ds:itemID="{D29E658B-0201-4F1D-96D2-523285A1BF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A2DF75-40DE-4C27-93BA-450044647F89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1763657-2524-4055-A7A8-69F04350E9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RJA-2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Wyman, Robert</dc:creator>
  <cp:lastModifiedBy>Lee, Erica N</cp:lastModifiedBy>
  <dcterms:created xsi:type="dcterms:W3CDTF">2018-12-21T01:28:13Z</dcterms:created>
  <dcterms:modified xsi:type="dcterms:W3CDTF">2018-12-21T20:50:57Z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