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 Exhibits-FILING 200xxx\I. UE_AVA Dir Evidence-(Oct20)\3. UE_AVA WP's (Oct20)\18. UE__Anderson WP(AVA_Oct20)\"/>
    </mc:Choice>
  </mc:AlternateContent>
  <xr:revisionPtr revIDLastSave="0" documentId="8_{8484257E-E73D-462F-863A-54953D474F93}" xr6:coauthVersionLast="44" xr6:coauthVersionMax="44" xr10:uidLastSave="{00000000-0000-0000-0000-000000000000}"/>
  <bookViews>
    <workbookView xWindow="-108" yWindow="-108" windowWidth="23256" windowHeight="12576" tabRatio="783" activeTab="7" xr2:uid="{00000000-000D-0000-FFFF-FFFF00000000}"/>
  </bookViews>
  <sheets>
    <sheet name="A-RR Cross Reference" sheetId="33" r:id="rId1"/>
    <sheet name="B-COS Results" sheetId="31" r:id="rId2"/>
    <sheet name="C-COS Allocation Factors" sheetId="32" r:id="rId3"/>
    <sheet name="D-Summary of Adjustments" sheetId="30" r:id="rId4"/>
    <sheet name="E-Summary of Results" sheetId="35" r:id="rId5"/>
    <sheet name="Print" sheetId="5" r:id="rId6"/>
    <sheet name="Detail" sheetId="1" r:id="rId7"/>
    <sheet name="Summary" sheetId="4" r:id="rId8"/>
    <sheet name="Factors" sheetId="3" r:id="rId9"/>
    <sheet name="Avg Cust Unit Costs" sheetId="6" r:id="rId10"/>
    <sheet name="Acerno_Cache_XXXXX" sheetId="29" state="veryHidden" r:id="rId11"/>
    <sheet name="AMI Costs and Benefits" sheetId="38" r:id="rId12"/>
    <sheet name="PROFORMA" sheetId="7" r:id="rId13"/>
    <sheet name="Demand Documentation" sheetId="19" r:id="rId14"/>
    <sheet name="Demand Sch 146 adj" sheetId="20" r:id="rId15"/>
    <sheet name="Demand - Firm Peak" sheetId="21" r:id="rId16"/>
    <sheet name="Demand - Firm Peak by Sch" sheetId="22" r:id="rId17"/>
    <sheet name="Demand - Pk-Avg" sheetId="23" r:id="rId18"/>
    <sheet name="Winter Therm - Summary" sheetId="37" r:id="rId19"/>
    <sheet name="Winter Therm - Usage" sheetId="36" r:id="rId20"/>
    <sheet name="Meters 121_131_146" sheetId="12" r:id="rId21"/>
    <sheet name="Typical Service Cost" sheetId="11" r:id="rId22"/>
    <sheet name="Average Meter Type" sheetId="13" r:id="rId23"/>
    <sheet name="Industrial Meter Installations" sheetId="14" r:id="rId24"/>
    <sheet name="Acct 928" sheetId="16" r:id="rId25"/>
    <sheet name="Acct 813" sheetId="17" r:id="rId26"/>
    <sheet name="GTI" sheetId="18" r:id="rId27"/>
  </sheets>
  <externalReferences>
    <externalReference r:id="rId28"/>
    <externalReference r:id="rId29"/>
    <externalReference r:id="rId30"/>
  </externalReferences>
  <definedNames>
    <definedName name="_RB1">Print!$C$18</definedName>
    <definedName name="_RB2">Print!$D$18</definedName>
    <definedName name="_RB3">Print!$E$18</definedName>
    <definedName name="_RB4">Print!$F$18</definedName>
    <definedName name="_RR1">Print!$G$18</definedName>
    <definedName name="_RR2">Print!$H$18</definedName>
    <definedName name="_RR3">Print!$I$18</definedName>
    <definedName name="_RR4">Print!$J$18</definedName>
    <definedName name="_RR5">Print!$K$18</definedName>
    <definedName name="_RR6">Print!$L$18</definedName>
    <definedName name="_SUM1">Print!$M$18</definedName>
    <definedName name="_SUM2">Print!$N$18</definedName>
    <definedName name="_WA132">'Demand - Firm Peak'!$C$75:$V$75</definedName>
    <definedName name="_WA146">'Demand - Firm Peak'!$C$76:$V$76</definedName>
    <definedName name="_WA148">'Demand - Firm Peak'!$C$77:$V$77</definedName>
    <definedName name="Alloc" localSheetId="21">#REF!</definedName>
    <definedName name="Alloc">#REF!</definedName>
    <definedName name="AllocFactors">Factors!$D$58:$T$64</definedName>
    <definedName name="AllocFactors_C">Factors!$N$58:$S$64</definedName>
    <definedName name="AllocFactors_D">Factors!$I$58:$M$64</definedName>
    <definedName name="AllocFactors_E">Factors!$D$58:$H$64</definedName>
    <definedName name="check">PROFORMA!$AU$1:$AU$418</definedName>
    <definedName name="checktrans">PROFORMA!#REF!</definedName>
    <definedName name="Checktrans1">PROFORMA!#REF!</definedName>
    <definedName name="ColHdr" localSheetId="12">"("&amp;LOWER(SUBSTITUTE(ADDRESS(1,COLUMN(),4),1,""))&amp;")"</definedName>
    <definedName name="ColHdr">SUBSTITUTE(ADDRESS(1,COLUMN(),4),1,"")</definedName>
    <definedName name="Cost" localSheetId="23">'Industrial Meter Installations'!$A$52:$D$56</definedName>
    <definedName name="Cost">'Average Meter Type'!$A$52:$D$56</definedName>
    <definedName name="Expense_Page1">PROFORMA!$E$1:$AT$56</definedName>
    <definedName name="Expense_Page2">PROFORMA!$E$60:$AT$118</definedName>
    <definedName name="Expense_Page3">PROFORMA!$E$119:$AT$177</definedName>
    <definedName name="Expense_Page4">PROFORMA!$E$178:$AT$237</definedName>
    <definedName name="FtHist">#REF!</definedName>
    <definedName name="ID_132">'Demand - Firm Peak'!#REF!</definedName>
    <definedName name="ID_146">'Demand - Firm Peak'!#REF!</definedName>
    <definedName name="ID_147">'Demand - Firm Peak'!#REF!</definedName>
    <definedName name="ID_159">'Demand - Firm Peak'!#REF!</definedName>
    <definedName name="IDBase">'Demand - Firm Peak by Sch'!#REF!</definedName>
    <definedName name="IDCoeff">'Demand - Firm Peak by Sch'!#REF!</definedName>
    <definedName name="IDFirm">'Demand - Firm Peak'!#REF!</definedName>
    <definedName name="IDMonthData">'Demand - Firm Peak by Sch'!#REF!</definedName>
    <definedName name="Pg1Row">MAX(Detail!$A:$A)</definedName>
    <definedName name="Pg2Row">MAX(Summary!$A:$A)</definedName>
    <definedName name="PkAvg_D">Detail!$E$159</definedName>
    <definedName name="PkAvg_E">Detail!$E$158</definedName>
    <definedName name="PkDys">'Demand - Firm Peak'!$C$2:$V$2</definedName>
    <definedName name="_xlnm.Print_Area" localSheetId="11">'AMI Costs and Benefits'!$A$1:$H$49</definedName>
    <definedName name="_xlnm.Print_Area" localSheetId="9">'Avg Cust Unit Costs'!$A$1:$H$36</definedName>
    <definedName name="_xlnm.Print_Area" localSheetId="15">'Demand - Firm Peak'!$A$1:$V$78</definedName>
    <definedName name="_xlnm.Print_Area" localSheetId="16">'Demand - Firm Peak by Sch'!$D$1:$V$75,'Demand - Firm Peak by Sch'!#REF!</definedName>
    <definedName name="_xlnm.Print_Area" localSheetId="17">'Demand - Pk-Avg'!$A$1:$R$33</definedName>
    <definedName name="_xlnm.Print_Area" localSheetId="14">'Demand Sch 146 adj'!$A$1:$N$62</definedName>
    <definedName name="_xlnm.Print_Area" localSheetId="6">Detail!$CK$167:$CR$335</definedName>
    <definedName name="_xlnm.Print_Area" localSheetId="4">'E-Summary of Results'!$A$1:$H$28</definedName>
    <definedName name="_xlnm.Print_Area" localSheetId="8">Factors!$A$4:$Q$51,Factors!$A$67:$J$107</definedName>
    <definedName name="_xlnm.Print_Area" localSheetId="26">GTI!$A$1:$E$14</definedName>
    <definedName name="_xlnm.Print_Area" localSheetId="20">'Meters 121_131_146'!#REF!</definedName>
    <definedName name="_xlnm.Print_Area" localSheetId="12">PROFORMA!$A$1:$AV$411</definedName>
    <definedName name="_xlnm.Print_Area" localSheetId="7">Summary!$A$5:$K$52,Summary!$A$105:$K$179,Summary!$A$183:$K$257</definedName>
    <definedName name="_xlnm.Print_Area" localSheetId="21">'Typical Service Cost'!$A$1:$M$33</definedName>
    <definedName name="Print_Complete">PROFORMA!$E$1:$AT$418</definedName>
    <definedName name="_xlnm.Print_Titles" localSheetId="15">'Demand - Firm Peak'!$1:$2</definedName>
    <definedName name="_xlnm.Print_Titles" localSheetId="16">'Demand - Firm Peak by Sch'!$A:$B</definedName>
    <definedName name="_xlnm.Print_Titles" localSheetId="14">'Demand Sch 146 adj'!$1:$60</definedName>
    <definedName name="_xlnm.Print_Titles" localSheetId="6">Detail!$BQ:$BR,Detail!$161:$166</definedName>
    <definedName name="_xlnm.Print_Titles" localSheetId="8">Factors!$1:$3</definedName>
    <definedName name="_xlnm.Print_Titles" localSheetId="12">PROFORMA!$A:$D</definedName>
    <definedName name="_xlnm.Print_Titles" localSheetId="7">Summary!$1:$4</definedName>
    <definedName name="RateBase_Page1">PROFORMA!$E$238:$AT$297</definedName>
    <definedName name="RateBase_Page2">PROFORMA!$E$298:$AT$357</definedName>
    <definedName name="RateBase_Page3">PROFORMA!$E$358:$AT$418</definedName>
    <definedName name="RowHdr">ROW(Detail!A1)</definedName>
    <definedName name="Scen">Print!$B$14</definedName>
    <definedName name="table">#REF!</definedName>
    <definedName name="TransferL">PROFORMA!$A$5:$D$418</definedName>
    <definedName name="TransferL1">PROFORMA!$A$1:$D$418</definedName>
    <definedName name="TransferN">PROFORMA!#REF!</definedName>
    <definedName name="TransferN1">PROFORMA!#REF!</definedName>
    <definedName name="WABase">'Demand - Firm Peak by Sch'!$E$9:$E$23</definedName>
    <definedName name="WACoeff">'Demand - Firm Peak by Sch'!$D$9:$D$23</definedName>
    <definedName name="WAFirm">'Demand - Firm Peak'!$C$23:$V$23</definedName>
    <definedName name="WAMonthData">'Demand - Firm Peak by Sch'!$F$9:$M$23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" i="1" l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R13" i="1"/>
  <c r="C43" i="38" l="1"/>
  <c r="M45" i="38"/>
  <c r="M47" i="38" s="1"/>
  <c r="C34" i="38"/>
  <c r="C32" i="38"/>
  <c r="I26" i="38"/>
  <c r="AS252" i="7"/>
  <c r="AS352" i="7"/>
  <c r="AT352" i="7" s="1"/>
  <c r="AV352" i="7" s="1"/>
  <c r="C14" i="38"/>
  <c r="C13" i="38"/>
  <c r="C18" i="38"/>
  <c r="C17" i="38"/>
  <c r="C26" i="38"/>
  <c r="D26" i="38" s="1"/>
  <c r="C37" i="38"/>
  <c r="G37" i="38" s="1"/>
  <c r="L25" i="38"/>
  <c r="I25" i="38" s="1"/>
  <c r="L24" i="38"/>
  <c r="I24" i="38" s="1"/>
  <c r="C44" i="38" l="1"/>
  <c r="E44" i="38" s="1"/>
  <c r="H44" i="38" s="1"/>
  <c r="C45" i="38"/>
  <c r="F26" i="38"/>
  <c r="M46" i="38"/>
  <c r="F44" i="38"/>
  <c r="C15" i="38"/>
  <c r="G26" i="38"/>
  <c r="H26" i="38"/>
  <c r="H37" i="38"/>
  <c r="E26" i="38"/>
  <c r="D37" i="38"/>
  <c r="E37" i="38"/>
  <c r="F37" i="38"/>
  <c r="D44" i="38" l="1"/>
  <c r="G44" i="38" s="1"/>
  <c r="AR252" i="33" l="1"/>
  <c r="AU367" i="7"/>
  <c r="AU348" i="7"/>
  <c r="AU346" i="7"/>
  <c r="AU333" i="7"/>
  <c r="AU317" i="7"/>
  <c r="AU142" i="7"/>
  <c r="AU118" i="7"/>
  <c r="AU116" i="7"/>
  <c r="AU28" i="7"/>
  <c r="AU32" i="7"/>
  <c r="AU55" i="7"/>
  <c r="AU81" i="7"/>
  <c r="AU92" i="7"/>
  <c r="AU94" i="7"/>
  <c r="AU102" i="7"/>
  <c r="AU109" i="7"/>
  <c r="AU140" i="7"/>
  <c r="AU150" i="7"/>
  <c r="AU159" i="7"/>
  <c r="AU164" i="7"/>
  <c r="AU176" i="7"/>
  <c r="AU200" i="7"/>
  <c r="AU224" i="7"/>
  <c r="AU264" i="7"/>
  <c r="AU280" i="7"/>
  <c r="AU293" i="7"/>
  <c r="AU376" i="7"/>
  <c r="AU390" i="7"/>
  <c r="AU399" i="7"/>
  <c r="AU401" i="7"/>
  <c r="AW333" i="7"/>
  <c r="AO291" i="7"/>
  <c r="AO344" i="7"/>
  <c r="AT252" i="7"/>
  <c r="E197" i="33"/>
  <c r="E237" i="33" s="1"/>
  <c r="E249" i="33" s="1"/>
  <c r="J241" i="31"/>
  <c r="AQ162" i="33" l="1"/>
  <c r="AQ161" i="33"/>
  <c r="AP162" i="33"/>
  <c r="AA162" i="33"/>
  <c r="AB162" i="33"/>
  <c r="AC162" i="33"/>
  <c r="AD162" i="33"/>
  <c r="AE162" i="33"/>
  <c r="AF162" i="33"/>
  <c r="AG162" i="33"/>
  <c r="AH162" i="33"/>
  <c r="AI162" i="33"/>
  <c r="AJ162" i="33"/>
  <c r="AK162" i="33"/>
  <c r="AL162" i="33"/>
  <c r="AM162" i="33"/>
  <c r="AN162" i="33"/>
  <c r="Z162" i="33"/>
  <c r="Y160" i="33"/>
  <c r="Y162" i="33"/>
  <c r="Y161" i="33"/>
  <c r="X162" i="33"/>
  <c r="G162" i="33"/>
  <c r="H162" i="33"/>
  <c r="I162" i="33"/>
  <c r="J162" i="33"/>
  <c r="K162" i="33"/>
  <c r="L162" i="33"/>
  <c r="M162" i="33"/>
  <c r="N162" i="33"/>
  <c r="O162" i="33"/>
  <c r="P162" i="33"/>
  <c r="Q162" i="33"/>
  <c r="R162" i="33"/>
  <c r="S162" i="33"/>
  <c r="T162" i="33"/>
  <c r="U162" i="33"/>
  <c r="V162" i="33"/>
  <c r="W162" i="33"/>
  <c r="F162" i="33"/>
  <c r="E162" i="33"/>
  <c r="E163" i="33"/>
  <c r="G161" i="33"/>
  <c r="H161" i="33"/>
  <c r="I161" i="33"/>
  <c r="J161" i="33"/>
  <c r="K161" i="33"/>
  <c r="L161" i="33"/>
  <c r="M161" i="33"/>
  <c r="N161" i="33"/>
  <c r="O161" i="33"/>
  <c r="P161" i="33"/>
  <c r="Q161" i="33"/>
  <c r="R161" i="33"/>
  <c r="S161" i="33"/>
  <c r="T161" i="33"/>
  <c r="U161" i="33"/>
  <c r="V161" i="33"/>
  <c r="W161" i="33"/>
  <c r="X161" i="33"/>
  <c r="Z161" i="33"/>
  <c r="AA161" i="33"/>
  <c r="AB161" i="33"/>
  <c r="AC161" i="33"/>
  <c r="AD161" i="33"/>
  <c r="AE161" i="33"/>
  <c r="AF161" i="33"/>
  <c r="AG161" i="33"/>
  <c r="AH161" i="33"/>
  <c r="AI161" i="33"/>
  <c r="AJ161" i="33"/>
  <c r="AK161" i="33"/>
  <c r="AL161" i="33"/>
  <c r="AM161" i="33"/>
  <c r="AN161" i="33"/>
  <c r="AO161" i="33"/>
  <c r="AO162" i="33" s="1"/>
  <c r="AP161" i="33"/>
  <c r="F161" i="33"/>
  <c r="E161" i="33"/>
  <c r="F233" i="33"/>
  <c r="Y233" i="33" s="1"/>
  <c r="G233" i="33"/>
  <c r="H233" i="33"/>
  <c r="I233" i="33"/>
  <c r="J233" i="33"/>
  <c r="K233" i="33"/>
  <c r="L233" i="33"/>
  <c r="M233" i="33"/>
  <c r="N233" i="33"/>
  <c r="O233" i="33"/>
  <c r="P233" i="33"/>
  <c r="Q233" i="33"/>
  <c r="R233" i="33"/>
  <c r="S233" i="33"/>
  <c r="T233" i="33"/>
  <c r="U233" i="33"/>
  <c r="V233" i="33"/>
  <c r="W233" i="33"/>
  <c r="X233" i="33"/>
  <c r="Z233" i="33"/>
  <c r="AA233" i="33"/>
  <c r="AB233" i="33"/>
  <c r="AC233" i="33"/>
  <c r="AD233" i="33"/>
  <c r="AE233" i="33"/>
  <c r="AF233" i="33"/>
  <c r="AG233" i="33"/>
  <c r="AH233" i="33"/>
  <c r="AI233" i="33"/>
  <c r="AJ233" i="33"/>
  <c r="AK233" i="33"/>
  <c r="AL233" i="33"/>
  <c r="AM233" i="33"/>
  <c r="AN233" i="33"/>
  <c r="AO233" i="33"/>
  <c r="AP233" i="33"/>
  <c r="AQ233" i="33"/>
  <c r="E233" i="33"/>
  <c r="F356" i="7"/>
  <c r="F378" i="7"/>
  <c r="AR233" i="33" l="1"/>
  <c r="AS233" i="33"/>
  <c r="AT233" i="33" s="1"/>
  <c r="AV233" i="33" s="1"/>
  <c r="AR161" i="33"/>
  <c r="AR162" i="33" s="1"/>
  <c r="AS161" i="33"/>
  <c r="AT161" i="33" l="1"/>
  <c r="AS162" i="33"/>
  <c r="I7" i="3"/>
  <c r="R9" i="37"/>
  <c r="S9" i="37"/>
  <c r="T9" i="37"/>
  <c r="U9" i="37"/>
  <c r="R16" i="37"/>
  <c r="S16" i="37"/>
  <c r="T16" i="37"/>
  <c r="U16" i="37"/>
  <c r="R24" i="37"/>
  <c r="S24" i="37"/>
  <c r="T24" i="37"/>
  <c r="U24" i="37"/>
  <c r="R32" i="37"/>
  <c r="S32" i="37"/>
  <c r="T32" i="37"/>
  <c r="U32" i="37"/>
  <c r="R40" i="37"/>
  <c r="S40" i="37"/>
  <c r="T40" i="37"/>
  <c r="U40" i="37"/>
  <c r="AV161" i="33" l="1"/>
  <c r="AV162" i="33" s="1"/>
  <c r="AT162" i="33"/>
  <c r="V32" i="37"/>
  <c r="AQ108" i="1" l="1"/>
  <c r="AO108" i="1"/>
  <c r="E108" i="1"/>
  <c r="AV200" i="7"/>
  <c r="AW317" i="7"/>
  <c r="AW346" i="7"/>
  <c r="AW348" i="7"/>
  <c r="G354" i="7"/>
  <c r="F351" i="7"/>
  <c r="A108" i="1"/>
  <c r="AQ12" i="1"/>
  <c r="AV252" i="7"/>
  <c r="E12" i="1" s="1"/>
  <c r="H253" i="7"/>
  <c r="I253" i="7"/>
  <c r="J253" i="7"/>
  <c r="K253" i="7"/>
  <c r="L253" i="7"/>
  <c r="M253" i="7"/>
  <c r="N253" i="7"/>
  <c r="O253" i="7"/>
  <c r="P253" i="7"/>
  <c r="Q253" i="7"/>
  <c r="R253" i="7"/>
  <c r="S253" i="7"/>
  <c r="T253" i="7"/>
  <c r="U253" i="7"/>
  <c r="V253" i="7"/>
  <c r="W253" i="7"/>
  <c r="X253" i="7"/>
  <c r="Y253" i="7"/>
  <c r="Z253" i="7"/>
  <c r="AA253" i="7"/>
  <c r="AB253" i="7"/>
  <c r="AC253" i="7"/>
  <c r="AD253" i="7"/>
  <c r="AE253" i="7"/>
  <c r="AF253" i="7"/>
  <c r="AG253" i="7"/>
  <c r="AH253" i="7"/>
  <c r="AI253" i="7"/>
  <c r="AJ253" i="7"/>
  <c r="AK253" i="7"/>
  <c r="AL253" i="7"/>
  <c r="AM253" i="7"/>
  <c r="AN253" i="7"/>
  <c r="AO253" i="7"/>
  <c r="AP253" i="7"/>
  <c r="AQ253" i="7"/>
  <c r="G253" i="7"/>
  <c r="F253" i="7"/>
  <c r="F251" i="7"/>
  <c r="T6" i="37" l="1"/>
  <c r="T7" i="37"/>
  <c r="T8" i="37"/>
  <c r="T13" i="37"/>
  <c r="T14" i="37"/>
  <c r="T15" i="37"/>
  <c r="T20" i="37"/>
  <c r="T21" i="37"/>
  <c r="T22" i="37"/>
  <c r="T23" i="37"/>
  <c r="T28" i="37"/>
  <c r="T29" i="37"/>
  <c r="T30" i="37"/>
  <c r="T31" i="37"/>
  <c r="T36" i="37"/>
  <c r="T37" i="37"/>
  <c r="T38" i="37"/>
  <c r="T39" i="37"/>
  <c r="U5" i="37"/>
  <c r="T5" i="37"/>
  <c r="R6" i="37"/>
  <c r="R7" i="37"/>
  <c r="R8" i="37"/>
  <c r="R13" i="37"/>
  <c r="R14" i="37"/>
  <c r="R15" i="37"/>
  <c r="R20" i="37"/>
  <c r="R21" i="37"/>
  <c r="R22" i="37"/>
  <c r="R23" i="37"/>
  <c r="R28" i="37"/>
  <c r="R29" i="37"/>
  <c r="R30" i="37"/>
  <c r="R31" i="37"/>
  <c r="R36" i="37"/>
  <c r="E6" i="3" s="1"/>
  <c r="R37" i="37"/>
  <c r="F6" i="3" s="1"/>
  <c r="R38" i="37"/>
  <c r="G6" i="3" s="1"/>
  <c r="R39" i="37"/>
  <c r="H6" i="3" s="1"/>
  <c r="I6" i="3"/>
  <c r="R5" i="37"/>
  <c r="U6" i="37"/>
  <c r="U7" i="37"/>
  <c r="U8" i="37"/>
  <c r="U13" i="37"/>
  <c r="U14" i="37"/>
  <c r="U15" i="37"/>
  <c r="U20" i="37"/>
  <c r="U21" i="37"/>
  <c r="U22" i="37"/>
  <c r="U23" i="37"/>
  <c r="U28" i="37"/>
  <c r="U29" i="37"/>
  <c r="U30" i="37"/>
  <c r="U31" i="37"/>
  <c r="U36" i="37"/>
  <c r="U37" i="37"/>
  <c r="U38" i="37"/>
  <c r="U39" i="37"/>
  <c r="S6" i="37"/>
  <c r="S7" i="37"/>
  <c r="S8" i="37"/>
  <c r="S13" i="37"/>
  <c r="S14" i="37"/>
  <c r="S15" i="37"/>
  <c r="S20" i="37"/>
  <c r="S21" i="37"/>
  <c r="S22" i="37"/>
  <c r="S23" i="37"/>
  <c r="S28" i="37"/>
  <c r="S29" i="37"/>
  <c r="S30" i="37"/>
  <c r="S31" i="37"/>
  <c r="S36" i="37"/>
  <c r="S37" i="37"/>
  <c r="S38" i="37"/>
  <c r="S39" i="37"/>
  <c r="S5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D41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D33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D25" i="37"/>
  <c r="P17" i="37"/>
  <c r="E17" i="37"/>
  <c r="F17" i="37"/>
  <c r="G17" i="37"/>
  <c r="H17" i="37"/>
  <c r="I17" i="37"/>
  <c r="J17" i="37"/>
  <c r="K17" i="37"/>
  <c r="L17" i="37"/>
  <c r="M17" i="37"/>
  <c r="N17" i="37"/>
  <c r="O17" i="37"/>
  <c r="D17" i="37"/>
  <c r="E10" i="37"/>
  <c r="F10" i="37"/>
  <c r="G10" i="37"/>
  <c r="H10" i="37"/>
  <c r="I10" i="37"/>
  <c r="J10" i="37"/>
  <c r="K10" i="37"/>
  <c r="L10" i="37"/>
  <c r="M10" i="37"/>
  <c r="N10" i="37"/>
  <c r="O10" i="37"/>
  <c r="P10" i="37"/>
  <c r="D10" i="37"/>
  <c r="V14" i="37" l="1"/>
  <c r="V23" i="37"/>
  <c r="V7" i="37"/>
  <c r="V22" i="37"/>
  <c r="V6" i="37"/>
  <c r="V37" i="37"/>
  <c r="F7" i="3" s="1"/>
  <c r="V21" i="37"/>
  <c r="V28" i="37"/>
  <c r="R10" i="37"/>
  <c r="U10" i="37"/>
  <c r="U25" i="37"/>
  <c r="V31" i="37"/>
  <c r="R25" i="37"/>
  <c r="S25" i="37"/>
  <c r="T25" i="37"/>
  <c r="V39" i="37"/>
  <c r="H7" i="3" s="1"/>
  <c r="V13" i="37"/>
  <c r="V38" i="37"/>
  <c r="G7" i="3" s="1"/>
  <c r="V8" i="37"/>
  <c r="V5" i="37"/>
  <c r="U41" i="37"/>
  <c r="S41" i="37"/>
  <c r="V15" i="37"/>
  <c r="T10" i="37"/>
  <c r="R33" i="37"/>
  <c r="T33" i="37"/>
  <c r="R41" i="37"/>
  <c r="T41" i="37"/>
  <c r="V30" i="37"/>
  <c r="V20" i="37"/>
  <c r="U33" i="37"/>
  <c r="V29" i="37"/>
  <c r="S33" i="37"/>
  <c r="R17" i="37"/>
  <c r="S10" i="37"/>
  <c r="T17" i="37"/>
  <c r="V36" i="37"/>
  <c r="E7" i="3" s="1"/>
  <c r="U17" i="37"/>
  <c r="S17" i="37"/>
  <c r="V10" i="37" l="1"/>
  <c r="V41" i="37"/>
  <c r="V25" i="37"/>
  <c r="V33" i="37"/>
  <c r="V17" i="37"/>
  <c r="R23" i="23"/>
  <c r="R17" i="23"/>
  <c r="Q23" i="23"/>
  <c r="O27" i="23"/>
  <c r="Q27" i="23"/>
  <c r="R27" i="23"/>
  <c r="R28" i="23"/>
  <c r="P28" i="23"/>
  <c r="P27" i="23"/>
  <c r="Q11" i="23"/>
  <c r="Z386" i="7"/>
  <c r="Z397" i="7" l="1"/>
  <c r="I16" i="35"/>
  <c r="M80" i="4"/>
  <c r="E425" i="1" l="1"/>
  <c r="Z11" i="7"/>
  <c r="Z405" i="7"/>
  <c r="D22" i="35"/>
  <c r="E19" i="33" l="1"/>
  <c r="J47" i="3" l="1"/>
  <c r="AV410" i="7" l="1"/>
  <c r="AW372" i="7"/>
  <c r="AW367" i="7"/>
  <c r="AU366" i="7"/>
  <c r="AU365" i="7"/>
  <c r="AU364" i="7"/>
  <c r="AU363" i="7"/>
  <c r="AW356" i="7"/>
  <c r="AU306" i="7"/>
  <c r="AU305" i="7"/>
  <c r="AU304" i="7"/>
  <c r="AU303" i="7"/>
  <c r="AW295" i="7"/>
  <c r="AW293" i="7"/>
  <c r="AX293" i="7" s="1"/>
  <c r="AW280" i="7"/>
  <c r="AW264" i="7"/>
  <c r="AU246" i="7"/>
  <c r="AU245" i="7"/>
  <c r="AU244" i="7"/>
  <c r="AU243" i="7"/>
  <c r="AW234" i="7"/>
  <c r="AW233" i="7"/>
  <c r="AW232" i="7"/>
  <c r="AW231" i="7"/>
  <c r="AW228" i="7"/>
  <c r="AW224" i="7"/>
  <c r="AW213" i="7"/>
  <c r="AW200" i="7"/>
  <c r="AU185" i="7"/>
  <c r="AU184" i="7"/>
  <c r="AU183" i="7"/>
  <c r="AW176" i="7"/>
  <c r="AW164" i="7"/>
  <c r="AW153" i="7"/>
  <c r="AW149" i="7"/>
  <c r="AW147" i="7"/>
  <c r="AW140" i="7"/>
  <c r="AU127" i="7"/>
  <c r="AU126" i="7"/>
  <c r="AU125" i="7"/>
  <c r="AU124" i="7"/>
  <c r="AW116" i="7"/>
  <c r="AW109" i="7"/>
  <c r="AW102" i="7"/>
  <c r="AW94" i="7"/>
  <c r="AU67" i="7"/>
  <c r="AU66" i="7"/>
  <c r="AU65" i="7"/>
  <c r="AW55" i="7"/>
  <c r="AW32" i="7"/>
  <c r="AW373" i="7"/>
  <c r="AW375" i="7"/>
  <c r="AW378" i="7"/>
  <c r="AW382" i="7"/>
  <c r="AW386" i="7"/>
  <c r="AW399" i="7"/>
  <c r="AW401" i="7"/>
  <c r="AW403" i="7"/>
  <c r="F379" i="7"/>
  <c r="G379" i="7"/>
  <c r="H379" i="7"/>
  <c r="I379" i="7"/>
  <c r="J379" i="7"/>
  <c r="K379" i="7"/>
  <c r="L379" i="7"/>
  <c r="M379" i="7"/>
  <c r="N379" i="7"/>
  <c r="O379" i="7"/>
  <c r="P379" i="7"/>
  <c r="Q379" i="7"/>
  <c r="R379" i="7"/>
  <c r="S379" i="7"/>
  <c r="T379" i="7"/>
  <c r="U379" i="7"/>
  <c r="V379" i="7"/>
  <c r="W379" i="7"/>
  <c r="X379" i="7"/>
  <c r="Y379" i="7"/>
  <c r="Z379" i="7"/>
  <c r="AA379" i="7"/>
  <c r="AB379" i="7"/>
  <c r="AC379" i="7"/>
  <c r="AD379" i="7"/>
  <c r="AE379" i="7"/>
  <c r="AF379" i="7"/>
  <c r="AG379" i="7"/>
  <c r="AH379" i="7"/>
  <c r="AI379" i="7"/>
  <c r="AJ379" i="7"/>
  <c r="AK379" i="7"/>
  <c r="AL379" i="7"/>
  <c r="AM379" i="7"/>
  <c r="AN379" i="7"/>
  <c r="AO379" i="7"/>
  <c r="AP379" i="7"/>
  <c r="AQ379" i="7"/>
  <c r="AS379" i="7"/>
  <c r="F405" i="7"/>
  <c r="G405" i="7"/>
  <c r="H405" i="7"/>
  <c r="I405" i="7"/>
  <c r="J405" i="7"/>
  <c r="K405" i="7"/>
  <c r="L405" i="7"/>
  <c r="M405" i="7"/>
  <c r="N405" i="7"/>
  <c r="O405" i="7"/>
  <c r="P405" i="7"/>
  <c r="Q405" i="7"/>
  <c r="R405" i="7"/>
  <c r="S405" i="7"/>
  <c r="T405" i="7"/>
  <c r="U405" i="7"/>
  <c r="V405" i="7"/>
  <c r="W405" i="7"/>
  <c r="X405" i="7"/>
  <c r="Y405" i="7"/>
  <c r="AA405" i="7"/>
  <c r="AB405" i="7"/>
  <c r="AC405" i="7"/>
  <c r="AD405" i="7"/>
  <c r="AE405" i="7"/>
  <c r="AF405" i="7"/>
  <c r="AG405" i="7"/>
  <c r="AH405" i="7"/>
  <c r="AI405" i="7"/>
  <c r="AJ405" i="7"/>
  <c r="AK405" i="7"/>
  <c r="AL405" i="7"/>
  <c r="AM405" i="7"/>
  <c r="AN405" i="7"/>
  <c r="AO405" i="7"/>
  <c r="AP405" i="7"/>
  <c r="AQ405" i="7"/>
  <c r="AV231" i="7"/>
  <c r="AV232" i="7"/>
  <c r="K156" i="7"/>
  <c r="U393" i="7"/>
  <c r="AW226" i="7" l="1"/>
  <c r="AW142" i="7"/>
  <c r="AW236" i="7"/>
  <c r="D20" i="3"/>
  <c r="F400" i="1"/>
  <c r="A400" i="1"/>
  <c r="AQ400" i="1" s="1"/>
  <c r="AT29" i="7" l="1"/>
  <c r="U399" i="7" l="1"/>
  <c r="G6" i="22" l="1"/>
  <c r="I6" i="22"/>
  <c r="K6" i="22"/>
  <c r="I10" i="22"/>
  <c r="J10" i="22"/>
  <c r="K10" i="22"/>
  <c r="H11" i="22"/>
  <c r="I11" i="22"/>
  <c r="J11" i="22"/>
  <c r="K11" i="22"/>
  <c r="F15" i="22"/>
  <c r="G15" i="22"/>
  <c r="H15" i="22"/>
  <c r="I15" i="22"/>
  <c r="J15" i="22"/>
  <c r="J17" i="22" s="1"/>
  <c r="K15" i="22"/>
  <c r="K17" i="22" s="1"/>
  <c r="F16" i="22"/>
  <c r="F17" i="22" s="1"/>
  <c r="G16" i="22"/>
  <c r="G17" i="22" s="1"/>
  <c r="H16" i="22"/>
  <c r="I16" i="22"/>
  <c r="J16" i="22"/>
  <c r="K16" i="22"/>
  <c r="H17" i="22"/>
  <c r="I17" i="22"/>
  <c r="F21" i="22"/>
  <c r="F22" i="22" s="1"/>
  <c r="G21" i="22"/>
  <c r="G22" i="22" s="1"/>
  <c r="H21" i="22"/>
  <c r="I21" i="22"/>
  <c r="J21" i="22"/>
  <c r="J22" i="22" s="1"/>
  <c r="K21" i="22"/>
  <c r="K22" i="22" s="1"/>
  <c r="H22" i="22"/>
  <c r="I22" i="22"/>
  <c r="D68" i="22"/>
  <c r="D70" i="22" s="1"/>
  <c r="D65" i="22"/>
  <c r="D66" i="22" s="1"/>
  <c r="N34" i="22"/>
  <c r="D54" i="22"/>
  <c r="N30" i="22"/>
  <c r="N29" i="22"/>
  <c r="D69" i="22"/>
  <c r="D72" i="22" l="1"/>
  <c r="T25" i="22"/>
  <c r="T1" i="1" l="1"/>
  <c r="T63" i="1"/>
  <c r="T64" i="1"/>
  <c r="T65" i="1"/>
  <c r="T66" i="1"/>
  <c r="T67" i="1"/>
  <c r="T68" i="1"/>
  <c r="T69" i="1"/>
  <c r="T70" i="1"/>
  <c r="T77" i="1"/>
  <c r="T78" i="1"/>
  <c r="T79" i="1"/>
  <c r="T80" i="1"/>
  <c r="T81" i="1"/>
  <c r="T82" i="1"/>
  <c r="T83" i="1"/>
  <c r="T84" i="1"/>
  <c r="T85" i="1"/>
  <c r="T208" i="1"/>
  <c r="T209" i="1"/>
  <c r="T210" i="1"/>
  <c r="T219" i="1"/>
  <c r="T220" i="1"/>
  <c r="T221" i="1"/>
  <c r="T222" i="1"/>
  <c r="T368" i="1"/>
  <c r="T369" i="1"/>
  <c r="T370" i="1"/>
  <c r="T371" i="1"/>
  <c r="T372" i="1"/>
  <c r="T373" i="1"/>
  <c r="T374" i="1"/>
  <c r="T375" i="1"/>
  <c r="T376" i="1"/>
  <c r="P62" i="3" l="1"/>
  <c r="I4" i="1"/>
  <c r="H51" i="21"/>
  <c r="O51" i="21"/>
  <c r="V51" i="21"/>
  <c r="X51" i="21"/>
  <c r="I51" i="3" l="1"/>
  <c r="H51" i="3"/>
  <c r="G51" i="3"/>
  <c r="F51" i="3"/>
  <c r="E51" i="3"/>
  <c r="I48" i="3"/>
  <c r="H48" i="3"/>
  <c r="G48" i="3"/>
  <c r="F48" i="3"/>
  <c r="E48" i="3"/>
  <c r="I47" i="3"/>
  <c r="H47" i="3"/>
  <c r="G47" i="3"/>
  <c r="F47" i="3"/>
  <c r="E47" i="3"/>
  <c r="O33" i="21"/>
  <c r="N28" i="21"/>
  <c r="M28" i="21"/>
  <c r="L28" i="21"/>
  <c r="K28" i="21"/>
  <c r="J28" i="21"/>
  <c r="N27" i="21"/>
  <c r="M27" i="21"/>
  <c r="L27" i="21"/>
  <c r="K27" i="21"/>
  <c r="J27" i="21"/>
  <c r="G28" i="21"/>
  <c r="F28" i="21"/>
  <c r="E28" i="21"/>
  <c r="D28" i="21"/>
  <c r="C28" i="21"/>
  <c r="G27" i="21"/>
  <c r="F27" i="21"/>
  <c r="E27" i="21"/>
  <c r="D27" i="21"/>
  <c r="C27" i="21"/>
  <c r="N36" i="21"/>
  <c r="M36" i="21"/>
  <c r="L36" i="21"/>
  <c r="K36" i="21"/>
  <c r="J36" i="21"/>
  <c r="G36" i="21"/>
  <c r="F36" i="21"/>
  <c r="E36" i="21"/>
  <c r="D36" i="21"/>
  <c r="C36" i="21"/>
  <c r="X68" i="21"/>
  <c r="X69" i="21"/>
  <c r="X70" i="21"/>
  <c r="X71" i="21"/>
  <c r="V68" i="21"/>
  <c r="V69" i="21"/>
  <c r="V70" i="21"/>
  <c r="V71" i="21"/>
  <c r="O68" i="21"/>
  <c r="O69" i="21"/>
  <c r="O70" i="21"/>
  <c r="O71" i="21"/>
  <c r="H68" i="21"/>
  <c r="H69" i="21"/>
  <c r="H70" i="21"/>
  <c r="H71" i="21"/>
  <c r="X65" i="21"/>
  <c r="X56" i="21"/>
  <c r="X41" i="21"/>
  <c r="V65" i="21"/>
  <c r="O65" i="21"/>
  <c r="H65" i="21"/>
  <c r="V56" i="21"/>
  <c r="O56" i="21"/>
  <c r="H56" i="21"/>
  <c r="V41" i="21"/>
  <c r="O41" i="21"/>
  <c r="H41" i="21"/>
  <c r="N54" i="21"/>
  <c r="M54" i="21"/>
  <c r="L54" i="21"/>
  <c r="K54" i="21"/>
  <c r="J54" i="21"/>
  <c r="N53" i="21"/>
  <c r="M53" i="21"/>
  <c r="L53" i="21"/>
  <c r="K53" i="21"/>
  <c r="J53" i="21"/>
  <c r="G54" i="21"/>
  <c r="F54" i="21"/>
  <c r="E54" i="21"/>
  <c r="D54" i="21"/>
  <c r="C54" i="21"/>
  <c r="G53" i="21"/>
  <c r="F53" i="21"/>
  <c r="E53" i="21"/>
  <c r="D53" i="21"/>
  <c r="C53" i="21"/>
  <c r="O27" i="21" l="1"/>
  <c r="AH33" i="20"/>
  <c r="U36" i="21"/>
  <c r="T36" i="21"/>
  <c r="Q36" i="21"/>
  <c r="S28" i="21"/>
  <c r="R28" i="21"/>
  <c r="Q28" i="21"/>
  <c r="R27" i="21"/>
  <c r="AH195" i="20"/>
  <c r="AI195" i="20" s="1"/>
  <c r="AH194" i="20"/>
  <c r="AI194" i="20" s="1"/>
  <c r="AH193" i="20"/>
  <c r="AI193" i="20" s="1"/>
  <c r="AH192" i="20"/>
  <c r="AI192" i="20" s="1"/>
  <c r="AH191" i="20"/>
  <c r="AI191" i="20" s="1"/>
  <c r="AH143" i="20"/>
  <c r="AI143" i="20" s="1"/>
  <c r="U27" i="21" s="1"/>
  <c r="AH142" i="20"/>
  <c r="AI142" i="20" s="1"/>
  <c r="T27" i="21" s="1"/>
  <c r="AH141" i="20"/>
  <c r="AI141" i="20" s="1"/>
  <c r="S27" i="21" s="1"/>
  <c r="AH140" i="20"/>
  <c r="AI140" i="20" s="1"/>
  <c r="AH139" i="20"/>
  <c r="AI139" i="20" s="1"/>
  <c r="Q27" i="21" s="1"/>
  <c r="AH87" i="20"/>
  <c r="AI87" i="20" s="1"/>
  <c r="U28" i="21" s="1"/>
  <c r="AH86" i="20"/>
  <c r="AI86" i="20" s="1"/>
  <c r="T28" i="21" s="1"/>
  <c r="AH85" i="20"/>
  <c r="AI85" i="20" s="1"/>
  <c r="AH84" i="20"/>
  <c r="AI84" i="20" s="1"/>
  <c r="AH83" i="20"/>
  <c r="AI83" i="20" s="1"/>
  <c r="AH31" i="20"/>
  <c r="AH35" i="20"/>
  <c r="AI35" i="20" s="1"/>
  <c r="AH34" i="20"/>
  <c r="AI34" i="20" s="1"/>
  <c r="AI33" i="20"/>
  <c r="S36" i="21" s="1"/>
  <c r="AH32" i="20"/>
  <c r="AI32" i="20" s="1"/>
  <c r="R36" i="21" s="1"/>
  <c r="AI31" i="20"/>
  <c r="AC43" i="20"/>
  <c r="AH218" i="20"/>
  <c r="AG217" i="20"/>
  <c r="AF217" i="20"/>
  <c r="AI177" i="20"/>
  <c r="AI178" i="20" s="1"/>
  <c r="AH166" i="20"/>
  <c r="AG165" i="20"/>
  <c r="AF165" i="20"/>
  <c r="AI125" i="20"/>
  <c r="AI126" i="20" s="1"/>
  <c r="AH110" i="20"/>
  <c r="AG109" i="20"/>
  <c r="AF109" i="20"/>
  <c r="AI69" i="20"/>
  <c r="AI70" i="20" s="1"/>
  <c r="AH58" i="20"/>
  <c r="AG57" i="20"/>
  <c r="AF57" i="20"/>
  <c r="AI17" i="20"/>
  <c r="AI18" i="20" s="1"/>
  <c r="U54" i="21"/>
  <c r="U53" i="21"/>
  <c r="T54" i="21"/>
  <c r="T53" i="21"/>
  <c r="S54" i="21"/>
  <c r="S53" i="21"/>
  <c r="R54" i="21"/>
  <c r="R53" i="21"/>
  <c r="Q54" i="21"/>
  <c r="Q53" i="21"/>
  <c r="AH217" i="20" l="1"/>
  <c r="AH165" i="20"/>
  <c r="AI217" i="20"/>
  <c r="AI165" i="20"/>
  <c r="AH109" i="20"/>
  <c r="AI57" i="20"/>
  <c r="AH57" i="20"/>
  <c r="AI109" i="20"/>
  <c r="Q2" i="21"/>
  <c r="E177" i="20" l="1"/>
  <c r="H59" i="21"/>
  <c r="X61" i="21"/>
  <c r="AC58" i="20"/>
  <c r="AD43" i="20"/>
  <c r="V47" i="21"/>
  <c r="V30" i="21" l="1"/>
  <c r="X30" i="21"/>
  <c r="AC95" i="20" l="1"/>
  <c r="AD95" i="20" s="1"/>
  <c r="AO71" i="20"/>
  <c r="E49" i="22"/>
  <c r="E47" i="22"/>
  <c r="E46" i="22"/>
  <c r="E45" i="22"/>
  <c r="E48" i="22" s="1"/>
  <c r="E42" i="22"/>
  <c r="E37" i="22"/>
  <c r="E51" i="22" s="1"/>
  <c r="E26" i="22"/>
  <c r="D49" i="22"/>
  <c r="D47" i="22"/>
  <c r="D46" i="22"/>
  <c r="D45" i="22"/>
  <c r="D48" i="22" s="1"/>
  <c r="O34" i="22"/>
  <c r="F26" i="22"/>
  <c r="AV112" i="7" l="1"/>
  <c r="AS393" i="7"/>
  <c r="S26" i="20"/>
  <c r="AS397" i="7"/>
  <c r="AS398" i="7"/>
  <c r="AS410" i="7"/>
  <c r="AL231" i="7"/>
  <c r="AN205" i="7"/>
  <c r="AX383" i="7" l="1"/>
  <c r="AV116" i="7"/>
  <c r="E9" i="18" l="1"/>
  <c r="D68" i="13" l="1"/>
  <c r="D70" i="13"/>
  <c r="D66" i="13"/>
  <c r="D37" i="12"/>
  <c r="O33" i="23" l="1"/>
  <c r="I15" i="3" l="1"/>
  <c r="F43" i="14" l="1"/>
  <c r="F42" i="14"/>
  <c r="F31" i="14"/>
  <c r="F18" i="14"/>
  <c r="E15" i="14"/>
  <c r="E16" i="14"/>
  <c r="E17" i="14"/>
  <c r="E18" i="14"/>
  <c r="E21" i="14"/>
  <c r="F21" i="14" s="1"/>
  <c r="E22" i="14"/>
  <c r="F22" i="14" s="1"/>
  <c r="E23" i="14"/>
  <c r="E24" i="14"/>
  <c r="E25" i="14"/>
  <c r="E26" i="14"/>
  <c r="E27" i="14"/>
  <c r="E28" i="14"/>
  <c r="E29" i="14"/>
  <c r="E30" i="14"/>
  <c r="E31" i="14"/>
  <c r="E32" i="14"/>
  <c r="E33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8" i="14"/>
  <c r="F26" i="13"/>
  <c r="F21" i="13"/>
  <c r="F22" i="13"/>
  <c r="F18" i="13"/>
  <c r="F10" i="13"/>
  <c r="E35" i="13"/>
  <c r="E36" i="13"/>
  <c r="E37" i="13"/>
  <c r="E38" i="13"/>
  <c r="E34" i="13"/>
  <c r="E34" i="14" s="1"/>
  <c r="E19" i="13"/>
  <c r="F19" i="13" s="1"/>
  <c r="E20" i="13"/>
  <c r="F20" i="13" s="1"/>
  <c r="E21" i="13"/>
  <c r="E22" i="13"/>
  <c r="E18" i="13"/>
  <c r="E11" i="13"/>
  <c r="F11" i="13" s="1"/>
  <c r="E12" i="13"/>
  <c r="F12" i="13" s="1"/>
  <c r="E13" i="13"/>
  <c r="F13" i="13" s="1"/>
  <c r="E14" i="13"/>
  <c r="E14" i="14" s="1"/>
  <c r="F14" i="14" s="1"/>
  <c r="E10" i="13"/>
  <c r="E10" i="14" s="1"/>
  <c r="F10" i="14" s="1"/>
  <c r="E17" i="3"/>
  <c r="E15" i="3"/>
  <c r="E14" i="3"/>
  <c r="E22" i="3"/>
  <c r="E20" i="14" l="1"/>
  <c r="F20" i="14" s="1"/>
  <c r="E19" i="14"/>
  <c r="F19" i="14" s="1"/>
  <c r="F14" i="13"/>
  <c r="E13" i="14"/>
  <c r="F13" i="14" s="1"/>
  <c r="E12" i="14"/>
  <c r="F12" i="14" s="1"/>
  <c r="E11" i="14"/>
  <c r="F11" i="14" s="1"/>
  <c r="E23" i="3"/>
  <c r="L16" i="11"/>
  <c r="J16" i="11"/>
  <c r="F16" i="11"/>
  <c r="D16" i="11"/>
  <c r="AT367" i="7"/>
  <c r="AV367" i="7" s="1"/>
  <c r="AS367" i="7"/>
  <c r="AS336" i="7"/>
  <c r="AT336" i="7" s="1"/>
  <c r="AS309" i="7"/>
  <c r="AT309" i="7" s="1"/>
  <c r="AS322" i="7"/>
  <c r="AT322" i="7" s="1"/>
  <c r="AS320" i="7"/>
  <c r="AT320" i="7" s="1"/>
  <c r="AV320" i="7" s="1"/>
  <c r="AT112" i="7"/>
  <c r="AV147" i="7"/>
  <c r="AT147" i="7"/>
  <c r="AT128" i="7"/>
  <c r="AV128" i="7"/>
  <c r="F373" i="7"/>
  <c r="F311" i="7"/>
  <c r="F189" i="7"/>
  <c r="F393" i="7"/>
  <c r="F27" i="11" l="1"/>
  <c r="F29" i="11"/>
  <c r="D58" i="13"/>
  <c r="C58" i="13"/>
  <c r="B58" i="13"/>
  <c r="C57" i="13"/>
  <c r="D57" i="13"/>
  <c r="B57" i="13"/>
  <c r="D42" i="13"/>
  <c r="O28" i="23" l="1"/>
  <c r="Q28" i="23" s="1"/>
  <c r="P33" i="23" l="1"/>
  <c r="X105" i="33" l="1"/>
  <c r="Y338" i="7"/>
  <c r="Y337" i="7"/>
  <c r="Y339" i="7"/>
  <c r="Y340" i="7"/>
  <c r="Y341" i="7"/>
  <c r="Y342" i="7"/>
  <c r="Y343" i="7"/>
  <c r="Y344" i="7"/>
  <c r="Y345" i="7"/>
  <c r="Y336" i="7"/>
  <c r="Y322" i="7"/>
  <c r="Y321" i="7"/>
  <c r="Y323" i="7"/>
  <c r="Y324" i="7"/>
  <c r="Y325" i="7"/>
  <c r="Y326" i="7"/>
  <c r="Y327" i="7"/>
  <c r="Y328" i="7"/>
  <c r="Y329" i="7"/>
  <c r="Y330" i="7"/>
  <c r="Y331" i="7"/>
  <c r="Y332" i="7"/>
  <c r="Y320" i="7"/>
  <c r="Y284" i="7"/>
  <c r="Y285" i="7"/>
  <c r="Y286" i="7"/>
  <c r="Y287" i="7"/>
  <c r="Y288" i="7"/>
  <c r="Y289" i="7"/>
  <c r="Y290" i="7"/>
  <c r="Y291" i="7"/>
  <c r="Y292" i="7"/>
  <c r="Y283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67" i="7"/>
  <c r="Y257" i="7"/>
  <c r="Y258" i="7"/>
  <c r="Y259" i="7"/>
  <c r="Y260" i="7"/>
  <c r="Y261" i="7"/>
  <c r="Y262" i="7"/>
  <c r="Y263" i="7"/>
  <c r="Y256" i="7"/>
  <c r="Y170" i="7"/>
  <c r="Y169" i="7"/>
  <c r="X106" i="33" s="1"/>
  <c r="Y171" i="7"/>
  <c r="Y172" i="7"/>
  <c r="Y173" i="7"/>
  <c r="Y174" i="7"/>
  <c r="Y175" i="7"/>
  <c r="Y168" i="7"/>
  <c r="AS338" i="7"/>
  <c r="F354" i="7"/>
  <c r="AK354" i="7"/>
  <c r="AK257" i="7"/>
  <c r="AK258" i="7"/>
  <c r="AK259" i="7"/>
  <c r="AK260" i="7"/>
  <c r="AK261" i="7"/>
  <c r="AK262" i="7"/>
  <c r="AK263" i="7"/>
  <c r="AK256" i="7"/>
  <c r="AS332" i="7" l="1"/>
  <c r="AT332" i="7" s="1"/>
  <c r="AS324" i="7"/>
  <c r="AT324" i="7" s="1"/>
  <c r="AS325" i="7"/>
  <c r="AT325" i="7" s="1"/>
  <c r="AS331" i="7"/>
  <c r="AT331" i="7" s="1"/>
  <c r="AS323" i="7"/>
  <c r="AT323" i="7" s="1"/>
  <c r="AS330" i="7"/>
  <c r="AT330" i="7" s="1"/>
  <c r="AS321" i="7"/>
  <c r="AT321" i="7" s="1"/>
  <c r="AS329" i="7"/>
  <c r="AT329" i="7" s="1"/>
  <c r="AS328" i="7"/>
  <c r="AT328" i="7" s="1"/>
  <c r="AS327" i="7"/>
  <c r="AT327" i="7" s="1"/>
  <c r="AS326" i="7"/>
  <c r="AT326" i="7" s="1"/>
  <c r="E22" i="35"/>
  <c r="I15" i="35"/>
  <c r="I14" i="35"/>
  <c r="D7" i="35"/>
  <c r="E7" i="35"/>
  <c r="F7" i="35"/>
  <c r="G7" i="35"/>
  <c r="C7" i="35"/>
  <c r="C11" i="30"/>
  <c r="AS337" i="7" l="1"/>
  <c r="AS339" i="7"/>
  <c r="AS340" i="7"/>
  <c r="AS341" i="7"/>
  <c r="AS342" i="7"/>
  <c r="AS343" i="7"/>
  <c r="AS344" i="7"/>
  <c r="AS345" i="7"/>
  <c r="AE107" i="7"/>
  <c r="AE108" i="7"/>
  <c r="AE106" i="7"/>
  <c r="AE98" i="7"/>
  <c r="AE99" i="7"/>
  <c r="AE100" i="7"/>
  <c r="AE101" i="7"/>
  <c r="AE97" i="7"/>
  <c r="AE84" i="7"/>
  <c r="AE85" i="7"/>
  <c r="AE86" i="7"/>
  <c r="AE87" i="7"/>
  <c r="AE88" i="7"/>
  <c r="AE89" i="7"/>
  <c r="AE90" i="7"/>
  <c r="AE91" i="7"/>
  <c r="AE83" i="7"/>
  <c r="AE71" i="7"/>
  <c r="AE72" i="7"/>
  <c r="AE73" i="7"/>
  <c r="AE74" i="7"/>
  <c r="AE75" i="7"/>
  <c r="AE76" i="7"/>
  <c r="AE77" i="7"/>
  <c r="AE78" i="7"/>
  <c r="AE79" i="7"/>
  <c r="AE80" i="7"/>
  <c r="AE70" i="7"/>
  <c r="AC128" i="7" l="1"/>
  <c r="C2" i="32" l="1"/>
  <c r="C3" i="32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F9" i="32"/>
  <c r="G9" i="32"/>
  <c r="H9" i="32"/>
  <c r="I9" i="32"/>
  <c r="F10" i="32"/>
  <c r="J10" i="32" s="1"/>
  <c r="G10" i="32"/>
  <c r="H10" i="32"/>
  <c r="I10" i="32"/>
  <c r="F11" i="32"/>
  <c r="G11" i="32"/>
  <c r="H11" i="32"/>
  <c r="I11" i="32"/>
  <c r="F17" i="32"/>
  <c r="G17" i="32"/>
  <c r="H17" i="32"/>
  <c r="I17" i="32"/>
  <c r="E9" i="32"/>
  <c r="E10" i="32"/>
  <c r="E11" i="32"/>
  <c r="E17" i="32"/>
  <c r="D2" i="32"/>
  <c r="D3" i="32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J11" i="32"/>
  <c r="J17" i="32" l="1"/>
  <c r="J9" i="32"/>
  <c r="J242" i="31" l="1"/>
  <c r="J142" i="31" l="1"/>
  <c r="J143" i="31"/>
  <c r="J62" i="31" l="1"/>
  <c r="J50" i="31"/>
  <c r="J19" i="31"/>
  <c r="J21" i="31"/>
  <c r="J8" i="31"/>
  <c r="J6" i="31"/>
  <c r="J7" i="31"/>
  <c r="AU247" i="33" l="1"/>
  <c r="AU235" i="33"/>
  <c r="AU231" i="33"/>
  <c r="AU220" i="33"/>
  <c r="AU207" i="33"/>
  <c r="AU195" i="33"/>
  <c r="AU184" i="33"/>
  <c r="AU153" i="33"/>
  <c r="AU155" i="33" s="1"/>
  <c r="AU157" i="33" s="1"/>
  <c r="AU171" i="33"/>
  <c r="AU162" i="33"/>
  <c r="AU145" i="33"/>
  <c r="AU138" i="33"/>
  <c r="AU127" i="33"/>
  <c r="AU113" i="33"/>
  <c r="AU146" i="33" s="1"/>
  <c r="AU101" i="33"/>
  <c r="AU86" i="33"/>
  <c r="AU81" i="33"/>
  <c r="AU76" i="33"/>
  <c r="AU69" i="33"/>
  <c r="AU59" i="33"/>
  <c r="AU70" i="33" s="1"/>
  <c r="AU46" i="33"/>
  <c r="AU37" i="33"/>
  <c r="AU47" i="33" s="1"/>
  <c r="AU24" i="33"/>
  <c r="AU20" i="33"/>
  <c r="AU25" i="33" s="1"/>
  <c r="AU16" i="33"/>
  <c r="AU17" i="33" s="1"/>
  <c r="AU9" i="33"/>
  <c r="AR88" i="33"/>
  <c r="AR102" i="33"/>
  <c r="AR104" i="33"/>
  <c r="AR147" i="33"/>
  <c r="AR150" i="33"/>
  <c r="AR154" i="33"/>
  <c r="AR156" i="33"/>
  <c r="AR158" i="33"/>
  <c r="AR196" i="33"/>
  <c r="AR198" i="33"/>
  <c r="AR236" i="33"/>
  <c r="AR238" i="33"/>
  <c r="AR240" i="33"/>
  <c r="AR248" i="33"/>
  <c r="Y88" i="33"/>
  <c r="AS88" i="33" s="1"/>
  <c r="AT88" i="33" s="1"/>
  <c r="AV88" i="33" s="1"/>
  <c r="Y102" i="33"/>
  <c r="Y104" i="33"/>
  <c r="Y147" i="33"/>
  <c r="Y150" i="33"/>
  <c r="Y154" i="33"/>
  <c r="Y156" i="33"/>
  <c r="Y158" i="33"/>
  <c r="AS158" i="33" s="1"/>
  <c r="AT158" i="33" s="1"/>
  <c r="AV158" i="33" s="1"/>
  <c r="Y196" i="33"/>
  <c r="AS196" i="33" s="1"/>
  <c r="AT196" i="33" s="1"/>
  <c r="AV196" i="33" s="1"/>
  <c r="Y198" i="33"/>
  <c r="AS198" i="33" s="1"/>
  <c r="AT198" i="33" s="1"/>
  <c r="AV198" i="33" s="1"/>
  <c r="Y236" i="33"/>
  <c r="Y238" i="33"/>
  <c r="AS238" i="33" s="1"/>
  <c r="AT238" i="33" s="1"/>
  <c r="AV238" i="33" s="1"/>
  <c r="Y240" i="33"/>
  <c r="AS240" i="33" s="1"/>
  <c r="AT240" i="33" s="1"/>
  <c r="AV240" i="33" s="1"/>
  <c r="Y248" i="33"/>
  <c r="AA4" i="33"/>
  <c r="AB4" i="33"/>
  <c r="AC4" i="33"/>
  <c r="AD4" i="33"/>
  <c r="AE4" i="33"/>
  <c r="AF4" i="33"/>
  <c r="AG4" i="33"/>
  <c r="AH4" i="33"/>
  <c r="AI4" i="33"/>
  <c r="AJ4" i="33"/>
  <c r="AK4" i="33"/>
  <c r="AL4" i="33"/>
  <c r="AM4" i="33"/>
  <c r="AN4" i="33"/>
  <c r="AO4" i="33"/>
  <c r="AP4" i="33"/>
  <c r="AQ4" i="33"/>
  <c r="AA5" i="33"/>
  <c r="AB5" i="33"/>
  <c r="AC5" i="33"/>
  <c r="AD5" i="33"/>
  <c r="AE5" i="33"/>
  <c r="AF5" i="33"/>
  <c r="AG5" i="33"/>
  <c r="AH5" i="33"/>
  <c r="AI5" i="33"/>
  <c r="AJ5" i="33"/>
  <c r="AK5" i="33"/>
  <c r="AL5" i="33"/>
  <c r="AM5" i="33"/>
  <c r="AN5" i="33"/>
  <c r="AO5" i="33"/>
  <c r="AP5" i="33"/>
  <c r="AQ5" i="33"/>
  <c r="AA6" i="33"/>
  <c r="AB6" i="33"/>
  <c r="AC6" i="33"/>
  <c r="AD6" i="33"/>
  <c r="AE6" i="33"/>
  <c r="AF6" i="33"/>
  <c r="AG6" i="33"/>
  <c r="AH6" i="33"/>
  <c r="AI6" i="33"/>
  <c r="AJ6" i="33"/>
  <c r="AK6" i="33"/>
  <c r="AL6" i="33"/>
  <c r="AM6" i="33"/>
  <c r="AN6" i="33"/>
  <c r="AO6" i="33"/>
  <c r="AP6" i="33"/>
  <c r="AQ6" i="33"/>
  <c r="AA7" i="33"/>
  <c r="AB7" i="33"/>
  <c r="AC7" i="33"/>
  <c r="AD7" i="33"/>
  <c r="AE7" i="33"/>
  <c r="AF7" i="33"/>
  <c r="AG7" i="33"/>
  <c r="AH7" i="33"/>
  <c r="AI7" i="33"/>
  <c r="AJ7" i="33"/>
  <c r="AK7" i="33"/>
  <c r="AL7" i="33"/>
  <c r="AM7" i="33"/>
  <c r="AN7" i="33"/>
  <c r="AO7" i="33"/>
  <c r="AP7" i="33"/>
  <c r="AQ7" i="33"/>
  <c r="AA8" i="33"/>
  <c r="AB8" i="33"/>
  <c r="AC8" i="33"/>
  <c r="AD8" i="33"/>
  <c r="AE8" i="33"/>
  <c r="AF8" i="33"/>
  <c r="AG8" i="33"/>
  <c r="AH8" i="33"/>
  <c r="AI8" i="33"/>
  <c r="AJ8" i="33"/>
  <c r="AK8" i="33"/>
  <c r="AL8" i="33"/>
  <c r="AL9" i="33" s="1"/>
  <c r="AM8" i="33"/>
  <c r="AN8" i="33"/>
  <c r="AO8" i="33"/>
  <c r="AP8" i="33"/>
  <c r="AQ8" i="33"/>
  <c r="AA10" i="33"/>
  <c r="AB10" i="33"/>
  <c r="AC10" i="33"/>
  <c r="AD10" i="33"/>
  <c r="AE10" i="33"/>
  <c r="AF10" i="33"/>
  <c r="AG10" i="33"/>
  <c r="AH10" i="33"/>
  <c r="AI10" i="33"/>
  <c r="AJ10" i="33"/>
  <c r="AK10" i="33"/>
  <c r="AL10" i="33"/>
  <c r="AM10" i="33"/>
  <c r="AN10" i="33"/>
  <c r="AO10" i="33"/>
  <c r="AP10" i="33"/>
  <c r="AQ10" i="33"/>
  <c r="AA11" i="33"/>
  <c r="AB11" i="33"/>
  <c r="AC11" i="33"/>
  <c r="AD11" i="33"/>
  <c r="AE11" i="33"/>
  <c r="AF11" i="33"/>
  <c r="AG11" i="33"/>
  <c r="AH11" i="33"/>
  <c r="AI11" i="33"/>
  <c r="AJ11" i="33"/>
  <c r="AK11" i="33"/>
  <c r="AL11" i="33"/>
  <c r="AM11" i="33"/>
  <c r="AN11" i="33"/>
  <c r="AO11" i="33"/>
  <c r="AP11" i="33"/>
  <c r="AQ11" i="33"/>
  <c r="AA12" i="33"/>
  <c r="AB12" i="33"/>
  <c r="AC12" i="33"/>
  <c r="AD12" i="33"/>
  <c r="AE12" i="33"/>
  <c r="AF12" i="33"/>
  <c r="AG12" i="33"/>
  <c r="AH12" i="33"/>
  <c r="AI12" i="33"/>
  <c r="AJ12" i="33"/>
  <c r="AK12" i="33"/>
  <c r="AL12" i="33"/>
  <c r="AM12" i="33"/>
  <c r="AN12" i="33"/>
  <c r="AO12" i="33"/>
  <c r="AP12" i="33"/>
  <c r="AQ12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A14" i="33"/>
  <c r="AB14" i="33"/>
  <c r="AC14" i="33"/>
  <c r="AD14" i="33"/>
  <c r="AE14" i="33"/>
  <c r="AF14" i="33"/>
  <c r="AG14" i="33"/>
  <c r="AH14" i="33"/>
  <c r="AI14" i="33"/>
  <c r="AJ14" i="33"/>
  <c r="AK14" i="33"/>
  <c r="AL14" i="33"/>
  <c r="AM14" i="33"/>
  <c r="AN14" i="33"/>
  <c r="AO14" i="33"/>
  <c r="AP14" i="33"/>
  <c r="AQ14" i="33"/>
  <c r="AA15" i="33"/>
  <c r="AB15" i="33"/>
  <c r="AC15" i="33"/>
  <c r="AD15" i="33"/>
  <c r="AE15" i="33"/>
  <c r="AF15" i="33"/>
  <c r="AG15" i="33"/>
  <c r="AH15" i="33"/>
  <c r="AI15" i="33"/>
  <c r="AJ15" i="33"/>
  <c r="AK15" i="33"/>
  <c r="AL15" i="33"/>
  <c r="AM15" i="33"/>
  <c r="AN15" i="33"/>
  <c r="AO15" i="33"/>
  <c r="AP15" i="33"/>
  <c r="AQ15" i="33"/>
  <c r="AA18" i="33"/>
  <c r="AB18" i="33"/>
  <c r="AC18" i="33"/>
  <c r="AD18" i="33"/>
  <c r="AE18" i="33"/>
  <c r="AF18" i="33"/>
  <c r="AG18" i="33"/>
  <c r="AH18" i="33"/>
  <c r="AI18" i="33"/>
  <c r="AJ18" i="33"/>
  <c r="AK18" i="33"/>
  <c r="AL18" i="33"/>
  <c r="AM18" i="33"/>
  <c r="AN18" i="33"/>
  <c r="AO18" i="33"/>
  <c r="AP18" i="33"/>
  <c r="AQ18" i="33"/>
  <c r="AA19" i="33"/>
  <c r="AB19" i="33"/>
  <c r="AC19" i="33"/>
  <c r="AD19" i="33"/>
  <c r="AE19" i="33"/>
  <c r="AF19" i="33"/>
  <c r="AG19" i="33"/>
  <c r="AH19" i="33"/>
  <c r="AI19" i="33"/>
  <c r="AJ19" i="33"/>
  <c r="AK19" i="33"/>
  <c r="AL19" i="33"/>
  <c r="AM19" i="33"/>
  <c r="AN19" i="33"/>
  <c r="AO19" i="33"/>
  <c r="AP19" i="33"/>
  <c r="AQ19" i="33"/>
  <c r="AA21" i="33"/>
  <c r="AB21" i="33"/>
  <c r="AC21" i="33"/>
  <c r="AD21" i="33"/>
  <c r="AE21" i="33"/>
  <c r="AF21" i="33"/>
  <c r="AG21" i="33"/>
  <c r="AH21" i="33"/>
  <c r="AI21" i="33"/>
  <c r="AJ21" i="33"/>
  <c r="AK21" i="33"/>
  <c r="AL21" i="33"/>
  <c r="AM21" i="33"/>
  <c r="AN21" i="33"/>
  <c r="AO21" i="33"/>
  <c r="AP21" i="33"/>
  <c r="AQ21" i="33"/>
  <c r="AA22" i="33"/>
  <c r="AB22" i="33"/>
  <c r="AC22" i="33"/>
  <c r="AD22" i="33"/>
  <c r="AE22" i="33"/>
  <c r="AF22" i="33"/>
  <c r="AG22" i="33"/>
  <c r="AH22" i="33"/>
  <c r="AI22" i="33"/>
  <c r="AJ22" i="33"/>
  <c r="AK22" i="33"/>
  <c r="AL22" i="33"/>
  <c r="AM22" i="33"/>
  <c r="AN22" i="33"/>
  <c r="AO22" i="33"/>
  <c r="AP22" i="33"/>
  <c r="AQ22" i="33"/>
  <c r="AA23" i="33"/>
  <c r="AB23" i="33"/>
  <c r="AC23" i="33"/>
  <c r="AD23" i="33"/>
  <c r="AE23" i="33"/>
  <c r="AF23" i="33"/>
  <c r="AG23" i="33"/>
  <c r="AH23" i="33"/>
  <c r="AI23" i="33"/>
  <c r="AJ23" i="33"/>
  <c r="AK23" i="33"/>
  <c r="AL23" i="33"/>
  <c r="AM23" i="33"/>
  <c r="AN23" i="33"/>
  <c r="AO23" i="33"/>
  <c r="AP23" i="33"/>
  <c r="AQ23" i="33"/>
  <c r="AA26" i="33"/>
  <c r="AB26" i="33"/>
  <c r="AC26" i="33"/>
  <c r="AD26" i="33"/>
  <c r="AE26" i="33"/>
  <c r="AF26" i="33"/>
  <c r="AG26" i="33"/>
  <c r="AH26" i="33"/>
  <c r="AI26" i="33"/>
  <c r="AJ26" i="33"/>
  <c r="AK26" i="33"/>
  <c r="AL26" i="33"/>
  <c r="AM26" i="33"/>
  <c r="AN26" i="33"/>
  <c r="AO26" i="33"/>
  <c r="AP26" i="33"/>
  <c r="AQ26" i="33"/>
  <c r="AA27" i="33"/>
  <c r="AB27" i="33"/>
  <c r="AC27" i="33"/>
  <c r="AD27" i="33"/>
  <c r="AE27" i="33"/>
  <c r="AF27" i="33"/>
  <c r="AG27" i="33"/>
  <c r="AH27" i="33"/>
  <c r="AI27" i="33"/>
  <c r="AJ27" i="33"/>
  <c r="AK27" i="33"/>
  <c r="AL27" i="33"/>
  <c r="AM27" i="33"/>
  <c r="AN27" i="33"/>
  <c r="AO27" i="33"/>
  <c r="AP27" i="33"/>
  <c r="AQ27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AO28" i="33"/>
  <c r="AP28" i="33"/>
  <c r="AQ28" i="33"/>
  <c r="AA29" i="33"/>
  <c r="AB29" i="33"/>
  <c r="AC29" i="33"/>
  <c r="AD29" i="33"/>
  <c r="AE29" i="33"/>
  <c r="AF29" i="33"/>
  <c r="AG29" i="33"/>
  <c r="AH29" i="33"/>
  <c r="AI29" i="33"/>
  <c r="AJ29" i="33"/>
  <c r="AK29" i="33"/>
  <c r="AL29" i="33"/>
  <c r="AM29" i="33"/>
  <c r="AN29" i="33"/>
  <c r="AO29" i="33"/>
  <c r="AP29" i="33"/>
  <c r="AQ29" i="33"/>
  <c r="AA30" i="33"/>
  <c r="AB30" i="33"/>
  <c r="AC30" i="33"/>
  <c r="AD30" i="33"/>
  <c r="AE30" i="33"/>
  <c r="AF30" i="33"/>
  <c r="AG30" i="33"/>
  <c r="AH30" i="33"/>
  <c r="AI30" i="33"/>
  <c r="AJ30" i="33"/>
  <c r="AK30" i="33"/>
  <c r="AL30" i="33"/>
  <c r="AM30" i="33"/>
  <c r="AN30" i="33"/>
  <c r="AO30" i="33"/>
  <c r="AP30" i="33"/>
  <c r="AQ30" i="33"/>
  <c r="AA31" i="33"/>
  <c r="AB31" i="33"/>
  <c r="AC31" i="33"/>
  <c r="AD31" i="33"/>
  <c r="AE31" i="33"/>
  <c r="AF31" i="33"/>
  <c r="AG31" i="33"/>
  <c r="AH31" i="33"/>
  <c r="AI31" i="33"/>
  <c r="AJ31" i="33"/>
  <c r="AK31" i="33"/>
  <c r="AL31" i="33"/>
  <c r="AM31" i="33"/>
  <c r="AN31" i="33"/>
  <c r="AO31" i="33"/>
  <c r="AP31" i="33"/>
  <c r="AQ31" i="33"/>
  <c r="AA32" i="33"/>
  <c r="AB32" i="33"/>
  <c r="AC32" i="33"/>
  <c r="AD32" i="33"/>
  <c r="AE32" i="33"/>
  <c r="AF32" i="33"/>
  <c r="AG32" i="33"/>
  <c r="AH32" i="33"/>
  <c r="AI32" i="33"/>
  <c r="AJ32" i="33"/>
  <c r="AK32" i="33"/>
  <c r="AL32" i="33"/>
  <c r="AM32" i="33"/>
  <c r="AN32" i="33"/>
  <c r="AO32" i="33"/>
  <c r="AP32" i="33"/>
  <c r="AQ32" i="33"/>
  <c r="AA33" i="33"/>
  <c r="AB33" i="33"/>
  <c r="AC33" i="33"/>
  <c r="AD33" i="33"/>
  <c r="AE33" i="33"/>
  <c r="AF33" i="33"/>
  <c r="AG33" i="33"/>
  <c r="AH33" i="33"/>
  <c r="AI33" i="33"/>
  <c r="AJ33" i="33"/>
  <c r="AK33" i="33"/>
  <c r="AL33" i="33"/>
  <c r="AM33" i="33"/>
  <c r="AN33" i="33"/>
  <c r="AO33" i="33"/>
  <c r="AP33" i="33"/>
  <c r="AQ33" i="33"/>
  <c r="AA34" i="33"/>
  <c r="AB34" i="33"/>
  <c r="AC34" i="33"/>
  <c r="AD34" i="33"/>
  <c r="AE34" i="33"/>
  <c r="AF34" i="33"/>
  <c r="AG34" i="33"/>
  <c r="AH34" i="33"/>
  <c r="AI34" i="33"/>
  <c r="AJ34" i="33"/>
  <c r="AK34" i="33"/>
  <c r="AL34" i="33"/>
  <c r="AM34" i="33"/>
  <c r="AN34" i="33"/>
  <c r="AO34" i="33"/>
  <c r="AP34" i="33"/>
  <c r="AQ34" i="33"/>
  <c r="AA35" i="33"/>
  <c r="AB35" i="33"/>
  <c r="AC35" i="33"/>
  <c r="AD35" i="33"/>
  <c r="AE35" i="33"/>
  <c r="AF35" i="33"/>
  <c r="AG35" i="33"/>
  <c r="AH35" i="33"/>
  <c r="AI35" i="33"/>
  <c r="AJ35" i="33"/>
  <c r="AK35" i="33"/>
  <c r="AL35" i="33"/>
  <c r="AM35" i="33"/>
  <c r="AN35" i="33"/>
  <c r="AO35" i="33"/>
  <c r="AP35" i="33"/>
  <c r="AQ35" i="33"/>
  <c r="AA36" i="33"/>
  <c r="AB36" i="33"/>
  <c r="AC36" i="33"/>
  <c r="AD36" i="33"/>
  <c r="AE36" i="33"/>
  <c r="AF36" i="33"/>
  <c r="AG36" i="33"/>
  <c r="AH36" i="33"/>
  <c r="AI36" i="33"/>
  <c r="AJ36" i="33"/>
  <c r="AK36" i="33"/>
  <c r="AL36" i="33"/>
  <c r="AM36" i="33"/>
  <c r="AN36" i="33"/>
  <c r="AO36" i="33"/>
  <c r="AP36" i="33"/>
  <c r="AQ36" i="33"/>
  <c r="AA38" i="33"/>
  <c r="AB38" i="33"/>
  <c r="AC38" i="33"/>
  <c r="AD38" i="33"/>
  <c r="AE38" i="33"/>
  <c r="AF38" i="33"/>
  <c r="AG38" i="33"/>
  <c r="AH38" i="33"/>
  <c r="AI38" i="33"/>
  <c r="AJ38" i="33"/>
  <c r="AK38" i="33"/>
  <c r="AL38" i="33"/>
  <c r="AM38" i="33"/>
  <c r="AN38" i="33"/>
  <c r="AO38" i="33"/>
  <c r="AP38" i="33"/>
  <c r="AQ38" i="33"/>
  <c r="AA39" i="33"/>
  <c r="AB39" i="33"/>
  <c r="AC39" i="33"/>
  <c r="AD39" i="33"/>
  <c r="AE39" i="33"/>
  <c r="AF39" i="33"/>
  <c r="AG39" i="33"/>
  <c r="AH39" i="33"/>
  <c r="AI39" i="33"/>
  <c r="AJ39" i="33"/>
  <c r="AK39" i="33"/>
  <c r="AL39" i="33"/>
  <c r="AM39" i="33"/>
  <c r="AN39" i="33"/>
  <c r="AO39" i="33"/>
  <c r="AP39" i="33"/>
  <c r="AQ39" i="33"/>
  <c r="AA40" i="33"/>
  <c r="AB40" i="33"/>
  <c r="AC40" i="33"/>
  <c r="AD40" i="33"/>
  <c r="AE40" i="33"/>
  <c r="AF40" i="33"/>
  <c r="AG40" i="33"/>
  <c r="AH40" i="33"/>
  <c r="AI40" i="33"/>
  <c r="AJ40" i="33"/>
  <c r="AK40" i="33"/>
  <c r="AL40" i="33"/>
  <c r="AM40" i="33"/>
  <c r="AN40" i="33"/>
  <c r="AO40" i="33"/>
  <c r="AP40" i="33"/>
  <c r="AQ40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A42" i="33"/>
  <c r="AB42" i="33"/>
  <c r="AC42" i="33"/>
  <c r="AD42" i="33"/>
  <c r="AE42" i="33"/>
  <c r="AF42" i="33"/>
  <c r="AG42" i="33"/>
  <c r="AH42" i="33"/>
  <c r="AI42" i="33"/>
  <c r="AJ42" i="33"/>
  <c r="AK42" i="33"/>
  <c r="AL42" i="33"/>
  <c r="AM42" i="33"/>
  <c r="AN42" i="33"/>
  <c r="AO42" i="33"/>
  <c r="AP42" i="33"/>
  <c r="AQ42" i="33"/>
  <c r="AA43" i="33"/>
  <c r="AB43" i="33"/>
  <c r="AC43" i="33"/>
  <c r="AD43" i="33"/>
  <c r="AE43" i="33"/>
  <c r="AF43" i="33"/>
  <c r="AG43" i="33"/>
  <c r="AH43" i="33"/>
  <c r="AI43" i="33"/>
  <c r="AJ43" i="33"/>
  <c r="AK43" i="33"/>
  <c r="AL43" i="33"/>
  <c r="AM43" i="33"/>
  <c r="AN43" i="33"/>
  <c r="AO43" i="33"/>
  <c r="AP43" i="33"/>
  <c r="AQ43" i="33"/>
  <c r="AA44" i="33"/>
  <c r="AB44" i="33"/>
  <c r="AC44" i="33"/>
  <c r="AD44" i="33"/>
  <c r="AE44" i="33"/>
  <c r="AF44" i="33"/>
  <c r="AG44" i="33"/>
  <c r="AH44" i="33"/>
  <c r="AI44" i="33"/>
  <c r="AJ44" i="33"/>
  <c r="AK44" i="33"/>
  <c r="AL44" i="33"/>
  <c r="AM44" i="33"/>
  <c r="AN44" i="33"/>
  <c r="AO44" i="33"/>
  <c r="AP44" i="33"/>
  <c r="AQ44" i="33"/>
  <c r="AA45" i="33"/>
  <c r="AB45" i="33"/>
  <c r="AC45" i="33"/>
  <c r="AD45" i="33"/>
  <c r="AE45" i="33"/>
  <c r="AF45" i="33"/>
  <c r="AG45" i="33"/>
  <c r="AH45" i="33"/>
  <c r="AI45" i="33"/>
  <c r="AJ45" i="33"/>
  <c r="AK45" i="33"/>
  <c r="AL45" i="33"/>
  <c r="AM45" i="33"/>
  <c r="AN45" i="33"/>
  <c r="AO45" i="33"/>
  <c r="AP45" i="33"/>
  <c r="AQ45" i="33"/>
  <c r="AA48" i="33"/>
  <c r="AB48" i="33"/>
  <c r="AC48" i="33"/>
  <c r="AD48" i="33"/>
  <c r="AE48" i="33"/>
  <c r="AF48" i="33"/>
  <c r="AG48" i="33"/>
  <c r="AH48" i="33"/>
  <c r="AI48" i="33"/>
  <c r="AJ48" i="33"/>
  <c r="AK48" i="33"/>
  <c r="AL48" i="33"/>
  <c r="AM48" i="33"/>
  <c r="AN48" i="33"/>
  <c r="AO48" i="33"/>
  <c r="AP48" i="33"/>
  <c r="AQ48" i="33"/>
  <c r="AA49" i="33"/>
  <c r="AB49" i="33"/>
  <c r="AC49" i="33"/>
  <c r="AD49" i="33"/>
  <c r="AE49" i="33"/>
  <c r="AF49" i="33"/>
  <c r="AG49" i="33"/>
  <c r="AH49" i="33"/>
  <c r="AI49" i="33"/>
  <c r="AJ49" i="33"/>
  <c r="AK49" i="33"/>
  <c r="AL49" i="33"/>
  <c r="AM49" i="33"/>
  <c r="AN49" i="33"/>
  <c r="AO49" i="33"/>
  <c r="AP49" i="33"/>
  <c r="AQ49" i="33"/>
  <c r="AA50" i="33"/>
  <c r="AB50" i="33"/>
  <c r="AC50" i="33"/>
  <c r="AD50" i="33"/>
  <c r="AE50" i="33"/>
  <c r="AF50" i="33"/>
  <c r="AG50" i="33"/>
  <c r="AH50" i="33"/>
  <c r="AI50" i="33"/>
  <c r="AJ50" i="33"/>
  <c r="AK50" i="33"/>
  <c r="AL50" i="33"/>
  <c r="AM50" i="33"/>
  <c r="AN50" i="33"/>
  <c r="AO50" i="33"/>
  <c r="AP50" i="33"/>
  <c r="AQ50" i="33"/>
  <c r="AA51" i="33"/>
  <c r="AB51" i="33"/>
  <c r="AC51" i="33"/>
  <c r="AD51" i="33"/>
  <c r="AE51" i="33"/>
  <c r="AF51" i="33"/>
  <c r="AG51" i="33"/>
  <c r="AH51" i="33"/>
  <c r="AI51" i="33"/>
  <c r="AJ51" i="33"/>
  <c r="AK51" i="33"/>
  <c r="AL51" i="33"/>
  <c r="AM51" i="33"/>
  <c r="AN51" i="33"/>
  <c r="AO51" i="33"/>
  <c r="AP51" i="33"/>
  <c r="AQ51" i="33"/>
  <c r="AA52" i="33"/>
  <c r="AB52" i="33"/>
  <c r="AC52" i="33"/>
  <c r="AD52" i="33"/>
  <c r="AE52" i="33"/>
  <c r="AF52" i="33"/>
  <c r="AG52" i="33"/>
  <c r="AH52" i="33"/>
  <c r="AI52" i="33"/>
  <c r="AJ52" i="33"/>
  <c r="AK52" i="33"/>
  <c r="AL52" i="33"/>
  <c r="AM52" i="33"/>
  <c r="AN52" i="33"/>
  <c r="AO52" i="33"/>
  <c r="AP52" i="33"/>
  <c r="AQ52" i="33"/>
  <c r="AA53" i="33"/>
  <c r="AB53" i="33"/>
  <c r="AC53" i="33"/>
  <c r="AD53" i="33"/>
  <c r="AE53" i="33"/>
  <c r="AF53" i="33"/>
  <c r="AG53" i="33"/>
  <c r="AH53" i="33"/>
  <c r="AI53" i="33"/>
  <c r="AJ53" i="33"/>
  <c r="AK53" i="33"/>
  <c r="AL53" i="33"/>
  <c r="AM53" i="33"/>
  <c r="AN53" i="33"/>
  <c r="AO53" i="33"/>
  <c r="AP53" i="33"/>
  <c r="AQ53" i="33"/>
  <c r="AA54" i="33"/>
  <c r="AB54" i="33"/>
  <c r="AC54" i="33"/>
  <c r="AD54" i="33"/>
  <c r="AE54" i="33"/>
  <c r="AF54" i="33"/>
  <c r="AG54" i="33"/>
  <c r="AH54" i="33"/>
  <c r="AI54" i="33"/>
  <c r="AJ54" i="33"/>
  <c r="AK54" i="33"/>
  <c r="AL54" i="33"/>
  <c r="AM54" i="33"/>
  <c r="AN54" i="33"/>
  <c r="AO54" i="33"/>
  <c r="AP54" i="33"/>
  <c r="AQ54" i="33"/>
  <c r="AA55" i="33"/>
  <c r="AB55" i="33"/>
  <c r="AC55" i="33"/>
  <c r="AD55" i="33"/>
  <c r="AE55" i="33"/>
  <c r="AF55" i="33"/>
  <c r="AG55" i="33"/>
  <c r="AH55" i="33"/>
  <c r="AI55" i="33"/>
  <c r="AJ55" i="33"/>
  <c r="AK55" i="33"/>
  <c r="AL55" i="33"/>
  <c r="AM55" i="33"/>
  <c r="AN55" i="33"/>
  <c r="AO55" i="33"/>
  <c r="AP55" i="33"/>
  <c r="AQ55" i="33"/>
  <c r="AA56" i="33"/>
  <c r="AB56" i="33"/>
  <c r="AC56" i="33"/>
  <c r="AD56" i="33"/>
  <c r="AE56" i="33"/>
  <c r="AF56" i="33"/>
  <c r="AG56" i="33"/>
  <c r="AH56" i="33"/>
  <c r="AI56" i="33"/>
  <c r="AJ56" i="33"/>
  <c r="AK56" i="33"/>
  <c r="AL56" i="33"/>
  <c r="AM56" i="33"/>
  <c r="AN56" i="33"/>
  <c r="AO56" i="33"/>
  <c r="AP56" i="33"/>
  <c r="AQ56" i="33"/>
  <c r="AA57" i="33"/>
  <c r="AB57" i="33"/>
  <c r="AC57" i="33"/>
  <c r="AD57" i="33"/>
  <c r="AE57" i="33"/>
  <c r="AF57" i="33"/>
  <c r="AG57" i="33"/>
  <c r="AH57" i="33"/>
  <c r="AI57" i="33"/>
  <c r="AJ57" i="33"/>
  <c r="AK57" i="33"/>
  <c r="AL57" i="33"/>
  <c r="AM57" i="33"/>
  <c r="AN57" i="33"/>
  <c r="AO57" i="33"/>
  <c r="AP57" i="33"/>
  <c r="D56" i="30" s="1"/>
  <c r="AQ57" i="33"/>
  <c r="AA58" i="33"/>
  <c r="AB58" i="33"/>
  <c r="AC58" i="33"/>
  <c r="AD58" i="33"/>
  <c r="AE58" i="33"/>
  <c r="AF58" i="33"/>
  <c r="AG58" i="33"/>
  <c r="AH58" i="33"/>
  <c r="AI58" i="33"/>
  <c r="AJ58" i="33"/>
  <c r="AK58" i="33"/>
  <c r="AL58" i="33"/>
  <c r="AM58" i="33"/>
  <c r="AN58" i="33"/>
  <c r="AO58" i="33"/>
  <c r="AP58" i="33"/>
  <c r="AQ58" i="33"/>
  <c r="AA60" i="33"/>
  <c r="AB60" i="33"/>
  <c r="AC60" i="33"/>
  <c r="AD60" i="33"/>
  <c r="AE60" i="33"/>
  <c r="AF60" i="33"/>
  <c r="AG60" i="33"/>
  <c r="AH60" i="33"/>
  <c r="AI60" i="33"/>
  <c r="AJ60" i="33"/>
  <c r="AK60" i="33"/>
  <c r="AL60" i="33"/>
  <c r="AM60" i="33"/>
  <c r="AN60" i="33"/>
  <c r="AO60" i="33"/>
  <c r="AP60" i="33"/>
  <c r="AQ60" i="33"/>
  <c r="AA61" i="33"/>
  <c r="AB61" i="33"/>
  <c r="AC61" i="33"/>
  <c r="AD61" i="33"/>
  <c r="AE61" i="33"/>
  <c r="AF61" i="33"/>
  <c r="AG61" i="33"/>
  <c r="AH61" i="33"/>
  <c r="AI61" i="33"/>
  <c r="AJ61" i="33"/>
  <c r="AK61" i="33"/>
  <c r="AL61" i="33"/>
  <c r="AM61" i="33"/>
  <c r="AN61" i="33"/>
  <c r="AO61" i="33"/>
  <c r="AP61" i="33"/>
  <c r="AQ61" i="33"/>
  <c r="AA62" i="33"/>
  <c r="AB62" i="33"/>
  <c r="AC62" i="33"/>
  <c r="AD62" i="33"/>
  <c r="AE62" i="33"/>
  <c r="AF62" i="33"/>
  <c r="AG62" i="33"/>
  <c r="AH62" i="33"/>
  <c r="AI62" i="33"/>
  <c r="AJ62" i="33"/>
  <c r="AK62" i="33"/>
  <c r="AL62" i="33"/>
  <c r="AM62" i="33"/>
  <c r="AN62" i="33"/>
  <c r="AO62" i="33"/>
  <c r="AP62" i="33"/>
  <c r="AQ62" i="33"/>
  <c r="AA63" i="33"/>
  <c r="AB63" i="33"/>
  <c r="AC63" i="33"/>
  <c r="AD63" i="33"/>
  <c r="AE63" i="33"/>
  <c r="AF63" i="33"/>
  <c r="AG63" i="33"/>
  <c r="AH63" i="33"/>
  <c r="AI63" i="33"/>
  <c r="AJ63" i="33"/>
  <c r="AK63" i="33"/>
  <c r="AL63" i="33"/>
  <c r="AM63" i="33"/>
  <c r="AN63" i="33"/>
  <c r="AO63" i="33"/>
  <c r="AP63" i="33"/>
  <c r="AQ63" i="33"/>
  <c r="AA64" i="33"/>
  <c r="AB64" i="33"/>
  <c r="AC64" i="33"/>
  <c r="AD64" i="33"/>
  <c r="AE64" i="33"/>
  <c r="AF64" i="33"/>
  <c r="AG64" i="33"/>
  <c r="AH64" i="33"/>
  <c r="AI64" i="33"/>
  <c r="AJ64" i="33"/>
  <c r="AK64" i="33"/>
  <c r="AL64" i="33"/>
  <c r="AM64" i="33"/>
  <c r="AN64" i="33"/>
  <c r="AO64" i="33"/>
  <c r="AP64" i="33"/>
  <c r="AQ64" i="33"/>
  <c r="AA65" i="33"/>
  <c r="AB65" i="33"/>
  <c r="AC65" i="33"/>
  <c r="AD65" i="33"/>
  <c r="AE65" i="33"/>
  <c r="AF65" i="33"/>
  <c r="AG65" i="33"/>
  <c r="AH65" i="33"/>
  <c r="AI65" i="33"/>
  <c r="AJ65" i="33"/>
  <c r="AK65" i="33"/>
  <c r="AL65" i="33"/>
  <c r="AM65" i="33"/>
  <c r="AN65" i="33"/>
  <c r="AO65" i="33"/>
  <c r="AP65" i="33"/>
  <c r="AQ65" i="33"/>
  <c r="AA66" i="33"/>
  <c r="AB66" i="33"/>
  <c r="AC66" i="33"/>
  <c r="AD66" i="33"/>
  <c r="AE66" i="33"/>
  <c r="AF66" i="33"/>
  <c r="AG66" i="33"/>
  <c r="AH66" i="33"/>
  <c r="AI66" i="33"/>
  <c r="AJ66" i="33"/>
  <c r="AK66" i="33"/>
  <c r="AL66" i="33"/>
  <c r="AM66" i="33"/>
  <c r="AN66" i="33"/>
  <c r="AO66" i="33"/>
  <c r="AP66" i="33"/>
  <c r="AQ66" i="33"/>
  <c r="AA67" i="33"/>
  <c r="AB67" i="33"/>
  <c r="AC67" i="33"/>
  <c r="AD67" i="33"/>
  <c r="AE67" i="33"/>
  <c r="AF67" i="33"/>
  <c r="AG67" i="33"/>
  <c r="AH67" i="33"/>
  <c r="AI67" i="33"/>
  <c r="AJ67" i="33"/>
  <c r="AK67" i="33"/>
  <c r="AL67" i="33"/>
  <c r="AM67" i="33"/>
  <c r="AN67" i="33"/>
  <c r="AO67" i="33"/>
  <c r="AP67" i="33"/>
  <c r="AQ67" i="33"/>
  <c r="AA68" i="33"/>
  <c r="AB68" i="33"/>
  <c r="AC68" i="33"/>
  <c r="AD68" i="33"/>
  <c r="AE68" i="33"/>
  <c r="AF68" i="33"/>
  <c r="AG68" i="33"/>
  <c r="AH68" i="33"/>
  <c r="AI68" i="33"/>
  <c r="AJ68" i="33"/>
  <c r="AK68" i="33"/>
  <c r="AL68" i="33"/>
  <c r="AM68" i="33"/>
  <c r="AN68" i="33"/>
  <c r="AO68" i="33"/>
  <c r="AP68" i="33"/>
  <c r="AQ68" i="33"/>
  <c r="AA71" i="33"/>
  <c r="AB71" i="33"/>
  <c r="AC71" i="33"/>
  <c r="AD71" i="33"/>
  <c r="AE71" i="33"/>
  <c r="AF71" i="33"/>
  <c r="AG71" i="33"/>
  <c r="AH71" i="33"/>
  <c r="AI71" i="33"/>
  <c r="AJ71" i="33"/>
  <c r="AK71" i="33"/>
  <c r="AL71" i="33"/>
  <c r="AM71" i="33"/>
  <c r="AN71" i="33"/>
  <c r="AO71" i="33"/>
  <c r="AP71" i="33"/>
  <c r="AQ71" i="33"/>
  <c r="AA72" i="33"/>
  <c r="AB72" i="33"/>
  <c r="AC72" i="33"/>
  <c r="AD72" i="33"/>
  <c r="AE72" i="33"/>
  <c r="AF72" i="33"/>
  <c r="AG72" i="33"/>
  <c r="AH72" i="33"/>
  <c r="AI72" i="33"/>
  <c r="AJ72" i="33"/>
  <c r="AK72" i="33"/>
  <c r="AL72" i="33"/>
  <c r="AM72" i="33"/>
  <c r="AN72" i="33"/>
  <c r="AO72" i="33"/>
  <c r="AP72" i="33"/>
  <c r="AQ72" i="33"/>
  <c r="AA73" i="33"/>
  <c r="AB73" i="33"/>
  <c r="AC73" i="33"/>
  <c r="AD73" i="33"/>
  <c r="AE73" i="33"/>
  <c r="AF73" i="33"/>
  <c r="AG73" i="33"/>
  <c r="AH73" i="33"/>
  <c r="AI73" i="33"/>
  <c r="AJ73" i="33"/>
  <c r="AK73" i="33"/>
  <c r="AL73" i="33"/>
  <c r="AM73" i="33"/>
  <c r="AN73" i="33"/>
  <c r="AO73" i="33"/>
  <c r="AP73" i="33"/>
  <c r="AQ73" i="33"/>
  <c r="AA74" i="33"/>
  <c r="AB74" i="33"/>
  <c r="AC74" i="33"/>
  <c r="AD74" i="33"/>
  <c r="AE74" i="33"/>
  <c r="AF74" i="33"/>
  <c r="AG74" i="33"/>
  <c r="AH74" i="33"/>
  <c r="AI74" i="33"/>
  <c r="AJ74" i="33"/>
  <c r="AK74" i="33"/>
  <c r="AL74" i="33"/>
  <c r="AM74" i="33"/>
  <c r="AN74" i="33"/>
  <c r="AO74" i="33"/>
  <c r="AP74" i="33"/>
  <c r="AQ74" i="33"/>
  <c r="AA75" i="33"/>
  <c r="AB75" i="33"/>
  <c r="AC75" i="33"/>
  <c r="AD75" i="33"/>
  <c r="AE75" i="33"/>
  <c r="AF75" i="33"/>
  <c r="AG75" i="33"/>
  <c r="AH75" i="33"/>
  <c r="AI75" i="33"/>
  <c r="AJ75" i="33"/>
  <c r="AK75" i="33"/>
  <c r="AL75" i="33"/>
  <c r="AM75" i="33"/>
  <c r="AN75" i="33"/>
  <c r="AO75" i="33"/>
  <c r="AP75" i="33"/>
  <c r="AQ75" i="33"/>
  <c r="AA77" i="33"/>
  <c r="AB77" i="33"/>
  <c r="AC77" i="33"/>
  <c r="AD77" i="33"/>
  <c r="AE77" i="33"/>
  <c r="AF77" i="33"/>
  <c r="AG77" i="33"/>
  <c r="AH77" i="33"/>
  <c r="AI77" i="33"/>
  <c r="AJ77" i="33"/>
  <c r="AK77" i="33"/>
  <c r="AL77" i="33"/>
  <c r="AM77" i="33"/>
  <c r="AN77" i="33"/>
  <c r="AO77" i="33"/>
  <c r="AP77" i="33"/>
  <c r="AQ77" i="33"/>
  <c r="AA78" i="33"/>
  <c r="AB78" i="33"/>
  <c r="AC78" i="33"/>
  <c r="AD78" i="33"/>
  <c r="AE78" i="33"/>
  <c r="AF78" i="33"/>
  <c r="AG78" i="33"/>
  <c r="AH78" i="33"/>
  <c r="AI78" i="33"/>
  <c r="AJ78" i="33"/>
  <c r="AK78" i="33"/>
  <c r="AL78" i="33"/>
  <c r="AM78" i="33"/>
  <c r="AN78" i="33"/>
  <c r="AO78" i="33"/>
  <c r="AP78" i="33"/>
  <c r="AQ78" i="33"/>
  <c r="AA79" i="33"/>
  <c r="AB79" i="33"/>
  <c r="AC79" i="33"/>
  <c r="AD79" i="33"/>
  <c r="AE79" i="33"/>
  <c r="AF79" i="33"/>
  <c r="AG79" i="33"/>
  <c r="AH79" i="33"/>
  <c r="AI79" i="33"/>
  <c r="AJ79" i="33"/>
  <c r="AK79" i="33"/>
  <c r="AL79" i="33"/>
  <c r="AM79" i="33"/>
  <c r="AN79" i="33"/>
  <c r="AO79" i="33"/>
  <c r="AP79" i="33"/>
  <c r="AQ79" i="33"/>
  <c r="AA80" i="33"/>
  <c r="AB80" i="33"/>
  <c r="AC80" i="33"/>
  <c r="AD80" i="33"/>
  <c r="AE80" i="33"/>
  <c r="AF80" i="33"/>
  <c r="AG80" i="33"/>
  <c r="AH80" i="33"/>
  <c r="AI80" i="33"/>
  <c r="AJ80" i="33"/>
  <c r="AK80" i="33"/>
  <c r="AL80" i="33"/>
  <c r="AM80" i="33"/>
  <c r="AN80" i="33"/>
  <c r="AO80" i="33"/>
  <c r="AP80" i="33"/>
  <c r="AQ80" i="33"/>
  <c r="AA82" i="33"/>
  <c r="AB82" i="33"/>
  <c r="AC82" i="33"/>
  <c r="AD82" i="33"/>
  <c r="AE82" i="33"/>
  <c r="AF82" i="33"/>
  <c r="AG82" i="33"/>
  <c r="AH82" i="33"/>
  <c r="AI82" i="33"/>
  <c r="AJ82" i="33"/>
  <c r="AK82" i="33"/>
  <c r="AL82" i="33"/>
  <c r="AM82" i="33"/>
  <c r="AN82" i="33"/>
  <c r="AO82" i="33"/>
  <c r="AP82" i="33"/>
  <c r="AQ82" i="33"/>
  <c r="AA83" i="33"/>
  <c r="AB83" i="33"/>
  <c r="AC83" i="33"/>
  <c r="AD83" i="33"/>
  <c r="AE83" i="33"/>
  <c r="AF83" i="33"/>
  <c r="AG83" i="33"/>
  <c r="AH83" i="33"/>
  <c r="AI83" i="33"/>
  <c r="AJ83" i="33"/>
  <c r="AK83" i="33"/>
  <c r="AL83" i="33"/>
  <c r="AM83" i="33"/>
  <c r="AN83" i="33"/>
  <c r="AO83" i="33"/>
  <c r="AP83" i="33"/>
  <c r="AQ83" i="33"/>
  <c r="AA84" i="33"/>
  <c r="AB84" i="33"/>
  <c r="AC84" i="33"/>
  <c r="AD84" i="33"/>
  <c r="AE84" i="33"/>
  <c r="AF84" i="33"/>
  <c r="AG84" i="33"/>
  <c r="AH84" i="33"/>
  <c r="AI84" i="33"/>
  <c r="AJ84" i="33"/>
  <c r="AK84" i="33"/>
  <c r="AL84" i="33"/>
  <c r="AM84" i="33"/>
  <c r="AN84" i="33"/>
  <c r="AO84" i="33"/>
  <c r="AP84" i="33"/>
  <c r="AQ84" i="33"/>
  <c r="AA85" i="33"/>
  <c r="AB85" i="33"/>
  <c r="AC85" i="33"/>
  <c r="AD85" i="33"/>
  <c r="AE85" i="33"/>
  <c r="AF85" i="33"/>
  <c r="AG85" i="33"/>
  <c r="AH85" i="33"/>
  <c r="AI85" i="33"/>
  <c r="AJ85" i="33"/>
  <c r="AK85" i="33"/>
  <c r="AL85" i="33"/>
  <c r="AM85" i="33"/>
  <c r="AN85" i="33"/>
  <c r="AO85" i="33"/>
  <c r="AP85" i="33"/>
  <c r="AQ85" i="33"/>
  <c r="AA89" i="33"/>
  <c r="AB89" i="33"/>
  <c r="AC89" i="33"/>
  <c r="AD89" i="33"/>
  <c r="AE89" i="33"/>
  <c r="AF89" i="33"/>
  <c r="AG89" i="33"/>
  <c r="AH89" i="33"/>
  <c r="AI89" i="33"/>
  <c r="AJ89" i="33"/>
  <c r="AK89" i="33"/>
  <c r="AL89" i="33"/>
  <c r="AM89" i="33"/>
  <c r="AN89" i="33"/>
  <c r="AO89" i="33"/>
  <c r="AP89" i="33"/>
  <c r="AQ89" i="33"/>
  <c r="AA90" i="33"/>
  <c r="AB90" i="33"/>
  <c r="AC90" i="33"/>
  <c r="AD90" i="33"/>
  <c r="AE90" i="33"/>
  <c r="AF90" i="33"/>
  <c r="AG90" i="33"/>
  <c r="AH90" i="33"/>
  <c r="AI90" i="33"/>
  <c r="AJ90" i="33"/>
  <c r="AK90" i="33"/>
  <c r="AL90" i="33"/>
  <c r="AM90" i="33"/>
  <c r="AN90" i="33"/>
  <c r="AO90" i="33"/>
  <c r="AP90" i="33"/>
  <c r="AQ90" i="33"/>
  <c r="AA91" i="33"/>
  <c r="AB91" i="33"/>
  <c r="AC91" i="33"/>
  <c r="AD91" i="33"/>
  <c r="AE91" i="33"/>
  <c r="AF91" i="33"/>
  <c r="AG91" i="33"/>
  <c r="AH91" i="33"/>
  <c r="AI91" i="33"/>
  <c r="AJ91" i="33"/>
  <c r="AK91" i="33"/>
  <c r="AL91" i="33"/>
  <c r="AM91" i="33"/>
  <c r="AN91" i="33"/>
  <c r="AO91" i="33"/>
  <c r="AP91" i="33"/>
  <c r="AQ91" i="33"/>
  <c r="AA92" i="33"/>
  <c r="AB92" i="33"/>
  <c r="AC92" i="33"/>
  <c r="AD92" i="33"/>
  <c r="AE92" i="33"/>
  <c r="AF92" i="33"/>
  <c r="AG92" i="33"/>
  <c r="AH92" i="33"/>
  <c r="AI92" i="33"/>
  <c r="AJ92" i="33"/>
  <c r="AK92" i="33"/>
  <c r="AL92" i="33"/>
  <c r="AM92" i="33"/>
  <c r="AN92" i="33"/>
  <c r="AO92" i="33"/>
  <c r="AP92" i="33"/>
  <c r="AQ92" i="33"/>
  <c r="AA93" i="33"/>
  <c r="AB93" i="33"/>
  <c r="AC93" i="33"/>
  <c r="AD93" i="33"/>
  <c r="AE93" i="33"/>
  <c r="AF93" i="33"/>
  <c r="AG93" i="33"/>
  <c r="AH93" i="33"/>
  <c r="AI93" i="33"/>
  <c r="AJ93" i="33"/>
  <c r="AK93" i="33"/>
  <c r="AL93" i="33"/>
  <c r="AM93" i="33"/>
  <c r="AN93" i="33"/>
  <c r="AO93" i="33"/>
  <c r="AP93" i="33"/>
  <c r="AQ93" i="33"/>
  <c r="AA94" i="33"/>
  <c r="AB94" i="33"/>
  <c r="AC94" i="33"/>
  <c r="AD94" i="33"/>
  <c r="AE94" i="33"/>
  <c r="AF94" i="33"/>
  <c r="AG94" i="33"/>
  <c r="AH94" i="33"/>
  <c r="AI94" i="33"/>
  <c r="AJ94" i="33"/>
  <c r="AK94" i="33"/>
  <c r="AL94" i="33"/>
  <c r="AM94" i="33"/>
  <c r="AN94" i="33"/>
  <c r="AO94" i="33"/>
  <c r="AP94" i="33"/>
  <c r="AQ94" i="33"/>
  <c r="AA95" i="33"/>
  <c r="AB95" i="33"/>
  <c r="AC95" i="33"/>
  <c r="AD95" i="33"/>
  <c r="AE95" i="33"/>
  <c r="AF95" i="33"/>
  <c r="AG95" i="33"/>
  <c r="AH95" i="33"/>
  <c r="AI95" i="33"/>
  <c r="AJ95" i="33"/>
  <c r="AK95" i="33"/>
  <c r="AL95" i="33"/>
  <c r="AM95" i="33"/>
  <c r="AN95" i="33"/>
  <c r="AO95" i="33"/>
  <c r="AP95" i="33"/>
  <c r="AQ95" i="33"/>
  <c r="AA96" i="33"/>
  <c r="AB96" i="33"/>
  <c r="AC96" i="33"/>
  <c r="AD96" i="33"/>
  <c r="AE96" i="33"/>
  <c r="AF96" i="33"/>
  <c r="AG96" i="33"/>
  <c r="AH96" i="33"/>
  <c r="AI96" i="33"/>
  <c r="AJ96" i="33"/>
  <c r="AK96" i="33"/>
  <c r="AL96" i="33"/>
  <c r="AM96" i="33"/>
  <c r="AN96" i="33"/>
  <c r="AO96" i="33"/>
  <c r="AP96" i="33"/>
  <c r="AQ96" i="33"/>
  <c r="AA97" i="33"/>
  <c r="AB97" i="33"/>
  <c r="AC97" i="33"/>
  <c r="AD97" i="33"/>
  <c r="AE97" i="33"/>
  <c r="AF97" i="33"/>
  <c r="AG97" i="33"/>
  <c r="AH97" i="33"/>
  <c r="AI97" i="33"/>
  <c r="AJ97" i="33"/>
  <c r="AK97" i="33"/>
  <c r="AL97" i="33"/>
  <c r="AM97" i="33"/>
  <c r="AN97" i="33"/>
  <c r="AO97" i="33"/>
  <c r="AP97" i="33"/>
  <c r="AQ97" i="33"/>
  <c r="AA98" i="33"/>
  <c r="AB98" i="33"/>
  <c r="AC98" i="33"/>
  <c r="AD98" i="33"/>
  <c r="AE98" i="33"/>
  <c r="AF98" i="33"/>
  <c r="AG98" i="33"/>
  <c r="AH98" i="33"/>
  <c r="AI98" i="33"/>
  <c r="AJ98" i="33"/>
  <c r="AK98" i="33"/>
  <c r="AL98" i="33"/>
  <c r="AM98" i="33"/>
  <c r="AN98" i="33"/>
  <c r="AO98" i="33"/>
  <c r="AP98" i="33"/>
  <c r="AQ98" i="33"/>
  <c r="AA99" i="33"/>
  <c r="AB99" i="33"/>
  <c r="AC99" i="33"/>
  <c r="AD99" i="33"/>
  <c r="AE99" i="33"/>
  <c r="AF99" i="33"/>
  <c r="AG99" i="33"/>
  <c r="AH99" i="33"/>
  <c r="AI99" i="33"/>
  <c r="AJ99" i="33"/>
  <c r="AK99" i="33"/>
  <c r="AL99" i="33"/>
  <c r="AM99" i="33"/>
  <c r="AN99" i="33"/>
  <c r="AO99" i="33"/>
  <c r="AP99" i="33"/>
  <c r="AQ99" i="33"/>
  <c r="AA100" i="33"/>
  <c r="AB100" i="33"/>
  <c r="AC100" i="33"/>
  <c r="AD100" i="33"/>
  <c r="AE100" i="33"/>
  <c r="AF100" i="33"/>
  <c r="AG100" i="33"/>
  <c r="AH100" i="33"/>
  <c r="AI100" i="33"/>
  <c r="AJ100" i="33"/>
  <c r="AK100" i="33"/>
  <c r="AL100" i="33"/>
  <c r="AM100" i="33"/>
  <c r="AN100" i="33"/>
  <c r="AO100" i="33"/>
  <c r="AP100" i="33"/>
  <c r="AQ100" i="33"/>
  <c r="AA105" i="33"/>
  <c r="AB105" i="33"/>
  <c r="AC105" i="33"/>
  <c r="AD105" i="33"/>
  <c r="AE105" i="33"/>
  <c r="AF105" i="33"/>
  <c r="AG105" i="33"/>
  <c r="AH105" i="33"/>
  <c r="AI105" i="33"/>
  <c r="AJ105" i="33"/>
  <c r="AL105" i="33"/>
  <c r="AM105" i="33"/>
  <c r="AN105" i="33"/>
  <c r="AO105" i="33"/>
  <c r="AP105" i="33"/>
  <c r="AQ105" i="33"/>
  <c r="AA106" i="33"/>
  <c r="AB106" i="33"/>
  <c r="AC106" i="33"/>
  <c r="AD106" i="33"/>
  <c r="AE106" i="33"/>
  <c r="AF106" i="33"/>
  <c r="AG106" i="33"/>
  <c r="AH106" i="33"/>
  <c r="AI106" i="33"/>
  <c r="AJ106" i="33"/>
  <c r="AL106" i="33"/>
  <c r="AM106" i="33"/>
  <c r="AN106" i="33"/>
  <c r="AO106" i="33"/>
  <c r="AP106" i="33"/>
  <c r="AQ106" i="33"/>
  <c r="AA107" i="33"/>
  <c r="AB107" i="33"/>
  <c r="AC107" i="33"/>
  <c r="AD107" i="33"/>
  <c r="AE107" i="33"/>
  <c r="AF107" i="33"/>
  <c r="AG107" i="33"/>
  <c r="AH107" i="33"/>
  <c r="AI107" i="33"/>
  <c r="AJ107" i="33"/>
  <c r="AL107" i="33"/>
  <c r="AM107" i="33"/>
  <c r="AN107" i="33"/>
  <c r="AO107" i="33"/>
  <c r="AP107" i="33"/>
  <c r="AQ107" i="33"/>
  <c r="AA108" i="33"/>
  <c r="AB108" i="33"/>
  <c r="AC108" i="33"/>
  <c r="AD108" i="33"/>
  <c r="AE108" i="33"/>
  <c r="AF108" i="33"/>
  <c r="AG108" i="33"/>
  <c r="AH108" i="33"/>
  <c r="AI108" i="33"/>
  <c r="AJ108" i="33"/>
  <c r="AL108" i="33"/>
  <c r="AM108" i="33"/>
  <c r="AN108" i="33"/>
  <c r="AO108" i="33"/>
  <c r="AP108" i="33"/>
  <c r="AQ108" i="33"/>
  <c r="AA109" i="33"/>
  <c r="AB109" i="33"/>
  <c r="AC109" i="33"/>
  <c r="AD109" i="33"/>
  <c r="AE109" i="33"/>
  <c r="AF109" i="33"/>
  <c r="AG109" i="33"/>
  <c r="AH109" i="33"/>
  <c r="AI109" i="33"/>
  <c r="AJ109" i="33"/>
  <c r="AL109" i="33"/>
  <c r="AM109" i="33"/>
  <c r="AN109" i="33"/>
  <c r="AO109" i="33"/>
  <c r="AP109" i="33"/>
  <c r="AQ109" i="33"/>
  <c r="AA110" i="33"/>
  <c r="AB110" i="33"/>
  <c r="AC110" i="33"/>
  <c r="AD110" i="33"/>
  <c r="AE110" i="33"/>
  <c r="AF110" i="33"/>
  <c r="AG110" i="33"/>
  <c r="AH110" i="33"/>
  <c r="AI110" i="33"/>
  <c r="AJ110" i="33"/>
  <c r="AL110" i="33"/>
  <c r="AM110" i="33"/>
  <c r="AN110" i="33"/>
  <c r="AO110" i="33"/>
  <c r="AP110" i="33"/>
  <c r="AQ110" i="33"/>
  <c r="AA111" i="33"/>
  <c r="AB111" i="33"/>
  <c r="AC111" i="33"/>
  <c r="AD111" i="33"/>
  <c r="AE111" i="33"/>
  <c r="AF111" i="33"/>
  <c r="AG111" i="33"/>
  <c r="AH111" i="33"/>
  <c r="AI111" i="33"/>
  <c r="AJ111" i="33"/>
  <c r="AL111" i="33"/>
  <c r="AM111" i="33"/>
  <c r="AN111" i="33"/>
  <c r="AO111" i="33"/>
  <c r="AP111" i="33"/>
  <c r="AQ111" i="33"/>
  <c r="AA112" i="33"/>
  <c r="AB112" i="33"/>
  <c r="AC112" i="33"/>
  <c r="AD112" i="33"/>
  <c r="AE112" i="33"/>
  <c r="AF112" i="33"/>
  <c r="AG112" i="33"/>
  <c r="AH112" i="33"/>
  <c r="AI112" i="33"/>
  <c r="AJ112" i="33"/>
  <c r="AL112" i="33"/>
  <c r="AM112" i="33"/>
  <c r="AN112" i="33"/>
  <c r="AO112" i="33"/>
  <c r="AP112" i="33"/>
  <c r="AQ112" i="33"/>
  <c r="AA114" i="33"/>
  <c r="AB114" i="33"/>
  <c r="AC114" i="33"/>
  <c r="AD114" i="33"/>
  <c r="AE114" i="33"/>
  <c r="AF114" i="33"/>
  <c r="AG114" i="33"/>
  <c r="AH114" i="33"/>
  <c r="AI114" i="33"/>
  <c r="AJ114" i="33"/>
  <c r="AN114" i="33"/>
  <c r="AP114" i="33"/>
  <c r="AQ114" i="33"/>
  <c r="AA115" i="33"/>
  <c r="AB115" i="33"/>
  <c r="AC115" i="33"/>
  <c r="AD115" i="33"/>
  <c r="AE115" i="33"/>
  <c r="AF115" i="33"/>
  <c r="AG115" i="33"/>
  <c r="AH115" i="33"/>
  <c r="AI115" i="33"/>
  <c r="AJ115" i="33"/>
  <c r="AN115" i="33"/>
  <c r="AP115" i="33"/>
  <c r="AQ115" i="33"/>
  <c r="AA116" i="33"/>
  <c r="AB116" i="33"/>
  <c r="AC116" i="33"/>
  <c r="AD116" i="33"/>
  <c r="AE116" i="33"/>
  <c r="AF116" i="33"/>
  <c r="AG116" i="33"/>
  <c r="AH116" i="33"/>
  <c r="AI116" i="33"/>
  <c r="AJ116" i="33"/>
  <c r="AN116" i="33"/>
  <c r="AP116" i="33"/>
  <c r="AQ116" i="33"/>
  <c r="AA117" i="33"/>
  <c r="AB117" i="33"/>
  <c r="AC117" i="33"/>
  <c r="AD117" i="33"/>
  <c r="AE117" i="33"/>
  <c r="AF117" i="33"/>
  <c r="AG117" i="33"/>
  <c r="AH117" i="33"/>
  <c r="AI117" i="33"/>
  <c r="AJ117" i="33"/>
  <c r="AN117" i="33"/>
  <c r="AP117" i="33"/>
  <c r="AQ117" i="33"/>
  <c r="AA118" i="33"/>
  <c r="AB118" i="33"/>
  <c r="AC118" i="33"/>
  <c r="AD118" i="33"/>
  <c r="AE118" i="33"/>
  <c r="AF118" i="33"/>
  <c r="AG118" i="33"/>
  <c r="AH118" i="33"/>
  <c r="AI118" i="33"/>
  <c r="AJ118" i="33"/>
  <c r="AN118" i="33"/>
  <c r="AP118" i="33"/>
  <c r="AQ118" i="33"/>
  <c r="AA119" i="33"/>
  <c r="AB119" i="33"/>
  <c r="AC119" i="33"/>
  <c r="AD119" i="33"/>
  <c r="AE119" i="33"/>
  <c r="AF119" i="33"/>
  <c r="AG119" i="33"/>
  <c r="AH119" i="33"/>
  <c r="AI119" i="33"/>
  <c r="AJ119" i="33"/>
  <c r="AN119" i="33"/>
  <c r="AP119" i="33"/>
  <c r="AQ119" i="33"/>
  <c r="AA120" i="33"/>
  <c r="AB120" i="33"/>
  <c r="AC120" i="33"/>
  <c r="AD120" i="33"/>
  <c r="AE120" i="33"/>
  <c r="AF120" i="33"/>
  <c r="AG120" i="33"/>
  <c r="AH120" i="33"/>
  <c r="AI120" i="33"/>
  <c r="AJ120" i="33"/>
  <c r="AN120" i="33"/>
  <c r="AP120" i="33"/>
  <c r="AQ120" i="33"/>
  <c r="AA121" i="33"/>
  <c r="AB121" i="33"/>
  <c r="AC121" i="33"/>
  <c r="AD121" i="33"/>
  <c r="AE121" i="33"/>
  <c r="AF121" i="33"/>
  <c r="AG121" i="33"/>
  <c r="AH121" i="33"/>
  <c r="AI121" i="33"/>
  <c r="AJ121" i="33"/>
  <c r="AN121" i="33"/>
  <c r="AP121" i="33"/>
  <c r="AQ121" i="33"/>
  <c r="AA122" i="33"/>
  <c r="AB122" i="33"/>
  <c r="AC122" i="33"/>
  <c r="AD122" i="33"/>
  <c r="AE122" i="33"/>
  <c r="AF122" i="33"/>
  <c r="AG122" i="33"/>
  <c r="AH122" i="33"/>
  <c r="AI122" i="33"/>
  <c r="AJ122" i="33"/>
  <c r="AN122" i="33"/>
  <c r="AP122" i="33"/>
  <c r="AQ122" i="33"/>
  <c r="AA123" i="33"/>
  <c r="AB123" i="33"/>
  <c r="AC123" i="33"/>
  <c r="AD123" i="33"/>
  <c r="AE123" i="33"/>
  <c r="AF123" i="33"/>
  <c r="AG123" i="33"/>
  <c r="AH123" i="33"/>
  <c r="AI123" i="33"/>
  <c r="AJ123" i="33"/>
  <c r="AN123" i="33"/>
  <c r="AP123" i="33"/>
  <c r="AQ123" i="33"/>
  <c r="AA124" i="33"/>
  <c r="AB124" i="33"/>
  <c r="AC124" i="33"/>
  <c r="AD124" i="33"/>
  <c r="AE124" i="33"/>
  <c r="AF124" i="33"/>
  <c r="AG124" i="33"/>
  <c r="AH124" i="33"/>
  <c r="AI124" i="33"/>
  <c r="AJ124" i="33"/>
  <c r="AN124" i="33"/>
  <c r="AP124" i="33"/>
  <c r="AQ124" i="33"/>
  <c r="AA125" i="33"/>
  <c r="AB125" i="33"/>
  <c r="AC125" i="33"/>
  <c r="AD125" i="33"/>
  <c r="AE125" i="33"/>
  <c r="AF125" i="33"/>
  <c r="AG125" i="33"/>
  <c r="AH125" i="33"/>
  <c r="AI125" i="33"/>
  <c r="AJ125" i="33"/>
  <c r="AN125" i="33"/>
  <c r="AP125" i="33"/>
  <c r="AQ125" i="33"/>
  <c r="AA126" i="33"/>
  <c r="AB126" i="33"/>
  <c r="AC126" i="33"/>
  <c r="AD126" i="33"/>
  <c r="AE126" i="33"/>
  <c r="AF126" i="33"/>
  <c r="AG126" i="33"/>
  <c r="AH126" i="33"/>
  <c r="AI126" i="33"/>
  <c r="AJ126" i="33"/>
  <c r="AN126" i="33"/>
  <c r="AP126" i="33"/>
  <c r="AQ126" i="33"/>
  <c r="AA128" i="33"/>
  <c r="AB128" i="33"/>
  <c r="AC128" i="33"/>
  <c r="AD128" i="33"/>
  <c r="AE128" i="33"/>
  <c r="AF128" i="33"/>
  <c r="AG128" i="33"/>
  <c r="AH128" i="33"/>
  <c r="AI128" i="33"/>
  <c r="AJ128" i="33"/>
  <c r="AM128" i="33"/>
  <c r="AP128" i="33"/>
  <c r="AQ128" i="33"/>
  <c r="AA129" i="33"/>
  <c r="AB129" i="33"/>
  <c r="AC129" i="33"/>
  <c r="AD129" i="33"/>
  <c r="AE129" i="33"/>
  <c r="AF129" i="33"/>
  <c r="AG129" i="33"/>
  <c r="AH129" i="33"/>
  <c r="AI129" i="33"/>
  <c r="AJ129" i="33"/>
  <c r="AM129" i="33"/>
  <c r="AP129" i="33"/>
  <c r="AQ129" i="33"/>
  <c r="AA130" i="33"/>
  <c r="AB130" i="33"/>
  <c r="AC130" i="33"/>
  <c r="AD130" i="33"/>
  <c r="AE130" i="33"/>
  <c r="AF130" i="33"/>
  <c r="AG130" i="33"/>
  <c r="AH130" i="33"/>
  <c r="AI130" i="33"/>
  <c r="AJ130" i="33"/>
  <c r="AM130" i="33"/>
  <c r="AP130" i="33"/>
  <c r="AQ130" i="33"/>
  <c r="AA131" i="33"/>
  <c r="AB131" i="33"/>
  <c r="AC131" i="33"/>
  <c r="AD131" i="33"/>
  <c r="AE131" i="33"/>
  <c r="AF131" i="33"/>
  <c r="AG131" i="33"/>
  <c r="AH131" i="33"/>
  <c r="AI131" i="33"/>
  <c r="AJ131" i="33"/>
  <c r="AM131" i="33"/>
  <c r="AP131" i="33"/>
  <c r="AQ131" i="33"/>
  <c r="AA132" i="33"/>
  <c r="AB132" i="33"/>
  <c r="AC132" i="33"/>
  <c r="AD132" i="33"/>
  <c r="AE132" i="33"/>
  <c r="AF132" i="33"/>
  <c r="AG132" i="33"/>
  <c r="AH132" i="33"/>
  <c r="AI132" i="33"/>
  <c r="AJ132" i="33"/>
  <c r="AM132" i="33"/>
  <c r="AP132" i="33"/>
  <c r="AQ132" i="33"/>
  <c r="AA133" i="33"/>
  <c r="AB133" i="33"/>
  <c r="AC133" i="33"/>
  <c r="AD133" i="33"/>
  <c r="AE133" i="33"/>
  <c r="AF133" i="33"/>
  <c r="AG133" i="33"/>
  <c r="AH133" i="33"/>
  <c r="AI133" i="33"/>
  <c r="AJ133" i="33"/>
  <c r="AM133" i="33"/>
  <c r="AP133" i="33"/>
  <c r="AQ133" i="33"/>
  <c r="AA134" i="33"/>
  <c r="AB134" i="33"/>
  <c r="AC134" i="33"/>
  <c r="AD134" i="33"/>
  <c r="AE134" i="33"/>
  <c r="AF134" i="33"/>
  <c r="AG134" i="33"/>
  <c r="AH134" i="33"/>
  <c r="AI134" i="33"/>
  <c r="AJ134" i="33"/>
  <c r="AM134" i="33"/>
  <c r="AP134" i="33"/>
  <c r="AQ134" i="33"/>
  <c r="AA135" i="33"/>
  <c r="AB135" i="33"/>
  <c r="AC135" i="33"/>
  <c r="AD135" i="33"/>
  <c r="AE135" i="33"/>
  <c r="AF135" i="33"/>
  <c r="AG135" i="33"/>
  <c r="AH135" i="33"/>
  <c r="AI135" i="33"/>
  <c r="AJ135" i="33"/>
  <c r="AM135" i="33"/>
  <c r="AP135" i="33"/>
  <c r="AQ135" i="33"/>
  <c r="AA136" i="33"/>
  <c r="AB136" i="33"/>
  <c r="AC136" i="33"/>
  <c r="AD136" i="33"/>
  <c r="AE136" i="33"/>
  <c r="AF136" i="33"/>
  <c r="AG136" i="33"/>
  <c r="AH136" i="33"/>
  <c r="AI136" i="33"/>
  <c r="AJ136" i="33"/>
  <c r="AM136" i="33"/>
  <c r="AP136" i="33"/>
  <c r="AQ136" i="33"/>
  <c r="AA137" i="33"/>
  <c r="AB137" i="33"/>
  <c r="AC137" i="33"/>
  <c r="AD137" i="33"/>
  <c r="AE137" i="33"/>
  <c r="AF137" i="33"/>
  <c r="AG137" i="33"/>
  <c r="AH137" i="33"/>
  <c r="AI137" i="33"/>
  <c r="AJ137" i="33"/>
  <c r="AM137" i="33"/>
  <c r="AP137" i="33"/>
  <c r="AQ137" i="33"/>
  <c r="AA139" i="33"/>
  <c r="AB139" i="33"/>
  <c r="AC139" i="33"/>
  <c r="AD139" i="33"/>
  <c r="AE139" i="33"/>
  <c r="AF139" i="33"/>
  <c r="AG139" i="33"/>
  <c r="AH139" i="33"/>
  <c r="AI139" i="33"/>
  <c r="AJ139" i="33"/>
  <c r="AK139" i="33"/>
  <c r="AL139" i="33"/>
  <c r="AM139" i="33"/>
  <c r="AN139" i="33"/>
  <c r="AO139" i="33"/>
  <c r="AP139" i="33"/>
  <c r="AQ139" i="33"/>
  <c r="AA140" i="33"/>
  <c r="AB140" i="33"/>
  <c r="AC140" i="33"/>
  <c r="AD140" i="33"/>
  <c r="AE140" i="33"/>
  <c r="AF140" i="33"/>
  <c r="AG140" i="33"/>
  <c r="AH140" i="33"/>
  <c r="AI140" i="33"/>
  <c r="AJ140" i="33"/>
  <c r="AK140" i="33"/>
  <c r="AL140" i="33"/>
  <c r="AM140" i="33"/>
  <c r="AN140" i="33"/>
  <c r="AO140" i="33"/>
  <c r="AP140" i="33"/>
  <c r="AQ140" i="33"/>
  <c r="AA141" i="33"/>
  <c r="AB141" i="33"/>
  <c r="AC141" i="33"/>
  <c r="AD141" i="33"/>
  <c r="AE141" i="33"/>
  <c r="AF141" i="33"/>
  <c r="AG141" i="33"/>
  <c r="AH141" i="33"/>
  <c r="AI141" i="33"/>
  <c r="AJ141" i="33"/>
  <c r="AK141" i="33"/>
  <c r="AL141" i="33"/>
  <c r="AM141" i="33"/>
  <c r="AN141" i="33"/>
  <c r="AO141" i="33"/>
  <c r="AP141" i="33"/>
  <c r="AQ141" i="33"/>
  <c r="AA142" i="33"/>
  <c r="AB142" i="33"/>
  <c r="AC142" i="33"/>
  <c r="AD142" i="33"/>
  <c r="AE142" i="33"/>
  <c r="AF142" i="33"/>
  <c r="AG142" i="33"/>
  <c r="AH142" i="33"/>
  <c r="AI142" i="33"/>
  <c r="AJ142" i="33"/>
  <c r="AK142" i="33"/>
  <c r="AL142" i="33"/>
  <c r="AM142" i="33"/>
  <c r="AN142" i="33"/>
  <c r="AO142" i="33"/>
  <c r="AP142" i="33"/>
  <c r="AQ142" i="33"/>
  <c r="AA143" i="33"/>
  <c r="AB143" i="33"/>
  <c r="AC143" i="33"/>
  <c r="AD143" i="33"/>
  <c r="AE143" i="33"/>
  <c r="AF143" i="33"/>
  <c r="AG143" i="33"/>
  <c r="AH143" i="33"/>
  <c r="AI143" i="33"/>
  <c r="AJ143" i="33"/>
  <c r="AK143" i="33"/>
  <c r="AL143" i="33"/>
  <c r="AM143" i="33"/>
  <c r="AN143" i="33"/>
  <c r="AO143" i="33"/>
  <c r="AP143" i="33"/>
  <c r="AQ143" i="33"/>
  <c r="AA144" i="33"/>
  <c r="AB144" i="33"/>
  <c r="AC144" i="33"/>
  <c r="AD144" i="33"/>
  <c r="AE144" i="33"/>
  <c r="AF144" i="33"/>
  <c r="AG144" i="33"/>
  <c r="AH144" i="33"/>
  <c r="AI144" i="33"/>
  <c r="AJ144" i="33"/>
  <c r="AK144" i="33"/>
  <c r="AL144" i="33"/>
  <c r="AM144" i="33"/>
  <c r="AN144" i="33"/>
  <c r="AO144" i="33"/>
  <c r="AP144" i="33"/>
  <c r="AQ144" i="33"/>
  <c r="AA148" i="33"/>
  <c r="AB148" i="33"/>
  <c r="AC148" i="33"/>
  <c r="AD148" i="33"/>
  <c r="AE148" i="33"/>
  <c r="AF148" i="33"/>
  <c r="AG148" i="33"/>
  <c r="AI148" i="33"/>
  <c r="AJ148" i="33"/>
  <c r="AK148" i="33"/>
  <c r="AL148" i="33"/>
  <c r="AM148" i="33"/>
  <c r="AN148" i="33"/>
  <c r="AO148" i="33"/>
  <c r="AP148" i="33"/>
  <c r="AQ148" i="33"/>
  <c r="AA149" i="33"/>
  <c r="AB149" i="33"/>
  <c r="AC149" i="33"/>
  <c r="AD149" i="33"/>
  <c r="AE149" i="33"/>
  <c r="AF149" i="33"/>
  <c r="AG149" i="33"/>
  <c r="AH149" i="33"/>
  <c r="AI149" i="33"/>
  <c r="AJ149" i="33"/>
  <c r="AK149" i="33"/>
  <c r="AL149" i="33"/>
  <c r="AM149" i="33"/>
  <c r="AN149" i="33"/>
  <c r="AO149" i="33"/>
  <c r="AP149" i="33"/>
  <c r="AQ149" i="33"/>
  <c r="AA151" i="33"/>
  <c r="AB151" i="33"/>
  <c r="AC151" i="33"/>
  <c r="AD151" i="33"/>
  <c r="AE151" i="33"/>
  <c r="AF151" i="33"/>
  <c r="AG151" i="33"/>
  <c r="AH151" i="33"/>
  <c r="AI151" i="33"/>
  <c r="AJ151" i="33"/>
  <c r="AK151" i="33"/>
  <c r="AL151" i="33"/>
  <c r="AM151" i="33"/>
  <c r="AN151" i="33"/>
  <c r="AO151" i="33"/>
  <c r="AP151" i="33"/>
  <c r="AQ151" i="33"/>
  <c r="AA152" i="33"/>
  <c r="AB152" i="33"/>
  <c r="AC152" i="33"/>
  <c r="AD152" i="33"/>
  <c r="AE152" i="33"/>
  <c r="AF152" i="33"/>
  <c r="AG152" i="33"/>
  <c r="AH152" i="33"/>
  <c r="AI152" i="33"/>
  <c r="AJ152" i="33"/>
  <c r="AK152" i="33"/>
  <c r="AL152" i="33"/>
  <c r="AM152" i="33"/>
  <c r="AN152" i="33"/>
  <c r="AO152" i="33"/>
  <c r="AP152" i="33"/>
  <c r="AQ152" i="33"/>
  <c r="AA159" i="33"/>
  <c r="AB159" i="33"/>
  <c r="AC159" i="33"/>
  <c r="AD159" i="33"/>
  <c r="AE159" i="33"/>
  <c r="AF159" i="33"/>
  <c r="AG159" i="33"/>
  <c r="AH159" i="33"/>
  <c r="AI159" i="33"/>
  <c r="AJ159" i="33"/>
  <c r="AK159" i="33"/>
  <c r="AL159" i="33"/>
  <c r="AM159" i="33"/>
  <c r="AN159" i="33"/>
  <c r="AO159" i="33"/>
  <c r="AP159" i="33"/>
  <c r="AQ159" i="33"/>
  <c r="AA160" i="33"/>
  <c r="AB160" i="33"/>
  <c r="AC160" i="33"/>
  <c r="AD160" i="33"/>
  <c r="AE160" i="33"/>
  <c r="AF160" i="33"/>
  <c r="AG160" i="33"/>
  <c r="AH160" i="33"/>
  <c r="AI160" i="33"/>
  <c r="AJ160" i="33"/>
  <c r="AK160" i="33"/>
  <c r="AL160" i="33"/>
  <c r="AM160" i="33"/>
  <c r="AN160" i="33"/>
  <c r="AO160" i="33"/>
  <c r="AP160" i="33"/>
  <c r="AQ160" i="33"/>
  <c r="AA163" i="33"/>
  <c r="AB163" i="33"/>
  <c r="AC163" i="33"/>
  <c r="AD163" i="33"/>
  <c r="AE163" i="33"/>
  <c r="AF163" i="33"/>
  <c r="AG163" i="33"/>
  <c r="AH163" i="33"/>
  <c r="AI163" i="33"/>
  <c r="AJ163" i="33"/>
  <c r="AK163" i="33"/>
  <c r="AL163" i="33"/>
  <c r="AM163" i="33"/>
  <c r="AN163" i="33"/>
  <c r="AO163" i="33"/>
  <c r="AP163" i="33"/>
  <c r="AQ163" i="33"/>
  <c r="AA164" i="33"/>
  <c r="AB164" i="33"/>
  <c r="AC164" i="33"/>
  <c r="AD164" i="33"/>
  <c r="AE164" i="33"/>
  <c r="AF164" i="33"/>
  <c r="AG164" i="33"/>
  <c r="AH164" i="33"/>
  <c r="AI164" i="33"/>
  <c r="AJ164" i="33"/>
  <c r="AK164" i="33"/>
  <c r="AL164" i="33"/>
  <c r="AM164" i="33"/>
  <c r="AN164" i="33"/>
  <c r="AO164" i="33"/>
  <c r="AP164" i="33"/>
  <c r="AQ164" i="33"/>
  <c r="AA165" i="33"/>
  <c r="AB165" i="33"/>
  <c r="AC165" i="33"/>
  <c r="AD165" i="33"/>
  <c r="AE165" i="33"/>
  <c r="AF165" i="33"/>
  <c r="AG165" i="33"/>
  <c r="AH165" i="33"/>
  <c r="AI165" i="33"/>
  <c r="AJ165" i="33"/>
  <c r="AK165" i="33"/>
  <c r="AL165" i="33"/>
  <c r="AM165" i="33"/>
  <c r="AN165" i="33"/>
  <c r="AO165" i="33"/>
  <c r="AP165" i="33"/>
  <c r="AQ165" i="33"/>
  <c r="AA166" i="33"/>
  <c r="AB166" i="33"/>
  <c r="AC166" i="33"/>
  <c r="AD166" i="33"/>
  <c r="AE166" i="33"/>
  <c r="AF166" i="33"/>
  <c r="AG166" i="33"/>
  <c r="AH166" i="33"/>
  <c r="AI166" i="33"/>
  <c r="AJ166" i="33"/>
  <c r="AK166" i="33"/>
  <c r="AL166" i="33"/>
  <c r="AM166" i="33"/>
  <c r="AN166" i="33"/>
  <c r="AO166" i="33"/>
  <c r="AP166" i="33"/>
  <c r="AQ166" i="33"/>
  <c r="AA167" i="33"/>
  <c r="AB167" i="33"/>
  <c r="AC167" i="33"/>
  <c r="AD167" i="33"/>
  <c r="AE167" i="33"/>
  <c r="AF167" i="33"/>
  <c r="AG167" i="33"/>
  <c r="AH167" i="33"/>
  <c r="AI167" i="33"/>
  <c r="AJ167" i="33"/>
  <c r="AK167" i="33"/>
  <c r="AL167" i="33"/>
  <c r="AM167" i="33"/>
  <c r="AN167" i="33"/>
  <c r="AO167" i="33"/>
  <c r="AP167" i="33"/>
  <c r="AQ167" i="33"/>
  <c r="AA168" i="33"/>
  <c r="AB168" i="33"/>
  <c r="AC168" i="33"/>
  <c r="AD168" i="33"/>
  <c r="AE168" i="33"/>
  <c r="AF168" i="33"/>
  <c r="AG168" i="33"/>
  <c r="AH168" i="33"/>
  <c r="AI168" i="33"/>
  <c r="AJ168" i="33"/>
  <c r="AK168" i="33"/>
  <c r="AL168" i="33"/>
  <c r="AM168" i="33"/>
  <c r="AN168" i="33"/>
  <c r="AO168" i="33"/>
  <c r="AP168" i="33"/>
  <c r="AQ168" i="33"/>
  <c r="AA169" i="33"/>
  <c r="AB169" i="33"/>
  <c r="AC169" i="33"/>
  <c r="AD169" i="33"/>
  <c r="AE169" i="33"/>
  <c r="AF169" i="33"/>
  <c r="AG169" i="33"/>
  <c r="AH169" i="33"/>
  <c r="AI169" i="33"/>
  <c r="AJ169" i="33"/>
  <c r="AK169" i="33"/>
  <c r="AL169" i="33"/>
  <c r="AM169" i="33"/>
  <c r="AN169" i="33"/>
  <c r="AO169" i="33"/>
  <c r="AP169" i="33"/>
  <c r="AQ169" i="33"/>
  <c r="AA170" i="33"/>
  <c r="AB170" i="33"/>
  <c r="AC170" i="33"/>
  <c r="AD170" i="33"/>
  <c r="AE170" i="33"/>
  <c r="AF170" i="33"/>
  <c r="AG170" i="33"/>
  <c r="AH170" i="33"/>
  <c r="AI170" i="33"/>
  <c r="AJ170" i="33"/>
  <c r="AK170" i="33"/>
  <c r="AL170" i="33"/>
  <c r="AM170" i="33"/>
  <c r="AN170" i="33"/>
  <c r="AO170" i="33"/>
  <c r="AP170" i="33"/>
  <c r="AQ170" i="33"/>
  <c r="AA172" i="33"/>
  <c r="AB172" i="33"/>
  <c r="AC172" i="33"/>
  <c r="AD172" i="33"/>
  <c r="AE172" i="33"/>
  <c r="AF172" i="33"/>
  <c r="AG172" i="33"/>
  <c r="AH172" i="33"/>
  <c r="AI172" i="33"/>
  <c r="AJ172" i="33"/>
  <c r="AK172" i="33"/>
  <c r="AL172" i="33"/>
  <c r="AM172" i="33"/>
  <c r="AN172" i="33"/>
  <c r="AO172" i="33"/>
  <c r="AP172" i="33"/>
  <c r="AQ172" i="33"/>
  <c r="AA173" i="33"/>
  <c r="AB173" i="33"/>
  <c r="AC173" i="33"/>
  <c r="AD173" i="33"/>
  <c r="AE173" i="33"/>
  <c r="AF173" i="33"/>
  <c r="AG173" i="33"/>
  <c r="AH173" i="33"/>
  <c r="AI173" i="33"/>
  <c r="AJ173" i="33"/>
  <c r="AK173" i="33"/>
  <c r="AL173" i="33"/>
  <c r="AM173" i="33"/>
  <c r="AN173" i="33"/>
  <c r="AO173" i="33"/>
  <c r="AP173" i="33"/>
  <c r="AQ173" i="33"/>
  <c r="AA174" i="33"/>
  <c r="AB174" i="33"/>
  <c r="AC174" i="33"/>
  <c r="AD174" i="33"/>
  <c r="AE174" i="33"/>
  <c r="AF174" i="33"/>
  <c r="AG174" i="33"/>
  <c r="AH174" i="33"/>
  <c r="AI174" i="33"/>
  <c r="AJ174" i="33"/>
  <c r="AK174" i="33"/>
  <c r="AL174" i="33"/>
  <c r="AM174" i="33"/>
  <c r="AN174" i="33"/>
  <c r="AO174" i="33"/>
  <c r="AP174" i="33"/>
  <c r="AQ174" i="33"/>
  <c r="AA175" i="33"/>
  <c r="AB175" i="33"/>
  <c r="AC175" i="33"/>
  <c r="AD175" i="33"/>
  <c r="AE175" i="33"/>
  <c r="AF175" i="33"/>
  <c r="AG175" i="33"/>
  <c r="AH175" i="33"/>
  <c r="AI175" i="33"/>
  <c r="AJ175" i="33"/>
  <c r="AK175" i="33"/>
  <c r="AL175" i="33"/>
  <c r="AM175" i="33"/>
  <c r="AN175" i="33"/>
  <c r="AO175" i="33"/>
  <c r="AP175" i="33"/>
  <c r="AQ175" i="33"/>
  <c r="AA176" i="33"/>
  <c r="AB176" i="33"/>
  <c r="AC176" i="33"/>
  <c r="AD176" i="33"/>
  <c r="AE176" i="33"/>
  <c r="AF176" i="33"/>
  <c r="AG176" i="33"/>
  <c r="AH176" i="33"/>
  <c r="AI176" i="33"/>
  <c r="AJ176" i="33"/>
  <c r="AK176" i="33"/>
  <c r="AL176" i="33"/>
  <c r="AM176" i="33"/>
  <c r="AN176" i="33"/>
  <c r="AO176" i="33"/>
  <c r="AP176" i="33"/>
  <c r="AQ176" i="33"/>
  <c r="AA177" i="33"/>
  <c r="AB177" i="33"/>
  <c r="AC177" i="33"/>
  <c r="AD177" i="33"/>
  <c r="AE177" i="33"/>
  <c r="AF177" i="33"/>
  <c r="AG177" i="33"/>
  <c r="AH177" i="33"/>
  <c r="AI177" i="33"/>
  <c r="AJ177" i="33"/>
  <c r="AK177" i="33"/>
  <c r="AL177" i="33"/>
  <c r="AM177" i="33"/>
  <c r="AN177" i="33"/>
  <c r="AO177" i="33"/>
  <c r="AP177" i="33"/>
  <c r="AQ177" i="33"/>
  <c r="AA178" i="33"/>
  <c r="AB178" i="33"/>
  <c r="AC178" i="33"/>
  <c r="AD178" i="33"/>
  <c r="AE178" i="33"/>
  <c r="AF178" i="33"/>
  <c r="AG178" i="33"/>
  <c r="AH178" i="33"/>
  <c r="AI178" i="33"/>
  <c r="AJ178" i="33"/>
  <c r="AK178" i="33"/>
  <c r="AL178" i="33"/>
  <c r="AM178" i="33"/>
  <c r="AN178" i="33"/>
  <c r="AO178" i="33"/>
  <c r="AP178" i="33"/>
  <c r="AQ178" i="33"/>
  <c r="AA179" i="33"/>
  <c r="AB179" i="33"/>
  <c r="AC179" i="33"/>
  <c r="AD179" i="33"/>
  <c r="AE179" i="33"/>
  <c r="AF179" i="33"/>
  <c r="AG179" i="33"/>
  <c r="AH179" i="33"/>
  <c r="AI179" i="33"/>
  <c r="AJ179" i="33"/>
  <c r="AK179" i="33"/>
  <c r="AL179" i="33"/>
  <c r="AM179" i="33"/>
  <c r="AN179" i="33"/>
  <c r="AO179" i="33"/>
  <c r="AP179" i="33"/>
  <c r="AQ179" i="33"/>
  <c r="AA180" i="33"/>
  <c r="AB180" i="33"/>
  <c r="AC180" i="33"/>
  <c r="AD180" i="33"/>
  <c r="AE180" i="33"/>
  <c r="AF180" i="33"/>
  <c r="AG180" i="33"/>
  <c r="AH180" i="33"/>
  <c r="AI180" i="33"/>
  <c r="AJ180" i="33"/>
  <c r="AK180" i="33"/>
  <c r="AL180" i="33"/>
  <c r="AM180" i="33"/>
  <c r="AN180" i="33"/>
  <c r="AO180" i="33"/>
  <c r="AP180" i="33"/>
  <c r="AQ180" i="33"/>
  <c r="AA181" i="33"/>
  <c r="AB181" i="33"/>
  <c r="AC181" i="33"/>
  <c r="AD181" i="33"/>
  <c r="AE181" i="33"/>
  <c r="AF181" i="33"/>
  <c r="AG181" i="33"/>
  <c r="AH181" i="33"/>
  <c r="AI181" i="33"/>
  <c r="AJ181" i="33"/>
  <c r="AK181" i="33"/>
  <c r="AL181" i="33"/>
  <c r="AM181" i="33"/>
  <c r="AN181" i="33"/>
  <c r="AO181" i="33"/>
  <c r="AP181" i="33"/>
  <c r="AQ181" i="33"/>
  <c r="AA182" i="33"/>
  <c r="AB182" i="33"/>
  <c r="AC182" i="33"/>
  <c r="AD182" i="33"/>
  <c r="AE182" i="33"/>
  <c r="AF182" i="33"/>
  <c r="AG182" i="33"/>
  <c r="AH182" i="33"/>
  <c r="AI182" i="33"/>
  <c r="AJ182" i="33"/>
  <c r="AK182" i="33"/>
  <c r="AL182" i="33"/>
  <c r="AM182" i="33"/>
  <c r="AN182" i="33"/>
  <c r="AO182" i="33"/>
  <c r="AP182" i="33"/>
  <c r="AQ182" i="33"/>
  <c r="AA183" i="33"/>
  <c r="AB183" i="33"/>
  <c r="AC183" i="33"/>
  <c r="AD183" i="33"/>
  <c r="AE183" i="33"/>
  <c r="AF183" i="33"/>
  <c r="AG183" i="33"/>
  <c r="AH183" i="33"/>
  <c r="AI183" i="33"/>
  <c r="AJ183" i="33"/>
  <c r="AK183" i="33"/>
  <c r="AL183" i="33"/>
  <c r="AM183" i="33"/>
  <c r="AN183" i="33"/>
  <c r="AO183" i="33"/>
  <c r="AP183" i="33"/>
  <c r="AQ183" i="33"/>
  <c r="AA185" i="33"/>
  <c r="AB185" i="33"/>
  <c r="AC185" i="33"/>
  <c r="AD185" i="33"/>
  <c r="AE185" i="33"/>
  <c r="AF185" i="33"/>
  <c r="AG185" i="33"/>
  <c r="AH185" i="33"/>
  <c r="AI185" i="33"/>
  <c r="AJ185" i="33"/>
  <c r="AK185" i="33"/>
  <c r="AL185" i="33"/>
  <c r="AM185" i="33"/>
  <c r="AN185" i="33"/>
  <c r="AO185" i="33"/>
  <c r="AP185" i="33"/>
  <c r="AQ185" i="33"/>
  <c r="AA186" i="33"/>
  <c r="AB186" i="33"/>
  <c r="AC186" i="33"/>
  <c r="AD186" i="33"/>
  <c r="AE186" i="33"/>
  <c r="AF186" i="33"/>
  <c r="AG186" i="33"/>
  <c r="AH186" i="33"/>
  <c r="AI186" i="33"/>
  <c r="AJ186" i="33"/>
  <c r="AK186" i="33"/>
  <c r="AL186" i="33"/>
  <c r="AM186" i="33"/>
  <c r="AN186" i="33"/>
  <c r="AO186" i="33"/>
  <c r="AP186" i="33"/>
  <c r="AQ186" i="33"/>
  <c r="AA187" i="33"/>
  <c r="AB187" i="33"/>
  <c r="AC187" i="33"/>
  <c r="AD187" i="33"/>
  <c r="AE187" i="33"/>
  <c r="AF187" i="33"/>
  <c r="AG187" i="33"/>
  <c r="AH187" i="33"/>
  <c r="AI187" i="33"/>
  <c r="AJ187" i="33"/>
  <c r="AK187" i="33"/>
  <c r="AL187" i="33"/>
  <c r="AM187" i="33"/>
  <c r="AN187" i="33"/>
  <c r="AO187" i="33"/>
  <c r="AP187" i="33"/>
  <c r="AQ187" i="33"/>
  <c r="AA188" i="33"/>
  <c r="AB188" i="33"/>
  <c r="AC188" i="33"/>
  <c r="AD188" i="33"/>
  <c r="AE188" i="33"/>
  <c r="AF188" i="33"/>
  <c r="AG188" i="33"/>
  <c r="AH188" i="33"/>
  <c r="AI188" i="33"/>
  <c r="AJ188" i="33"/>
  <c r="AK188" i="33"/>
  <c r="AL188" i="33"/>
  <c r="AM188" i="33"/>
  <c r="AN188" i="33"/>
  <c r="AO188" i="33"/>
  <c r="AP188" i="33"/>
  <c r="AQ188" i="33"/>
  <c r="AA189" i="33"/>
  <c r="AB189" i="33"/>
  <c r="AC189" i="33"/>
  <c r="AD189" i="33"/>
  <c r="AE189" i="33"/>
  <c r="AF189" i="33"/>
  <c r="AG189" i="33"/>
  <c r="AH189" i="33"/>
  <c r="AI189" i="33"/>
  <c r="AJ189" i="33"/>
  <c r="AK189" i="33"/>
  <c r="AL189" i="33"/>
  <c r="AM189" i="33"/>
  <c r="AN189" i="33"/>
  <c r="AO189" i="33"/>
  <c r="AP189" i="33"/>
  <c r="AQ189" i="33"/>
  <c r="AA190" i="33"/>
  <c r="AB190" i="33"/>
  <c r="AC190" i="33"/>
  <c r="AD190" i="33"/>
  <c r="AE190" i="33"/>
  <c r="AF190" i="33"/>
  <c r="AG190" i="33"/>
  <c r="AH190" i="33"/>
  <c r="AI190" i="33"/>
  <c r="AJ190" i="33"/>
  <c r="AK190" i="33"/>
  <c r="AL190" i="33"/>
  <c r="AM190" i="33"/>
  <c r="AN190" i="33"/>
  <c r="AO190" i="33"/>
  <c r="AP190" i="33"/>
  <c r="AQ190" i="33"/>
  <c r="AA191" i="33"/>
  <c r="AB191" i="33"/>
  <c r="AC191" i="33"/>
  <c r="AD191" i="33"/>
  <c r="AE191" i="33"/>
  <c r="AF191" i="33"/>
  <c r="AG191" i="33"/>
  <c r="AH191" i="33"/>
  <c r="AI191" i="33"/>
  <c r="AJ191" i="33"/>
  <c r="AK191" i="33"/>
  <c r="AL191" i="33"/>
  <c r="AM191" i="33"/>
  <c r="AN191" i="33"/>
  <c r="AO191" i="33"/>
  <c r="AP191" i="33"/>
  <c r="AQ191" i="33"/>
  <c r="AA192" i="33"/>
  <c r="AB192" i="33"/>
  <c r="AC192" i="33"/>
  <c r="AD192" i="33"/>
  <c r="AE192" i="33"/>
  <c r="AF192" i="33"/>
  <c r="AG192" i="33"/>
  <c r="AH192" i="33"/>
  <c r="AI192" i="33"/>
  <c r="AJ192" i="33"/>
  <c r="AK192" i="33"/>
  <c r="AL192" i="33"/>
  <c r="AM192" i="33"/>
  <c r="AN192" i="33"/>
  <c r="AO192" i="33"/>
  <c r="AP192" i="33"/>
  <c r="AQ192" i="33"/>
  <c r="AA193" i="33"/>
  <c r="AB193" i="33"/>
  <c r="AC193" i="33"/>
  <c r="AD193" i="33"/>
  <c r="AE193" i="33"/>
  <c r="AF193" i="33"/>
  <c r="AG193" i="33"/>
  <c r="AH193" i="33"/>
  <c r="AI193" i="33"/>
  <c r="AJ193" i="33"/>
  <c r="AK193" i="33"/>
  <c r="AL193" i="33"/>
  <c r="AM193" i="33"/>
  <c r="AN193" i="33"/>
  <c r="AO193" i="33"/>
  <c r="AP193" i="33"/>
  <c r="AQ193" i="33"/>
  <c r="AA194" i="33"/>
  <c r="AB194" i="33"/>
  <c r="AC194" i="33"/>
  <c r="AD194" i="33"/>
  <c r="AE194" i="33"/>
  <c r="AF194" i="33"/>
  <c r="AG194" i="33"/>
  <c r="AH194" i="33"/>
  <c r="AI194" i="33"/>
  <c r="AJ194" i="33"/>
  <c r="AK194" i="33"/>
  <c r="AL194" i="33"/>
  <c r="AM194" i="33"/>
  <c r="AN194" i="33"/>
  <c r="AO194" i="33"/>
  <c r="AP194" i="33"/>
  <c r="AQ194" i="33"/>
  <c r="AA199" i="33"/>
  <c r="AB199" i="33"/>
  <c r="AC199" i="33"/>
  <c r="AD199" i="33"/>
  <c r="AE199" i="33"/>
  <c r="AF199" i="33"/>
  <c r="AG199" i="33"/>
  <c r="AH199" i="33"/>
  <c r="AI199" i="33"/>
  <c r="AJ199" i="33"/>
  <c r="AL199" i="33"/>
  <c r="AM199" i="33"/>
  <c r="AN199" i="33"/>
  <c r="AO199" i="33"/>
  <c r="AP199" i="33"/>
  <c r="AQ199" i="33"/>
  <c r="AA200" i="33"/>
  <c r="AB200" i="33"/>
  <c r="AC200" i="33"/>
  <c r="AD200" i="33"/>
  <c r="AE200" i="33"/>
  <c r="AF200" i="33"/>
  <c r="AG200" i="33"/>
  <c r="AH200" i="33"/>
  <c r="AI200" i="33"/>
  <c r="AJ200" i="33"/>
  <c r="AL200" i="33"/>
  <c r="AM200" i="33"/>
  <c r="AN200" i="33"/>
  <c r="AO200" i="33"/>
  <c r="AP200" i="33"/>
  <c r="AQ200" i="33"/>
  <c r="AA201" i="33"/>
  <c r="AB201" i="33"/>
  <c r="AC201" i="33"/>
  <c r="AD201" i="33"/>
  <c r="AE201" i="33"/>
  <c r="AF201" i="33"/>
  <c r="AG201" i="33"/>
  <c r="AH201" i="33"/>
  <c r="AI201" i="33"/>
  <c r="AJ201" i="33"/>
  <c r="AL201" i="33"/>
  <c r="AM201" i="33"/>
  <c r="AN201" i="33"/>
  <c r="AO201" i="33"/>
  <c r="AP201" i="33"/>
  <c r="AQ201" i="33"/>
  <c r="AA202" i="33"/>
  <c r="AB202" i="33"/>
  <c r="AC202" i="33"/>
  <c r="AD202" i="33"/>
  <c r="AE202" i="33"/>
  <c r="AF202" i="33"/>
  <c r="AG202" i="33"/>
  <c r="AH202" i="33"/>
  <c r="AI202" i="33"/>
  <c r="AJ202" i="33"/>
  <c r="AL202" i="33"/>
  <c r="AM202" i="33"/>
  <c r="AN202" i="33"/>
  <c r="AO202" i="33"/>
  <c r="AP202" i="33"/>
  <c r="AQ202" i="33"/>
  <c r="AA203" i="33"/>
  <c r="AB203" i="33"/>
  <c r="AC203" i="33"/>
  <c r="AD203" i="33"/>
  <c r="AE203" i="33"/>
  <c r="AF203" i="33"/>
  <c r="AG203" i="33"/>
  <c r="AH203" i="33"/>
  <c r="AI203" i="33"/>
  <c r="AJ203" i="33"/>
  <c r="AL203" i="33"/>
  <c r="AM203" i="33"/>
  <c r="AN203" i="33"/>
  <c r="AO203" i="33"/>
  <c r="AP203" i="33"/>
  <c r="AQ203" i="33"/>
  <c r="AA204" i="33"/>
  <c r="AB204" i="33"/>
  <c r="AC204" i="33"/>
  <c r="AD204" i="33"/>
  <c r="AE204" i="33"/>
  <c r="AF204" i="33"/>
  <c r="AG204" i="33"/>
  <c r="AH204" i="33"/>
  <c r="AI204" i="33"/>
  <c r="AJ204" i="33"/>
  <c r="AL204" i="33"/>
  <c r="AM204" i="33"/>
  <c r="AN204" i="33"/>
  <c r="AO204" i="33"/>
  <c r="AP204" i="33"/>
  <c r="AQ204" i="33"/>
  <c r="AA205" i="33"/>
  <c r="AB205" i="33"/>
  <c r="AC205" i="33"/>
  <c r="AD205" i="33"/>
  <c r="AE205" i="33"/>
  <c r="AF205" i="33"/>
  <c r="AG205" i="33"/>
  <c r="AH205" i="33"/>
  <c r="AI205" i="33"/>
  <c r="AJ205" i="33"/>
  <c r="AL205" i="33"/>
  <c r="AM205" i="33"/>
  <c r="AN205" i="33"/>
  <c r="AO205" i="33"/>
  <c r="AP205" i="33"/>
  <c r="AQ205" i="33"/>
  <c r="AA206" i="33"/>
  <c r="AB206" i="33"/>
  <c r="AC206" i="33"/>
  <c r="AD206" i="33"/>
  <c r="AE206" i="33"/>
  <c r="AF206" i="33"/>
  <c r="AG206" i="33"/>
  <c r="AH206" i="33"/>
  <c r="AI206" i="33"/>
  <c r="AJ206" i="33"/>
  <c r="AL206" i="33"/>
  <c r="AM206" i="33"/>
  <c r="AN206" i="33"/>
  <c r="AO206" i="33"/>
  <c r="AP206" i="33"/>
  <c r="AQ206" i="33"/>
  <c r="AA208" i="33"/>
  <c r="AB208" i="33"/>
  <c r="AC208" i="33"/>
  <c r="AD208" i="33"/>
  <c r="AE208" i="33"/>
  <c r="AF208" i="33"/>
  <c r="AG208" i="33"/>
  <c r="AH208" i="33"/>
  <c r="AI208" i="33"/>
  <c r="AJ208" i="33"/>
  <c r="AK208" i="33"/>
  <c r="AL208" i="33"/>
  <c r="AM208" i="33"/>
  <c r="AN208" i="33"/>
  <c r="AO208" i="33"/>
  <c r="AP208" i="33"/>
  <c r="AQ208" i="33"/>
  <c r="AA209" i="33"/>
  <c r="AB209" i="33"/>
  <c r="AC209" i="33"/>
  <c r="AD209" i="33"/>
  <c r="AE209" i="33"/>
  <c r="AF209" i="33"/>
  <c r="AG209" i="33"/>
  <c r="AH209" i="33"/>
  <c r="AI209" i="33"/>
  <c r="AJ209" i="33"/>
  <c r="AK209" i="33"/>
  <c r="AL209" i="33"/>
  <c r="AM209" i="33"/>
  <c r="AN209" i="33"/>
  <c r="AO209" i="33"/>
  <c r="AP209" i="33"/>
  <c r="AQ209" i="33"/>
  <c r="AA210" i="33"/>
  <c r="AB210" i="33"/>
  <c r="AC210" i="33"/>
  <c r="AD210" i="33"/>
  <c r="AE210" i="33"/>
  <c r="AF210" i="33"/>
  <c r="AG210" i="33"/>
  <c r="AH210" i="33"/>
  <c r="AI210" i="33"/>
  <c r="AJ210" i="33"/>
  <c r="AK210" i="33"/>
  <c r="AL210" i="33"/>
  <c r="AM210" i="33"/>
  <c r="AN210" i="33"/>
  <c r="AO210" i="33"/>
  <c r="AP210" i="33"/>
  <c r="AQ210" i="33"/>
  <c r="AA211" i="33"/>
  <c r="AB211" i="33"/>
  <c r="AC211" i="33"/>
  <c r="AD211" i="33"/>
  <c r="AE211" i="33"/>
  <c r="AF211" i="33"/>
  <c r="AG211" i="33"/>
  <c r="AH211" i="33"/>
  <c r="AI211" i="33"/>
  <c r="AJ211" i="33"/>
  <c r="AK211" i="33"/>
  <c r="AL211" i="33"/>
  <c r="AM211" i="33"/>
  <c r="AN211" i="33"/>
  <c r="AO211" i="33"/>
  <c r="AP211" i="33"/>
  <c r="AQ211" i="33"/>
  <c r="AA212" i="33"/>
  <c r="AB212" i="33"/>
  <c r="AC212" i="33"/>
  <c r="AD212" i="33"/>
  <c r="AE212" i="33"/>
  <c r="AF212" i="33"/>
  <c r="AG212" i="33"/>
  <c r="AH212" i="33"/>
  <c r="AI212" i="33"/>
  <c r="AJ212" i="33"/>
  <c r="AK212" i="33"/>
  <c r="AL212" i="33"/>
  <c r="AM212" i="33"/>
  <c r="AN212" i="33"/>
  <c r="AO212" i="33"/>
  <c r="AP212" i="33"/>
  <c r="AQ212" i="33"/>
  <c r="AA213" i="33"/>
  <c r="AB213" i="33"/>
  <c r="AC213" i="33"/>
  <c r="AD213" i="33"/>
  <c r="AE213" i="33"/>
  <c r="AF213" i="33"/>
  <c r="AG213" i="33"/>
  <c r="AH213" i="33"/>
  <c r="AI213" i="33"/>
  <c r="AJ213" i="33"/>
  <c r="AK213" i="33"/>
  <c r="AL213" i="33"/>
  <c r="AM213" i="33"/>
  <c r="AN213" i="33"/>
  <c r="AO213" i="33"/>
  <c r="AP213" i="33"/>
  <c r="AQ213" i="33"/>
  <c r="AA214" i="33"/>
  <c r="AB214" i="33"/>
  <c r="AC214" i="33"/>
  <c r="AD214" i="33"/>
  <c r="AE214" i="33"/>
  <c r="AF214" i="33"/>
  <c r="AG214" i="33"/>
  <c r="AH214" i="33"/>
  <c r="AI214" i="33"/>
  <c r="AJ214" i="33"/>
  <c r="AK214" i="33"/>
  <c r="AL214" i="33"/>
  <c r="AM214" i="33"/>
  <c r="AN214" i="33"/>
  <c r="AO214" i="33"/>
  <c r="AP214" i="33"/>
  <c r="AQ214" i="33"/>
  <c r="AA215" i="33"/>
  <c r="AB215" i="33"/>
  <c r="AC215" i="33"/>
  <c r="AD215" i="33"/>
  <c r="AE215" i="33"/>
  <c r="AF215" i="33"/>
  <c r="AG215" i="33"/>
  <c r="AH215" i="33"/>
  <c r="AI215" i="33"/>
  <c r="AJ215" i="33"/>
  <c r="AK215" i="33"/>
  <c r="AL215" i="33"/>
  <c r="AM215" i="33"/>
  <c r="AN215" i="33"/>
  <c r="AO215" i="33"/>
  <c r="AP215" i="33"/>
  <c r="AQ215" i="33"/>
  <c r="AA216" i="33"/>
  <c r="AB216" i="33"/>
  <c r="AC216" i="33"/>
  <c r="AD216" i="33"/>
  <c r="AE216" i="33"/>
  <c r="AF216" i="33"/>
  <c r="AG216" i="33"/>
  <c r="AH216" i="33"/>
  <c r="AI216" i="33"/>
  <c r="AJ216" i="33"/>
  <c r="AK216" i="33"/>
  <c r="AL216" i="33"/>
  <c r="AM216" i="33"/>
  <c r="AN216" i="33"/>
  <c r="AO216" i="33"/>
  <c r="AP216" i="33"/>
  <c r="AQ216" i="33"/>
  <c r="AA217" i="33"/>
  <c r="AB217" i="33"/>
  <c r="AC217" i="33"/>
  <c r="AD217" i="33"/>
  <c r="AE217" i="33"/>
  <c r="AF217" i="33"/>
  <c r="AG217" i="33"/>
  <c r="AH217" i="33"/>
  <c r="AI217" i="33"/>
  <c r="AJ217" i="33"/>
  <c r="AK217" i="33"/>
  <c r="AL217" i="33"/>
  <c r="AM217" i="33"/>
  <c r="AN217" i="33"/>
  <c r="AO217" i="33"/>
  <c r="AP217" i="33"/>
  <c r="AQ217" i="33"/>
  <c r="AA218" i="33"/>
  <c r="AB218" i="33"/>
  <c r="AC218" i="33"/>
  <c r="AD218" i="33"/>
  <c r="AE218" i="33"/>
  <c r="AF218" i="33"/>
  <c r="AG218" i="33"/>
  <c r="AH218" i="33"/>
  <c r="AI218" i="33"/>
  <c r="AJ218" i="33"/>
  <c r="AK218" i="33"/>
  <c r="AL218" i="33"/>
  <c r="AM218" i="33"/>
  <c r="AN218" i="33"/>
  <c r="AO218" i="33"/>
  <c r="AP218" i="33"/>
  <c r="AQ218" i="33"/>
  <c r="AA219" i="33"/>
  <c r="AB219" i="33"/>
  <c r="AC219" i="33"/>
  <c r="AD219" i="33"/>
  <c r="AE219" i="33"/>
  <c r="AF219" i="33"/>
  <c r="AG219" i="33"/>
  <c r="AH219" i="33"/>
  <c r="AI219" i="33"/>
  <c r="AJ219" i="33"/>
  <c r="AK219" i="33"/>
  <c r="AL219" i="33"/>
  <c r="AM219" i="33"/>
  <c r="AN219" i="33"/>
  <c r="AO219" i="33"/>
  <c r="AP219" i="33"/>
  <c r="AQ219" i="33"/>
  <c r="AA221" i="33"/>
  <c r="AB221" i="33"/>
  <c r="AC221" i="33"/>
  <c r="AD221" i="33"/>
  <c r="AE221" i="33"/>
  <c r="AF221" i="33"/>
  <c r="AG221" i="33"/>
  <c r="AH221" i="33"/>
  <c r="AI221" i="33"/>
  <c r="AJ221" i="33"/>
  <c r="AK221" i="33"/>
  <c r="AL221" i="33"/>
  <c r="AM221" i="33"/>
  <c r="AN221" i="33"/>
  <c r="AO221" i="33"/>
  <c r="AP221" i="33"/>
  <c r="AQ221" i="33"/>
  <c r="AA222" i="33"/>
  <c r="AB222" i="33"/>
  <c r="AC222" i="33"/>
  <c r="AD222" i="33"/>
  <c r="AE222" i="33"/>
  <c r="AF222" i="33"/>
  <c r="AG222" i="33"/>
  <c r="AH222" i="33"/>
  <c r="AI222" i="33"/>
  <c r="AJ222" i="33"/>
  <c r="AK222" i="33"/>
  <c r="AL222" i="33"/>
  <c r="AM222" i="33"/>
  <c r="AN222" i="33"/>
  <c r="AO222" i="33"/>
  <c r="AP222" i="33"/>
  <c r="AQ222" i="33"/>
  <c r="AA223" i="33"/>
  <c r="AB223" i="33"/>
  <c r="AC223" i="33"/>
  <c r="AD223" i="33"/>
  <c r="AE223" i="33"/>
  <c r="AF223" i="33"/>
  <c r="AG223" i="33"/>
  <c r="AH223" i="33"/>
  <c r="AI223" i="33"/>
  <c r="AJ223" i="33"/>
  <c r="AK223" i="33"/>
  <c r="AL223" i="33"/>
  <c r="AM223" i="33"/>
  <c r="AN223" i="33"/>
  <c r="AO223" i="33"/>
  <c r="AP223" i="33"/>
  <c r="AQ223" i="33"/>
  <c r="AA224" i="33"/>
  <c r="AB224" i="33"/>
  <c r="AC224" i="33"/>
  <c r="AD224" i="33"/>
  <c r="AE224" i="33"/>
  <c r="AF224" i="33"/>
  <c r="AG224" i="33"/>
  <c r="AH224" i="33"/>
  <c r="AI224" i="33"/>
  <c r="AJ224" i="33"/>
  <c r="AK224" i="33"/>
  <c r="AL224" i="33"/>
  <c r="AM224" i="33"/>
  <c r="AN224" i="33"/>
  <c r="AO224" i="33"/>
  <c r="AP224" i="33"/>
  <c r="AQ224" i="33"/>
  <c r="AA225" i="33"/>
  <c r="AB225" i="33"/>
  <c r="AC225" i="33"/>
  <c r="AD225" i="33"/>
  <c r="AE225" i="33"/>
  <c r="AF225" i="33"/>
  <c r="AG225" i="33"/>
  <c r="AH225" i="33"/>
  <c r="AI225" i="33"/>
  <c r="AJ225" i="33"/>
  <c r="AK225" i="33"/>
  <c r="AL225" i="33"/>
  <c r="AM225" i="33"/>
  <c r="AN225" i="33"/>
  <c r="AO225" i="33"/>
  <c r="AP225" i="33"/>
  <c r="AQ225" i="33"/>
  <c r="AA226" i="33"/>
  <c r="AB226" i="33"/>
  <c r="AC226" i="33"/>
  <c r="AD226" i="33"/>
  <c r="AE226" i="33"/>
  <c r="AF226" i="33"/>
  <c r="AG226" i="33"/>
  <c r="AH226" i="33"/>
  <c r="AI226" i="33"/>
  <c r="AJ226" i="33"/>
  <c r="AK226" i="33"/>
  <c r="AL226" i="33"/>
  <c r="AM226" i="33"/>
  <c r="AN226" i="33"/>
  <c r="AO226" i="33"/>
  <c r="AP226" i="33"/>
  <c r="AQ226" i="33"/>
  <c r="AA227" i="33"/>
  <c r="AB227" i="33"/>
  <c r="AC227" i="33"/>
  <c r="AD227" i="33"/>
  <c r="AE227" i="33"/>
  <c r="AF227" i="33"/>
  <c r="AG227" i="33"/>
  <c r="AH227" i="33"/>
  <c r="AI227" i="33"/>
  <c r="AJ227" i="33"/>
  <c r="AK227" i="33"/>
  <c r="AL227" i="33"/>
  <c r="AM227" i="33"/>
  <c r="AN227" i="33"/>
  <c r="AO227" i="33"/>
  <c r="AP227" i="33"/>
  <c r="AQ227" i="33"/>
  <c r="AA228" i="33"/>
  <c r="AB228" i="33"/>
  <c r="AC228" i="33"/>
  <c r="AD228" i="33"/>
  <c r="AE228" i="33"/>
  <c r="AF228" i="33"/>
  <c r="AG228" i="33"/>
  <c r="AH228" i="33"/>
  <c r="AI228" i="33"/>
  <c r="AJ228" i="33"/>
  <c r="AK228" i="33"/>
  <c r="AL228" i="33"/>
  <c r="AM228" i="33"/>
  <c r="AN228" i="33"/>
  <c r="AO228" i="33"/>
  <c r="AP228" i="33"/>
  <c r="AQ228" i="33"/>
  <c r="AA229" i="33"/>
  <c r="AB229" i="33"/>
  <c r="AC229" i="33"/>
  <c r="AD229" i="33"/>
  <c r="AE229" i="33"/>
  <c r="AF229" i="33"/>
  <c r="AG229" i="33"/>
  <c r="AH229" i="33"/>
  <c r="AI229" i="33"/>
  <c r="AJ229" i="33"/>
  <c r="AK229" i="33"/>
  <c r="AL229" i="33"/>
  <c r="AM229" i="33"/>
  <c r="AN229" i="33"/>
  <c r="AO229" i="33"/>
  <c r="AP229" i="33"/>
  <c r="AQ229" i="33"/>
  <c r="AA230" i="33"/>
  <c r="AB230" i="33"/>
  <c r="AC230" i="33"/>
  <c r="AD230" i="33"/>
  <c r="AE230" i="33"/>
  <c r="AF230" i="33"/>
  <c r="AG230" i="33"/>
  <c r="AH230" i="33"/>
  <c r="AI230" i="33"/>
  <c r="AJ230" i="33"/>
  <c r="AK230" i="33"/>
  <c r="AL230" i="33"/>
  <c r="AM230" i="33"/>
  <c r="AN230" i="33"/>
  <c r="AO230" i="33"/>
  <c r="AP230" i="33"/>
  <c r="AQ230" i="33"/>
  <c r="AA232" i="33"/>
  <c r="AB232" i="33"/>
  <c r="AC232" i="33"/>
  <c r="AD232" i="33"/>
  <c r="AE232" i="33"/>
  <c r="AF232" i="33"/>
  <c r="AG232" i="33"/>
  <c r="AH232" i="33"/>
  <c r="AI232" i="33"/>
  <c r="AJ232" i="33"/>
  <c r="AK232" i="33"/>
  <c r="AL232" i="33"/>
  <c r="AM232" i="33"/>
  <c r="AN232" i="33"/>
  <c r="AO232" i="33"/>
  <c r="AP232" i="33"/>
  <c r="AP235" i="33" s="1"/>
  <c r="AQ232" i="33"/>
  <c r="AA234" i="33"/>
  <c r="AB234" i="33"/>
  <c r="AC234" i="33"/>
  <c r="AC235" i="33" s="1"/>
  <c r="AD234" i="33"/>
  <c r="AE234" i="33"/>
  <c r="AF234" i="33"/>
  <c r="AG234" i="33"/>
  <c r="AH234" i="33"/>
  <c r="AI234" i="33"/>
  <c r="AJ234" i="33"/>
  <c r="AK234" i="33"/>
  <c r="AL234" i="33"/>
  <c r="AM234" i="33"/>
  <c r="AN234" i="33"/>
  <c r="AO234" i="33"/>
  <c r="AP234" i="33"/>
  <c r="AQ234" i="33"/>
  <c r="AA239" i="33"/>
  <c r="AB239" i="33"/>
  <c r="AC239" i="33"/>
  <c r="AD239" i="33"/>
  <c r="AE239" i="33"/>
  <c r="AF239" i="33"/>
  <c r="AG239" i="33"/>
  <c r="AH239" i="33"/>
  <c r="AI239" i="33"/>
  <c r="AJ239" i="33"/>
  <c r="AK239" i="33"/>
  <c r="AL239" i="33"/>
  <c r="AM239" i="33"/>
  <c r="AN239" i="33"/>
  <c r="AO239" i="33"/>
  <c r="AP239" i="33"/>
  <c r="AQ239" i="33"/>
  <c r="AA241" i="33"/>
  <c r="AB241" i="33"/>
  <c r="AC241" i="33"/>
  <c r="AD241" i="33"/>
  <c r="AE241" i="33"/>
  <c r="AF241" i="33"/>
  <c r="AG241" i="33"/>
  <c r="AH241" i="33"/>
  <c r="AI241" i="33"/>
  <c r="AJ241" i="33"/>
  <c r="AK241" i="33"/>
  <c r="AL241" i="33"/>
  <c r="AM241" i="33"/>
  <c r="AN241" i="33"/>
  <c r="AO241" i="33"/>
  <c r="AP241" i="33"/>
  <c r="AQ241" i="33"/>
  <c r="AA242" i="33"/>
  <c r="AB242" i="33"/>
  <c r="AC242" i="33"/>
  <c r="AD242" i="33"/>
  <c r="AE242" i="33"/>
  <c r="AF242" i="33"/>
  <c r="AG242" i="33"/>
  <c r="AH242" i="33"/>
  <c r="AI242" i="33"/>
  <c r="AJ242" i="33"/>
  <c r="AK242" i="33"/>
  <c r="AL242" i="33"/>
  <c r="AM242" i="33"/>
  <c r="AN242" i="33"/>
  <c r="AO242" i="33"/>
  <c r="AP242" i="33"/>
  <c r="AQ242" i="33"/>
  <c r="AA243" i="33"/>
  <c r="AB243" i="33"/>
  <c r="AC243" i="33"/>
  <c r="AD243" i="33"/>
  <c r="AE243" i="33"/>
  <c r="AF243" i="33"/>
  <c r="AG243" i="33"/>
  <c r="AH243" i="33"/>
  <c r="AI243" i="33"/>
  <c r="AJ243" i="33"/>
  <c r="AK243" i="33"/>
  <c r="AL243" i="33"/>
  <c r="AM243" i="33"/>
  <c r="AN243" i="33"/>
  <c r="AO243" i="33"/>
  <c r="AP243" i="33"/>
  <c r="AQ243" i="33"/>
  <c r="AA244" i="33"/>
  <c r="AB244" i="33"/>
  <c r="AC244" i="33"/>
  <c r="AD244" i="33"/>
  <c r="AE244" i="33"/>
  <c r="AF244" i="33"/>
  <c r="AG244" i="33"/>
  <c r="AH244" i="33"/>
  <c r="AI244" i="33"/>
  <c r="AJ244" i="33"/>
  <c r="AK244" i="33"/>
  <c r="AL244" i="33"/>
  <c r="AM244" i="33"/>
  <c r="AN244" i="33"/>
  <c r="AO244" i="33"/>
  <c r="AP244" i="33"/>
  <c r="AQ244" i="33"/>
  <c r="AA245" i="33"/>
  <c r="AB245" i="33"/>
  <c r="AC245" i="33"/>
  <c r="AD245" i="33"/>
  <c r="AE245" i="33"/>
  <c r="AF245" i="33"/>
  <c r="AG245" i="33"/>
  <c r="AH245" i="33"/>
  <c r="AI245" i="33"/>
  <c r="AJ245" i="33"/>
  <c r="AK245" i="33"/>
  <c r="AL245" i="33"/>
  <c r="AM245" i="33"/>
  <c r="AN245" i="33"/>
  <c r="AO245" i="33"/>
  <c r="AP245" i="33"/>
  <c r="AQ245" i="33"/>
  <c r="AA246" i="33"/>
  <c r="AB246" i="33"/>
  <c r="AC246" i="33"/>
  <c r="AD246" i="33"/>
  <c r="AE246" i="33"/>
  <c r="AF246" i="33"/>
  <c r="AG246" i="33"/>
  <c r="AH246" i="33"/>
  <c r="AI246" i="33"/>
  <c r="AJ246" i="33"/>
  <c r="AK246" i="33"/>
  <c r="AL246" i="33"/>
  <c r="AM246" i="33"/>
  <c r="AN246" i="33"/>
  <c r="AO246" i="33"/>
  <c r="AP246" i="33"/>
  <c r="AQ246" i="33"/>
  <c r="Z246" i="33"/>
  <c r="Z245" i="33"/>
  <c r="Z244" i="33"/>
  <c r="Z243" i="33"/>
  <c r="Z242" i="33"/>
  <c r="Z241" i="33"/>
  <c r="Z239" i="33"/>
  <c r="Z234" i="33"/>
  <c r="Z232" i="33"/>
  <c r="Z230" i="33"/>
  <c r="Z229" i="33"/>
  <c r="Z228" i="33"/>
  <c r="Z227" i="33"/>
  <c r="Z226" i="33"/>
  <c r="Z225" i="33"/>
  <c r="Z224" i="33"/>
  <c r="Z223" i="33"/>
  <c r="Z222" i="33"/>
  <c r="Z221" i="33"/>
  <c r="Z219" i="33"/>
  <c r="Z218" i="33"/>
  <c r="Z217" i="33"/>
  <c r="Z216" i="33"/>
  <c r="Z215" i="33"/>
  <c r="Z214" i="33"/>
  <c r="Z213" i="33"/>
  <c r="Z212" i="33"/>
  <c r="Z211" i="33"/>
  <c r="Z210" i="33"/>
  <c r="Z209" i="33"/>
  <c r="Z208" i="33"/>
  <c r="Z206" i="33"/>
  <c r="Z205" i="33"/>
  <c r="Z204" i="33"/>
  <c r="Z203" i="33"/>
  <c r="Z202" i="33"/>
  <c r="Z201" i="33"/>
  <c r="Z200" i="33"/>
  <c r="Z199" i="33"/>
  <c r="Z194" i="33"/>
  <c r="Z193" i="33"/>
  <c r="Z192" i="33"/>
  <c r="Z191" i="33"/>
  <c r="Z190" i="33"/>
  <c r="Z189" i="33"/>
  <c r="Z188" i="33"/>
  <c r="Z187" i="33"/>
  <c r="Z186" i="33"/>
  <c r="Z185" i="33"/>
  <c r="Z183" i="33"/>
  <c r="Z182" i="33"/>
  <c r="Z181" i="33"/>
  <c r="Z180" i="33"/>
  <c r="Z179" i="33"/>
  <c r="Z178" i="33"/>
  <c r="Z177" i="33"/>
  <c r="Z176" i="33"/>
  <c r="Z175" i="33"/>
  <c r="Z174" i="33"/>
  <c r="Z173" i="33"/>
  <c r="Z172" i="33"/>
  <c r="Z170" i="33"/>
  <c r="Z169" i="33"/>
  <c r="Z168" i="33"/>
  <c r="Z167" i="33"/>
  <c r="Z166" i="33"/>
  <c r="Z165" i="33"/>
  <c r="Z164" i="33"/>
  <c r="Z163" i="33"/>
  <c r="Z160" i="33"/>
  <c r="Z159" i="33"/>
  <c r="Z152" i="33"/>
  <c r="Z151" i="33"/>
  <c r="Z149" i="33"/>
  <c r="Z144" i="33"/>
  <c r="Z143" i="33"/>
  <c r="Z142" i="33"/>
  <c r="Z141" i="33"/>
  <c r="Z140" i="33"/>
  <c r="Z139" i="33"/>
  <c r="Z137" i="33"/>
  <c r="Z136" i="33"/>
  <c r="Z135" i="33"/>
  <c r="Z134" i="33"/>
  <c r="Z133" i="33"/>
  <c r="Z132" i="33"/>
  <c r="Z131" i="33"/>
  <c r="Z130" i="33"/>
  <c r="Z129" i="33"/>
  <c r="Z128" i="33"/>
  <c r="Z126" i="33"/>
  <c r="Z125" i="33"/>
  <c r="Z124" i="33"/>
  <c r="Z123" i="33"/>
  <c r="Z122" i="33"/>
  <c r="Z121" i="33"/>
  <c r="Z120" i="33"/>
  <c r="Z119" i="33"/>
  <c r="Z118" i="33"/>
  <c r="Z117" i="33"/>
  <c r="Z116" i="33"/>
  <c r="Z115" i="33"/>
  <c r="Z114" i="33"/>
  <c r="Z112" i="33"/>
  <c r="Z111" i="33"/>
  <c r="Z110" i="33"/>
  <c r="Z109" i="33"/>
  <c r="Z108" i="33"/>
  <c r="Z107" i="33"/>
  <c r="Z106" i="33"/>
  <c r="Z105" i="33"/>
  <c r="Z100" i="33"/>
  <c r="Z99" i="33"/>
  <c r="Z98" i="33"/>
  <c r="Z97" i="33"/>
  <c r="Z96" i="33"/>
  <c r="Z95" i="33"/>
  <c r="Z94" i="33"/>
  <c r="Z93" i="33"/>
  <c r="Z92" i="33"/>
  <c r="Z91" i="33"/>
  <c r="Z90" i="33"/>
  <c r="Z89" i="33"/>
  <c r="Z85" i="33"/>
  <c r="Z84" i="33"/>
  <c r="Z83" i="33"/>
  <c r="Z82" i="33"/>
  <c r="Z80" i="33"/>
  <c r="Z79" i="33"/>
  <c r="Z78" i="33"/>
  <c r="Z77" i="33"/>
  <c r="Z75" i="33"/>
  <c r="Z74" i="33"/>
  <c r="Z73" i="33"/>
  <c r="Z72" i="33"/>
  <c r="Z71" i="33"/>
  <c r="Z68" i="33"/>
  <c r="Z67" i="33"/>
  <c r="Z66" i="33"/>
  <c r="Z65" i="33"/>
  <c r="Z64" i="33"/>
  <c r="Z63" i="33"/>
  <c r="Z62" i="33"/>
  <c r="Z61" i="33"/>
  <c r="Z60" i="33"/>
  <c r="Z58" i="33"/>
  <c r="Z57" i="33"/>
  <c r="Z56" i="33"/>
  <c r="Z55" i="33"/>
  <c r="Z54" i="33"/>
  <c r="Z53" i="33"/>
  <c r="Z52" i="33"/>
  <c r="Z51" i="33"/>
  <c r="Z50" i="33"/>
  <c r="Z49" i="33"/>
  <c r="Z48" i="33"/>
  <c r="Z45" i="33"/>
  <c r="Z44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30" i="33"/>
  <c r="Z29" i="33"/>
  <c r="Z28" i="33"/>
  <c r="Z27" i="33"/>
  <c r="Z26" i="33"/>
  <c r="Z23" i="33"/>
  <c r="Z22" i="33"/>
  <c r="Z21" i="33"/>
  <c r="Z19" i="33"/>
  <c r="Z18" i="33"/>
  <c r="Z15" i="33"/>
  <c r="Z14" i="33"/>
  <c r="Z13" i="33"/>
  <c r="Z12" i="33"/>
  <c r="Z11" i="33"/>
  <c r="Z10" i="33"/>
  <c r="Z8" i="33"/>
  <c r="Z7" i="33"/>
  <c r="Z6" i="33"/>
  <c r="Z5" i="33"/>
  <c r="Z4" i="33"/>
  <c r="F4" i="33"/>
  <c r="G4" i="33"/>
  <c r="H4" i="33"/>
  <c r="I4" i="33"/>
  <c r="J4" i="33"/>
  <c r="K4" i="33"/>
  <c r="L4" i="33"/>
  <c r="M4" i="33"/>
  <c r="N4" i="33"/>
  <c r="O4" i="33"/>
  <c r="P4" i="33"/>
  <c r="Q4" i="33"/>
  <c r="R4" i="33"/>
  <c r="S4" i="33"/>
  <c r="T4" i="33"/>
  <c r="U4" i="33"/>
  <c r="V4" i="33"/>
  <c r="W4" i="33"/>
  <c r="X4" i="33"/>
  <c r="F5" i="33"/>
  <c r="G5" i="33"/>
  <c r="H5" i="33"/>
  <c r="I5" i="33"/>
  <c r="J5" i="33"/>
  <c r="K5" i="33"/>
  <c r="L5" i="33"/>
  <c r="M5" i="33"/>
  <c r="N5" i="33"/>
  <c r="O5" i="33"/>
  <c r="P5" i="33"/>
  <c r="Q5" i="33"/>
  <c r="R5" i="33"/>
  <c r="S5" i="33"/>
  <c r="T5" i="33"/>
  <c r="U5" i="33"/>
  <c r="V5" i="33"/>
  <c r="W5" i="33"/>
  <c r="X5" i="33"/>
  <c r="F6" i="33"/>
  <c r="G6" i="33"/>
  <c r="H6" i="33"/>
  <c r="I6" i="33"/>
  <c r="J6" i="33"/>
  <c r="K6" i="33"/>
  <c r="L6" i="33"/>
  <c r="M6" i="33"/>
  <c r="N6" i="33"/>
  <c r="O6" i="33"/>
  <c r="P6" i="33"/>
  <c r="Q6" i="33"/>
  <c r="R6" i="33"/>
  <c r="S6" i="33"/>
  <c r="T6" i="33"/>
  <c r="U6" i="33"/>
  <c r="V6" i="33"/>
  <c r="W6" i="33"/>
  <c r="X6" i="33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T7" i="33"/>
  <c r="U7" i="33"/>
  <c r="V7" i="33"/>
  <c r="W7" i="33"/>
  <c r="X7" i="33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S8" i="33"/>
  <c r="T8" i="33"/>
  <c r="U8" i="33"/>
  <c r="V8" i="33"/>
  <c r="W8" i="33"/>
  <c r="X8" i="33"/>
  <c r="F10" i="33"/>
  <c r="G10" i="33"/>
  <c r="H10" i="33"/>
  <c r="I10" i="33"/>
  <c r="J10" i="33"/>
  <c r="K10" i="33"/>
  <c r="L10" i="33"/>
  <c r="M10" i="33"/>
  <c r="N10" i="33"/>
  <c r="O10" i="33"/>
  <c r="P10" i="33"/>
  <c r="Q10" i="33"/>
  <c r="R10" i="33"/>
  <c r="S10" i="33"/>
  <c r="T10" i="33"/>
  <c r="U10" i="33"/>
  <c r="V10" i="33"/>
  <c r="W10" i="33"/>
  <c r="X10" i="33"/>
  <c r="F11" i="33"/>
  <c r="G11" i="33"/>
  <c r="H11" i="33"/>
  <c r="I11" i="33"/>
  <c r="J11" i="33"/>
  <c r="K11" i="33"/>
  <c r="L11" i="33"/>
  <c r="M11" i="33"/>
  <c r="N11" i="33"/>
  <c r="O11" i="33"/>
  <c r="P11" i="33"/>
  <c r="Q11" i="33"/>
  <c r="R11" i="33"/>
  <c r="S11" i="33"/>
  <c r="T11" i="33"/>
  <c r="U11" i="33"/>
  <c r="V11" i="33"/>
  <c r="W11" i="33"/>
  <c r="X11" i="33"/>
  <c r="F12" i="33"/>
  <c r="G12" i="33"/>
  <c r="H12" i="33"/>
  <c r="I12" i="33"/>
  <c r="J12" i="33"/>
  <c r="K12" i="33"/>
  <c r="L12" i="33"/>
  <c r="M12" i="33"/>
  <c r="N12" i="33"/>
  <c r="O12" i="33"/>
  <c r="P12" i="33"/>
  <c r="Q12" i="33"/>
  <c r="R12" i="33"/>
  <c r="S12" i="33"/>
  <c r="T12" i="33"/>
  <c r="U12" i="33"/>
  <c r="V12" i="33"/>
  <c r="W12" i="33"/>
  <c r="X12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F14" i="33"/>
  <c r="G14" i="33"/>
  <c r="H14" i="33"/>
  <c r="I14" i="33"/>
  <c r="J14" i="33"/>
  <c r="K14" i="33"/>
  <c r="L14" i="33"/>
  <c r="M14" i="33"/>
  <c r="N14" i="33"/>
  <c r="O14" i="33"/>
  <c r="P14" i="33"/>
  <c r="Q14" i="33"/>
  <c r="R14" i="33"/>
  <c r="S14" i="33"/>
  <c r="T14" i="33"/>
  <c r="U14" i="33"/>
  <c r="V14" i="33"/>
  <c r="W14" i="33"/>
  <c r="X14" i="33"/>
  <c r="F15" i="33"/>
  <c r="G15" i="33"/>
  <c r="H15" i="33"/>
  <c r="I15" i="33"/>
  <c r="J15" i="33"/>
  <c r="K15" i="33"/>
  <c r="L15" i="33"/>
  <c r="M15" i="33"/>
  <c r="N15" i="33"/>
  <c r="O15" i="33"/>
  <c r="P15" i="33"/>
  <c r="Q15" i="33"/>
  <c r="R15" i="33"/>
  <c r="S15" i="33"/>
  <c r="T15" i="33"/>
  <c r="U15" i="33"/>
  <c r="V15" i="33"/>
  <c r="W15" i="33"/>
  <c r="X15" i="33"/>
  <c r="F18" i="33"/>
  <c r="G18" i="33"/>
  <c r="H18" i="33"/>
  <c r="I18" i="33"/>
  <c r="J18" i="33"/>
  <c r="K18" i="33"/>
  <c r="L18" i="33"/>
  <c r="M18" i="33"/>
  <c r="N18" i="33"/>
  <c r="O18" i="33"/>
  <c r="P18" i="33"/>
  <c r="Q18" i="33"/>
  <c r="R18" i="33"/>
  <c r="S18" i="33"/>
  <c r="T18" i="33"/>
  <c r="U18" i="33"/>
  <c r="V18" i="33"/>
  <c r="W18" i="33"/>
  <c r="X18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R19" i="33"/>
  <c r="S19" i="33"/>
  <c r="T19" i="33"/>
  <c r="U19" i="33"/>
  <c r="V19" i="33"/>
  <c r="W19" i="33"/>
  <c r="X19" i="33"/>
  <c r="F21" i="33"/>
  <c r="G21" i="33"/>
  <c r="H21" i="33"/>
  <c r="I21" i="33"/>
  <c r="J21" i="33"/>
  <c r="K21" i="33"/>
  <c r="L21" i="33"/>
  <c r="M21" i="33"/>
  <c r="N21" i="33"/>
  <c r="O21" i="33"/>
  <c r="P21" i="33"/>
  <c r="Q21" i="33"/>
  <c r="R21" i="33"/>
  <c r="S21" i="33"/>
  <c r="T21" i="33"/>
  <c r="U21" i="33"/>
  <c r="V21" i="33"/>
  <c r="W21" i="33"/>
  <c r="X21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F23" i="33"/>
  <c r="G23" i="33"/>
  <c r="H23" i="33"/>
  <c r="I23" i="33"/>
  <c r="J23" i="33"/>
  <c r="K23" i="33"/>
  <c r="L23" i="33"/>
  <c r="M23" i="33"/>
  <c r="N23" i="33"/>
  <c r="O23" i="33"/>
  <c r="P23" i="33"/>
  <c r="Q23" i="33"/>
  <c r="R23" i="33"/>
  <c r="S23" i="33"/>
  <c r="T23" i="33"/>
  <c r="U23" i="33"/>
  <c r="V23" i="33"/>
  <c r="W23" i="33"/>
  <c r="X23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  <c r="T27" i="33"/>
  <c r="U27" i="33"/>
  <c r="V27" i="33"/>
  <c r="W27" i="33"/>
  <c r="X27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F29" i="33"/>
  <c r="G29" i="33"/>
  <c r="H29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R30" i="33"/>
  <c r="S30" i="33"/>
  <c r="T30" i="33"/>
  <c r="U30" i="33"/>
  <c r="V30" i="33"/>
  <c r="W30" i="33"/>
  <c r="X30" i="33"/>
  <c r="F31" i="33"/>
  <c r="G31" i="33"/>
  <c r="H31" i="33"/>
  <c r="I31" i="33"/>
  <c r="J31" i="33"/>
  <c r="K31" i="33"/>
  <c r="L31" i="33"/>
  <c r="M31" i="33"/>
  <c r="N31" i="33"/>
  <c r="O31" i="33"/>
  <c r="P31" i="33"/>
  <c r="Q31" i="33"/>
  <c r="R31" i="33"/>
  <c r="S31" i="33"/>
  <c r="T31" i="33"/>
  <c r="U31" i="33"/>
  <c r="V31" i="33"/>
  <c r="W31" i="33"/>
  <c r="X31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S32" i="33"/>
  <c r="T32" i="33"/>
  <c r="U32" i="33"/>
  <c r="V32" i="33"/>
  <c r="W32" i="33"/>
  <c r="X32" i="33"/>
  <c r="F33" i="33"/>
  <c r="G33" i="33"/>
  <c r="H33" i="33"/>
  <c r="I33" i="33"/>
  <c r="J33" i="33"/>
  <c r="K33" i="33"/>
  <c r="L33" i="33"/>
  <c r="M33" i="33"/>
  <c r="N33" i="33"/>
  <c r="O33" i="33"/>
  <c r="P33" i="33"/>
  <c r="Q33" i="33"/>
  <c r="R33" i="33"/>
  <c r="S33" i="33"/>
  <c r="T33" i="33"/>
  <c r="U33" i="33"/>
  <c r="V33" i="33"/>
  <c r="W33" i="33"/>
  <c r="X33" i="33"/>
  <c r="F34" i="33"/>
  <c r="G34" i="33"/>
  <c r="H34" i="33"/>
  <c r="I34" i="33"/>
  <c r="J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F36" i="33"/>
  <c r="G36" i="33"/>
  <c r="H36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F38" i="33"/>
  <c r="G38" i="33"/>
  <c r="H38" i="33"/>
  <c r="I38" i="33"/>
  <c r="J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X38" i="33"/>
  <c r="F39" i="33"/>
  <c r="G39" i="33"/>
  <c r="H39" i="33"/>
  <c r="I39" i="33"/>
  <c r="J39" i="33"/>
  <c r="K39" i="33"/>
  <c r="L39" i="33"/>
  <c r="M39" i="33"/>
  <c r="N39" i="33"/>
  <c r="O39" i="33"/>
  <c r="P39" i="33"/>
  <c r="Q39" i="33"/>
  <c r="R39" i="33"/>
  <c r="S39" i="33"/>
  <c r="T39" i="33"/>
  <c r="U39" i="33"/>
  <c r="V39" i="33"/>
  <c r="W39" i="33"/>
  <c r="X39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S40" i="33"/>
  <c r="T40" i="33"/>
  <c r="U40" i="33"/>
  <c r="V40" i="33"/>
  <c r="W40" i="33"/>
  <c r="X40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F42" i="33"/>
  <c r="G42" i="33"/>
  <c r="H42" i="33"/>
  <c r="I42" i="33"/>
  <c r="J42" i="33"/>
  <c r="K42" i="33"/>
  <c r="L42" i="33"/>
  <c r="M42" i="33"/>
  <c r="N42" i="33"/>
  <c r="O42" i="33"/>
  <c r="P42" i="33"/>
  <c r="Q42" i="33"/>
  <c r="R42" i="33"/>
  <c r="S42" i="33"/>
  <c r="T42" i="33"/>
  <c r="U42" i="33"/>
  <c r="V42" i="33"/>
  <c r="W42" i="33"/>
  <c r="X42" i="33"/>
  <c r="F43" i="33"/>
  <c r="G43" i="33"/>
  <c r="H43" i="33"/>
  <c r="I43" i="33"/>
  <c r="J43" i="33"/>
  <c r="K43" i="33"/>
  <c r="L43" i="33"/>
  <c r="M43" i="33"/>
  <c r="N43" i="33"/>
  <c r="O43" i="33"/>
  <c r="P43" i="33"/>
  <c r="Q43" i="33"/>
  <c r="R43" i="33"/>
  <c r="S43" i="33"/>
  <c r="T43" i="33"/>
  <c r="U43" i="33"/>
  <c r="V43" i="33"/>
  <c r="W43" i="33"/>
  <c r="X43" i="33"/>
  <c r="F44" i="33"/>
  <c r="G44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F45" i="33"/>
  <c r="G45" i="33"/>
  <c r="H45" i="33"/>
  <c r="I45" i="33"/>
  <c r="J45" i="33"/>
  <c r="K45" i="33"/>
  <c r="L45" i="33"/>
  <c r="M45" i="33"/>
  <c r="N45" i="33"/>
  <c r="O45" i="33"/>
  <c r="P45" i="33"/>
  <c r="Q45" i="33"/>
  <c r="R45" i="33"/>
  <c r="S45" i="33"/>
  <c r="T45" i="33"/>
  <c r="U45" i="33"/>
  <c r="V45" i="33"/>
  <c r="W45" i="33"/>
  <c r="X45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F49" i="33"/>
  <c r="G49" i="33"/>
  <c r="H49" i="33"/>
  <c r="I49" i="33"/>
  <c r="J49" i="33"/>
  <c r="K49" i="33"/>
  <c r="L49" i="33"/>
  <c r="M49" i="33"/>
  <c r="N49" i="33"/>
  <c r="O49" i="33"/>
  <c r="P49" i="33"/>
  <c r="Q49" i="33"/>
  <c r="R49" i="33"/>
  <c r="S49" i="33"/>
  <c r="T49" i="33"/>
  <c r="U49" i="33"/>
  <c r="V49" i="33"/>
  <c r="W49" i="33"/>
  <c r="X49" i="33"/>
  <c r="F50" i="33"/>
  <c r="G50" i="33"/>
  <c r="H50" i="33"/>
  <c r="I50" i="33"/>
  <c r="J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W50" i="33"/>
  <c r="X50" i="33"/>
  <c r="F51" i="33"/>
  <c r="G51" i="33"/>
  <c r="H51" i="33"/>
  <c r="I51" i="33"/>
  <c r="J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W51" i="33"/>
  <c r="X51" i="33"/>
  <c r="F52" i="33"/>
  <c r="G52" i="33"/>
  <c r="H52" i="33"/>
  <c r="I52" i="33"/>
  <c r="J52" i="33"/>
  <c r="K52" i="33"/>
  <c r="L52" i="33"/>
  <c r="M52" i="33"/>
  <c r="N52" i="33"/>
  <c r="O52" i="33"/>
  <c r="P52" i="33"/>
  <c r="Q52" i="33"/>
  <c r="R52" i="33"/>
  <c r="S52" i="33"/>
  <c r="T52" i="33"/>
  <c r="U52" i="33"/>
  <c r="V52" i="33"/>
  <c r="W52" i="33"/>
  <c r="X52" i="33"/>
  <c r="F53" i="33"/>
  <c r="G53" i="33"/>
  <c r="H53" i="33"/>
  <c r="I53" i="33"/>
  <c r="J53" i="33"/>
  <c r="K53" i="33"/>
  <c r="L53" i="33"/>
  <c r="M53" i="33"/>
  <c r="N53" i="33"/>
  <c r="O53" i="33"/>
  <c r="P53" i="33"/>
  <c r="Q53" i="33"/>
  <c r="R53" i="33"/>
  <c r="S53" i="33"/>
  <c r="T53" i="33"/>
  <c r="U53" i="33"/>
  <c r="V53" i="33"/>
  <c r="W53" i="33"/>
  <c r="X53" i="33"/>
  <c r="F54" i="33"/>
  <c r="G54" i="33"/>
  <c r="H54" i="33"/>
  <c r="I54" i="33"/>
  <c r="J54" i="33"/>
  <c r="K54" i="33"/>
  <c r="L54" i="33"/>
  <c r="M54" i="33"/>
  <c r="N54" i="33"/>
  <c r="O54" i="33"/>
  <c r="P54" i="33"/>
  <c r="Q54" i="33"/>
  <c r="R54" i="33"/>
  <c r="S54" i="33"/>
  <c r="T54" i="33"/>
  <c r="U54" i="33"/>
  <c r="V54" i="33"/>
  <c r="W54" i="33"/>
  <c r="X54" i="33"/>
  <c r="F55" i="33"/>
  <c r="G55" i="33"/>
  <c r="H55" i="33"/>
  <c r="I55" i="33"/>
  <c r="J55" i="33"/>
  <c r="K55" i="33"/>
  <c r="L55" i="33"/>
  <c r="M55" i="33"/>
  <c r="N55" i="33"/>
  <c r="O55" i="33"/>
  <c r="P55" i="33"/>
  <c r="Q55" i="33"/>
  <c r="R55" i="33"/>
  <c r="S55" i="33"/>
  <c r="T55" i="33"/>
  <c r="U55" i="33"/>
  <c r="V55" i="33"/>
  <c r="W55" i="33"/>
  <c r="X55" i="33"/>
  <c r="F56" i="33"/>
  <c r="G56" i="33"/>
  <c r="H56" i="33"/>
  <c r="I56" i="33"/>
  <c r="J56" i="33"/>
  <c r="K56" i="33"/>
  <c r="L56" i="33"/>
  <c r="M56" i="33"/>
  <c r="N56" i="33"/>
  <c r="O56" i="33"/>
  <c r="P56" i="33"/>
  <c r="Q56" i="33"/>
  <c r="R56" i="33"/>
  <c r="S56" i="33"/>
  <c r="T56" i="33"/>
  <c r="U56" i="33"/>
  <c r="V56" i="33"/>
  <c r="W56" i="33"/>
  <c r="X56" i="33"/>
  <c r="F57" i="33"/>
  <c r="G57" i="33"/>
  <c r="H57" i="33"/>
  <c r="I57" i="33"/>
  <c r="J57" i="33"/>
  <c r="K57" i="33"/>
  <c r="L57" i="33"/>
  <c r="M57" i="33"/>
  <c r="N57" i="33"/>
  <c r="O57" i="33"/>
  <c r="P57" i="33"/>
  <c r="Q57" i="33"/>
  <c r="R57" i="33"/>
  <c r="S57" i="33"/>
  <c r="T57" i="33"/>
  <c r="U57" i="33"/>
  <c r="V57" i="33"/>
  <c r="W57" i="33"/>
  <c r="X57" i="33"/>
  <c r="F58" i="33"/>
  <c r="G58" i="33"/>
  <c r="H58" i="33"/>
  <c r="I58" i="33"/>
  <c r="J58" i="33"/>
  <c r="K58" i="33"/>
  <c r="L58" i="33"/>
  <c r="M58" i="33"/>
  <c r="N58" i="33"/>
  <c r="O58" i="33"/>
  <c r="P58" i="33"/>
  <c r="Q58" i="33"/>
  <c r="R58" i="33"/>
  <c r="S58" i="33"/>
  <c r="T58" i="33"/>
  <c r="U58" i="33"/>
  <c r="V58" i="33"/>
  <c r="W58" i="33"/>
  <c r="X58" i="33"/>
  <c r="F60" i="33"/>
  <c r="G60" i="33"/>
  <c r="H60" i="33"/>
  <c r="I60" i="33"/>
  <c r="J60" i="33"/>
  <c r="K60" i="33"/>
  <c r="L60" i="33"/>
  <c r="M60" i="33"/>
  <c r="N60" i="33"/>
  <c r="O60" i="33"/>
  <c r="P60" i="33"/>
  <c r="Q60" i="33"/>
  <c r="R60" i="33"/>
  <c r="S60" i="33"/>
  <c r="T60" i="33"/>
  <c r="U60" i="33"/>
  <c r="V60" i="33"/>
  <c r="W60" i="33"/>
  <c r="X60" i="33"/>
  <c r="F61" i="33"/>
  <c r="G61" i="33"/>
  <c r="H61" i="33"/>
  <c r="I61" i="33"/>
  <c r="J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W61" i="33"/>
  <c r="X61" i="33"/>
  <c r="F62" i="33"/>
  <c r="G62" i="33"/>
  <c r="H62" i="33"/>
  <c r="I62" i="33"/>
  <c r="J62" i="33"/>
  <c r="K62" i="33"/>
  <c r="L62" i="33"/>
  <c r="M62" i="33"/>
  <c r="N62" i="33"/>
  <c r="O62" i="33"/>
  <c r="P62" i="33"/>
  <c r="Q62" i="33"/>
  <c r="R62" i="33"/>
  <c r="S62" i="33"/>
  <c r="T62" i="33"/>
  <c r="U62" i="33"/>
  <c r="V62" i="33"/>
  <c r="W62" i="33"/>
  <c r="X62" i="33"/>
  <c r="F63" i="33"/>
  <c r="G63" i="33"/>
  <c r="H63" i="33"/>
  <c r="I63" i="33"/>
  <c r="J63" i="33"/>
  <c r="K63" i="33"/>
  <c r="L63" i="33"/>
  <c r="M63" i="33"/>
  <c r="N63" i="33"/>
  <c r="O63" i="33"/>
  <c r="P63" i="33"/>
  <c r="Q63" i="33"/>
  <c r="R63" i="33"/>
  <c r="S63" i="33"/>
  <c r="T63" i="33"/>
  <c r="U63" i="33"/>
  <c r="V63" i="33"/>
  <c r="W63" i="33"/>
  <c r="X63" i="33"/>
  <c r="F64" i="33"/>
  <c r="G64" i="33"/>
  <c r="H64" i="33"/>
  <c r="I64" i="33"/>
  <c r="J64" i="33"/>
  <c r="K64" i="33"/>
  <c r="L64" i="33"/>
  <c r="M64" i="33"/>
  <c r="N64" i="33"/>
  <c r="O64" i="33"/>
  <c r="P64" i="33"/>
  <c r="Q64" i="33"/>
  <c r="R64" i="33"/>
  <c r="S64" i="33"/>
  <c r="T64" i="33"/>
  <c r="U64" i="33"/>
  <c r="V64" i="33"/>
  <c r="W64" i="33"/>
  <c r="X64" i="33"/>
  <c r="F65" i="33"/>
  <c r="G65" i="33"/>
  <c r="H65" i="33"/>
  <c r="I65" i="33"/>
  <c r="J65" i="33"/>
  <c r="K65" i="33"/>
  <c r="L65" i="33"/>
  <c r="M65" i="33"/>
  <c r="N65" i="33"/>
  <c r="O65" i="33"/>
  <c r="P65" i="33"/>
  <c r="Q65" i="33"/>
  <c r="R65" i="33"/>
  <c r="S65" i="33"/>
  <c r="T65" i="33"/>
  <c r="U65" i="33"/>
  <c r="V65" i="33"/>
  <c r="W65" i="33"/>
  <c r="X65" i="33"/>
  <c r="F66" i="33"/>
  <c r="G66" i="33"/>
  <c r="H66" i="33"/>
  <c r="I66" i="33"/>
  <c r="J66" i="33"/>
  <c r="K66" i="33"/>
  <c r="L66" i="33"/>
  <c r="M66" i="33"/>
  <c r="N66" i="33"/>
  <c r="O66" i="33"/>
  <c r="P66" i="33"/>
  <c r="Q66" i="33"/>
  <c r="R66" i="33"/>
  <c r="S66" i="33"/>
  <c r="T66" i="33"/>
  <c r="U66" i="33"/>
  <c r="V66" i="33"/>
  <c r="W66" i="33"/>
  <c r="X66" i="33"/>
  <c r="F67" i="33"/>
  <c r="G67" i="33"/>
  <c r="H67" i="33"/>
  <c r="I67" i="33"/>
  <c r="J67" i="33"/>
  <c r="K67" i="33"/>
  <c r="L67" i="33"/>
  <c r="M67" i="33"/>
  <c r="N67" i="33"/>
  <c r="O67" i="33"/>
  <c r="P67" i="33"/>
  <c r="Q67" i="33"/>
  <c r="R67" i="33"/>
  <c r="S67" i="33"/>
  <c r="T67" i="33"/>
  <c r="U67" i="33"/>
  <c r="V67" i="33"/>
  <c r="W67" i="33"/>
  <c r="X67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S68" i="33"/>
  <c r="T68" i="33"/>
  <c r="U68" i="33"/>
  <c r="V68" i="33"/>
  <c r="W68" i="33"/>
  <c r="X68" i="33"/>
  <c r="F71" i="33"/>
  <c r="G71" i="33"/>
  <c r="H71" i="33"/>
  <c r="I71" i="33"/>
  <c r="J71" i="33"/>
  <c r="K71" i="33"/>
  <c r="L71" i="33"/>
  <c r="M71" i="33"/>
  <c r="N71" i="33"/>
  <c r="O71" i="33"/>
  <c r="P71" i="33"/>
  <c r="Q71" i="33"/>
  <c r="R71" i="33"/>
  <c r="S71" i="33"/>
  <c r="T71" i="33"/>
  <c r="U71" i="33"/>
  <c r="V71" i="33"/>
  <c r="W71" i="33"/>
  <c r="X71" i="33"/>
  <c r="F72" i="33"/>
  <c r="G72" i="33"/>
  <c r="H72" i="33"/>
  <c r="I72" i="33"/>
  <c r="J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W72" i="33"/>
  <c r="X72" i="33"/>
  <c r="F73" i="33"/>
  <c r="G73" i="33"/>
  <c r="H73" i="33"/>
  <c r="I73" i="33"/>
  <c r="J73" i="33"/>
  <c r="K73" i="33"/>
  <c r="L73" i="33"/>
  <c r="M73" i="33"/>
  <c r="N73" i="33"/>
  <c r="O73" i="33"/>
  <c r="P73" i="33"/>
  <c r="Q73" i="33"/>
  <c r="R73" i="33"/>
  <c r="S73" i="33"/>
  <c r="T73" i="33"/>
  <c r="U73" i="33"/>
  <c r="V73" i="33"/>
  <c r="W73" i="33"/>
  <c r="X73" i="33"/>
  <c r="F74" i="33"/>
  <c r="G74" i="33"/>
  <c r="H74" i="33"/>
  <c r="I74" i="33"/>
  <c r="J74" i="33"/>
  <c r="K74" i="33"/>
  <c r="L74" i="33"/>
  <c r="M74" i="33"/>
  <c r="N74" i="33"/>
  <c r="O74" i="33"/>
  <c r="P74" i="33"/>
  <c r="Q74" i="33"/>
  <c r="R74" i="33"/>
  <c r="S74" i="33"/>
  <c r="T74" i="33"/>
  <c r="U74" i="33"/>
  <c r="V74" i="33"/>
  <c r="W74" i="33"/>
  <c r="X74" i="33"/>
  <c r="F75" i="33"/>
  <c r="G75" i="33"/>
  <c r="H75" i="33"/>
  <c r="I75" i="33"/>
  <c r="J75" i="33"/>
  <c r="K75" i="33"/>
  <c r="L75" i="33"/>
  <c r="M75" i="33"/>
  <c r="N75" i="33"/>
  <c r="O75" i="33"/>
  <c r="P75" i="33"/>
  <c r="Q75" i="33"/>
  <c r="R75" i="33"/>
  <c r="S75" i="33"/>
  <c r="T75" i="33"/>
  <c r="U75" i="33"/>
  <c r="V75" i="33"/>
  <c r="W75" i="33"/>
  <c r="X75" i="33"/>
  <c r="F77" i="33"/>
  <c r="G77" i="33"/>
  <c r="H77" i="33"/>
  <c r="I77" i="33"/>
  <c r="J77" i="33"/>
  <c r="K77" i="33"/>
  <c r="L77" i="33"/>
  <c r="M77" i="33"/>
  <c r="N77" i="33"/>
  <c r="O77" i="33"/>
  <c r="P77" i="33"/>
  <c r="Q77" i="33"/>
  <c r="R77" i="33"/>
  <c r="S77" i="33"/>
  <c r="T77" i="33"/>
  <c r="U77" i="33"/>
  <c r="V77" i="33"/>
  <c r="W77" i="33"/>
  <c r="X77" i="33"/>
  <c r="F78" i="33"/>
  <c r="G78" i="33"/>
  <c r="H78" i="33"/>
  <c r="I78" i="33"/>
  <c r="J78" i="33"/>
  <c r="K78" i="33"/>
  <c r="L78" i="33"/>
  <c r="M78" i="33"/>
  <c r="N78" i="33"/>
  <c r="O78" i="33"/>
  <c r="P78" i="33"/>
  <c r="Q78" i="33"/>
  <c r="R78" i="33"/>
  <c r="S78" i="33"/>
  <c r="T78" i="33"/>
  <c r="U78" i="33"/>
  <c r="V78" i="33"/>
  <c r="W78" i="33"/>
  <c r="X78" i="33"/>
  <c r="F79" i="33"/>
  <c r="G79" i="33"/>
  <c r="H79" i="33"/>
  <c r="I79" i="33"/>
  <c r="J79" i="33"/>
  <c r="K79" i="33"/>
  <c r="L79" i="33"/>
  <c r="M79" i="33"/>
  <c r="N79" i="33"/>
  <c r="O79" i="33"/>
  <c r="P79" i="33"/>
  <c r="Q79" i="33"/>
  <c r="R79" i="33"/>
  <c r="S79" i="33"/>
  <c r="T79" i="33"/>
  <c r="U79" i="33"/>
  <c r="V79" i="33"/>
  <c r="W79" i="33"/>
  <c r="X79" i="33"/>
  <c r="F80" i="33"/>
  <c r="G80" i="33"/>
  <c r="H80" i="33"/>
  <c r="I80" i="33"/>
  <c r="J80" i="33"/>
  <c r="K80" i="33"/>
  <c r="L80" i="33"/>
  <c r="M80" i="33"/>
  <c r="N80" i="33"/>
  <c r="O80" i="33"/>
  <c r="P80" i="33"/>
  <c r="Q80" i="33"/>
  <c r="R80" i="33"/>
  <c r="S80" i="33"/>
  <c r="T80" i="33"/>
  <c r="U80" i="33"/>
  <c r="V80" i="33"/>
  <c r="W80" i="33"/>
  <c r="X80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S82" i="33"/>
  <c r="T82" i="33"/>
  <c r="U82" i="33"/>
  <c r="V82" i="33"/>
  <c r="W82" i="33"/>
  <c r="X82" i="33"/>
  <c r="F83" i="33"/>
  <c r="G83" i="33"/>
  <c r="H83" i="33"/>
  <c r="I83" i="33"/>
  <c r="J83" i="33"/>
  <c r="K83" i="33"/>
  <c r="L83" i="33"/>
  <c r="M83" i="33"/>
  <c r="N83" i="33"/>
  <c r="O83" i="33"/>
  <c r="P83" i="33"/>
  <c r="Q83" i="33"/>
  <c r="R83" i="33"/>
  <c r="S83" i="33"/>
  <c r="T83" i="33"/>
  <c r="U83" i="33"/>
  <c r="V83" i="33"/>
  <c r="W83" i="33"/>
  <c r="X83" i="33"/>
  <c r="F84" i="33"/>
  <c r="G84" i="33"/>
  <c r="H84" i="33"/>
  <c r="I84" i="33"/>
  <c r="J84" i="33"/>
  <c r="K84" i="33"/>
  <c r="L84" i="33"/>
  <c r="M84" i="33"/>
  <c r="N84" i="33"/>
  <c r="O84" i="33"/>
  <c r="P84" i="33"/>
  <c r="Q84" i="33"/>
  <c r="R84" i="33"/>
  <c r="S84" i="33"/>
  <c r="T84" i="33"/>
  <c r="U84" i="33"/>
  <c r="V84" i="33"/>
  <c r="W84" i="33"/>
  <c r="X84" i="33"/>
  <c r="F85" i="33"/>
  <c r="G85" i="33"/>
  <c r="H85" i="33"/>
  <c r="I85" i="33"/>
  <c r="J85" i="33"/>
  <c r="K85" i="33"/>
  <c r="L85" i="33"/>
  <c r="M85" i="33"/>
  <c r="N85" i="33"/>
  <c r="O85" i="33"/>
  <c r="P85" i="33"/>
  <c r="Q85" i="33"/>
  <c r="R85" i="33"/>
  <c r="S85" i="33"/>
  <c r="T85" i="33"/>
  <c r="U85" i="33"/>
  <c r="V85" i="33"/>
  <c r="W85" i="33"/>
  <c r="X85" i="33"/>
  <c r="F89" i="33"/>
  <c r="G89" i="33"/>
  <c r="H89" i="33"/>
  <c r="I89" i="33"/>
  <c r="J89" i="33"/>
  <c r="K89" i="33"/>
  <c r="L89" i="33"/>
  <c r="M89" i="33"/>
  <c r="N89" i="33"/>
  <c r="O89" i="33"/>
  <c r="P89" i="33"/>
  <c r="Q89" i="33"/>
  <c r="R89" i="33"/>
  <c r="S89" i="33"/>
  <c r="T89" i="33"/>
  <c r="U89" i="33"/>
  <c r="V89" i="33"/>
  <c r="W89" i="33"/>
  <c r="X89" i="33"/>
  <c r="F90" i="33"/>
  <c r="G90" i="33"/>
  <c r="H90" i="33"/>
  <c r="I90" i="33"/>
  <c r="J90" i="33"/>
  <c r="K90" i="33"/>
  <c r="L90" i="33"/>
  <c r="M90" i="33"/>
  <c r="N90" i="33"/>
  <c r="O90" i="33"/>
  <c r="P90" i="33"/>
  <c r="Q90" i="33"/>
  <c r="R90" i="33"/>
  <c r="S90" i="33"/>
  <c r="T90" i="33"/>
  <c r="U90" i="33"/>
  <c r="V90" i="33"/>
  <c r="W90" i="33"/>
  <c r="X90" i="33"/>
  <c r="F91" i="33"/>
  <c r="G91" i="33"/>
  <c r="H91" i="33"/>
  <c r="I91" i="33"/>
  <c r="J91" i="33"/>
  <c r="K91" i="33"/>
  <c r="L91" i="33"/>
  <c r="M91" i="33"/>
  <c r="N91" i="33"/>
  <c r="O91" i="33"/>
  <c r="P91" i="33"/>
  <c r="Q91" i="33"/>
  <c r="R91" i="33"/>
  <c r="S91" i="33"/>
  <c r="T91" i="33"/>
  <c r="U91" i="33"/>
  <c r="V91" i="33"/>
  <c r="W91" i="33"/>
  <c r="X91" i="33"/>
  <c r="F92" i="33"/>
  <c r="G92" i="33"/>
  <c r="H92" i="33"/>
  <c r="I92" i="33"/>
  <c r="J92" i="33"/>
  <c r="K92" i="33"/>
  <c r="L92" i="33"/>
  <c r="M92" i="33"/>
  <c r="N92" i="33"/>
  <c r="O92" i="33"/>
  <c r="P92" i="33"/>
  <c r="Q92" i="33"/>
  <c r="R92" i="33"/>
  <c r="S92" i="33"/>
  <c r="T92" i="33"/>
  <c r="U92" i="33"/>
  <c r="V92" i="33"/>
  <c r="W92" i="33"/>
  <c r="X92" i="33"/>
  <c r="F93" i="33"/>
  <c r="G93" i="33"/>
  <c r="H93" i="33"/>
  <c r="I93" i="33"/>
  <c r="J93" i="33"/>
  <c r="K93" i="33"/>
  <c r="L93" i="33"/>
  <c r="M93" i="33"/>
  <c r="N93" i="33"/>
  <c r="O93" i="33"/>
  <c r="P93" i="33"/>
  <c r="Q93" i="33"/>
  <c r="R93" i="33"/>
  <c r="S93" i="33"/>
  <c r="T93" i="33"/>
  <c r="U93" i="33"/>
  <c r="V93" i="33"/>
  <c r="W93" i="33"/>
  <c r="X93" i="33"/>
  <c r="F94" i="33"/>
  <c r="G94" i="33"/>
  <c r="H94" i="33"/>
  <c r="I94" i="33"/>
  <c r="J94" i="33"/>
  <c r="K94" i="33"/>
  <c r="L94" i="33"/>
  <c r="M94" i="33"/>
  <c r="N94" i="33"/>
  <c r="O94" i="33"/>
  <c r="P94" i="33"/>
  <c r="Q94" i="33"/>
  <c r="R94" i="33"/>
  <c r="S94" i="33"/>
  <c r="T94" i="33"/>
  <c r="U94" i="33"/>
  <c r="V94" i="33"/>
  <c r="W94" i="33"/>
  <c r="X94" i="33"/>
  <c r="F95" i="33"/>
  <c r="G95" i="33"/>
  <c r="H95" i="33"/>
  <c r="I95" i="33"/>
  <c r="J95" i="33"/>
  <c r="K95" i="33"/>
  <c r="L95" i="33"/>
  <c r="M95" i="33"/>
  <c r="N95" i="33"/>
  <c r="O95" i="33"/>
  <c r="P95" i="33"/>
  <c r="Q95" i="33"/>
  <c r="R95" i="33"/>
  <c r="S95" i="33"/>
  <c r="T95" i="33"/>
  <c r="U95" i="33"/>
  <c r="V95" i="33"/>
  <c r="W95" i="33"/>
  <c r="X95" i="33"/>
  <c r="F96" i="33"/>
  <c r="G96" i="33"/>
  <c r="H96" i="33"/>
  <c r="I96" i="33"/>
  <c r="J96" i="33"/>
  <c r="K96" i="33"/>
  <c r="L96" i="33"/>
  <c r="M96" i="33"/>
  <c r="N96" i="33"/>
  <c r="O96" i="33"/>
  <c r="P96" i="33"/>
  <c r="Q96" i="33"/>
  <c r="R96" i="33"/>
  <c r="S96" i="33"/>
  <c r="T96" i="33"/>
  <c r="U96" i="33"/>
  <c r="V96" i="33"/>
  <c r="W96" i="33"/>
  <c r="X96" i="33"/>
  <c r="F97" i="33"/>
  <c r="G97" i="33"/>
  <c r="H97" i="33"/>
  <c r="I97" i="33"/>
  <c r="J97" i="33"/>
  <c r="K97" i="33"/>
  <c r="L97" i="33"/>
  <c r="M97" i="33"/>
  <c r="N97" i="33"/>
  <c r="O97" i="33"/>
  <c r="P97" i="33"/>
  <c r="Q97" i="33"/>
  <c r="R97" i="33"/>
  <c r="S97" i="33"/>
  <c r="T97" i="33"/>
  <c r="U97" i="33"/>
  <c r="V97" i="33"/>
  <c r="W97" i="33"/>
  <c r="X97" i="33"/>
  <c r="F98" i="33"/>
  <c r="G98" i="33"/>
  <c r="H98" i="33"/>
  <c r="I98" i="33"/>
  <c r="J98" i="33"/>
  <c r="K98" i="33"/>
  <c r="L98" i="33"/>
  <c r="M98" i="33"/>
  <c r="N98" i="33"/>
  <c r="O98" i="33"/>
  <c r="P98" i="33"/>
  <c r="Q98" i="33"/>
  <c r="R98" i="33"/>
  <c r="S98" i="33"/>
  <c r="T98" i="33"/>
  <c r="U98" i="33"/>
  <c r="V98" i="33"/>
  <c r="W98" i="33"/>
  <c r="X98" i="33"/>
  <c r="F99" i="33"/>
  <c r="G99" i="33"/>
  <c r="H99" i="33"/>
  <c r="I99" i="33"/>
  <c r="J99" i="33"/>
  <c r="K99" i="33"/>
  <c r="L99" i="33"/>
  <c r="M99" i="33"/>
  <c r="N99" i="33"/>
  <c r="O99" i="33"/>
  <c r="P99" i="33"/>
  <c r="Q99" i="33"/>
  <c r="R99" i="33"/>
  <c r="S99" i="33"/>
  <c r="T99" i="33"/>
  <c r="U99" i="33"/>
  <c r="V99" i="33"/>
  <c r="W99" i="33"/>
  <c r="X99" i="33"/>
  <c r="F100" i="33"/>
  <c r="G100" i="33"/>
  <c r="H100" i="33"/>
  <c r="I100" i="33"/>
  <c r="J100" i="33"/>
  <c r="K100" i="33"/>
  <c r="L100" i="33"/>
  <c r="M100" i="33"/>
  <c r="N100" i="33"/>
  <c r="O100" i="33"/>
  <c r="P100" i="33"/>
  <c r="Q100" i="33"/>
  <c r="R100" i="33"/>
  <c r="S100" i="33"/>
  <c r="T100" i="33"/>
  <c r="U100" i="33"/>
  <c r="V100" i="33"/>
  <c r="W100" i="33"/>
  <c r="X100" i="33"/>
  <c r="F105" i="33"/>
  <c r="G105" i="33"/>
  <c r="H105" i="33"/>
  <c r="I105" i="33"/>
  <c r="J105" i="33"/>
  <c r="K105" i="33"/>
  <c r="L105" i="33"/>
  <c r="M105" i="33"/>
  <c r="N105" i="33"/>
  <c r="O105" i="33"/>
  <c r="P105" i="33"/>
  <c r="Q105" i="33"/>
  <c r="R105" i="33"/>
  <c r="S105" i="33"/>
  <c r="T105" i="33"/>
  <c r="U105" i="33"/>
  <c r="V105" i="33"/>
  <c r="W105" i="33"/>
  <c r="F106" i="33"/>
  <c r="G106" i="33"/>
  <c r="H106" i="33"/>
  <c r="I106" i="33"/>
  <c r="J106" i="33"/>
  <c r="K106" i="33"/>
  <c r="L106" i="33"/>
  <c r="M106" i="33"/>
  <c r="N106" i="33"/>
  <c r="O106" i="33"/>
  <c r="P106" i="33"/>
  <c r="Q106" i="33"/>
  <c r="R106" i="33"/>
  <c r="S106" i="33"/>
  <c r="T106" i="33"/>
  <c r="U106" i="33"/>
  <c r="V106" i="33"/>
  <c r="W106" i="33"/>
  <c r="F107" i="33"/>
  <c r="G107" i="33"/>
  <c r="H107" i="33"/>
  <c r="I107" i="33"/>
  <c r="J107" i="33"/>
  <c r="K107" i="33"/>
  <c r="L107" i="33"/>
  <c r="M107" i="33"/>
  <c r="N107" i="33"/>
  <c r="O107" i="33"/>
  <c r="P107" i="33"/>
  <c r="Q107" i="33"/>
  <c r="R107" i="33"/>
  <c r="S107" i="33"/>
  <c r="T107" i="33"/>
  <c r="U107" i="33"/>
  <c r="V107" i="33"/>
  <c r="W107" i="33"/>
  <c r="X107" i="33"/>
  <c r="F108" i="33"/>
  <c r="G108" i="33"/>
  <c r="H108" i="33"/>
  <c r="I108" i="33"/>
  <c r="J108" i="33"/>
  <c r="K108" i="33"/>
  <c r="L108" i="33"/>
  <c r="M108" i="33"/>
  <c r="N108" i="33"/>
  <c r="O108" i="33"/>
  <c r="P108" i="33"/>
  <c r="Q108" i="33"/>
  <c r="R108" i="33"/>
  <c r="S108" i="33"/>
  <c r="T108" i="33"/>
  <c r="U108" i="33"/>
  <c r="V108" i="33"/>
  <c r="W108" i="33"/>
  <c r="X108" i="33"/>
  <c r="F109" i="33"/>
  <c r="G109" i="33"/>
  <c r="H109" i="33"/>
  <c r="I109" i="33"/>
  <c r="J109" i="33"/>
  <c r="K109" i="33"/>
  <c r="L109" i="33"/>
  <c r="M109" i="33"/>
  <c r="N109" i="33"/>
  <c r="O109" i="33"/>
  <c r="P109" i="33"/>
  <c r="Q109" i="33"/>
  <c r="R109" i="33"/>
  <c r="S109" i="33"/>
  <c r="T109" i="33"/>
  <c r="U109" i="33"/>
  <c r="V109" i="33"/>
  <c r="W109" i="33"/>
  <c r="X109" i="33"/>
  <c r="F110" i="33"/>
  <c r="G110" i="33"/>
  <c r="H110" i="33"/>
  <c r="I110" i="33"/>
  <c r="J110" i="33"/>
  <c r="K110" i="33"/>
  <c r="L110" i="33"/>
  <c r="M110" i="33"/>
  <c r="N110" i="33"/>
  <c r="O110" i="33"/>
  <c r="P110" i="33"/>
  <c r="Q110" i="33"/>
  <c r="R110" i="33"/>
  <c r="S110" i="33"/>
  <c r="T110" i="33"/>
  <c r="U110" i="33"/>
  <c r="V110" i="33"/>
  <c r="W110" i="33"/>
  <c r="X110" i="33"/>
  <c r="F111" i="33"/>
  <c r="G111" i="33"/>
  <c r="H111" i="33"/>
  <c r="I111" i="33"/>
  <c r="J111" i="33"/>
  <c r="K111" i="33"/>
  <c r="L111" i="33"/>
  <c r="M111" i="33"/>
  <c r="N111" i="33"/>
  <c r="O111" i="33"/>
  <c r="P111" i="33"/>
  <c r="Q111" i="33"/>
  <c r="R111" i="33"/>
  <c r="S111" i="33"/>
  <c r="T111" i="33"/>
  <c r="U111" i="33"/>
  <c r="V111" i="33"/>
  <c r="W111" i="33"/>
  <c r="X111" i="33"/>
  <c r="F112" i="33"/>
  <c r="G112" i="33"/>
  <c r="H112" i="33"/>
  <c r="I112" i="33"/>
  <c r="J112" i="33"/>
  <c r="K112" i="33"/>
  <c r="L112" i="33"/>
  <c r="M112" i="33"/>
  <c r="N112" i="33"/>
  <c r="O112" i="33"/>
  <c r="P112" i="33"/>
  <c r="Q112" i="33"/>
  <c r="R112" i="33"/>
  <c r="S112" i="33"/>
  <c r="T112" i="33"/>
  <c r="U112" i="33"/>
  <c r="V112" i="33"/>
  <c r="W112" i="33"/>
  <c r="X112" i="33"/>
  <c r="F114" i="33"/>
  <c r="G114" i="33"/>
  <c r="H114" i="33"/>
  <c r="I114" i="33"/>
  <c r="J114" i="33"/>
  <c r="K114" i="33"/>
  <c r="L114" i="33"/>
  <c r="M114" i="33"/>
  <c r="N114" i="33"/>
  <c r="O114" i="33"/>
  <c r="P114" i="33"/>
  <c r="Q114" i="33"/>
  <c r="R114" i="33"/>
  <c r="S114" i="33"/>
  <c r="T114" i="33"/>
  <c r="U114" i="33"/>
  <c r="V114" i="33"/>
  <c r="W114" i="33"/>
  <c r="F115" i="33"/>
  <c r="G115" i="33"/>
  <c r="H115" i="33"/>
  <c r="I115" i="33"/>
  <c r="J115" i="33"/>
  <c r="K115" i="33"/>
  <c r="L115" i="33"/>
  <c r="M115" i="33"/>
  <c r="N115" i="33"/>
  <c r="O115" i="33"/>
  <c r="P115" i="33"/>
  <c r="Q115" i="33"/>
  <c r="R115" i="33"/>
  <c r="S115" i="33"/>
  <c r="T115" i="33"/>
  <c r="U115" i="33"/>
  <c r="V115" i="33"/>
  <c r="W115" i="33"/>
  <c r="F116" i="33"/>
  <c r="G116" i="33"/>
  <c r="H116" i="33"/>
  <c r="I116" i="33"/>
  <c r="J116" i="33"/>
  <c r="K116" i="33"/>
  <c r="L116" i="33"/>
  <c r="M116" i="33"/>
  <c r="N116" i="33"/>
  <c r="O116" i="33"/>
  <c r="P116" i="33"/>
  <c r="Q116" i="33"/>
  <c r="R116" i="33"/>
  <c r="S116" i="33"/>
  <c r="T116" i="33"/>
  <c r="U116" i="33"/>
  <c r="V116" i="33"/>
  <c r="W116" i="33"/>
  <c r="F117" i="33"/>
  <c r="G117" i="33"/>
  <c r="H117" i="33"/>
  <c r="I117" i="33"/>
  <c r="J117" i="33"/>
  <c r="K117" i="33"/>
  <c r="L117" i="33"/>
  <c r="M117" i="33"/>
  <c r="N117" i="33"/>
  <c r="O117" i="33"/>
  <c r="P117" i="33"/>
  <c r="Q117" i="33"/>
  <c r="R117" i="33"/>
  <c r="S117" i="33"/>
  <c r="T117" i="33"/>
  <c r="U117" i="33"/>
  <c r="V117" i="33"/>
  <c r="W117" i="33"/>
  <c r="F118" i="33"/>
  <c r="G118" i="33"/>
  <c r="H118" i="33"/>
  <c r="I118" i="33"/>
  <c r="J118" i="33"/>
  <c r="K118" i="33"/>
  <c r="L118" i="33"/>
  <c r="M118" i="33"/>
  <c r="N118" i="33"/>
  <c r="O118" i="33"/>
  <c r="P118" i="33"/>
  <c r="Q118" i="33"/>
  <c r="R118" i="33"/>
  <c r="S118" i="33"/>
  <c r="T118" i="33"/>
  <c r="U118" i="33"/>
  <c r="V118" i="33"/>
  <c r="W118" i="33"/>
  <c r="F119" i="33"/>
  <c r="G119" i="33"/>
  <c r="H119" i="33"/>
  <c r="I119" i="33"/>
  <c r="J119" i="33"/>
  <c r="K119" i="33"/>
  <c r="L119" i="33"/>
  <c r="M119" i="33"/>
  <c r="N119" i="33"/>
  <c r="O119" i="33"/>
  <c r="P119" i="33"/>
  <c r="Q119" i="33"/>
  <c r="R119" i="33"/>
  <c r="S119" i="33"/>
  <c r="T119" i="33"/>
  <c r="U119" i="33"/>
  <c r="V119" i="33"/>
  <c r="W119" i="33"/>
  <c r="F120" i="33"/>
  <c r="G120" i="33"/>
  <c r="H120" i="33"/>
  <c r="I120" i="33"/>
  <c r="J120" i="33"/>
  <c r="K120" i="33"/>
  <c r="L120" i="33"/>
  <c r="M120" i="33"/>
  <c r="N120" i="33"/>
  <c r="O120" i="33"/>
  <c r="P120" i="33"/>
  <c r="Q120" i="33"/>
  <c r="R120" i="33"/>
  <c r="S120" i="33"/>
  <c r="T120" i="33"/>
  <c r="U120" i="33"/>
  <c r="V120" i="33"/>
  <c r="W120" i="33"/>
  <c r="F121" i="33"/>
  <c r="G121" i="33"/>
  <c r="H121" i="33"/>
  <c r="I121" i="33"/>
  <c r="J121" i="33"/>
  <c r="K121" i="33"/>
  <c r="L121" i="33"/>
  <c r="M121" i="33"/>
  <c r="N121" i="33"/>
  <c r="O121" i="33"/>
  <c r="P121" i="33"/>
  <c r="Q121" i="33"/>
  <c r="R121" i="33"/>
  <c r="S121" i="33"/>
  <c r="T121" i="33"/>
  <c r="U121" i="33"/>
  <c r="V121" i="33"/>
  <c r="W121" i="33"/>
  <c r="F122" i="33"/>
  <c r="G122" i="33"/>
  <c r="H122" i="33"/>
  <c r="I122" i="33"/>
  <c r="J122" i="33"/>
  <c r="K122" i="33"/>
  <c r="L122" i="33"/>
  <c r="M122" i="33"/>
  <c r="N122" i="33"/>
  <c r="O122" i="33"/>
  <c r="P122" i="33"/>
  <c r="Q122" i="33"/>
  <c r="R122" i="33"/>
  <c r="S122" i="33"/>
  <c r="T122" i="33"/>
  <c r="U122" i="33"/>
  <c r="V122" i="33"/>
  <c r="W122" i="33"/>
  <c r="F123" i="33"/>
  <c r="G123" i="33"/>
  <c r="H123" i="33"/>
  <c r="I123" i="33"/>
  <c r="J123" i="33"/>
  <c r="K123" i="33"/>
  <c r="L123" i="33"/>
  <c r="M123" i="33"/>
  <c r="N123" i="33"/>
  <c r="O123" i="33"/>
  <c r="P123" i="33"/>
  <c r="Q123" i="33"/>
  <c r="R123" i="33"/>
  <c r="S123" i="33"/>
  <c r="T123" i="33"/>
  <c r="U123" i="33"/>
  <c r="V123" i="33"/>
  <c r="W123" i="33"/>
  <c r="F124" i="33"/>
  <c r="G124" i="33"/>
  <c r="H124" i="33"/>
  <c r="I124" i="33"/>
  <c r="J124" i="33"/>
  <c r="K124" i="33"/>
  <c r="L124" i="33"/>
  <c r="M124" i="33"/>
  <c r="N124" i="33"/>
  <c r="O124" i="33"/>
  <c r="P124" i="33"/>
  <c r="Q124" i="33"/>
  <c r="R124" i="33"/>
  <c r="S124" i="33"/>
  <c r="T124" i="33"/>
  <c r="U124" i="33"/>
  <c r="V124" i="33"/>
  <c r="W124" i="33"/>
  <c r="F125" i="33"/>
  <c r="G125" i="33"/>
  <c r="H125" i="33"/>
  <c r="I125" i="33"/>
  <c r="J125" i="33"/>
  <c r="K125" i="33"/>
  <c r="L125" i="33"/>
  <c r="M125" i="33"/>
  <c r="N125" i="33"/>
  <c r="O125" i="33"/>
  <c r="P125" i="33"/>
  <c r="Q125" i="33"/>
  <c r="R125" i="33"/>
  <c r="S125" i="33"/>
  <c r="T125" i="33"/>
  <c r="U125" i="33"/>
  <c r="V125" i="33"/>
  <c r="W125" i="33"/>
  <c r="F126" i="33"/>
  <c r="G126" i="33"/>
  <c r="H126" i="33"/>
  <c r="I126" i="33"/>
  <c r="J126" i="33"/>
  <c r="K126" i="33"/>
  <c r="L126" i="33"/>
  <c r="M126" i="33"/>
  <c r="N126" i="33"/>
  <c r="O126" i="33"/>
  <c r="P126" i="33"/>
  <c r="Q126" i="33"/>
  <c r="R126" i="33"/>
  <c r="S126" i="33"/>
  <c r="T126" i="33"/>
  <c r="U126" i="33"/>
  <c r="V126" i="33"/>
  <c r="W126" i="33"/>
  <c r="F128" i="33"/>
  <c r="G128" i="33"/>
  <c r="H128" i="33"/>
  <c r="I128" i="33"/>
  <c r="J128" i="33"/>
  <c r="K128" i="33"/>
  <c r="L128" i="33"/>
  <c r="M128" i="33"/>
  <c r="N128" i="33"/>
  <c r="O128" i="33"/>
  <c r="P128" i="33"/>
  <c r="Q128" i="33"/>
  <c r="R128" i="33"/>
  <c r="S128" i="33"/>
  <c r="T128" i="33"/>
  <c r="U128" i="33"/>
  <c r="V128" i="33"/>
  <c r="W128" i="33"/>
  <c r="X128" i="33"/>
  <c r="F129" i="33"/>
  <c r="G129" i="33"/>
  <c r="H129" i="33"/>
  <c r="I129" i="33"/>
  <c r="J129" i="33"/>
  <c r="K129" i="33"/>
  <c r="L129" i="33"/>
  <c r="M129" i="33"/>
  <c r="N129" i="33"/>
  <c r="O129" i="33"/>
  <c r="P129" i="33"/>
  <c r="Q129" i="33"/>
  <c r="R129" i="33"/>
  <c r="S129" i="33"/>
  <c r="T129" i="33"/>
  <c r="U129" i="33"/>
  <c r="V129" i="33"/>
  <c r="W129" i="33"/>
  <c r="X129" i="33"/>
  <c r="F130" i="33"/>
  <c r="G130" i="33"/>
  <c r="H130" i="33"/>
  <c r="I130" i="33"/>
  <c r="J130" i="33"/>
  <c r="K130" i="33"/>
  <c r="L130" i="33"/>
  <c r="M130" i="33"/>
  <c r="N130" i="33"/>
  <c r="O130" i="33"/>
  <c r="P130" i="33"/>
  <c r="Q130" i="33"/>
  <c r="R130" i="33"/>
  <c r="S130" i="33"/>
  <c r="T130" i="33"/>
  <c r="U130" i="33"/>
  <c r="V130" i="33"/>
  <c r="W130" i="33"/>
  <c r="X130" i="33"/>
  <c r="F131" i="33"/>
  <c r="G131" i="33"/>
  <c r="H131" i="33"/>
  <c r="I131" i="33"/>
  <c r="J131" i="33"/>
  <c r="K131" i="33"/>
  <c r="L131" i="33"/>
  <c r="M131" i="33"/>
  <c r="N131" i="33"/>
  <c r="O131" i="33"/>
  <c r="P131" i="33"/>
  <c r="Q131" i="33"/>
  <c r="R131" i="33"/>
  <c r="S131" i="33"/>
  <c r="T131" i="33"/>
  <c r="U131" i="33"/>
  <c r="V131" i="33"/>
  <c r="W131" i="33"/>
  <c r="X131" i="33"/>
  <c r="F132" i="33"/>
  <c r="G132" i="33"/>
  <c r="H132" i="33"/>
  <c r="I132" i="33"/>
  <c r="J132" i="33"/>
  <c r="K132" i="33"/>
  <c r="L132" i="33"/>
  <c r="M132" i="33"/>
  <c r="N132" i="33"/>
  <c r="O132" i="33"/>
  <c r="P132" i="33"/>
  <c r="Q132" i="33"/>
  <c r="R132" i="33"/>
  <c r="S132" i="33"/>
  <c r="T132" i="33"/>
  <c r="U132" i="33"/>
  <c r="V132" i="33"/>
  <c r="W132" i="33"/>
  <c r="X132" i="33"/>
  <c r="F133" i="33"/>
  <c r="G133" i="33"/>
  <c r="H133" i="33"/>
  <c r="I133" i="33"/>
  <c r="J133" i="33"/>
  <c r="K133" i="33"/>
  <c r="L133" i="33"/>
  <c r="M133" i="33"/>
  <c r="N133" i="33"/>
  <c r="O133" i="33"/>
  <c r="P133" i="33"/>
  <c r="Q133" i="33"/>
  <c r="R133" i="33"/>
  <c r="S133" i="33"/>
  <c r="T133" i="33"/>
  <c r="U133" i="33"/>
  <c r="V133" i="33"/>
  <c r="W133" i="33"/>
  <c r="X133" i="33"/>
  <c r="F134" i="33"/>
  <c r="G134" i="33"/>
  <c r="H134" i="33"/>
  <c r="I134" i="33"/>
  <c r="J134" i="33"/>
  <c r="K134" i="33"/>
  <c r="L134" i="33"/>
  <c r="M134" i="33"/>
  <c r="N134" i="33"/>
  <c r="O134" i="33"/>
  <c r="P134" i="33"/>
  <c r="Q134" i="33"/>
  <c r="R134" i="33"/>
  <c r="S134" i="33"/>
  <c r="T134" i="33"/>
  <c r="U134" i="33"/>
  <c r="V134" i="33"/>
  <c r="W134" i="33"/>
  <c r="X134" i="33"/>
  <c r="F135" i="33"/>
  <c r="G135" i="33"/>
  <c r="H135" i="33"/>
  <c r="I135" i="33"/>
  <c r="J135" i="33"/>
  <c r="K135" i="33"/>
  <c r="L135" i="33"/>
  <c r="M135" i="33"/>
  <c r="N135" i="33"/>
  <c r="O135" i="33"/>
  <c r="P135" i="33"/>
  <c r="Q135" i="33"/>
  <c r="R135" i="33"/>
  <c r="S135" i="33"/>
  <c r="T135" i="33"/>
  <c r="U135" i="33"/>
  <c r="V135" i="33"/>
  <c r="W135" i="33"/>
  <c r="X135" i="33"/>
  <c r="F136" i="33"/>
  <c r="G136" i="33"/>
  <c r="H136" i="33"/>
  <c r="I136" i="33"/>
  <c r="J136" i="33"/>
  <c r="K136" i="33"/>
  <c r="L136" i="33"/>
  <c r="M136" i="33"/>
  <c r="N136" i="33"/>
  <c r="O136" i="33"/>
  <c r="P136" i="33"/>
  <c r="Q136" i="33"/>
  <c r="R136" i="33"/>
  <c r="S136" i="33"/>
  <c r="T136" i="33"/>
  <c r="U136" i="33"/>
  <c r="V136" i="33"/>
  <c r="W136" i="33"/>
  <c r="X136" i="33"/>
  <c r="F137" i="33"/>
  <c r="G137" i="33"/>
  <c r="H137" i="33"/>
  <c r="I137" i="33"/>
  <c r="J137" i="33"/>
  <c r="K137" i="33"/>
  <c r="L137" i="33"/>
  <c r="M137" i="33"/>
  <c r="N137" i="33"/>
  <c r="O137" i="33"/>
  <c r="P137" i="33"/>
  <c r="Q137" i="33"/>
  <c r="R137" i="33"/>
  <c r="S137" i="33"/>
  <c r="T137" i="33"/>
  <c r="U137" i="33"/>
  <c r="V137" i="33"/>
  <c r="W137" i="33"/>
  <c r="X137" i="33"/>
  <c r="F139" i="33"/>
  <c r="G139" i="33"/>
  <c r="H139" i="33"/>
  <c r="I139" i="33"/>
  <c r="J139" i="33"/>
  <c r="K139" i="33"/>
  <c r="L139" i="33"/>
  <c r="M139" i="33"/>
  <c r="N139" i="33"/>
  <c r="O139" i="33"/>
  <c r="P139" i="33"/>
  <c r="Q139" i="33"/>
  <c r="R139" i="33"/>
  <c r="S139" i="33"/>
  <c r="T139" i="33"/>
  <c r="U139" i="33"/>
  <c r="V139" i="33"/>
  <c r="W139" i="33"/>
  <c r="X139" i="33"/>
  <c r="F140" i="33"/>
  <c r="G140" i="33"/>
  <c r="H140" i="33"/>
  <c r="I140" i="33"/>
  <c r="J140" i="33"/>
  <c r="K140" i="33"/>
  <c r="L140" i="33"/>
  <c r="M140" i="33"/>
  <c r="N140" i="33"/>
  <c r="O140" i="33"/>
  <c r="P140" i="33"/>
  <c r="Q140" i="33"/>
  <c r="R140" i="33"/>
  <c r="S140" i="33"/>
  <c r="T140" i="33"/>
  <c r="U140" i="33"/>
  <c r="V140" i="33"/>
  <c r="W140" i="33"/>
  <c r="X140" i="33"/>
  <c r="F141" i="33"/>
  <c r="G141" i="33"/>
  <c r="H141" i="33"/>
  <c r="I141" i="33"/>
  <c r="J141" i="33"/>
  <c r="K141" i="33"/>
  <c r="L141" i="33"/>
  <c r="M141" i="33"/>
  <c r="N141" i="33"/>
  <c r="O141" i="33"/>
  <c r="P141" i="33"/>
  <c r="Q141" i="33"/>
  <c r="R141" i="33"/>
  <c r="S141" i="33"/>
  <c r="T141" i="33"/>
  <c r="U141" i="33"/>
  <c r="V141" i="33"/>
  <c r="W141" i="33"/>
  <c r="X141" i="33"/>
  <c r="F142" i="33"/>
  <c r="G142" i="33"/>
  <c r="H142" i="33"/>
  <c r="I142" i="33"/>
  <c r="J142" i="33"/>
  <c r="K142" i="33"/>
  <c r="L142" i="33"/>
  <c r="M142" i="33"/>
  <c r="N142" i="33"/>
  <c r="O142" i="33"/>
  <c r="P142" i="33"/>
  <c r="Q142" i="33"/>
  <c r="R142" i="33"/>
  <c r="S142" i="33"/>
  <c r="T142" i="33"/>
  <c r="U142" i="33"/>
  <c r="V142" i="33"/>
  <c r="W142" i="33"/>
  <c r="X142" i="33"/>
  <c r="F143" i="33"/>
  <c r="G143" i="33"/>
  <c r="H143" i="33"/>
  <c r="I143" i="33"/>
  <c r="J143" i="33"/>
  <c r="K143" i="33"/>
  <c r="L143" i="33"/>
  <c r="M143" i="33"/>
  <c r="N143" i="33"/>
  <c r="O143" i="33"/>
  <c r="P143" i="33"/>
  <c r="Q143" i="33"/>
  <c r="R143" i="33"/>
  <c r="S143" i="33"/>
  <c r="T143" i="33"/>
  <c r="U143" i="33"/>
  <c r="V143" i="33"/>
  <c r="W143" i="33"/>
  <c r="X143" i="33"/>
  <c r="F144" i="33"/>
  <c r="G144" i="33"/>
  <c r="H144" i="33"/>
  <c r="I144" i="33"/>
  <c r="J144" i="33"/>
  <c r="K144" i="33"/>
  <c r="L144" i="33"/>
  <c r="M144" i="33"/>
  <c r="N144" i="33"/>
  <c r="O144" i="33"/>
  <c r="P144" i="33"/>
  <c r="Q144" i="33"/>
  <c r="R144" i="33"/>
  <c r="S144" i="33"/>
  <c r="T144" i="33"/>
  <c r="U144" i="33"/>
  <c r="V144" i="33"/>
  <c r="W144" i="33"/>
  <c r="X144" i="33"/>
  <c r="F148" i="33"/>
  <c r="G148" i="33"/>
  <c r="H148" i="33"/>
  <c r="I148" i="33"/>
  <c r="L148" i="33"/>
  <c r="M148" i="33"/>
  <c r="N148" i="33"/>
  <c r="O148" i="33"/>
  <c r="P148" i="33"/>
  <c r="Q148" i="33"/>
  <c r="R148" i="33"/>
  <c r="S148" i="33"/>
  <c r="T148" i="33"/>
  <c r="U148" i="33"/>
  <c r="V148" i="33"/>
  <c r="W148" i="33"/>
  <c r="X148" i="33"/>
  <c r="F149" i="33"/>
  <c r="G149" i="33"/>
  <c r="H149" i="33"/>
  <c r="I149" i="33"/>
  <c r="J149" i="33"/>
  <c r="K149" i="33"/>
  <c r="L149" i="33"/>
  <c r="M149" i="33"/>
  <c r="N149" i="33"/>
  <c r="O149" i="33"/>
  <c r="P149" i="33"/>
  <c r="Q149" i="33"/>
  <c r="R149" i="33"/>
  <c r="S149" i="33"/>
  <c r="T149" i="33"/>
  <c r="U149" i="33"/>
  <c r="V149" i="33"/>
  <c r="W149" i="33"/>
  <c r="X149" i="33"/>
  <c r="F151" i="33"/>
  <c r="G151" i="33"/>
  <c r="H151" i="33"/>
  <c r="I151" i="33"/>
  <c r="J151" i="33"/>
  <c r="K151" i="33"/>
  <c r="L151" i="33"/>
  <c r="M151" i="33"/>
  <c r="N151" i="33"/>
  <c r="O151" i="33"/>
  <c r="P151" i="33"/>
  <c r="Q151" i="33"/>
  <c r="R151" i="33"/>
  <c r="S151" i="33"/>
  <c r="T151" i="33"/>
  <c r="U151" i="33"/>
  <c r="V151" i="33"/>
  <c r="W151" i="33"/>
  <c r="X151" i="33"/>
  <c r="F152" i="33"/>
  <c r="G152" i="33"/>
  <c r="H152" i="33"/>
  <c r="I152" i="33"/>
  <c r="J152" i="33"/>
  <c r="K152" i="33"/>
  <c r="L152" i="33"/>
  <c r="M152" i="33"/>
  <c r="N152" i="33"/>
  <c r="O152" i="33"/>
  <c r="P152" i="33"/>
  <c r="Q152" i="33"/>
  <c r="R152" i="33"/>
  <c r="S152" i="33"/>
  <c r="T152" i="33"/>
  <c r="U152" i="33"/>
  <c r="V152" i="33"/>
  <c r="W152" i="33"/>
  <c r="X152" i="33"/>
  <c r="F159" i="33"/>
  <c r="G159" i="33"/>
  <c r="H159" i="33"/>
  <c r="I159" i="33"/>
  <c r="J159" i="33"/>
  <c r="K159" i="33"/>
  <c r="L159" i="33"/>
  <c r="M159" i="33"/>
  <c r="N159" i="33"/>
  <c r="O159" i="33"/>
  <c r="P159" i="33"/>
  <c r="Q159" i="33"/>
  <c r="R159" i="33"/>
  <c r="S159" i="33"/>
  <c r="T159" i="33"/>
  <c r="U159" i="33"/>
  <c r="V159" i="33"/>
  <c r="W159" i="33"/>
  <c r="X159" i="33"/>
  <c r="F160" i="33"/>
  <c r="G160" i="33"/>
  <c r="H160" i="33"/>
  <c r="I160" i="33"/>
  <c r="J160" i="33"/>
  <c r="K160" i="33"/>
  <c r="L160" i="33"/>
  <c r="M160" i="33"/>
  <c r="N160" i="33"/>
  <c r="O160" i="33"/>
  <c r="P160" i="33"/>
  <c r="Q160" i="33"/>
  <c r="R160" i="33"/>
  <c r="S160" i="33"/>
  <c r="T160" i="33"/>
  <c r="U160" i="33"/>
  <c r="V160" i="33"/>
  <c r="W160" i="33"/>
  <c r="X160" i="33"/>
  <c r="F163" i="33"/>
  <c r="G163" i="33"/>
  <c r="H163" i="33"/>
  <c r="I163" i="33"/>
  <c r="J163" i="33"/>
  <c r="K163" i="33"/>
  <c r="L163" i="33"/>
  <c r="M163" i="33"/>
  <c r="N163" i="33"/>
  <c r="O163" i="33"/>
  <c r="P163" i="33"/>
  <c r="Q163" i="33"/>
  <c r="R163" i="33"/>
  <c r="S163" i="33"/>
  <c r="T163" i="33"/>
  <c r="U163" i="33"/>
  <c r="V163" i="33"/>
  <c r="W163" i="33"/>
  <c r="X163" i="33"/>
  <c r="F164" i="33"/>
  <c r="G164" i="33"/>
  <c r="H164" i="33"/>
  <c r="I164" i="33"/>
  <c r="J164" i="33"/>
  <c r="K164" i="33"/>
  <c r="L164" i="33"/>
  <c r="M164" i="33"/>
  <c r="N164" i="33"/>
  <c r="O164" i="33"/>
  <c r="P164" i="33"/>
  <c r="Q164" i="33"/>
  <c r="R164" i="33"/>
  <c r="S164" i="33"/>
  <c r="T164" i="33"/>
  <c r="U164" i="33"/>
  <c r="V164" i="33"/>
  <c r="W164" i="33"/>
  <c r="X164" i="33"/>
  <c r="F165" i="33"/>
  <c r="G165" i="33"/>
  <c r="H165" i="33"/>
  <c r="I165" i="33"/>
  <c r="J165" i="33"/>
  <c r="K165" i="33"/>
  <c r="L165" i="33"/>
  <c r="M165" i="33"/>
  <c r="N165" i="33"/>
  <c r="O165" i="33"/>
  <c r="P165" i="33"/>
  <c r="Q165" i="33"/>
  <c r="R165" i="33"/>
  <c r="S165" i="33"/>
  <c r="T165" i="33"/>
  <c r="U165" i="33"/>
  <c r="V165" i="33"/>
  <c r="W165" i="33"/>
  <c r="X165" i="33"/>
  <c r="F166" i="33"/>
  <c r="G166" i="33"/>
  <c r="H166" i="33"/>
  <c r="I166" i="33"/>
  <c r="J166" i="33"/>
  <c r="K166" i="33"/>
  <c r="L166" i="33"/>
  <c r="M166" i="33"/>
  <c r="N166" i="33"/>
  <c r="O166" i="33"/>
  <c r="P166" i="33"/>
  <c r="Q166" i="33"/>
  <c r="R166" i="33"/>
  <c r="S166" i="33"/>
  <c r="T166" i="33"/>
  <c r="U166" i="33"/>
  <c r="V166" i="33"/>
  <c r="W166" i="33"/>
  <c r="X166" i="33"/>
  <c r="F167" i="33"/>
  <c r="G167" i="33"/>
  <c r="H167" i="33"/>
  <c r="I167" i="33"/>
  <c r="J167" i="33"/>
  <c r="K167" i="33"/>
  <c r="L167" i="33"/>
  <c r="M167" i="33"/>
  <c r="N167" i="33"/>
  <c r="O167" i="33"/>
  <c r="P167" i="33"/>
  <c r="Q167" i="33"/>
  <c r="R167" i="33"/>
  <c r="S167" i="33"/>
  <c r="T167" i="33"/>
  <c r="U167" i="33"/>
  <c r="V167" i="33"/>
  <c r="W167" i="33"/>
  <c r="X167" i="33"/>
  <c r="F168" i="33"/>
  <c r="G168" i="33"/>
  <c r="H168" i="33"/>
  <c r="I168" i="33"/>
  <c r="J168" i="33"/>
  <c r="K168" i="33"/>
  <c r="L168" i="33"/>
  <c r="M168" i="33"/>
  <c r="N168" i="33"/>
  <c r="O168" i="33"/>
  <c r="P168" i="33"/>
  <c r="Q168" i="33"/>
  <c r="R168" i="33"/>
  <c r="S168" i="33"/>
  <c r="T168" i="33"/>
  <c r="U168" i="33"/>
  <c r="V168" i="33"/>
  <c r="W168" i="33"/>
  <c r="X168" i="33"/>
  <c r="F169" i="33"/>
  <c r="G169" i="33"/>
  <c r="H169" i="33"/>
  <c r="I169" i="33"/>
  <c r="J169" i="33"/>
  <c r="K169" i="33"/>
  <c r="L169" i="33"/>
  <c r="M169" i="33"/>
  <c r="N169" i="33"/>
  <c r="O169" i="33"/>
  <c r="P169" i="33"/>
  <c r="Q169" i="33"/>
  <c r="R169" i="33"/>
  <c r="S169" i="33"/>
  <c r="T169" i="33"/>
  <c r="U169" i="33"/>
  <c r="V169" i="33"/>
  <c r="W169" i="33"/>
  <c r="X169" i="33"/>
  <c r="F170" i="33"/>
  <c r="G170" i="33"/>
  <c r="H170" i="33"/>
  <c r="I170" i="33"/>
  <c r="J170" i="33"/>
  <c r="K170" i="33"/>
  <c r="L170" i="33"/>
  <c r="M170" i="33"/>
  <c r="N170" i="33"/>
  <c r="O170" i="33"/>
  <c r="P170" i="33"/>
  <c r="Q170" i="33"/>
  <c r="R170" i="33"/>
  <c r="S170" i="33"/>
  <c r="T170" i="33"/>
  <c r="U170" i="33"/>
  <c r="V170" i="33"/>
  <c r="W170" i="33"/>
  <c r="X170" i="33"/>
  <c r="F172" i="33"/>
  <c r="G172" i="33"/>
  <c r="H172" i="33"/>
  <c r="I172" i="33"/>
  <c r="J172" i="33"/>
  <c r="K172" i="33"/>
  <c r="L172" i="33"/>
  <c r="M172" i="33"/>
  <c r="N172" i="33"/>
  <c r="O172" i="33"/>
  <c r="P172" i="33"/>
  <c r="Q172" i="33"/>
  <c r="R172" i="33"/>
  <c r="S172" i="33"/>
  <c r="T172" i="33"/>
  <c r="U172" i="33"/>
  <c r="V172" i="33"/>
  <c r="W172" i="33"/>
  <c r="X172" i="33"/>
  <c r="F173" i="33"/>
  <c r="G173" i="33"/>
  <c r="H173" i="33"/>
  <c r="I173" i="33"/>
  <c r="J173" i="33"/>
  <c r="K173" i="33"/>
  <c r="L173" i="33"/>
  <c r="M173" i="33"/>
  <c r="N173" i="33"/>
  <c r="O173" i="33"/>
  <c r="P173" i="33"/>
  <c r="Q173" i="33"/>
  <c r="R173" i="33"/>
  <c r="S173" i="33"/>
  <c r="T173" i="33"/>
  <c r="U173" i="33"/>
  <c r="V173" i="33"/>
  <c r="W173" i="33"/>
  <c r="X173" i="33"/>
  <c r="F174" i="33"/>
  <c r="G174" i="33"/>
  <c r="H174" i="33"/>
  <c r="I174" i="33"/>
  <c r="J174" i="33"/>
  <c r="K174" i="33"/>
  <c r="L174" i="33"/>
  <c r="M174" i="33"/>
  <c r="N174" i="33"/>
  <c r="O174" i="33"/>
  <c r="P174" i="33"/>
  <c r="Q174" i="33"/>
  <c r="R174" i="33"/>
  <c r="S174" i="33"/>
  <c r="T174" i="33"/>
  <c r="U174" i="33"/>
  <c r="V174" i="33"/>
  <c r="W174" i="33"/>
  <c r="X174" i="33"/>
  <c r="F175" i="33"/>
  <c r="G175" i="33"/>
  <c r="H175" i="33"/>
  <c r="I175" i="33"/>
  <c r="J175" i="33"/>
  <c r="K175" i="33"/>
  <c r="L175" i="33"/>
  <c r="M175" i="33"/>
  <c r="N175" i="33"/>
  <c r="O175" i="33"/>
  <c r="P175" i="33"/>
  <c r="Q175" i="33"/>
  <c r="R175" i="33"/>
  <c r="S175" i="33"/>
  <c r="T175" i="33"/>
  <c r="U175" i="33"/>
  <c r="V175" i="33"/>
  <c r="W175" i="33"/>
  <c r="X175" i="33"/>
  <c r="F176" i="33"/>
  <c r="G176" i="33"/>
  <c r="H176" i="33"/>
  <c r="I176" i="33"/>
  <c r="J176" i="33"/>
  <c r="K176" i="33"/>
  <c r="L176" i="33"/>
  <c r="M176" i="33"/>
  <c r="N176" i="33"/>
  <c r="O176" i="33"/>
  <c r="P176" i="33"/>
  <c r="Q176" i="33"/>
  <c r="R176" i="33"/>
  <c r="S176" i="33"/>
  <c r="T176" i="33"/>
  <c r="U176" i="33"/>
  <c r="V176" i="33"/>
  <c r="W176" i="33"/>
  <c r="X176" i="33"/>
  <c r="F177" i="33"/>
  <c r="G177" i="33"/>
  <c r="H177" i="33"/>
  <c r="I177" i="33"/>
  <c r="J177" i="33"/>
  <c r="K177" i="33"/>
  <c r="L177" i="33"/>
  <c r="M177" i="33"/>
  <c r="N177" i="33"/>
  <c r="O177" i="33"/>
  <c r="P177" i="33"/>
  <c r="Q177" i="33"/>
  <c r="R177" i="33"/>
  <c r="S177" i="33"/>
  <c r="T177" i="33"/>
  <c r="U177" i="33"/>
  <c r="V177" i="33"/>
  <c r="W177" i="33"/>
  <c r="X177" i="33"/>
  <c r="F178" i="33"/>
  <c r="G178" i="33"/>
  <c r="H178" i="33"/>
  <c r="I178" i="33"/>
  <c r="J178" i="33"/>
  <c r="K178" i="33"/>
  <c r="L178" i="33"/>
  <c r="M178" i="33"/>
  <c r="N178" i="33"/>
  <c r="O178" i="33"/>
  <c r="P178" i="33"/>
  <c r="Q178" i="33"/>
  <c r="R178" i="33"/>
  <c r="S178" i="33"/>
  <c r="T178" i="33"/>
  <c r="U178" i="33"/>
  <c r="V178" i="33"/>
  <c r="W178" i="33"/>
  <c r="X178" i="33"/>
  <c r="F179" i="33"/>
  <c r="G179" i="33"/>
  <c r="H179" i="33"/>
  <c r="I179" i="33"/>
  <c r="J179" i="33"/>
  <c r="K179" i="33"/>
  <c r="L179" i="33"/>
  <c r="M179" i="33"/>
  <c r="N179" i="33"/>
  <c r="O179" i="33"/>
  <c r="P179" i="33"/>
  <c r="Q179" i="33"/>
  <c r="R179" i="33"/>
  <c r="S179" i="33"/>
  <c r="T179" i="33"/>
  <c r="U179" i="33"/>
  <c r="V179" i="33"/>
  <c r="W179" i="33"/>
  <c r="X179" i="33"/>
  <c r="F180" i="33"/>
  <c r="G180" i="33"/>
  <c r="H180" i="33"/>
  <c r="I180" i="33"/>
  <c r="J180" i="33"/>
  <c r="K180" i="33"/>
  <c r="L180" i="33"/>
  <c r="M180" i="33"/>
  <c r="N180" i="33"/>
  <c r="O180" i="33"/>
  <c r="P180" i="33"/>
  <c r="Q180" i="33"/>
  <c r="R180" i="33"/>
  <c r="S180" i="33"/>
  <c r="T180" i="33"/>
  <c r="U180" i="33"/>
  <c r="V180" i="33"/>
  <c r="W180" i="33"/>
  <c r="X180" i="33"/>
  <c r="F181" i="33"/>
  <c r="G181" i="33"/>
  <c r="H181" i="33"/>
  <c r="I181" i="33"/>
  <c r="J181" i="33"/>
  <c r="K181" i="33"/>
  <c r="L181" i="33"/>
  <c r="M181" i="33"/>
  <c r="N181" i="33"/>
  <c r="O181" i="33"/>
  <c r="P181" i="33"/>
  <c r="Q181" i="33"/>
  <c r="R181" i="33"/>
  <c r="S181" i="33"/>
  <c r="T181" i="33"/>
  <c r="U181" i="33"/>
  <c r="V181" i="33"/>
  <c r="W181" i="33"/>
  <c r="X181" i="33"/>
  <c r="F182" i="33"/>
  <c r="G182" i="33"/>
  <c r="H182" i="33"/>
  <c r="I182" i="33"/>
  <c r="J182" i="33"/>
  <c r="K182" i="33"/>
  <c r="L182" i="33"/>
  <c r="M182" i="33"/>
  <c r="N182" i="33"/>
  <c r="O182" i="33"/>
  <c r="P182" i="33"/>
  <c r="Q182" i="33"/>
  <c r="R182" i="33"/>
  <c r="S182" i="33"/>
  <c r="T182" i="33"/>
  <c r="U182" i="33"/>
  <c r="V182" i="33"/>
  <c r="W182" i="33"/>
  <c r="X182" i="33"/>
  <c r="F183" i="33"/>
  <c r="G183" i="33"/>
  <c r="H183" i="33"/>
  <c r="I183" i="33"/>
  <c r="J183" i="33"/>
  <c r="K183" i="33"/>
  <c r="L183" i="33"/>
  <c r="M183" i="33"/>
  <c r="N183" i="33"/>
  <c r="O183" i="33"/>
  <c r="P183" i="33"/>
  <c r="Q183" i="33"/>
  <c r="R183" i="33"/>
  <c r="S183" i="33"/>
  <c r="T183" i="33"/>
  <c r="U183" i="33"/>
  <c r="V183" i="33"/>
  <c r="W183" i="33"/>
  <c r="X183" i="33"/>
  <c r="F185" i="33"/>
  <c r="G185" i="33"/>
  <c r="H185" i="33"/>
  <c r="I185" i="33"/>
  <c r="J185" i="33"/>
  <c r="K185" i="33"/>
  <c r="L185" i="33"/>
  <c r="M185" i="33"/>
  <c r="N185" i="33"/>
  <c r="O185" i="33"/>
  <c r="P185" i="33"/>
  <c r="Q185" i="33"/>
  <c r="R185" i="33"/>
  <c r="S185" i="33"/>
  <c r="T185" i="33"/>
  <c r="U185" i="33"/>
  <c r="V185" i="33"/>
  <c r="W185" i="33"/>
  <c r="X185" i="33"/>
  <c r="F186" i="33"/>
  <c r="G186" i="33"/>
  <c r="H186" i="33"/>
  <c r="I186" i="33"/>
  <c r="J186" i="33"/>
  <c r="K186" i="33"/>
  <c r="L186" i="33"/>
  <c r="M186" i="33"/>
  <c r="N186" i="33"/>
  <c r="O186" i="33"/>
  <c r="P186" i="33"/>
  <c r="Q186" i="33"/>
  <c r="R186" i="33"/>
  <c r="S186" i="33"/>
  <c r="T186" i="33"/>
  <c r="U186" i="33"/>
  <c r="V186" i="33"/>
  <c r="W186" i="33"/>
  <c r="X186" i="33"/>
  <c r="F187" i="33"/>
  <c r="G187" i="33"/>
  <c r="H187" i="33"/>
  <c r="I187" i="33"/>
  <c r="J187" i="33"/>
  <c r="K187" i="33"/>
  <c r="L187" i="33"/>
  <c r="M187" i="33"/>
  <c r="N187" i="33"/>
  <c r="O187" i="33"/>
  <c r="P187" i="33"/>
  <c r="Q187" i="33"/>
  <c r="R187" i="33"/>
  <c r="S187" i="33"/>
  <c r="T187" i="33"/>
  <c r="U187" i="33"/>
  <c r="V187" i="33"/>
  <c r="W187" i="33"/>
  <c r="X187" i="33"/>
  <c r="F188" i="33"/>
  <c r="G188" i="33"/>
  <c r="H188" i="33"/>
  <c r="I188" i="33"/>
  <c r="J188" i="33"/>
  <c r="K188" i="33"/>
  <c r="L188" i="33"/>
  <c r="M188" i="33"/>
  <c r="N188" i="33"/>
  <c r="O188" i="33"/>
  <c r="P188" i="33"/>
  <c r="Q188" i="33"/>
  <c r="R188" i="33"/>
  <c r="S188" i="33"/>
  <c r="T188" i="33"/>
  <c r="U188" i="33"/>
  <c r="V188" i="33"/>
  <c r="W188" i="33"/>
  <c r="X188" i="33"/>
  <c r="F189" i="33"/>
  <c r="G189" i="33"/>
  <c r="H189" i="33"/>
  <c r="I189" i="33"/>
  <c r="J189" i="33"/>
  <c r="K189" i="33"/>
  <c r="L189" i="33"/>
  <c r="M189" i="33"/>
  <c r="N189" i="33"/>
  <c r="O189" i="33"/>
  <c r="P189" i="33"/>
  <c r="Q189" i="33"/>
  <c r="R189" i="33"/>
  <c r="S189" i="33"/>
  <c r="T189" i="33"/>
  <c r="U189" i="33"/>
  <c r="V189" i="33"/>
  <c r="W189" i="33"/>
  <c r="X189" i="33"/>
  <c r="F190" i="33"/>
  <c r="G190" i="33"/>
  <c r="H190" i="33"/>
  <c r="I190" i="33"/>
  <c r="J190" i="33"/>
  <c r="K190" i="33"/>
  <c r="L190" i="33"/>
  <c r="M190" i="33"/>
  <c r="N190" i="33"/>
  <c r="O190" i="33"/>
  <c r="P190" i="33"/>
  <c r="Q190" i="33"/>
  <c r="R190" i="33"/>
  <c r="S190" i="33"/>
  <c r="T190" i="33"/>
  <c r="U190" i="33"/>
  <c r="V190" i="33"/>
  <c r="W190" i="33"/>
  <c r="X190" i="33"/>
  <c r="F191" i="33"/>
  <c r="G191" i="33"/>
  <c r="H191" i="33"/>
  <c r="I191" i="33"/>
  <c r="J191" i="33"/>
  <c r="K191" i="33"/>
  <c r="L191" i="33"/>
  <c r="M191" i="33"/>
  <c r="N191" i="33"/>
  <c r="O191" i="33"/>
  <c r="P191" i="33"/>
  <c r="Q191" i="33"/>
  <c r="R191" i="33"/>
  <c r="S191" i="33"/>
  <c r="T191" i="33"/>
  <c r="U191" i="33"/>
  <c r="V191" i="33"/>
  <c r="W191" i="33"/>
  <c r="X191" i="33"/>
  <c r="F192" i="33"/>
  <c r="G192" i="33"/>
  <c r="H192" i="33"/>
  <c r="I192" i="33"/>
  <c r="J192" i="33"/>
  <c r="K192" i="33"/>
  <c r="L192" i="33"/>
  <c r="M192" i="33"/>
  <c r="N192" i="33"/>
  <c r="O192" i="33"/>
  <c r="P192" i="33"/>
  <c r="Q192" i="33"/>
  <c r="R192" i="33"/>
  <c r="S192" i="33"/>
  <c r="T192" i="33"/>
  <c r="U192" i="33"/>
  <c r="V192" i="33"/>
  <c r="W192" i="33"/>
  <c r="X192" i="33"/>
  <c r="F193" i="33"/>
  <c r="G193" i="33"/>
  <c r="H193" i="33"/>
  <c r="I193" i="33"/>
  <c r="J193" i="33"/>
  <c r="K193" i="33"/>
  <c r="L193" i="33"/>
  <c r="M193" i="33"/>
  <c r="N193" i="33"/>
  <c r="O193" i="33"/>
  <c r="P193" i="33"/>
  <c r="Q193" i="33"/>
  <c r="R193" i="33"/>
  <c r="S193" i="33"/>
  <c r="T193" i="33"/>
  <c r="U193" i="33"/>
  <c r="V193" i="33"/>
  <c r="W193" i="33"/>
  <c r="X193" i="33"/>
  <c r="F194" i="33"/>
  <c r="G194" i="33"/>
  <c r="H194" i="33"/>
  <c r="I194" i="33"/>
  <c r="J194" i="33"/>
  <c r="K194" i="33"/>
  <c r="L194" i="33"/>
  <c r="M194" i="33"/>
  <c r="N194" i="33"/>
  <c r="O194" i="33"/>
  <c r="P194" i="33"/>
  <c r="Q194" i="33"/>
  <c r="R194" i="33"/>
  <c r="S194" i="33"/>
  <c r="T194" i="33"/>
  <c r="U194" i="33"/>
  <c r="V194" i="33"/>
  <c r="W194" i="33"/>
  <c r="X194" i="33"/>
  <c r="F199" i="33"/>
  <c r="G199" i="33"/>
  <c r="H199" i="33"/>
  <c r="I199" i="33"/>
  <c r="J199" i="33"/>
  <c r="K199" i="33"/>
  <c r="L199" i="33"/>
  <c r="M199" i="33"/>
  <c r="N199" i="33"/>
  <c r="O199" i="33"/>
  <c r="P199" i="33"/>
  <c r="Q199" i="33"/>
  <c r="R199" i="33"/>
  <c r="S199" i="33"/>
  <c r="T199" i="33"/>
  <c r="U199" i="33"/>
  <c r="V199" i="33"/>
  <c r="W199" i="33"/>
  <c r="F200" i="33"/>
  <c r="G200" i="33"/>
  <c r="H200" i="33"/>
  <c r="I200" i="33"/>
  <c r="J200" i="33"/>
  <c r="K200" i="33"/>
  <c r="L200" i="33"/>
  <c r="M200" i="33"/>
  <c r="N200" i="33"/>
  <c r="O200" i="33"/>
  <c r="P200" i="33"/>
  <c r="Q200" i="33"/>
  <c r="R200" i="33"/>
  <c r="S200" i="33"/>
  <c r="T200" i="33"/>
  <c r="U200" i="33"/>
  <c r="V200" i="33"/>
  <c r="W200" i="33"/>
  <c r="F201" i="33"/>
  <c r="G201" i="33"/>
  <c r="H201" i="33"/>
  <c r="I201" i="33"/>
  <c r="J201" i="33"/>
  <c r="K201" i="33"/>
  <c r="L201" i="33"/>
  <c r="M201" i="33"/>
  <c r="N201" i="33"/>
  <c r="O201" i="33"/>
  <c r="P201" i="33"/>
  <c r="Q201" i="33"/>
  <c r="R201" i="33"/>
  <c r="S201" i="33"/>
  <c r="T201" i="33"/>
  <c r="U201" i="33"/>
  <c r="V201" i="33"/>
  <c r="W201" i="33"/>
  <c r="F202" i="33"/>
  <c r="G202" i="33"/>
  <c r="H202" i="33"/>
  <c r="I202" i="33"/>
  <c r="J202" i="33"/>
  <c r="K202" i="33"/>
  <c r="L202" i="33"/>
  <c r="M202" i="33"/>
  <c r="N202" i="33"/>
  <c r="O202" i="33"/>
  <c r="P202" i="33"/>
  <c r="Q202" i="33"/>
  <c r="R202" i="33"/>
  <c r="S202" i="33"/>
  <c r="T202" i="33"/>
  <c r="U202" i="33"/>
  <c r="V202" i="33"/>
  <c r="W202" i="33"/>
  <c r="F203" i="33"/>
  <c r="G203" i="33"/>
  <c r="H203" i="33"/>
  <c r="I203" i="33"/>
  <c r="J203" i="33"/>
  <c r="K203" i="33"/>
  <c r="L203" i="33"/>
  <c r="M203" i="33"/>
  <c r="N203" i="33"/>
  <c r="O203" i="33"/>
  <c r="P203" i="33"/>
  <c r="Q203" i="33"/>
  <c r="R203" i="33"/>
  <c r="S203" i="33"/>
  <c r="T203" i="33"/>
  <c r="U203" i="33"/>
  <c r="V203" i="33"/>
  <c r="W203" i="33"/>
  <c r="F204" i="33"/>
  <c r="G204" i="33"/>
  <c r="H204" i="33"/>
  <c r="I204" i="33"/>
  <c r="J204" i="33"/>
  <c r="K204" i="33"/>
  <c r="L204" i="33"/>
  <c r="M204" i="33"/>
  <c r="N204" i="33"/>
  <c r="O204" i="33"/>
  <c r="P204" i="33"/>
  <c r="Q204" i="33"/>
  <c r="R204" i="33"/>
  <c r="S204" i="33"/>
  <c r="T204" i="33"/>
  <c r="U204" i="33"/>
  <c r="V204" i="33"/>
  <c r="W204" i="33"/>
  <c r="F205" i="33"/>
  <c r="G205" i="33"/>
  <c r="H205" i="33"/>
  <c r="I205" i="33"/>
  <c r="J205" i="33"/>
  <c r="K205" i="33"/>
  <c r="L205" i="33"/>
  <c r="M205" i="33"/>
  <c r="N205" i="33"/>
  <c r="O205" i="33"/>
  <c r="P205" i="33"/>
  <c r="Q205" i="33"/>
  <c r="R205" i="33"/>
  <c r="S205" i="33"/>
  <c r="T205" i="33"/>
  <c r="U205" i="33"/>
  <c r="V205" i="33"/>
  <c r="W205" i="33"/>
  <c r="F206" i="33"/>
  <c r="G206" i="33"/>
  <c r="H206" i="33"/>
  <c r="I206" i="33"/>
  <c r="J206" i="33"/>
  <c r="K206" i="33"/>
  <c r="L206" i="33"/>
  <c r="M206" i="33"/>
  <c r="N206" i="33"/>
  <c r="O206" i="33"/>
  <c r="P206" i="33"/>
  <c r="Q206" i="33"/>
  <c r="R206" i="33"/>
  <c r="S206" i="33"/>
  <c r="T206" i="33"/>
  <c r="U206" i="33"/>
  <c r="V206" i="33"/>
  <c r="W206" i="33"/>
  <c r="F208" i="33"/>
  <c r="G208" i="33"/>
  <c r="H208" i="33"/>
  <c r="I208" i="33"/>
  <c r="J208" i="33"/>
  <c r="K208" i="33"/>
  <c r="L208" i="33"/>
  <c r="M208" i="33"/>
  <c r="N208" i="33"/>
  <c r="O208" i="33"/>
  <c r="P208" i="33"/>
  <c r="Q208" i="33"/>
  <c r="R208" i="33"/>
  <c r="S208" i="33"/>
  <c r="T208" i="33"/>
  <c r="U208" i="33"/>
  <c r="V208" i="33"/>
  <c r="W208" i="33"/>
  <c r="X208" i="33"/>
  <c r="F209" i="33"/>
  <c r="G209" i="33"/>
  <c r="H209" i="33"/>
  <c r="I209" i="33"/>
  <c r="J209" i="33"/>
  <c r="K209" i="33"/>
  <c r="L209" i="33"/>
  <c r="M209" i="33"/>
  <c r="N209" i="33"/>
  <c r="O209" i="33"/>
  <c r="P209" i="33"/>
  <c r="Q209" i="33"/>
  <c r="R209" i="33"/>
  <c r="S209" i="33"/>
  <c r="T209" i="33"/>
  <c r="U209" i="33"/>
  <c r="V209" i="33"/>
  <c r="W209" i="33"/>
  <c r="X209" i="33"/>
  <c r="F210" i="33"/>
  <c r="G210" i="33"/>
  <c r="H210" i="33"/>
  <c r="I210" i="33"/>
  <c r="J210" i="33"/>
  <c r="K210" i="33"/>
  <c r="L210" i="33"/>
  <c r="M210" i="33"/>
  <c r="N210" i="33"/>
  <c r="O210" i="33"/>
  <c r="P210" i="33"/>
  <c r="Q210" i="33"/>
  <c r="R210" i="33"/>
  <c r="S210" i="33"/>
  <c r="T210" i="33"/>
  <c r="U210" i="33"/>
  <c r="V210" i="33"/>
  <c r="W210" i="33"/>
  <c r="X210" i="33"/>
  <c r="F211" i="33"/>
  <c r="G211" i="33"/>
  <c r="H211" i="33"/>
  <c r="I211" i="33"/>
  <c r="J211" i="33"/>
  <c r="K211" i="33"/>
  <c r="L211" i="33"/>
  <c r="M211" i="33"/>
  <c r="N211" i="33"/>
  <c r="O211" i="33"/>
  <c r="P211" i="33"/>
  <c r="Q211" i="33"/>
  <c r="R211" i="33"/>
  <c r="S211" i="33"/>
  <c r="T211" i="33"/>
  <c r="U211" i="33"/>
  <c r="V211" i="33"/>
  <c r="W211" i="33"/>
  <c r="X211" i="33"/>
  <c r="F212" i="33"/>
  <c r="G212" i="33"/>
  <c r="H212" i="33"/>
  <c r="I212" i="33"/>
  <c r="J212" i="33"/>
  <c r="K212" i="33"/>
  <c r="L212" i="33"/>
  <c r="M212" i="33"/>
  <c r="N212" i="33"/>
  <c r="O212" i="33"/>
  <c r="P212" i="33"/>
  <c r="Q212" i="33"/>
  <c r="R212" i="33"/>
  <c r="S212" i="33"/>
  <c r="T212" i="33"/>
  <c r="U212" i="33"/>
  <c r="V212" i="33"/>
  <c r="W212" i="33"/>
  <c r="X212" i="33"/>
  <c r="F213" i="33"/>
  <c r="G213" i="33"/>
  <c r="H213" i="33"/>
  <c r="I213" i="33"/>
  <c r="J213" i="33"/>
  <c r="K213" i="33"/>
  <c r="L213" i="33"/>
  <c r="M213" i="33"/>
  <c r="N213" i="33"/>
  <c r="O213" i="33"/>
  <c r="P213" i="33"/>
  <c r="Q213" i="33"/>
  <c r="R213" i="33"/>
  <c r="S213" i="33"/>
  <c r="T213" i="33"/>
  <c r="U213" i="33"/>
  <c r="V213" i="33"/>
  <c r="W213" i="33"/>
  <c r="X213" i="33"/>
  <c r="F214" i="33"/>
  <c r="G214" i="33"/>
  <c r="H214" i="33"/>
  <c r="I214" i="33"/>
  <c r="J214" i="33"/>
  <c r="K214" i="33"/>
  <c r="L214" i="33"/>
  <c r="M214" i="33"/>
  <c r="N214" i="33"/>
  <c r="O214" i="33"/>
  <c r="P214" i="33"/>
  <c r="Q214" i="33"/>
  <c r="R214" i="33"/>
  <c r="S214" i="33"/>
  <c r="T214" i="33"/>
  <c r="U214" i="33"/>
  <c r="V214" i="33"/>
  <c r="W214" i="33"/>
  <c r="X214" i="33"/>
  <c r="F215" i="33"/>
  <c r="G215" i="33"/>
  <c r="H215" i="33"/>
  <c r="I215" i="33"/>
  <c r="J215" i="33"/>
  <c r="K215" i="33"/>
  <c r="L215" i="33"/>
  <c r="M215" i="33"/>
  <c r="N215" i="33"/>
  <c r="O215" i="33"/>
  <c r="P215" i="33"/>
  <c r="Q215" i="33"/>
  <c r="R215" i="33"/>
  <c r="S215" i="33"/>
  <c r="T215" i="33"/>
  <c r="U215" i="33"/>
  <c r="V215" i="33"/>
  <c r="W215" i="33"/>
  <c r="X215" i="33"/>
  <c r="F216" i="33"/>
  <c r="G216" i="33"/>
  <c r="H216" i="33"/>
  <c r="I216" i="33"/>
  <c r="J216" i="33"/>
  <c r="K216" i="33"/>
  <c r="L216" i="33"/>
  <c r="M216" i="33"/>
  <c r="N216" i="33"/>
  <c r="O216" i="33"/>
  <c r="P216" i="33"/>
  <c r="Q216" i="33"/>
  <c r="R216" i="33"/>
  <c r="S216" i="33"/>
  <c r="T216" i="33"/>
  <c r="U216" i="33"/>
  <c r="V216" i="33"/>
  <c r="W216" i="33"/>
  <c r="X216" i="33"/>
  <c r="F217" i="33"/>
  <c r="G217" i="33"/>
  <c r="H217" i="33"/>
  <c r="I217" i="33"/>
  <c r="J217" i="33"/>
  <c r="K217" i="33"/>
  <c r="L217" i="33"/>
  <c r="M217" i="33"/>
  <c r="N217" i="33"/>
  <c r="O217" i="33"/>
  <c r="P217" i="33"/>
  <c r="Q217" i="33"/>
  <c r="R217" i="33"/>
  <c r="S217" i="33"/>
  <c r="T217" i="33"/>
  <c r="U217" i="33"/>
  <c r="V217" i="33"/>
  <c r="W217" i="33"/>
  <c r="X217" i="33"/>
  <c r="F218" i="33"/>
  <c r="G218" i="33"/>
  <c r="H218" i="33"/>
  <c r="I218" i="33"/>
  <c r="J218" i="33"/>
  <c r="K218" i="33"/>
  <c r="L218" i="33"/>
  <c r="M218" i="33"/>
  <c r="N218" i="33"/>
  <c r="O218" i="33"/>
  <c r="P218" i="33"/>
  <c r="Q218" i="33"/>
  <c r="R218" i="33"/>
  <c r="S218" i="33"/>
  <c r="T218" i="33"/>
  <c r="U218" i="33"/>
  <c r="V218" i="33"/>
  <c r="W218" i="33"/>
  <c r="X218" i="33"/>
  <c r="F219" i="33"/>
  <c r="G219" i="33"/>
  <c r="H219" i="33"/>
  <c r="I219" i="33"/>
  <c r="J219" i="33"/>
  <c r="K219" i="33"/>
  <c r="L219" i="33"/>
  <c r="M219" i="33"/>
  <c r="N219" i="33"/>
  <c r="O219" i="33"/>
  <c r="P219" i="33"/>
  <c r="Q219" i="33"/>
  <c r="R219" i="33"/>
  <c r="S219" i="33"/>
  <c r="T219" i="33"/>
  <c r="U219" i="33"/>
  <c r="V219" i="33"/>
  <c r="W219" i="33"/>
  <c r="X219" i="33"/>
  <c r="F221" i="33"/>
  <c r="G221" i="33"/>
  <c r="H221" i="33"/>
  <c r="I221" i="33"/>
  <c r="J221" i="33"/>
  <c r="K221" i="33"/>
  <c r="L221" i="33"/>
  <c r="M221" i="33"/>
  <c r="N221" i="33"/>
  <c r="O221" i="33"/>
  <c r="P221" i="33"/>
  <c r="Q221" i="33"/>
  <c r="R221" i="33"/>
  <c r="S221" i="33"/>
  <c r="T221" i="33"/>
  <c r="U221" i="33"/>
  <c r="V221" i="33"/>
  <c r="W221" i="33"/>
  <c r="X221" i="33"/>
  <c r="F222" i="33"/>
  <c r="G222" i="33"/>
  <c r="H222" i="33"/>
  <c r="I222" i="33"/>
  <c r="J222" i="33"/>
  <c r="K222" i="33"/>
  <c r="L222" i="33"/>
  <c r="M222" i="33"/>
  <c r="N222" i="33"/>
  <c r="O222" i="33"/>
  <c r="P222" i="33"/>
  <c r="Q222" i="33"/>
  <c r="R222" i="33"/>
  <c r="S222" i="33"/>
  <c r="T222" i="33"/>
  <c r="U222" i="33"/>
  <c r="V222" i="33"/>
  <c r="W222" i="33"/>
  <c r="X222" i="33"/>
  <c r="F223" i="33"/>
  <c r="G223" i="33"/>
  <c r="H223" i="33"/>
  <c r="I223" i="33"/>
  <c r="J223" i="33"/>
  <c r="K223" i="33"/>
  <c r="L223" i="33"/>
  <c r="M223" i="33"/>
  <c r="N223" i="33"/>
  <c r="O223" i="33"/>
  <c r="P223" i="33"/>
  <c r="Q223" i="33"/>
  <c r="R223" i="33"/>
  <c r="S223" i="33"/>
  <c r="T223" i="33"/>
  <c r="U223" i="33"/>
  <c r="V223" i="33"/>
  <c r="W223" i="33"/>
  <c r="X223" i="33"/>
  <c r="F224" i="33"/>
  <c r="G224" i="33"/>
  <c r="H224" i="33"/>
  <c r="I224" i="33"/>
  <c r="J224" i="33"/>
  <c r="K224" i="33"/>
  <c r="L224" i="33"/>
  <c r="M224" i="33"/>
  <c r="N224" i="33"/>
  <c r="O224" i="33"/>
  <c r="P224" i="33"/>
  <c r="Q224" i="33"/>
  <c r="R224" i="33"/>
  <c r="S224" i="33"/>
  <c r="T224" i="33"/>
  <c r="U224" i="33"/>
  <c r="V224" i="33"/>
  <c r="W224" i="33"/>
  <c r="X224" i="33"/>
  <c r="F225" i="33"/>
  <c r="G225" i="33"/>
  <c r="H225" i="33"/>
  <c r="I225" i="33"/>
  <c r="J225" i="33"/>
  <c r="K225" i="33"/>
  <c r="L225" i="33"/>
  <c r="M225" i="33"/>
  <c r="N225" i="33"/>
  <c r="O225" i="33"/>
  <c r="P225" i="33"/>
  <c r="Q225" i="33"/>
  <c r="R225" i="33"/>
  <c r="S225" i="33"/>
  <c r="T225" i="33"/>
  <c r="U225" i="33"/>
  <c r="V225" i="33"/>
  <c r="W225" i="33"/>
  <c r="X225" i="33"/>
  <c r="F226" i="33"/>
  <c r="G226" i="33"/>
  <c r="H226" i="33"/>
  <c r="I226" i="33"/>
  <c r="J226" i="33"/>
  <c r="K226" i="33"/>
  <c r="L226" i="33"/>
  <c r="M226" i="33"/>
  <c r="N226" i="33"/>
  <c r="O226" i="33"/>
  <c r="P226" i="33"/>
  <c r="Q226" i="33"/>
  <c r="R226" i="33"/>
  <c r="S226" i="33"/>
  <c r="T226" i="33"/>
  <c r="U226" i="33"/>
  <c r="V226" i="33"/>
  <c r="W226" i="33"/>
  <c r="X226" i="33"/>
  <c r="F227" i="33"/>
  <c r="G227" i="33"/>
  <c r="H227" i="33"/>
  <c r="I227" i="33"/>
  <c r="J227" i="33"/>
  <c r="K227" i="33"/>
  <c r="L227" i="33"/>
  <c r="M227" i="33"/>
  <c r="N227" i="33"/>
  <c r="O227" i="33"/>
  <c r="P227" i="33"/>
  <c r="Q227" i="33"/>
  <c r="R227" i="33"/>
  <c r="S227" i="33"/>
  <c r="T227" i="33"/>
  <c r="U227" i="33"/>
  <c r="V227" i="33"/>
  <c r="W227" i="33"/>
  <c r="X227" i="33"/>
  <c r="F228" i="33"/>
  <c r="G228" i="33"/>
  <c r="H228" i="33"/>
  <c r="I228" i="33"/>
  <c r="J228" i="33"/>
  <c r="K228" i="33"/>
  <c r="L228" i="33"/>
  <c r="M228" i="33"/>
  <c r="N228" i="33"/>
  <c r="O228" i="33"/>
  <c r="P228" i="33"/>
  <c r="Q228" i="33"/>
  <c r="R228" i="33"/>
  <c r="S228" i="33"/>
  <c r="T228" i="33"/>
  <c r="U228" i="33"/>
  <c r="V228" i="33"/>
  <c r="W228" i="33"/>
  <c r="X228" i="33"/>
  <c r="F229" i="33"/>
  <c r="G229" i="33"/>
  <c r="H229" i="33"/>
  <c r="I229" i="33"/>
  <c r="J229" i="33"/>
  <c r="K229" i="33"/>
  <c r="L229" i="33"/>
  <c r="M229" i="33"/>
  <c r="N229" i="33"/>
  <c r="O229" i="33"/>
  <c r="P229" i="33"/>
  <c r="Q229" i="33"/>
  <c r="R229" i="33"/>
  <c r="S229" i="33"/>
  <c r="T229" i="33"/>
  <c r="U229" i="33"/>
  <c r="V229" i="33"/>
  <c r="W229" i="33"/>
  <c r="X229" i="33"/>
  <c r="F230" i="33"/>
  <c r="G230" i="33"/>
  <c r="H230" i="33"/>
  <c r="I230" i="33"/>
  <c r="J230" i="33"/>
  <c r="K230" i="33"/>
  <c r="L230" i="33"/>
  <c r="M230" i="33"/>
  <c r="N230" i="33"/>
  <c r="O230" i="33"/>
  <c r="P230" i="33"/>
  <c r="Q230" i="33"/>
  <c r="R230" i="33"/>
  <c r="S230" i="33"/>
  <c r="T230" i="33"/>
  <c r="U230" i="33"/>
  <c r="V230" i="33"/>
  <c r="W230" i="33"/>
  <c r="X230" i="33"/>
  <c r="F232" i="33"/>
  <c r="G232" i="33"/>
  <c r="H232" i="33"/>
  <c r="I232" i="33"/>
  <c r="J232" i="33"/>
  <c r="K232" i="33"/>
  <c r="L232" i="33"/>
  <c r="M232" i="33"/>
  <c r="N232" i="33"/>
  <c r="O232" i="33"/>
  <c r="P232" i="33"/>
  <c r="Q232" i="33"/>
  <c r="R232" i="33"/>
  <c r="S232" i="33"/>
  <c r="T232" i="33"/>
  <c r="U232" i="33"/>
  <c r="V232" i="33"/>
  <c r="W232" i="33"/>
  <c r="X232" i="33"/>
  <c r="F234" i="33"/>
  <c r="G234" i="33"/>
  <c r="H234" i="33"/>
  <c r="I234" i="33"/>
  <c r="J234" i="33"/>
  <c r="K234" i="33"/>
  <c r="L234" i="33"/>
  <c r="M234" i="33"/>
  <c r="N234" i="33"/>
  <c r="O234" i="33"/>
  <c r="P234" i="33"/>
  <c r="Q234" i="33"/>
  <c r="R234" i="33"/>
  <c r="S234" i="33"/>
  <c r="T234" i="33"/>
  <c r="U234" i="33"/>
  <c r="V234" i="33"/>
  <c r="W234" i="33"/>
  <c r="X234" i="33"/>
  <c r="F239" i="33"/>
  <c r="G239" i="33"/>
  <c r="H239" i="33"/>
  <c r="I239" i="33"/>
  <c r="J239" i="33"/>
  <c r="K239" i="33"/>
  <c r="L239" i="33"/>
  <c r="M239" i="33"/>
  <c r="N239" i="33"/>
  <c r="O239" i="33"/>
  <c r="P239" i="33"/>
  <c r="Q239" i="33"/>
  <c r="R239" i="33"/>
  <c r="S239" i="33"/>
  <c r="T239" i="33"/>
  <c r="U239" i="33"/>
  <c r="V239" i="33"/>
  <c r="W239" i="33"/>
  <c r="X239" i="33"/>
  <c r="F241" i="33"/>
  <c r="G241" i="33"/>
  <c r="H241" i="33"/>
  <c r="I241" i="33"/>
  <c r="J241" i="33"/>
  <c r="K241" i="33"/>
  <c r="L241" i="33"/>
  <c r="M241" i="33"/>
  <c r="N241" i="33"/>
  <c r="O241" i="33"/>
  <c r="P241" i="33"/>
  <c r="Q241" i="33"/>
  <c r="R241" i="33"/>
  <c r="S241" i="33"/>
  <c r="T241" i="33"/>
  <c r="U241" i="33"/>
  <c r="V241" i="33"/>
  <c r="W241" i="33"/>
  <c r="X241" i="33"/>
  <c r="F242" i="33"/>
  <c r="G242" i="33"/>
  <c r="H242" i="33"/>
  <c r="I242" i="33"/>
  <c r="J242" i="33"/>
  <c r="K242" i="33"/>
  <c r="L242" i="33"/>
  <c r="M242" i="33"/>
  <c r="N242" i="33"/>
  <c r="O242" i="33"/>
  <c r="P242" i="33"/>
  <c r="Q242" i="33"/>
  <c r="R242" i="33"/>
  <c r="S242" i="33"/>
  <c r="T242" i="33"/>
  <c r="U242" i="33"/>
  <c r="V242" i="33"/>
  <c r="W242" i="33"/>
  <c r="X242" i="33"/>
  <c r="F243" i="33"/>
  <c r="G243" i="33"/>
  <c r="H243" i="33"/>
  <c r="I243" i="33"/>
  <c r="J243" i="33"/>
  <c r="K243" i="33"/>
  <c r="L243" i="33"/>
  <c r="M243" i="33"/>
  <c r="N243" i="33"/>
  <c r="O243" i="33"/>
  <c r="P243" i="33"/>
  <c r="Q243" i="33"/>
  <c r="R243" i="33"/>
  <c r="S243" i="33"/>
  <c r="T243" i="33"/>
  <c r="U243" i="33"/>
  <c r="V243" i="33"/>
  <c r="W243" i="33"/>
  <c r="X243" i="33"/>
  <c r="F244" i="33"/>
  <c r="G244" i="33"/>
  <c r="H244" i="33"/>
  <c r="I244" i="33"/>
  <c r="J244" i="33"/>
  <c r="K244" i="33"/>
  <c r="L244" i="33"/>
  <c r="M244" i="33"/>
  <c r="N244" i="33"/>
  <c r="O244" i="33"/>
  <c r="P244" i="33"/>
  <c r="Q244" i="33"/>
  <c r="R244" i="33"/>
  <c r="S244" i="33"/>
  <c r="T244" i="33"/>
  <c r="U244" i="33"/>
  <c r="V244" i="33"/>
  <c r="W244" i="33"/>
  <c r="X244" i="33"/>
  <c r="F245" i="33"/>
  <c r="G245" i="33"/>
  <c r="H245" i="33"/>
  <c r="I245" i="33"/>
  <c r="J245" i="33"/>
  <c r="K245" i="33"/>
  <c r="L245" i="33"/>
  <c r="M245" i="33"/>
  <c r="N245" i="33"/>
  <c r="O245" i="33"/>
  <c r="P245" i="33"/>
  <c r="Q245" i="33"/>
  <c r="R245" i="33"/>
  <c r="S245" i="33"/>
  <c r="T245" i="33"/>
  <c r="U245" i="33"/>
  <c r="V245" i="33"/>
  <c r="W245" i="33"/>
  <c r="X245" i="33"/>
  <c r="F246" i="33"/>
  <c r="G246" i="33"/>
  <c r="H246" i="33"/>
  <c r="I246" i="33"/>
  <c r="J246" i="33"/>
  <c r="K246" i="33"/>
  <c r="L246" i="33"/>
  <c r="M246" i="33"/>
  <c r="N246" i="33"/>
  <c r="O246" i="33"/>
  <c r="P246" i="33"/>
  <c r="Q246" i="33"/>
  <c r="R246" i="33"/>
  <c r="S246" i="33"/>
  <c r="T246" i="33"/>
  <c r="U246" i="33"/>
  <c r="V246" i="33"/>
  <c r="W246" i="33"/>
  <c r="X246" i="33"/>
  <c r="AH235" i="33" l="1"/>
  <c r="AU87" i="33"/>
  <c r="AQ9" i="33"/>
  <c r="AI9" i="33"/>
  <c r="AA9" i="33"/>
  <c r="AS156" i="33"/>
  <c r="AT156" i="33" s="1"/>
  <c r="AV156" i="33" s="1"/>
  <c r="AD9" i="33"/>
  <c r="AS248" i="33"/>
  <c r="AT248" i="33" s="1"/>
  <c r="AV248" i="33" s="1"/>
  <c r="AS154" i="33"/>
  <c r="AT154" i="33" s="1"/>
  <c r="AV154" i="33" s="1"/>
  <c r="O20" i="33"/>
  <c r="K20" i="33"/>
  <c r="AK235" i="33"/>
  <c r="AU197" i="33"/>
  <c r="AU237" i="33" s="1"/>
  <c r="AU249" i="33" s="1"/>
  <c r="AU252" i="33" s="1"/>
  <c r="AU251" i="33" s="1"/>
  <c r="R20" i="33"/>
  <c r="J20" i="33"/>
  <c r="AS236" i="33"/>
  <c r="AT236" i="33" s="1"/>
  <c r="AV236" i="33" s="1"/>
  <c r="V24" i="33"/>
  <c r="AA235" i="33"/>
  <c r="AN24" i="33"/>
  <c r="AP20" i="33"/>
  <c r="AH20" i="33"/>
  <c r="R86" i="33"/>
  <c r="G20" i="33"/>
  <c r="AE235" i="33"/>
  <c r="AM16" i="33"/>
  <c r="AE16" i="33"/>
  <c r="AS150" i="33"/>
  <c r="AT150" i="33" s="1"/>
  <c r="AV150" i="33" s="1"/>
  <c r="AS104" i="33"/>
  <c r="AT104" i="33" s="1"/>
  <c r="AV104" i="33" s="1"/>
  <c r="AS147" i="33"/>
  <c r="AT147" i="33" s="1"/>
  <c r="AV147" i="33" s="1"/>
  <c r="N235" i="33"/>
  <c r="N24" i="33"/>
  <c r="F24" i="33"/>
  <c r="AS102" i="33"/>
  <c r="AT102" i="33" s="1"/>
  <c r="AV102" i="33" s="1"/>
  <c r="M235" i="33"/>
  <c r="J24" i="33"/>
  <c r="J25" i="33" s="1"/>
  <c r="AP207" i="33"/>
  <c r="AO20" i="33"/>
  <c r="AN86" i="33"/>
  <c r="AL16" i="33"/>
  <c r="AD16" i="33"/>
  <c r="AL235" i="33"/>
  <c r="AQ235" i="33"/>
  <c r="AI235" i="33"/>
  <c r="AJ235" i="33"/>
  <c r="V235" i="33"/>
  <c r="F235" i="33"/>
  <c r="W20" i="33"/>
  <c r="Q235" i="33"/>
  <c r="I235" i="33"/>
  <c r="Q24" i="33"/>
  <c r="I24" i="33"/>
  <c r="Z20" i="33"/>
  <c r="Z145" i="33"/>
  <c r="AF235" i="33"/>
  <c r="AN235" i="33"/>
  <c r="AM20" i="33"/>
  <c r="AE20" i="33"/>
  <c r="S20" i="33"/>
  <c r="AB235" i="33"/>
  <c r="F231" i="33"/>
  <c r="Q59" i="33"/>
  <c r="AF145" i="33"/>
  <c r="AP81" i="33"/>
  <c r="P235" i="33"/>
  <c r="H235" i="33"/>
  <c r="W81" i="33"/>
  <c r="O81" i="33"/>
  <c r="N76" i="33"/>
  <c r="AR7" i="33"/>
  <c r="AR29" i="33"/>
  <c r="AR38" i="33"/>
  <c r="Z59" i="33"/>
  <c r="Z69" i="33"/>
  <c r="AR85" i="33"/>
  <c r="AR96" i="33"/>
  <c r="Z171" i="33"/>
  <c r="AR243" i="33"/>
  <c r="AF24" i="33"/>
  <c r="G220" i="33"/>
  <c r="V220" i="33"/>
  <c r="L145" i="33"/>
  <c r="V127" i="33"/>
  <c r="J86" i="33"/>
  <c r="R24" i="33"/>
  <c r="R25" i="33" s="1"/>
  <c r="AB171" i="33"/>
  <c r="AL81" i="33"/>
  <c r="N231" i="33"/>
  <c r="V20" i="33"/>
  <c r="N20" i="33"/>
  <c r="F20" i="33"/>
  <c r="F25" i="33" s="1"/>
  <c r="G9" i="33"/>
  <c r="AD247" i="33"/>
  <c r="AD235" i="33"/>
  <c r="AM235" i="33"/>
  <c r="AJ171" i="33"/>
  <c r="AO86" i="33"/>
  <c r="AG86" i="33"/>
  <c r="AP86" i="33"/>
  <c r="AH86" i="33"/>
  <c r="AL24" i="33"/>
  <c r="AD24" i="33"/>
  <c r="R207" i="33"/>
  <c r="G153" i="33"/>
  <c r="J69" i="33"/>
  <c r="AR8" i="33"/>
  <c r="AR39" i="33"/>
  <c r="AR77" i="33"/>
  <c r="AH247" i="33"/>
  <c r="AC184" i="33"/>
  <c r="AD184" i="33"/>
  <c r="AC171" i="33"/>
  <c r="AK86" i="33"/>
  <c r="AC86" i="33"/>
  <c r="AH81" i="33"/>
  <c r="AQ24" i="33"/>
  <c r="AI24" i="33"/>
  <c r="W207" i="33"/>
  <c r="H113" i="33"/>
  <c r="G69" i="33"/>
  <c r="AR19" i="33"/>
  <c r="U235" i="33"/>
  <c r="U113" i="33"/>
  <c r="M113" i="33"/>
  <c r="R81" i="33"/>
  <c r="J81" i="33"/>
  <c r="F76" i="33"/>
  <c r="AR31" i="33"/>
  <c r="AR149" i="33"/>
  <c r="AN195" i="33"/>
  <c r="AF195" i="33"/>
  <c r="AG195" i="33"/>
  <c r="AP195" i="33"/>
  <c r="AH195" i="33"/>
  <c r="AQ195" i="33"/>
  <c r="AI195" i="33"/>
  <c r="AA195" i="33"/>
  <c r="AB195" i="33"/>
  <c r="AI16" i="33"/>
  <c r="AI17" i="33" s="1"/>
  <c r="AA16" i="33"/>
  <c r="AJ16" i="33"/>
  <c r="AB16" i="33"/>
  <c r="T171" i="33"/>
  <c r="L171" i="33"/>
  <c r="V153" i="33"/>
  <c r="Q153" i="33"/>
  <c r="I153" i="33"/>
  <c r="W153" i="33"/>
  <c r="O153" i="33"/>
  <c r="U138" i="33"/>
  <c r="T113" i="33"/>
  <c r="L113" i="33"/>
  <c r="W113" i="33"/>
  <c r="O113" i="33"/>
  <c r="G113" i="33"/>
  <c r="R113" i="33"/>
  <c r="J113" i="33"/>
  <c r="X86" i="33"/>
  <c r="P86" i="33"/>
  <c r="V76" i="33"/>
  <c r="W9" i="33"/>
  <c r="O9" i="33"/>
  <c r="AR11" i="33"/>
  <c r="AR22" i="33"/>
  <c r="AR32" i="33"/>
  <c r="AR41" i="33"/>
  <c r="AR91" i="33"/>
  <c r="AR99" i="33"/>
  <c r="AI113" i="33"/>
  <c r="AA113" i="33"/>
  <c r="AQ86" i="33"/>
  <c r="AI86" i="33"/>
  <c r="AA86" i="33"/>
  <c r="AJ86" i="33"/>
  <c r="AB86" i="33"/>
  <c r="AD81" i="33"/>
  <c r="AM81" i="33"/>
  <c r="AN81" i="33"/>
  <c r="AF81" i="33"/>
  <c r="AO81" i="33"/>
  <c r="AG81" i="33"/>
  <c r="AK20" i="33"/>
  <c r="AC20" i="33"/>
  <c r="AQ16" i="33"/>
  <c r="AQ17" i="33" s="1"/>
  <c r="O69" i="33"/>
  <c r="T235" i="33"/>
  <c r="O247" i="33"/>
  <c r="F207" i="33"/>
  <c r="M145" i="33"/>
  <c r="P145" i="33"/>
  <c r="H145" i="33"/>
  <c r="S145" i="33"/>
  <c r="K145" i="33"/>
  <c r="X46" i="33"/>
  <c r="AR12" i="33"/>
  <c r="AR33" i="33"/>
  <c r="AR42" i="33"/>
  <c r="AR92" i="33"/>
  <c r="AR152" i="33"/>
  <c r="AL247" i="33"/>
  <c r="AG247" i="33"/>
  <c r="AH207" i="33"/>
  <c r="AE184" i="33"/>
  <c r="AN46" i="33"/>
  <c r="AF46" i="33"/>
  <c r="AL37" i="33"/>
  <c r="AD37" i="33"/>
  <c r="AO37" i="33"/>
  <c r="AG37" i="33"/>
  <c r="G207" i="33"/>
  <c r="W247" i="33"/>
  <c r="K235" i="33"/>
  <c r="T184" i="33"/>
  <c r="L184" i="33"/>
  <c r="U184" i="33"/>
  <c r="M184" i="33"/>
  <c r="U145" i="33"/>
  <c r="Q86" i="33"/>
  <c r="I86" i="33"/>
  <c r="T86" i="33"/>
  <c r="L86" i="33"/>
  <c r="G81" i="33"/>
  <c r="K69" i="33"/>
  <c r="R16" i="33"/>
  <c r="J16" i="33"/>
  <c r="AR13" i="33"/>
  <c r="AR34" i="33"/>
  <c r="AR43" i="33"/>
  <c r="AR82" i="33"/>
  <c r="AR93" i="33"/>
  <c r="AR140" i="33"/>
  <c r="AR159" i="33"/>
  <c r="AF86" i="33"/>
  <c r="P113" i="33"/>
  <c r="H86" i="33"/>
  <c r="R69" i="33"/>
  <c r="AR30" i="33"/>
  <c r="L235" i="33"/>
  <c r="G247" i="33"/>
  <c r="S235" i="33"/>
  <c r="V101" i="33"/>
  <c r="N101" i="33"/>
  <c r="N81" i="33"/>
  <c r="Q81" i="33"/>
  <c r="I81" i="33"/>
  <c r="AR5" i="33"/>
  <c r="AR14" i="33"/>
  <c r="AR27" i="33"/>
  <c r="AR35" i="33"/>
  <c r="AR44" i="33"/>
  <c r="AR83" i="33"/>
  <c r="AQ59" i="33"/>
  <c r="AI59" i="33"/>
  <c r="AA59" i="33"/>
  <c r="AK9" i="33"/>
  <c r="AC9" i="33"/>
  <c r="O207" i="33"/>
  <c r="W69" i="33"/>
  <c r="Y244" i="33"/>
  <c r="S153" i="33"/>
  <c r="U59" i="33"/>
  <c r="M59" i="33"/>
  <c r="AR6" i="33"/>
  <c r="AR15" i="33"/>
  <c r="AR28" i="33"/>
  <c r="AR36" i="33"/>
  <c r="AR45" i="33"/>
  <c r="AR74" i="33"/>
  <c r="AR84" i="33"/>
  <c r="AR142" i="33"/>
  <c r="AM138" i="33"/>
  <c r="AK81" i="33"/>
  <c r="AP76" i="33"/>
  <c r="AH76" i="33"/>
  <c r="AA24" i="33"/>
  <c r="AN20" i="33"/>
  <c r="AF20" i="33"/>
  <c r="AG20" i="33"/>
  <c r="AR160" i="33"/>
  <c r="T145" i="33"/>
  <c r="AR139" i="33"/>
  <c r="AR97" i="33"/>
  <c r="AR141" i="33"/>
  <c r="X235" i="33"/>
  <c r="X145" i="33"/>
  <c r="P247" i="33"/>
  <c r="Y242" i="33"/>
  <c r="Y232" i="33"/>
  <c r="Y229" i="33"/>
  <c r="Y221" i="33"/>
  <c r="Y213" i="33"/>
  <c r="U207" i="33"/>
  <c r="M207" i="33"/>
  <c r="P207" i="33"/>
  <c r="H207" i="33"/>
  <c r="S207" i="33"/>
  <c r="K207" i="33"/>
  <c r="V207" i="33"/>
  <c r="N207" i="33"/>
  <c r="Y226" i="33"/>
  <c r="Y218" i="33"/>
  <c r="Y210" i="33"/>
  <c r="N247" i="33"/>
  <c r="F247" i="33"/>
  <c r="Y241" i="33"/>
  <c r="W231" i="33"/>
  <c r="O231" i="33"/>
  <c r="G231" i="33"/>
  <c r="U231" i="33"/>
  <c r="V231" i="33"/>
  <c r="Y223" i="33"/>
  <c r="N220" i="33"/>
  <c r="Y215" i="33"/>
  <c r="W220" i="33"/>
  <c r="O220" i="33"/>
  <c r="Y159" i="33"/>
  <c r="AS159" i="33" s="1"/>
  <c r="Y246" i="33"/>
  <c r="Y228" i="33"/>
  <c r="M231" i="33"/>
  <c r="F220" i="33"/>
  <c r="Y212" i="33"/>
  <c r="Y194" i="33"/>
  <c r="X195" i="33"/>
  <c r="P195" i="33"/>
  <c r="H195" i="33"/>
  <c r="V247" i="33"/>
  <c r="Y243" i="33"/>
  <c r="AS243" i="33" s="1"/>
  <c r="W235" i="33"/>
  <c r="O235" i="33"/>
  <c r="G235" i="33"/>
  <c r="R235" i="33"/>
  <c r="J235" i="33"/>
  <c r="Y225" i="33"/>
  <c r="Y217" i="33"/>
  <c r="Y209" i="33"/>
  <c r="T247" i="33"/>
  <c r="M247" i="33"/>
  <c r="S247" i="33"/>
  <c r="K247" i="33"/>
  <c r="Y239" i="33"/>
  <c r="Y234" i="33"/>
  <c r="Y230" i="33"/>
  <c r="Y222" i="33"/>
  <c r="Y214" i="33"/>
  <c r="Y170" i="33"/>
  <c r="L247" i="33"/>
  <c r="U247" i="33"/>
  <c r="Y245" i="33"/>
  <c r="R247" i="33"/>
  <c r="J247" i="33"/>
  <c r="Y227" i="33"/>
  <c r="Y219" i="33"/>
  <c r="Y211" i="33"/>
  <c r="Y152" i="33"/>
  <c r="F153" i="33"/>
  <c r="X247" i="33"/>
  <c r="H247" i="33"/>
  <c r="Q247" i="33"/>
  <c r="I247" i="33"/>
  <c r="Y224" i="33"/>
  <c r="Y216" i="33"/>
  <c r="Y208" i="33"/>
  <c r="Y190" i="33"/>
  <c r="L195" i="33"/>
  <c r="Y181" i="33"/>
  <c r="Y173" i="33"/>
  <c r="N153" i="33"/>
  <c r="Y188" i="33"/>
  <c r="Y179" i="33"/>
  <c r="Y168" i="33"/>
  <c r="Y149" i="33"/>
  <c r="Y131" i="33"/>
  <c r="Y109" i="33"/>
  <c r="Y98" i="33"/>
  <c r="Y90" i="33"/>
  <c r="U86" i="33"/>
  <c r="M86" i="33"/>
  <c r="F81" i="33"/>
  <c r="Y80" i="33"/>
  <c r="T81" i="33"/>
  <c r="L81" i="33"/>
  <c r="X76" i="33"/>
  <c r="P76" i="33"/>
  <c r="H76" i="33"/>
  <c r="S76" i="33"/>
  <c r="K76" i="33"/>
  <c r="Y72" i="33"/>
  <c r="Q76" i="33"/>
  <c r="I76" i="33"/>
  <c r="Y65" i="33"/>
  <c r="Y51" i="33"/>
  <c r="Y44" i="33"/>
  <c r="T46" i="33"/>
  <c r="L46" i="33"/>
  <c r="W46" i="33"/>
  <c r="O46" i="33"/>
  <c r="G46" i="33"/>
  <c r="R46" i="33"/>
  <c r="J46" i="33"/>
  <c r="U46" i="33"/>
  <c r="M46" i="33"/>
  <c r="P46" i="33"/>
  <c r="H46" i="33"/>
  <c r="Y35" i="33"/>
  <c r="AS35" i="33" s="1"/>
  <c r="Y27" i="33"/>
  <c r="AS27" i="33" s="1"/>
  <c r="W16" i="33"/>
  <c r="O16" i="33"/>
  <c r="G16" i="33"/>
  <c r="G17" i="33" s="1"/>
  <c r="Y8" i="33"/>
  <c r="Q9" i="33"/>
  <c r="I9" i="33"/>
  <c r="T9" i="33"/>
  <c r="L9" i="33"/>
  <c r="Z86" i="33"/>
  <c r="AR232" i="33"/>
  <c r="AR246" i="33"/>
  <c r="AO235" i="33"/>
  <c r="AG235" i="33"/>
  <c r="AR168" i="33"/>
  <c r="AP113" i="33"/>
  <c r="Y193" i="33"/>
  <c r="Y185" i="33"/>
  <c r="Y176" i="33"/>
  <c r="R171" i="33"/>
  <c r="J171" i="33"/>
  <c r="Y165" i="33"/>
  <c r="Q171" i="33"/>
  <c r="I171" i="33"/>
  <c r="U153" i="33"/>
  <c r="M153" i="33"/>
  <c r="X153" i="33"/>
  <c r="P153" i="33"/>
  <c r="H153" i="33"/>
  <c r="Y142" i="33"/>
  <c r="Y136" i="33"/>
  <c r="Y128" i="33"/>
  <c r="Y95" i="33"/>
  <c r="Y85" i="33"/>
  <c r="AS85" i="33" s="1"/>
  <c r="W86" i="33"/>
  <c r="O86" i="33"/>
  <c r="G86" i="33"/>
  <c r="Y77" i="33"/>
  <c r="Y62" i="33"/>
  <c r="Y56" i="33"/>
  <c r="Y48" i="33"/>
  <c r="Y41" i="33"/>
  <c r="AS41" i="33" s="1"/>
  <c r="Y32" i="33"/>
  <c r="AS32" i="33" s="1"/>
  <c r="Y22" i="33"/>
  <c r="AS22" i="33" s="1"/>
  <c r="Y19" i="33"/>
  <c r="AS19" i="33" s="1"/>
  <c r="Y13" i="33"/>
  <c r="AS13" i="33" s="1"/>
  <c r="Y5" i="33"/>
  <c r="Z195" i="33"/>
  <c r="Z235" i="33"/>
  <c r="AR234" i="33"/>
  <c r="AK247" i="33"/>
  <c r="AC247" i="33"/>
  <c r="AR167" i="33"/>
  <c r="AN145" i="33"/>
  <c r="AF113" i="33"/>
  <c r="Y139" i="33"/>
  <c r="AS139" i="33" s="1"/>
  <c r="Y133" i="33"/>
  <c r="Y111" i="33"/>
  <c r="Y100" i="33"/>
  <c r="Y92" i="33"/>
  <c r="Y82" i="33"/>
  <c r="Y74" i="33"/>
  <c r="Y67" i="33"/>
  <c r="Y53" i="33"/>
  <c r="Y38" i="33"/>
  <c r="AS38" i="33" s="1"/>
  <c r="Y29" i="33"/>
  <c r="N25" i="33"/>
  <c r="U20" i="33"/>
  <c r="M20" i="33"/>
  <c r="X20" i="33"/>
  <c r="P20" i="33"/>
  <c r="H20" i="33"/>
  <c r="Y10" i="33"/>
  <c r="Z37" i="33"/>
  <c r="AR26" i="33"/>
  <c r="Z113" i="33"/>
  <c r="Z127" i="33"/>
  <c r="AN247" i="33"/>
  <c r="AF247" i="33"/>
  <c r="AQ247" i="33"/>
  <c r="AI247" i="33"/>
  <c r="AA247" i="33"/>
  <c r="AJ247" i="33"/>
  <c r="AR166" i="33"/>
  <c r="AP153" i="33"/>
  <c r="AN113" i="33"/>
  <c r="J207" i="33"/>
  <c r="Y187" i="33"/>
  <c r="Y178" i="33"/>
  <c r="Y167" i="33"/>
  <c r="Y144" i="33"/>
  <c r="Y130" i="33"/>
  <c r="F127" i="33"/>
  <c r="S127" i="33"/>
  <c r="K127" i="33"/>
  <c r="N127" i="33"/>
  <c r="Y108" i="33"/>
  <c r="Y97" i="33"/>
  <c r="U101" i="33"/>
  <c r="M101" i="33"/>
  <c r="X101" i="33"/>
  <c r="P101" i="33"/>
  <c r="H101" i="33"/>
  <c r="S101" i="33"/>
  <c r="K101" i="33"/>
  <c r="Y89" i="33"/>
  <c r="V81" i="33"/>
  <c r="Y79" i="33"/>
  <c r="Y71" i="33"/>
  <c r="Y64" i="33"/>
  <c r="Y58" i="33"/>
  <c r="Y50" i="33"/>
  <c r="Y43" i="33"/>
  <c r="AS43" i="33" s="1"/>
  <c r="Y34" i="33"/>
  <c r="Y26" i="33"/>
  <c r="T24" i="33"/>
  <c r="L24" i="33"/>
  <c r="W24" i="33"/>
  <c r="O24" i="33"/>
  <c r="O25" i="33" s="1"/>
  <c r="G24" i="33"/>
  <c r="G25" i="33" s="1"/>
  <c r="Y15" i="33"/>
  <c r="AS15" i="33" s="1"/>
  <c r="Y7" i="33"/>
  <c r="AS7" i="33" s="1"/>
  <c r="AR241" i="33"/>
  <c r="AR165" i="33"/>
  <c r="AR58" i="33"/>
  <c r="Y192" i="33"/>
  <c r="Y183" i="33"/>
  <c r="Y175" i="33"/>
  <c r="Y164" i="33"/>
  <c r="Y141" i="33"/>
  <c r="AS141" i="33" s="1"/>
  <c r="Y135" i="33"/>
  <c r="Q138" i="33"/>
  <c r="R138" i="33"/>
  <c r="J138" i="33"/>
  <c r="M138" i="33"/>
  <c r="Y105" i="33"/>
  <c r="Y94" i="33"/>
  <c r="S86" i="33"/>
  <c r="K86" i="33"/>
  <c r="V86" i="33"/>
  <c r="N86" i="33"/>
  <c r="F86" i="33"/>
  <c r="Y84" i="33"/>
  <c r="U81" i="33"/>
  <c r="M81" i="33"/>
  <c r="X81" i="33"/>
  <c r="P81" i="33"/>
  <c r="H81" i="33"/>
  <c r="S81" i="33"/>
  <c r="K81" i="33"/>
  <c r="T76" i="33"/>
  <c r="L76" i="33"/>
  <c r="W76" i="33"/>
  <c r="O76" i="33"/>
  <c r="G76" i="33"/>
  <c r="R76" i="33"/>
  <c r="J76" i="33"/>
  <c r="U76" i="33"/>
  <c r="M76" i="33"/>
  <c r="Y61" i="33"/>
  <c r="Y55" i="33"/>
  <c r="Y40" i="33"/>
  <c r="Y31" i="33"/>
  <c r="AS31" i="33" s="1"/>
  <c r="Y21" i="33"/>
  <c r="Y18" i="33"/>
  <c r="V16" i="33"/>
  <c r="N16" i="33"/>
  <c r="F16" i="33"/>
  <c r="Y12" i="33"/>
  <c r="T16" i="33"/>
  <c r="L16" i="33"/>
  <c r="S9" i="33"/>
  <c r="K9" i="33"/>
  <c r="V9" i="33"/>
  <c r="V17" i="33" s="1"/>
  <c r="N9" i="33"/>
  <c r="N17" i="33" s="1"/>
  <c r="F9" i="33"/>
  <c r="F17" i="33" s="1"/>
  <c r="Y4" i="33"/>
  <c r="AR242" i="33"/>
  <c r="AB184" i="33"/>
  <c r="U195" i="33"/>
  <c r="M195" i="33"/>
  <c r="S195" i="33"/>
  <c r="K195" i="33"/>
  <c r="Y189" i="33"/>
  <c r="T195" i="33"/>
  <c r="Y180" i="33"/>
  <c r="Y172" i="33"/>
  <c r="Y169" i="33"/>
  <c r="Y151" i="33"/>
  <c r="Y132" i="33"/>
  <c r="Y110" i="33"/>
  <c r="Y99" i="33"/>
  <c r="AS99" i="33" s="1"/>
  <c r="Y91" i="33"/>
  <c r="Y73" i="33"/>
  <c r="Y66" i="33"/>
  <c r="X59" i="33"/>
  <c r="P59" i="33"/>
  <c r="H59" i="33"/>
  <c r="Y52" i="33"/>
  <c r="I59" i="33"/>
  <c r="Y45" i="33"/>
  <c r="AS45" i="33" s="1"/>
  <c r="Y36" i="33"/>
  <c r="W37" i="33"/>
  <c r="W47" i="33" s="1"/>
  <c r="O37" i="33"/>
  <c r="G37" i="33"/>
  <c r="S37" i="33"/>
  <c r="K37" i="33"/>
  <c r="Y28" i="33"/>
  <c r="AS28" i="33" s="1"/>
  <c r="AR214" i="33"/>
  <c r="AP220" i="33"/>
  <c r="AH220" i="33"/>
  <c r="AR179" i="33"/>
  <c r="AS179" i="33" s="1"/>
  <c r="AM184" i="33"/>
  <c r="AR163" i="33"/>
  <c r="AR94" i="33"/>
  <c r="AH101" i="33"/>
  <c r="AR66" i="33"/>
  <c r="AR64" i="33"/>
  <c r="AM59" i="33"/>
  <c r="V195" i="33"/>
  <c r="N195" i="33"/>
  <c r="F195" i="33"/>
  <c r="Y186" i="33"/>
  <c r="Q195" i="33"/>
  <c r="I195" i="33"/>
  <c r="Y177" i="33"/>
  <c r="Y166" i="33"/>
  <c r="V145" i="33"/>
  <c r="N145" i="33"/>
  <c r="F145" i="33"/>
  <c r="Y143" i="33"/>
  <c r="R145" i="33"/>
  <c r="J145" i="33"/>
  <c r="Y137" i="33"/>
  <c r="V138" i="33"/>
  <c r="N138" i="33"/>
  <c r="F138" i="33"/>
  <c r="Y129" i="33"/>
  <c r="W127" i="33"/>
  <c r="O127" i="33"/>
  <c r="G127" i="33"/>
  <c r="S113" i="33"/>
  <c r="K113" i="33"/>
  <c r="V113" i="33"/>
  <c r="N113" i="33"/>
  <c r="F113" i="33"/>
  <c r="Y107" i="33"/>
  <c r="Q113" i="33"/>
  <c r="I113" i="33"/>
  <c r="Y96" i="33"/>
  <c r="AS96" i="33" s="1"/>
  <c r="Y78" i="33"/>
  <c r="Y63" i="33"/>
  <c r="Y57" i="33"/>
  <c r="Y49" i="33"/>
  <c r="Y42" i="33"/>
  <c r="Y33" i="33"/>
  <c r="AS33" i="33" s="1"/>
  <c r="Y23" i="33"/>
  <c r="V25" i="33"/>
  <c r="T20" i="33"/>
  <c r="T25" i="33" s="1"/>
  <c r="L20" i="33"/>
  <c r="Y14" i="33"/>
  <c r="AS14" i="33" s="1"/>
  <c r="Y6" i="33"/>
  <c r="AS6" i="33" s="1"/>
  <c r="Z184" i="33"/>
  <c r="Z207" i="33"/>
  <c r="Z220" i="33"/>
  <c r="Z231" i="33"/>
  <c r="Z247" i="33"/>
  <c r="AR244" i="33"/>
  <c r="AS244" i="33" s="1"/>
  <c r="AR245" i="33"/>
  <c r="AQ220" i="33"/>
  <c r="AI220" i="33"/>
  <c r="AA220" i="33"/>
  <c r="AR213" i="33"/>
  <c r="AB220" i="33"/>
  <c r="AC220" i="33"/>
  <c r="AR170" i="33"/>
  <c r="AS170" i="33" s="1"/>
  <c r="AO171" i="33"/>
  <c r="AG171" i="33"/>
  <c r="AP171" i="33"/>
  <c r="AH171" i="33"/>
  <c r="AQ171" i="33"/>
  <c r="AI171" i="33"/>
  <c r="AQ138" i="33"/>
  <c r="AA138" i="33"/>
  <c r="AC138" i="33"/>
  <c r="AD138" i="33"/>
  <c r="AP127" i="33"/>
  <c r="AH127" i="33"/>
  <c r="AJ113" i="33"/>
  <c r="AB113" i="33"/>
  <c r="Y191" i="33"/>
  <c r="Y182" i="33"/>
  <c r="Y174" i="33"/>
  <c r="Y163" i="33"/>
  <c r="AS163" i="33" s="1"/>
  <c r="AS160" i="33"/>
  <c r="T153" i="33"/>
  <c r="L153" i="33"/>
  <c r="R153" i="33"/>
  <c r="Y140" i="33"/>
  <c r="Y134" i="33"/>
  <c r="I138" i="33"/>
  <c r="X138" i="33"/>
  <c r="P138" i="33"/>
  <c r="H138" i="33"/>
  <c r="Y112" i="33"/>
  <c r="F101" i="33"/>
  <c r="Y93" i="33"/>
  <c r="Y83" i="33"/>
  <c r="AS83" i="33" s="1"/>
  <c r="Y75" i="33"/>
  <c r="Y68" i="33"/>
  <c r="U69" i="33"/>
  <c r="M69" i="33"/>
  <c r="X69" i="33"/>
  <c r="P69" i="33"/>
  <c r="H69" i="33"/>
  <c r="S69" i="33"/>
  <c r="Y60" i="33"/>
  <c r="Y54" i="33"/>
  <c r="Y39" i="33"/>
  <c r="AS39" i="33" s="1"/>
  <c r="Y30" i="33"/>
  <c r="S24" i="33"/>
  <c r="K24" i="33"/>
  <c r="K25" i="33" s="1"/>
  <c r="S16" i="33"/>
  <c r="S17" i="33" s="1"/>
  <c r="K16" i="33"/>
  <c r="Y11" i="33"/>
  <c r="Q16" i="33"/>
  <c r="I16" i="33"/>
  <c r="I17" i="33" s="1"/>
  <c r="U9" i="33"/>
  <c r="M9" i="33"/>
  <c r="X9" i="33"/>
  <c r="P9" i="33"/>
  <c r="H9" i="33"/>
  <c r="Z16" i="33"/>
  <c r="AR10" i="33"/>
  <c r="Z24" i="33"/>
  <c r="Z25" i="33" s="1"/>
  <c r="AR21" i="33"/>
  <c r="Z46" i="33"/>
  <c r="AR40" i="33"/>
  <c r="Z81" i="33"/>
  <c r="Z138" i="33"/>
  <c r="AC231" i="33"/>
  <c r="AF231" i="33"/>
  <c r="AG231" i="33"/>
  <c r="AP231" i="33"/>
  <c r="AH231" i="33"/>
  <c r="AQ207" i="33"/>
  <c r="AI207" i="33"/>
  <c r="AA207" i="33"/>
  <c r="AJ207" i="33"/>
  <c r="AB207" i="33"/>
  <c r="AC207" i="33"/>
  <c r="AL207" i="33"/>
  <c r="AD207" i="33"/>
  <c r="AM207" i="33"/>
  <c r="AE207" i="33"/>
  <c r="AN207" i="33"/>
  <c r="AF207" i="33"/>
  <c r="AO207" i="33"/>
  <c r="AG207" i="33"/>
  <c r="AR169" i="33"/>
  <c r="AS169" i="33" s="1"/>
  <c r="AR144" i="33"/>
  <c r="AH113" i="33"/>
  <c r="AQ113" i="33"/>
  <c r="AN76" i="33"/>
  <c r="AF76" i="33"/>
  <c r="AR62" i="33"/>
  <c r="AS62" i="33" s="1"/>
  <c r="AR164" i="33"/>
  <c r="AO153" i="33"/>
  <c r="AN101" i="33"/>
  <c r="AR80" i="33"/>
  <c r="AS80" i="33" s="1"/>
  <c r="AO76" i="33"/>
  <c r="AG76" i="33"/>
  <c r="AR65" i="33"/>
  <c r="AL69" i="33"/>
  <c r="AD69" i="33"/>
  <c r="AN69" i="33"/>
  <c r="AF69" i="33"/>
  <c r="AO69" i="33"/>
  <c r="AG69" i="33"/>
  <c r="AR55" i="33"/>
  <c r="AJ24" i="33"/>
  <c r="AB24" i="33"/>
  <c r="AB25" i="33" s="1"/>
  <c r="AK24" i="33"/>
  <c r="AK25" i="33" s="1"/>
  <c r="AQ20" i="33"/>
  <c r="AI20" i="33"/>
  <c r="AA20" i="33"/>
  <c r="AA25" i="33" s="1"/>
  <c r="AJ20" i="33"/>
  <c r="AB20" i="33"/>
  <c r="AK16" i="33"/>
  <c r="AK17" i="33" s="1"/>
  <c r="AC16" i="33"/>
  <c r="AC17" i="33" s="1"/>
  <c r="AJ9" i="33"/>
  <c r="AJ17" i="33" s="1"/>
  <c r="AB9" i="33"/>
  <c r="AA171" i="33"/>
  <c r="AR143" i="33"/>
  <c r="AL86" i="33"/>
  <c r="AD86" i="33"/>
  <c r="AM86" i="33"/>
  <c r="AE86" i="33"/>
  <c r="AQ76" i="33"/>
  <c r="AI76" i="33"/>
  <c r="AA76" i="33"/>
  <c r="AK76" i="33"/>
  <c r="AR73" i="33"/>
  <c r="AS73" i="33" s="1"/>
  <c r="AD76" i="33"/>
  <c r="AM76" i="33"/>
  <c r="AR63" i="33"/>
  <c r="AN59" i="33"/>
  <c r="AF59" i="33"/>
  <c r="AO46" i="33"/>
  <c r="AO47" i="33" s="1"/>
  <c r="AG46" i="33"/>
  <c r="AG47" i="33" s="1"/>
  <c r="AK46" i="33"/>
  <c r="AC46" i="33"/>
  <c r="AL46" i="33"/>
  <c r="AD46" i="33"/>
  <c r="AM46" i="33"/>
  <c r="AE46" i="33"/>
  <c r="AL17" i="33"/>
  <c r="AD17" i="33"/>
  <c r="AO9" i="33"/>
  <c r="AG9" i="33"/>
  <c r="AP9" i="33"/>
  <c r="AH9" i="33"/>
  <c r="AM145" i="33"/>
  <c r="AE145" i="33"/>
  <c r="AP138" i="33"/>
  <c r="AH138" i="33"/>
  <c r="AN25" i="33"/>
  <c r="AF25" i="33"/>
  <c r="AP16" i="33"/>
  <c r="AH16" i="33"/>
  <c r="AO145" i="33"/>
  <c r="AG145" i="33"/>
  <c r="AJ145" i="33"/>
  <c r="AK145" i="33"/>
  <c r="AC145" i="33"/>
  <c r="AD145" i="33"/>
  <c r="AB138" i="33"/>
  <c r="AE138" i="33"/>
  <c r="AF127" i="33"/>
  <c r="AQ81" i="33"/>
  <c r="AI81" i="33"/>
  <c r="AA81" i="33"/>
  <c r="AJ81" i="33"/>
  <c r="AB81" i="33"/>
  <c r="AM37" i="33"/>
  <c r="AE37" i="33"/>
  <c r="AN37" i="33"/>
  <c r="AF37" i="33"/>
  <c r="AP24" i="33"/>
  <c r="AH24" i="33"/>
  <c r="AH25" i="33" s="1"/>
  <c r="AQ153" i="33"/>
  <c r="AR151" i="33"/>
  <c r="AS151" i="33" s="1"/>
  <c r="AK153" i="33"/>
  <c r="AC153" i="33"/>
  <c r="AM101" i="33"/>
  <c r="AP101" i="33"/>
  <c r="AR90" i="33"/>
  <c r="AS90" i="33" s="1"/>
  <c r="AJ76" i="33"/>
  <c r="AB76" i="33"/>
  <c r="AG59" i="33"/>
  <c r="AP59" i="33"/>
  <c r="AH59" i="33"/>
  <c r="AP46" i="33"/>
  <c r="AH46" i="33"/>
  <c r="AQ46" i="33"/>
  <c r="AI46" i="33"/>
  <c r="AA46" i="33"/>
  <c r="AJ46" i="33"/>
  <c r="AB46" i="33"/>
  <c r="AM24" i="33"/>
  <c r="AE24" i="33"/>
  <c r="AO24" i="33"/>
  <c r="AG24" i="33"/>
  <c r="AO113" i="33"/>
  <c r="AG113" i="33"/>
  <c r="AC113" i="33"/>
  <c r="AL113" i="33"/>
  <c r="AD113" i="33"/>
  <c r="AM113" i="33"/>
  <c r="AE113" i="33"/>
  <c r="AR67" i="33"/>
  <c r="AS67" i="33" s="1"/>
  <c r="AL20" i="33"/>
  <c r="AL25" i="33" s="1"/>
  <c r="AD20" i="33"/>
  <c r="AD25" i="33" s="1"/>
  <c r="X113" i="33"/>
  <c r="AP247" i="33"/>
  <c r="AO247" i="33"/>
  <c r="AR224" i="33"/>
  <c r="AO231" i="33"/>
  <c r="AO195" i="33"/>
  <c r="AR178" i="33"/>
  <c r="AR183" i="33"/>
  <c r="AR175" i="33"/>
  <c r="AO101" i="33"/>
  <c r="AN127" i="33"/>
  <c r="AR56" i="33"/>
  <c r="AR54" i="33"/>
  <c r="AR53" i="33"/>
  <c r="AS53" i="33" s="1"/>
  <c r="AR52" i="33"/>
  <c r="AS52" i="33" s="1"/>
  <c r="AR50" i="33"/>
  <c r="AR51" i="33"/>
  <c r="AS51" i="33" s="1"/>
  <c r="AR49" i="33"/>
  <c r="AS49" i="33" s="1"/>
  <c r="AO59" i="33"/>
  <c r="AR228" i="33"/>
  <c r="AR226" i="33"/>
  <c r="AS226" i="33" s="1"/>
  <c r="AR225" i="33"/>
  <c r="AS225" i="33" s="1"/>
  <c r="AN231" i="33"/>
  <c r="AR187" i="33"/>
  <c r="AR192" i="33"/>
  <c r="AR191" i="33"/>
  <c r="AR188" i="33"/>
  <c r="AN153" i="33"/>
  <c r="AR212" i="33"/>
  <c r="AR219" i="33"/>
  <c r="AR211" i="33"/>
  <c r="AR215" i="33"/>
  <c r="AS215" i="33" s="1"/>
  <c r="AM220" i="33"/>
  <c r="AR176" i="33"/>
  <c r="AS176" i="33" s="1"/>
  <c r="AM153" i="33"/>
  <c r="AR218" i="33"/>
  <c r="AR177" i="33"/>
  <c r="AS177" i="33" s="1"/>
  <c r="AR182" i="33"/>
  <c r="AS182" i="33" s="1"/>
  <c r="AR174" i="33"/>
  <c r="AS174" i="33" s="1"/>
  <c r="AL184" i="33"/>
  <c r="AL153" i="33"/>
  <c r="AL145" i="33"/>
  <c r="AL76" i="33"/>
  <c r="AR239" i="33"/>
  <c r="AR223" i="33"/>
  <c r="AS223" i="33" s="1"/>
  <c r="AR227" i="33"/>
  <c r="AR230" i="33"/>
  <c r="AR222" i="33"/>
  <c r="AR229" i="33"/>
  <c r="AS229" i="33" s="1"/>
  <c r="AK231" i="33"/>
  <c r="AR221" i="33"/>
  <c r="AR210" i="33"/>
  <c r="AR217" i="33"/>
  <c r="AR209" i="33"/>
  <c r="AS209" i="33" s="1"/>
  <c r="AR216" i="33"/>
  <c r="AS216" i="33" s="1"/>
  <c r="AR208" i="33"/>
  <c r="AK220" i="33"/>
  <c r="AR189" i="33"/>
  <c r="AR194" i="33"/>
  <c r="AR186" i="33"/>
  <c r="AS186" i="33" s="1"/>
  <c r="AR190" i="33"/>
  <c r="AS190" i="33" s="1"/>
  <c r="AR193" i="33"/>
  <c r="AS193" i="33" s="1"/>
  <c r="AR185" i="33"/>
  <c r="AR181" i="33"/>
  <c r="AR173" i="33"/>
  <c r="AR180" i="33"/>
  <c r="AS180" i="33" s="1"/>
  <c r="AK184" i="33"/>
  <c r="AK171" i="33"/>
  <c r="AR100" i="33"/>
  <c r="AS100" i="33" s="1"/>
  <c r="AJ220" i="33"/>
  <c r="AJ184" i="33"/>
  <c r="AR172" i="33"/>
  <c r="AJ195" i="33"/>
  <c r="AJ153" i="33"/>
  <c r="AJ138" i="33"/>
  <c r="AI153" i="33"/>
  <c r="AI138" i="33"/>
  <c r="AR75" i="33"/>
  <c r="AS75" i="33" s="1"/>
  <c r="AG153" i="33"/>
  <c r="AR98" i="33"/>
  <c r="AG101" i="33"/>
  <c r="AF153" i="33"/>
  <c r="AF101" i="33"/>
  <c r="AE153" i="33"/>
  <c r="AE101" i="33"/>
  <c r="AR95" i="33"/>
  <c r="AS95" i="33" s="1"/>
  <c r="AR79" i="33"/>
  <c r="AS79" i="33" s="1"/>
  <c r="AE81" i="33"/>
  <c r="AR78" i="33"/>
  <c r="AE76" i="33"/>
  <c r="AR72" i="33"/>
  <c r="AS72" i="33" s="1"/>
  <c r="AR61" i="33"/>
  <c r="AR68" i="33"/>
  <c r="AR60" i="33"/>
  <c r="AS60" i="33" s="1"/>
  <c r="AE59" i="33"/>
  <c r="AR57" i="33"/>
  <c r="AR48" i="33"/>
  <c r="AR23" i="33"/>
  <c r="AD153" i="33"/>
  <c r="AR89" i="33"/>
  <c r="AS89" i="33" s="1"/>
  <c r="AR247" i="33"/>
  <c r="AS245" i="33"/>
  <c r="AB247" i="33"/>
  <c r="AC81" i="33"/>
  <c r="AC76" i="33"/>
  <c r="AR71" i="33"/>
  <c r="AC24" i="33"/>
  <c r="AB145" i="33"/>
  <c r="AB153" i="33"/>
  <c r="AA153" i="33"/>
  <c r="Z9" i="33"/>
  <c r="AR4" i="33"/>
  <c r="Z101" i="33"/>
  <c r="Z76" i="33"/>
  <c r="AR18" i="33"/>
  <c r="AJ231" i="33"/>
  <c r="AL220" i="33"/>
  <c r="AD220" i="33"/>
  <c r="AE220" i="33"/>
  <c r="AN220" i="33"/>
  <c r="AF220" i="33"/>
  <c r="AO220" i="33"/>
  <c r="AG220" i="33"/>
  <c r="AP25" i="33"/>
  <c r="AQ231" i="33"/>
  <c r="AN47" i="33"/>
  <c r="AL171" i="33"/>
  <c r="AD171" i="33"/>
  <c r="AM171" i="33"/>
  <c r="AE171" i="33"/>
  <c r="AN171" i="33"/>
  <c r="AF171" i="33"/>
  <c r="AF138" i="33"/>
  <c r="AG138" i="33"/>
  <c r="AJ59" i="33"/>
  <c r="AB59" i="33"/>
  <c r="AK59" i="33"/>
  <c r="AC59" i="33"/>
  <c r="AL59" i="33"/>
  <c r="AD59" i="33"/>
  <c r="AM25" i="33"/>
  <c r="AN16" i="33"/>
  <c r="AF16" i="33"/>
  <c r="AO16" i="33"/>
  <c r="AG16" i="33"/>
  <c r="AN9" i="33"/>
  <c r="AF9" i="33"/>
  <c r="AA231" i="33"/>
  <c r="AH69" i="33"/>
  <c r="AH70" i="33" s="1"/>
  <c r="AQ127" i="33"/>
  <c r="AI127" i="33"/>
  <c r="AA127" i="33"/>
  <c r="AJ127" i="33"/>
  <c r="AB127" i="33"/>
  <c r="AC127" i="33"/>
  <c r="AD127" i="33"/>
  <c r="AE127" i="33"/>
  <c r="AJ69" i="33"/>
  <c r="AB69" i="33"/>
  <c r="AK69" i="33"/>
  <c r="AC69" i="33"/>
  <c r="AM69" i="33"/>
  <c r="AE69" i="33"/>
  <c r="AM9" i="33"/>
  <c r="AE9" i="33"/>
  <c r="AE17" i="33" s="1"/>
  <c r="AM247" i="33"/>
  <c r="AE247" i="33"/>
  <c r="AM195" i="33"/>
  <c r="AE195" i="33"/>
  <c r="AP145" i="33"/>
  <c r="AH145" i="33"/>
  <c r="AQ145" i="33"/>
  <c r="AI145" i="33"/>
  <c r="AA145" i="33"/>
  <c r="AK37" i="33"/>
  <c r="AC37" i="33"/>
  <c r="AI231" i="33"/>
  <c r="AL231" i="33"/>
  <c r="AD231" i="33"/>
  <c r="AM231" i="33"/>
  <c r="AE231" i="33"/>
  <c r="AK195" i="33"/>
  <c r="AC195" i="33"/>
  <c r="AL195" i="33"/>
  <c r="AD195" i="33"/>
  <c r="AP37" i="33"/>
  <c r="AH37" i="33"/>
  <c r="AQ37" i="33"/>
  <c r="AQ47" i="33" s="1"/>
  <c r="AI37" i="33"/>
  <c r="AA37" i="33"/>
  <c r="AJ37" i="33"/>
  <c r="AB37" i="33"/>
  <c r="AB47" i="33" s="1"/>
  <c r="AN184" i="33"/>
  <c r="AF184" i="33"/>
  <c r="AO184" i="33"/>
  <c r="AG184" i="33"/>
  <c r="AP184" i="33"/>
  <c r="AP197" i="33" s="1"/>
  <c r="AP237" i="33" s="1"/>
  <c r="AP249" i="33" s="1"/>
  <c r="AH184" i="33"/>
  <c r="AQ184" i="33"/>
  <c r="AI184" i="33"/>
  <c r="AA184" i="33"/>
  <c r="AG127" i="33"/>
  <c r="AQ101" i="33"/>
  <c r="AI101" i="33"/>
  <c r="AA101" i="33"/>
  <c r="AJ101" i="33"/>
  <c r="AB101" i="33"/>
  <c r="AK101" i="33"/>
  <c r="AC101" i="33"/>
  <c r="AL101" i="33"/>
  <c r="AD101" i="33"/>
  <c r="AB17" i="33"/>
  <c r="AB231" i="33"/>
  <c r="AP69" i="33"/>
  <c r="AP70" i="33" s="1"/>
  <c r="AQ69" i="33"/>
  <c r="AI69" i="33"/>
  <c r="AA69" i="33"/>
  <c r="AA17" i="33"/>
  <c r="Q145" i="33"/>
  <c r="I145" i="33"/>
  <c r="W145" i="33"/>
  <c r="O145" i="33"/>
  <c r="G145" i="33"/>
  <c r="T138" i="33"/>
  <c r="L138" i="33"/>
  <c r="W138" i="33"/>
  <c r="O138" i="33"/>
  <c r="G138" i="33"/>
  <c r="P127" i="33"/>
  <c r="H127" i="33"/>
  <c r="Q127" i="33"/>
  <c r="I127" i="33"/>
  <c r="T59" i="33"/>
  <c r="L59" i="33"/>
  <c r="W59" i="33"/>
  <c r="O59" i="33"/>
  <c r="G59" i="33"/>
  <c r="R59" i="33"/>
  <c r="J59" i="33"/>
  <c r="R231" i="33"/>
  <c r="J231" i="33"/>
  <c r="V69" i="33"/>
  <c r="N69" i="33"/>
  <c r="F69" i="33"/>
  <c r="I231" i="33"/>
  <c r="L231" i="33"/>
  <c r="S184" i="33"/>
  <c r="K184" i="33"/>
  <c r="V184" i="33"/>
  <c r="N184" i="33"/>
  <c r="F184" i="33"/>
  <c r="Q184" i="33"/>
  <c r="I184" i="33"/>
  <c r="R37" i="33"/>
  <c r="J37" i="33"/>
  <c r="J47" i="33" s="1"/>
  <c r="U37" i="33"/>
  <c r="M37" i="33"/>
  <c r="M47" i="33" s="1"/>
  <c r="X37" i="33"/>
  <c r="X47" i="33" s="1"/>
  <c r="P37" i="33"/>
  <c r="H37" i="33"/>
  <c r="H47" i="33" s="1"/>
  <c r="Q20" i="33"/>
  <c r="I20" i="33"/>
  <c r="I25" i="33" s="1"/>
  <c r="U16" i="33"/>
  <c r="M16" i="33"/>
  <c r="M17" i="33" s="1"/>
  <c r="X16" i="33"/>
  <c r="X17" i="33" s="1"/>
  <c r="P16" i="33"/>
  <c r="H16" i="33"/>
  <c r="R9" i="33"/>
  <c r="R17" i="33" s="1"/>
  <c r="J9" i="33"/>
  <c r="J17" i="33" s="1"/>
  <c r="Q231" i="33"/>
  <c r="T231" i="33"/>
  <c r="X231" i="33"/>
  <c r="P231" i="33"/>
  <c r="H231" i="33"/>
  <c r="S231" i="33"/>
  <c r="K231" i="33"/>
  <c r="W195" i="33"/>
  <c r="O195" i="33"/>
  <c r="G195" i="33"/>
  <c r="R195" i="33"/>
  <c r="J195" i="33"/>
  <c r="W184" i="33"/>
  <c r="O184" i="33"/>
  <c r="G184" i="33"/>
  <c r="R184" i="33"/>
  <c r="J184" i="33"/>
  <c r="X184" i="33"/>
  <c r="P184" i="33"/>
  <c r="H184" i="33"/>
  <c r="W171" i="33"/>
  <c r="O171" i="33"/>
  <c r="G171" i="33"/>
  <c r="Q101" i="33"/>
  <c r="I101" i="33"/>
  <c r="T101" i="33"/>
  <c r="L101" i="33"/>
  <c r="W101" i="33"/>
  <c r="O101" i="33"/>
  <c r="G101" i="33"/>
  <c r="R101" i="33"/>
  <c r="J101" i="33"/>
  <c r="S46" i="33"/>
  <c r="K46" i="33"/>
  <c r="K47" i="33" s="1"/>
  <c r="V46" i="33"/>
  <c r="N46" i="33"/>
  <c r="F46" i="33"/>
  <c r="Q46" i="33"/>
  <c r="I46" i="33"/>
  <c r="U24" i="33"/>
  <c r="U25" i="33" s="1"/>
  <c r="M24" i="33"/>
  <c r="M25" i="33" s="1"/>
  <c r="X24" i="33"/>
  <c r="X25" i="33" s="1"/>
  <c r="P24" i="33"/>
  <c r="P25" i="33" s="1"/>
  <c r="H24" i="33"/>
  <c r="Q220" i="33"/>
  <c r="I220" i="33"/>
  <c r="T220" i="33"/>
  <c r="L220" i="33"/>
  <c r="Q207" i="33"/>
  <c r="I207" i="33"/>
  <c r="T207" i="33"/>
  <c r="L207" i="33"/>
  <c r="U171" i="33"/>
  <c r="M171" i="33"/>
  <c r="X171" i="33"/>
  <c r="P171" i="33"/>
  <c r="H171" i="33"/>
  <c r="S171" i="33"/>
  <c r="K171" i="33"/>
  <c r="V171" i="33"/>
  <c r="N171" i="33"/>
  <c r="F171" i="33"/>
  <c r="S138" i="33"/>
  <c r="K138" i="33"/>
  <c r="T127" i="33"/>
  <c r="L127" i="33"/>
  <c r="L146" i="33" s="1"/>
  <c r="R127" i="33"/>
  <c r="J127" i="33"/>
  <c r="U127" i="33"/>
  <c r="M127" i="33"/>
  <c r="S59" i="33"/>
  <c r="S70" i="33" s="1"/>
  <c r="K59" i="33"/>
  <c r="V59" i="33"/>
  <c r="N59" i="33"/>
  <c r="F59" i="33"/>
  <c r="U220" i="33"/>
  <c r="M220" i="33"/>
  <c r="X220" i="33"/>
  <c r="P220" i="33"/>
  <c r="H220" i="33"/>
  <c r="S220" i="33"/>
  <c r="K220" i="33"/>
  <c r="Q69" i="33"/>
  <c r="I69" i="33"/>
  <c r="T69" i="33"/>
  <c r="L69" i="33"/>
  <c r="R220" i="33"/>
  <c r="J220" i="33"/>
  <c r="G47" i="33"/>
  <c r="V37" i="33"/>
  <c r="N37" i="33"/>
  <c r="F37" i="33"/>
  <c r="Q37" i="33"/>
  <c r="I37" i="33"/>
  <c r="T37" i="33"/>
  <c r="T47" i="33" s="1"/>
  <c r="L37" i="33"/>
  <c r="J146" i="33" l="1"/>
  <c r="N47" i="33"/>
  <c r="AR171" i="33"/>
  <c r="AS64" i="33"/>
  <c r="AS54" i="33"/>
  <c r="L47" i="33"/>
  <c r="G146" i="33"/>
  <c r="AM17" i="33"/>
  <c r="AN70" i="33"/>
  <c r="AS192" i="33"/>
  <c r="U70" i="33"/>
  <c r="L197" i="33"/>
  <c r="L237" i="33" s="1"/>
  <c r="L249" i="33" s="1"/>
  <c r="AO25" i="33"/>
  <c r="T17" i="33"/>
  <c r="AR86" i="33"/>
  <c r="AS149" i="33"/>
  <c r="AS8" i="33"/>
  <c r="AH197" i="33"/>
  <c r="AH237" i="33" s="1"/>
  <c r="AH249" i="33" s="1"/>
  <c r="E48" i="30" s="1"/>
  <c r="AS84" i="33"/>
  <c r="AH47" i="33"/>
  <c r="AC25" i="33"/>
  <c r="AS61" i="33"/>
  <c r="AS239" i="33"/>
  <c r="AS218" i="33"/>
  <c r="AS56" i="33"/>
  <c r="W25" i="33"/>
  <c r="AS58" i="33"/>
  <c r="S146" i="33"/>
  <c r="AA197" i="33"/>
  <c r="AA237" i="33" s="1"/>
  <c r="AA249" i="33" s="1"/>
  <c r="AA252" i="33" s="1"/>
  <c r="AS189" i="33"/>
  <c r="AE25" i="33"/>
  <c r="AS93" i="33"/>
  <c r="AS42" i="33"/>
  <c r="AS82" i="33"/>
  <c r="AS86" i="33" s="1"/>
  <c r="M146" i="33"/>
  <c r="Q25" i="33"/>
  <c r="I197" i="33"/>
  <c r="I237" i="33" s="1"/>
  <c r="I249" i="33" s="1"/>
  <c r="R70" i="33"/>
  <c r="AI70" i="33"/>
  <c r="AI197" i="33"/>
  <c r="AI237" i="33" s="1"/>
  <c r="AI249" i="33" s="1"/>
  <c r="E49" i="30" s="1"/>
  <c r="AC47" i="33"/>
  <c r="AS48" i="33"/>
  <c r="AS175" i="33"/>
  <c r="L17" i="33"/>
  <c r="AS92" i="33"/>
  <c r="AS246" i="33"/>
  <c r="V70" i="33"/>
  <c r="AS74" i="33"/>
  <c r="O146" i="33"/>
  <c r="AQ70" i="33"/>
  <c r="AK47" i="33"/>
  <c r="AS181" i="33"/>
  <c r="AS187" i="33"/>
  <c r="AS50" i="33"/>
  <c r="AS183" i="33"/>
  <c r="S25" i="33"/>
  <c r="O17" i="33"/>
  <c r="AF47" i="33"/>
  <c r="H25" i="33"/>
  <c r="H17" i="33"/>
  <c r="AA47" i="33"/>
  <c r="AQ146" i="33"/>
  <c r="AG70" i="33"/>
  <c r="AL47" i="33"/>
  <c r="AS30" i="33"/>
  <c r="N146" i="33"/>
  <c r="O47" i="33"/>
  <c r="AS29" i="33"/>
  <c r="W17" i="33"/>
  <c r="Z70" i="33"/>
  <c r="AJ25" i="33"/>
  <c r="AS65" i="33"/>
  <c r="AA70" i="33"/>
  <c r="AG146" i="33"/>
  <c r="AF197" i="33"/>
  <c r="AF237" i="33" s="1"/>
  <c r="AF249" i="33" s="1"/>
  <c r="E46" i="30" s="1"/>
  <c r="H146" i="33"/>
  <c r="K17" i="33"/>
  <c r="AS77" i="33"/>
  <c r="AS97" i="33"/>
  <c r="Z197" i="33"/>
  <c r="Z237" i="33" s="1"/>
  <c r="Z249" i="33" s="1"/>
  <c r="Z252" i="33" s="1"/>
  <c r="K70" i="33"/>
  <c r="K87" i="33" s="1"/>
  <c r="K103" i="33" s="1"/>
  <c r="AQ25" i="33"/>
  <c r="AQ87" i="33" s="1"/>
  <c r="AQ103" i="33" s="1"/>
  <c r="H197" i="33"/>
  <c r="H237" i="33" s="1"/>
  <c r="H249" i="33" s="1"/>
  <c r="W70" i="33"/>
  <c r="P146" i="33"/>
  <c r="AP47" i="33"/>
  <c r="AP87" i="33" s="1"/>
  <c r="AP103" i="33" s="1"/>
  <c r="AF146" i="33"/>
  <c r="AC146" i="33"/>
  <c r="AE47" i="33"/>
  <c r="AR46" i="33"/>
  <c r="AS165" i="33"/>
  <c r="T146" i="33"/>
  <c r="AD197" i="33"/>
  <c r="AD237" i="33" s="1"/>
  <c r="AD249" i="33" s="1"/>
  <c r="AH146" i="33"/>
  <c r="AS208" i="33"/>
  <c r="AS63" i="33"/>
  <c r="AS44" i="33"/>
  <c r="AL70" i="33"/>
  <c r="AD146" i="33"/>
  <c r="L25" i="33"/>
  <c r="F146" i="33"/>
  <c r="AS34" i="33"/>
  <c r="AR37" i="33"/>
  <c r="T197" i="33"/>
  <c r="T237" i="33" s="1"/>
  <c r="T249" i="33" s="1"/>
  <c r="AS12" i="33"/>
  <c r="Z47" i="33"/>
  <c r="M70" i="33"/>
  <c r="Q197" i="33"/>
  <c r="Q237" i="33" s="1"/>
  <c r="Q249" i="33" s="1"/>
  <c r="J70" i="33"/>
  <c r="J87" i="33" s="1"/>
  <c r="J103" i="33" s="1"/>
  <c r="AG17" i="33"/>
  <c r="AN87" i="33"/>
  <c r="AN103" i="33" s="1"/>
  <c r="AO17" i="33"/>
  <c r="AR16" i="33"/>
  <c r="Q17" i="33"/>
  <c r="V146" i="33"/>
  <c r="M197" i="33"/>
  <c r="M237" i="33" s="1"/>
  <c r="M249" i="33" s="1"/>
  <c r="AC197" i="33"/>
  <c r="AC237" i="33" s="1"/>
  <c r="AC249" i="33" s="1"/>
  <c r="AC252" i="33" s="1"/>
  <c r="P47" i="33"/>
  <c r="AG197" i="33"/>
  <c r="AG237" i="33" s="1"/>
  <c r="AG249" i="33" s="1"/>
  <c r="E47" i="30" s="1"/>
  <c r="AJ146" i="33"/>
  <c r="AS36" i="33"/>
  <c r="I70" i="33"/>
  <c r="Q70" i="33"/>
  <c r="P17" i="33"/>
  <c r="G70" i="33"/>
  <c r="Q146" i="33"/>
  <c r="AO197" i="33"/>
  <c r="AO237" i="33" s="1"/>
  <c r="AO249" i="33" s="1"/>
  <c r="E55" i="30" s="1"/>
  <c r="AS71" i="33"/>
  <c r="AS76" i="33" s="1"/>
  <c r="AS194" i="33"/>
  <c r="AS221" i="33"/>
  <c r="AO70" i="33"/>
  <c r="AS66" i="33"/>
  <c r="AS91" i="33"/>
  <c r="AN197" i="33"/>
  <c r="AN237" i="33" s="1"/>
  <c r="AN249" i="33" s="1"/>
  <c r="E54" i="30" s="1"/>
  <c r="AM70" i="33"/>
  <c r="AB146" i="33"/>
  <c r="AD70" i="33"/>
  <c r="AR24" i="33"/>
  <c r="AS210" i="33"/>
  <c r="AS228" i="33"/>
  <c r="AS224" i="33"/>
  <c r="AG25" i="33"/>
  <c r="AR145" i="33"/>
  <c r="AS55" i="33"/>
  <c r="AS11" i="33"/>
  <c r="V47" i="33"/>
  <c r="U47" i="33"/>
  <c r="O70" i="33"/>
  <c r="O87" i="33" s="1"/>
  <c r="O103" i="33" s="1"/>
  <c r="G87" i="33"/>
  <c r="G103" i="33" s="1"/>
  <c r="U146" i="33"/>
  <c r="N197" i="33"/>
  <c r="N237" i="33" s="1"/>
  <c r="N249" i="33" s="1"/>
  <c r="E20" i="30" s="1"/>
  <c r="U197" i="33"/>
  <c r="U237" i="33" s="1"/>
  <c r="U249" i="33" s="1"/>
  <c r="U17" i="33"/>
  <c r="AS78" i="33"/>
  <c r="AJ197" i="33"/>
  <c r="AJ237" i="33" s="1"/>
  <c r="AJ249" i="33" s="1"/>
  <c r="AS188" i="33"/>
  <c r="AB197" i="33"/>
  <c r="AB237" i="33" s="1"/>
  <c r="AB249" i="33" s="1"/>
  <c r="Y59" i="33"/>
  <c r="R47" i="33"/>
  <c r="AQ197" i="33"/>
  <c r="AQ237" i="33" s="1"/>
  <c r="AQ249" i="33" s="1"/>
  <c r="E57" i="30" s="1"/>
  <c r="AS57" i="33"/>
  <c r="AS98" i="33"/>
  <c r="AS191" i="33"/>
  <c r="AF70" i="33"/>
  <c r="AS140" i="33"/>
  <c r="AS5" i="33"/>
  <c r="AS168" i="33"/>
  <c r="AS173" i="33"/>
  <c r="Y113" i="33"/>
  <c r="AI25" i="33"/>
  <c r="AS144" i="33"/>
  <c r="AS94" i="33"/>
  <c r="AS142" i="33"/>
  <c r="AS152" i="33"/>
  <c r="Y235" i="33"/>
  <c r="U87" i="33"/>
  <c r="U103" i="33" s="1"/>
  <c r="AJ47" i="33"/>
  <c r="AL197" i="33"/>
  <c r="AL237" i="33" s="1"/>
  <c r="AL249" i="33" s="1"/>
  <c r="AR69" i="33"/>
  <c r="AM47" i="33"/>
  <c r="AD47" i="33"/>
  <c r="X70" i="33"/>
  <c r="X87" i="33" s="1"/>
  <c r="X103" i="33" s="1"/>
  <c r="AR76" i="33"/>
  <c r="AS68" i="33"/>
  <c r="AS178" i="33"/>
  <c r="AS164" i="33"/>
  <c r="Y76" i="33"/>
  <c r="AE146" i="33"/>
  <c r="AS185" i="33"/>
  <c r="AS230" i="33"/>
  <c r="K146" i="33"/>
  <c r="P197" i="33"/>
  <c r="P237" i="33" s="1"/>
  <c r="P249" i="33" s="1"/>
  <c r="M87" i="33"/>
  <c r="M103" i="33" s="1"/>
  <c r="S47" i="33"/>
  <c r="O197" i="33"/>
  <c r="O237" i="33" s="1"/>
  <c r="O249" i="33" s="1"/>
  <c r="E21" i="30" s="1"/>
  <c r="AI47" i="33"/>
  <c r="AS23" i="33"/>
  <c r="AR235" i="33"/>
  <c r="Z17" i="33"/>
  <c r="AK197" i="33"/>
  <c r="AS143" i="33"/>
  <c r="R146" i="33"/>
  <c r="AP146" i="33"/>
  <c r="AS222" i="33"/>
  <c r="AS227" i="33"/>
  <c r="Y231" i="33"/>
  <c r="AS219" i="33"/>
  <c r="AS212" i="33"/>
  <c r="AS214" i="33"/>
  <c r="AS213" i="33"/>
  <c r="AS211" i="33"/>
  <c r="AS217" i="33"/>
  <c r="X197" i="33"/>
  <c r="Y171" i="33"/>
  <c r="Y184" i="33"/>
  <c r="AA146" i="33"/>
  <c r="AS21" i="33"/>
  <c r="AS166" i="33"/>
  <c r="AS241" i="33"/>
  <c r="W197" i="33"/>
  <c r="W237" i="33" s="1"/>
  <c r="W249" i="33" s="1"/>
  <c r="Y101" i="33"/>
  <c r="Z146" i="33"/>
  <c r="AS234" i="33"/>
  <c r="Y247" i="33"/>
  <c r="Q47" i="33"/>
  <c r="Q87" i="33" s="1"/>
  <c r="Q103" i="33" s="1"/>
  <c r="F197" i="33"/>
  <c r="V197" i="33"/>
  <c r="V237" i="33" s="1"/>
  <c r="V249" i="33" s="1"/>
  <c r="Y69" i="33"/>
  <c r="AM197" i="33"/>
  <c r="AM237" i="33" s="1"/>
  <c r="AM249" i="33" s="1"/>
  <c r="AE70" i="33"/>
  <c r="AH17" i="33"/>
  <c r="H70" i="33"/>
  <c r="H87" i="33" s="1"/>
  <c r="H103" i="33" s="1"/>
  <c r="H155" i="33" s="1"/>
  <c r="H157" i="33" s="1"/>
  <c r="D14" i="30" s="1"/>
  <c r="AS40" i="33"/>
  <c r="F47" i="33"/>
  <c r="Y37" i="33"/>
  <c r="K197" i="33"/>
  <c r="K237" i="33" s="1"/>
  <c r="K249" i="33" s="1"/>
  <c r="W146" i="33"/>
  <c r="AP17" i="33"/>
  <c r="P70" i="33"/>
  <c r="AS167" i="33"/>
  <c r="Y46" i="33"/>
  <c r="S197" i="33"/>
  <c r="S237" i="33" s="1"/>
  <c r="S249" i="33" s="1"/>
  <c r="I146" i="33"/>
  <c r="Y9" i="33"/>
  <c r="Y16" i="33"/>
  <c r="AS232" i="33"/>
  <c r="AS10" i="33"/>
  <c r="AS242" i="33"/>
  <c r="Y20" i="33"/>
  <c r="Y145" i="33"/>
  <c r="Y195" i="33"/>
  <c r="Y86" i="33"/>
  <c r="Y24" i="33"/>
  <c r="Y81" i="33"/>
  <c r="AF17" i="33"/>
  <c r="Y138" i="33"/>
  <c r="AS26" i="33"/>
  <c r="Y220" i="33"/>
  <c r="E56" i="30"/>
  <c r="AP252" i="33"/>
  <c r="AR220" i="33"/>
  <c r="AR231" i="33"/>
  <c r="AR195" i="33"/>
  <c r="AS172" i="33"/>
  <c r="AR184" i="33"/>
  <c r="AR101" i="33"/>
  <c r="AI146" i="33"/>
  <c r="AR81" i="33"/>
  <c r="AR59" i="33"/>
  <c r="AR70" i="33" s="1"/>
  <c r="AC70" i="33"/>
  <c r="AS4" i="33"/>
  <c r="AR9" i="33"/>
  <c r="AR20" i="33"/>
  <c r="AS18" i="33"/>
  <c r="AE197" i="33"/>
  <c r="AE237" i="33" s="1"/>
  <c r="AE249" i="33" s="1"/>
  <c r="AH87" i="33"/>
  <c r="AH103" i="33" s="1"/>
  <c r="AN17" i="33"/>
  <c r="AK70" i="33"/>
  <c r="AK87" i="33" s="1"/>
  <c r="AK103" i="33" s="1"/>
  <c r="AB70" i="33"/>
  <c r="AB87" i="33" s="1"/>
  <c r="AB103" i="33" s="1"/>
  <c r="AJ70" i="33"/>
  <c r="M155" i="33"/>
  <c r="M157" i="33" s="1"/>
  <c r="D19" i="30" s="1"/>
  <c r="L70" i="33"/>
  <c r="L87" i="33" s="1"/>
  <c r="L103" i="33" s="1"/>
  <c r="L155" i="33" s="1"/>
  <c r="L157" i="33" s="1"/>
  <c r="D18" i="30" s="1"/>
  <c r="T70" i="33"/>
  <c r="T87" i="33" s="1"/>
  <c r="T103" i="33" s="1"/>
  <c r="T155" i="33" s="1"/>
  <c r="F70" i="33"/>
  <c r="N70" i="33"/>
  <c r="N87" i="33" s="1"/>
  <c r="N103" i="33" s="1"/>
  <c r="R197" i="33"/>
  <c r="R237" i="33" s="1"/>
  <c r="R249" i="33" s="1"/>
  <c r="J197" i="33"/>
  <c r="J237" i="33" s="1"/>
  <c r="J249" i="33" s="1"/>
  <c r="I47" i="33"/>
  <c r="G197" i="33"/>
  <c r="G237" i="33" s="1"/>
  <c r="G249" i="33" s="1"/>
  <c r="AS69" i="33" l="1"/>
  <c r="AM87" i="33"/>
  <c r="AM103" i="33" s="1"/>
  <c r="G155" i="33"/>
  <c r="G157" i="33" s="1"/>
  <c r="D13" i="30" s="1"/>
  <c r="AO87" i="33"/>
  <c r="AO103" i="33" s="1"/>
  <c r="AG87" i="33"/>
  <c r="AG103" i="33" s="1"/>
  <c r="AR17" i="33"/>
  <c r="AS46" i="33"/>
  <c r="Q155" i="33"/>
  <c r="Q157" i="33" s="1"/>
  <c r="D23" i="30" s="1"/>
  <c r="V87" i="33"/>
  <c r="V103" i="33" s="1"/>
  <c r="V155" i="33" s="1"/>
  <c r="V157" i="33" s="1"/>
  <c r="D28" i="30" s="1"/>
  <c r="AR47" i="33"/>
  <c r="Y25" i="33"/>
  <c r="E41" i="30"/>
  <c r="Z87" i="33"/>
  <c r="Z103" i="33" s="1"/>
  <c r="AQ155" i="33"/>
  <c r="AQ157" i="33" s="1"/>
  <c r="D57" i="30" s="1"/>
  <c r="AS247" i="33"/>
  <c r="AA87" i="33"/>
  <c r="AA103" i="33" s="1"/>
  <c r="AA155" i="33" s="1"/>
  <c r="AA157" i="33" s="1"/>
  <c r="D41" i="30" s="1"/>
  <c r="T157" i="33"/>
  <c r="D26" i="30" s="1"/>
  <c r="AL87" i="33"/>
  <c r="AL103" i="33" s="1"/>
  <c r="AS101" i="33"/>
  <c r="R87" i="33"/>
  <c r="R103" i="33" s="1"/>
  <c r="R155" i="33" s="1"/>
  <c r="R157" i="33" s="1"/>
  <c r="D24" i="30" s="1"/>
  <c r="AG252" i="33"/>
  <c r="AF252" i="33"/>
  <c r="E40" i="30"/>
  <c r="N252" i="33"/>
  <c r="E43" i="30"/>
  <c r="I87" i="33"/>
  <c r="I103" i="33" s="1"/>
  <c r="I155" i="33" s="1"/>
  <c r="I157" i="33" s="1"/>
  <c r="D15" i="30" s="1"/>
  <c r="AS16" i="33"/>
  <c r="AS24" i="33"/>
  <c r="O252" i="33"/>
  <c r="S87" i="33"/>
  <c r="S103" i="33" s="1"/>
  <c r="S155" i="33" s="1"/>
  <c r="S157" i="33" s="1"/>
  <c r="D25" i="30" s="1"/>
  <c r="AF87" i="33"/>
  <c r="AF103" i="33" s="1"/>
  <c r="AF155" i="33" s="1"/>
  <c r="AF157" i="33" s="1"/>
  <c r="AG155" i="33"/>
  <c r="AG157" i="33" s="1"/>
  <c r="D47" i="30" s="1"/>
  <c r="AP155" i="33"/>
  <c r="AP157" i="33" s="1"/>
  <c r="AP251" i="33" s="1"/>
  <c r="F56" i="30" s="1"/>
  <c r="AS81" i="33"/>
  <c r="AI252" i="33"/>
  <c r="N155" i="33"/>
  <c r="N157" i="33" s="1"/>
  <c r="D20" i="30" s="1"/>
  <c r="W87" i="33"/>
  <c r="W103" i="33" s="1"/>
  <c r="O155" i="33"/>
  <c r="O157" i="33" s="1"/>
  <c r="D21" i="30" s="1"/>
  <c r="W155" i="33"/>
  <c r="W157" i="33" s="1"/>
  <c r="D29" i="30" s="1"/>
  <c r="AC87" i="33"/>
  <c r="AC103" i="33" s="1"/>
  <c r="AC155" i="33" s="1"/>
  <c r="AC157" i="33" s="1"/>
  <c r="AH252" i="33"/>
  <c r="AJ87" i="33"/>
  <c r="AJ103" i="33" s="1"/>
  <c r="AJ155" i="33" s="1"/>
  <c r="AJ157" i="33" s="1"/>
  <c r="D50" i="30" s="1"/>
  <c r="Y17" i="33"/>
  <c r="AS145" i="33"/>
  <c r="P87" i="33"/>
  <c r="P103" i="33" s="1"/>
  <c r="P155" i="33" s="1"/>
  <c r="P157" i="33" s="1"/>
  <c r="D22" i="30" s="1"/>
  <c r="AS171" i="33"/>
  <c r="AS37" i="33"/>
  <c r="AS47" i="33" s="1"/>
  <c r="AN252" i="33"/>
  <c r="AS231" i="33"/>
  <c r="M252" i="33"/>
  <c r="M251" i="33" s="1"/>
  <c r="F19" i="30" s="1"/>
  <c r="E19" i="30"/>
  <c r="AR25" i="33"/>
  <c r="AQ252" i="33"/>
  <c r="AQ251" i="33" s="1"/>
  <c r="F57" i="30" s="1"/>
  <c r="AB155" i="33"/>
  <c r="AB157" i="33" s="1"/>
  <c r="D42" i="30" s="1"/>
  <c r="AS195" i="33"/>
  <c r="U155" i="33"/>
  <c r="U157" i="33" s="1"/>
  <c r="D27" i="30" s="1"/>
  <c r="AS59" i="33"/>
  <c r="AS70" i="33" s="1"/>
  <c r="AI87" i="33"/>
  <c r="AI103" i="33" s="1"/>
  <c r="AE87" i="33"/>
  <c r="AE103" i="33" s="1"/>
  <c r="AE155" i="33" s="1"/>
  <c r="AE157" i="33" s="1"/>
  <c r="D45" i="30" s="1"/>
  <c r="AD87" i="33"/>
  <c r="AD103" i="33" s="1"/>
  <c r="AD155" i="33" s="1"/>
  <c r="AD157" i="33" s="1"/>
  <c r="D44" i="30" s="1"/>
  <c r="AS235" i="33"/>
  <c r="AS220" i="33"/>
  <c r="E22" i="30"/>
  <c r="P252" i="33"/>
  <c r="E25" i="30"/>
  <c r="S252" i="33"/>
  <c r="AB252" i="33"/>
  <c r="AB251" i="33" s="1"/>
  <c r="F42" i="30" s="1"/>
  <c r="E42" i="30"/>
  <c r="E27" i="30"/>
  <c r="U252" i="33"/>
  <c r="E14" i="30"/>
  <c r="H252" i="33"/>
  <c r="H251" i="33" s="1"/>
  <c r="F14" i="30" s="1"/>
  <c r="E18" i="30"/>
  <c r="L252" i="33"/>
  <c r="L251" i="33" s="1"/>
  <c r="F18" i="30" s="1"/>
  <c r="E44" i="30"/>
  <c r="AD252" i="33"/>
  <c r="AD251" i="33" s="1"/>
  <c r="F44" i="30" s="1"/>
  <c r="E17" i="30"/>
  <c r="K252" i="33"/>
  <c r="E28" i="30"/>
  <c r="V252" i="33"/>
  <c r="V251" i="33" s="1"/>
  <c r="F28" i="30" s="1"/>
  <c r="F237" i="33"/>
  <c r="Y197" i="33"/>
  <c r="E24" i="30"/>
  <c r="R252" i="33"/>
  <c r="E23" i="30"/>
  <c r="Q252" i="33"/>
  <c r="E26" i="30"/>
  <c r="T252" i="33"/>
  <c r="T251" i="33" s="1"/>
  <c r="F26" i="30" s="1"/>
  <c r="E13" i="30"/>
  <c r="G252" i="33"/>
  <c r="G251" i="33" s="1"/>
  <c r="F13" i="30" s="1"/>
  <c r="F87" i="33"/>
  <c r="Y70" i="33"/>
  <c r="E45" i="30"/>
  <c r="AE252" i="33"/>
  <c r="Y47" i="33"/>
  <c r="E16" i="30"/>
  <c r="J252" i="33"/>
  <c r="E15" i="30"/>
  <c r="I252" i="33"/>
  <c r="N251" i="33"/>
  <c r="F20" i="30" s="1"/>
  <c r="E29" i="30"/>
  <c r="W252" i="33"/>
  <c r="AO252" i="33"/>
  <c r="E53" i="30"/>
  <c r="AM252" i="33"/>
  <c r="AR197" i="33"/>
  <c r="E52" i="30"/>
  <c r="AL252" i="33"/>
  <c r="AJ252" i="33"/>
  <c r="E50" i="30"/>
  <c r="AS184" i="33"/>
  <c r="AI155" i="33"/>
  <c r="AI157" i="33" s="1"/>
  <c r="AA251" i="33"/>
  <c r="F41" i="30" s="1"/>
  <c r="AS9" i="33"/>
  <c r="AS17" i="33" s="1"/>
  <c r="AS20" i="33"/>
  <c r="AS25" i="33" s="1"/>
  <c r="J293" i="7"/>
  <c r="G390" i="7"/>
  <c r="AS405" i="7"/>
  <c r="AT405" i="7" s="1"/>
  <c r="AX382" i="7"/>
  <c r="AY384" i="7" s="1"/>
  <c r="AX375" i="7"/>
  <c r="AA401" i="7"/>
  <c r="AA399" i="7"/>
  <c r="AA390" i="7"/>
  <c r="AA376" i="7"/>
  <c r="AA362" i="7"/>
  <c r="AA363" i="7"/>
  <c r="AA364" i="7"/>
  <c r="AA365" i="7"/>
  <c r="AA354" i="7"/>
  <c r="AA348" i="7"/>
  <c r="AA346" i="7"/>
  <c r="AA333" i="7"/>
  <c r="AA317" i="7"/>
  <c r="AA302" i="7"/>
  <c r="AA303" i="7"/>
  <c r="AA304" i="7"/>
  <c r="AA305" i="7"/>
  <c r="AA295" i="7"/>
  <c r="AA356" i="7" s="1"/>
  <c r="AA378" i="7" s="1"/>
  <c r="AA380" i="7" s="1"/>
  <c r="AA293" i="7"/>
  <c r="AA280" i="7"/>
  <c r="AA264" i="7"/>
  <c r="AA242" i="7"/>
  <c r="AA243" i="7"/>
  <c r="AA244" i="7"/>
  <c r="AA245" i="7"/>
  <c r="AA224" i="7"/>
  <c r="AA215" i="7"/>
  <c r="AA213" i="7"/>
  <c r="AA200" i="7"/>
  <c r="AA182" i="7"/>
  <c r="AA183" i="7"/>
  <c r="AA184" i="7"/>
  <c r="AA185" i="7"/>
  <c r="AA176" i="7"/>
  <c r="AA164" i="7"/>
  <c r="AA159" i="7"/>
  <c r="AA150" i="7"/>
  <c r="AA140" i="7"/>
  <c r="AA142" i="7" s="1"/>
  <c r="AA118" i="7"/>
  <c r="AA123" i="7"/>
  <c r="AA124" i="7"/>
  <c r="AA125" i="7"/>
  <c r="AA126" i="7"/>
  <c r="AA116" i="7"/>
  <c r="AA109" i="7"/>
  <c r="AA102" i="7"/>
  <c r="AA94" i="7"/>
  <c r="AA92" i="7"/>
  <c r="AA81" i="7"/>
  <c r="AA64" i="7"/>
  <c r="AA65" i="7"/>
  <c r="AA66" i="7"/>
  <c r="AA67" i="7"/>
  <c r="AA55" i="7"/>
  <c r="AA32" i="7"/>
  <c r="AA28" i="7"/>
  <c r="U251" i="33" l="1"/>
  <c r="F27" i="30" s="1"/>
  <c r="AR87" i="33"/>
  <c r="AR103" i="33" s="1"/>
  <c r="S251" i="33"/>
  <c r="F25" i="30" s="1"/>
  <c r="AJ251" i="33"/>
  <c r="F50" i="30" s="1"/>
  <c r="I251" i="33"/>
  <c r="F15" i="30" s="1"/>
  <c r="O251" i="33"/>
  <c r="F21" i="30" s="1"/>
  <c r="D43" i="30"/>
  <c r="AC251" i="33"/>
  <c r="F43" i="30" s="1"/>
  <c r="D46" i="30"/>
  <c r="AF251" i="33"/>
  <c r="F46" i="30" s="1"/>
  <c r="P251" i="33"/>
  <c r="F22" i="30" s="1"/>
  <c r="W251" i="33"/>
  <c r="F29" i="30" s="1"/>
  <c r="AE251" i="33"/>
  <c r="F45" i="30" s="1"/>
  <c r="Q251" i="33"/>
  <c r="F23" i="30" s="1"/>
  <c r="R251" i="33"/>
  <c r="F24" i="30" s="1"/>
  <c r="AG251" i="33"/>
  <c r="F47" i="30" s="1"/>
  <c r="AS197" i="33"/>
  <c r="AA226" i="7"/>
  <c r="F103" i="33"/>
  <c r="Y87" i="33"/>
  <c r="F249" i="33"/>
  <c r="AA228" i="7"/>
  <c r="AA236" i="7" s="1"/>
  <c r="AA403" i="7" s="1"/>
  <c r="AA406" i="7" s="1"/>
  <c r="AI251" i="33"/>
  <c r="F49" i="30" s="1"/>
  <c r="D49" i="30"/>
  <c r="AS87" i="33"/>
  <c r="F155" i="33" l="1"/>
  <c r="Y103" i="33"/>
  <c r="AS103" i="33" s="1"/>
  <c r="E12" i="30"/>
  <c r="F252" i="33"/>
  <c r="E242" i="33"/>
  <c r="AT242" i="33" s="1"/>
  <c r="AV242" i="33" s="1"/>
  <c r="E243" i="33"/>
  <c r="AT243" i="33" s="1"/>
  <c r="AV243" i="33" s="1"/>
  <c r="E244" i="33"/>
  <c r="AT244" i="33" s="1"/>
  <c r="AV244" i="33" s="1"/>
  <c r="E245" i="33"/>
  <c r="AT245" i="33" s="1"/>
  <c r="AV245" i="33" s="1"/>
  <c r="E246" i="33"/>
  <c r="AT246" i="33" s="1"/>
  <c r="AV246" i="33" s="1"/>
  <c r="E241" i="33"/>
  <c r="AT241" i="33" s="1"/>
  <c r="E239" i="33"/>
  <c r="AT239" i="33" s="1"/>
  <c r="AV239" i="33" s="1"/>
  <c r="E234" i="33"/>
  <c r="AT234" i="33" s="1"/>
  <c r="AV234" i="33" s="1"/>
  <c r="E232" i="33"/>
  <c r="AT232" i="33" s="1"/>
  <c r="E222" i="33"/>
  <c r="AT222" i="33" s="1"/>
  <c r="AV222" i="33" s="1"/>
  <c r="E223" i="33"/>
  <c r="AT223" i="33" s="1"/>
  <c r="AV223" i="33" s="1"/>
  <c r="E224" i="33"/>
  <c r="AT224" i="33" s="1"/>
  <c r="AV224" i="33" s="1"/>
  <c r="E225" i="33"/>
  <c r="AT225" i="33" s="1"/>
  <c r="AV225" i="33" s="1"/>
  <c r="E226" i="33"/>
  <c r="AT226" i="33" s="1"/>
  <c r="AV226" i="33" s="1"/>
  <c r="E227" i="33"/>
  <c r="AT227" i="33" s="1"/>
  <c r="AV227" i="33" s="1"/>
  <c r="E228" i="33"/>
  <c r="AT228" i="33" s="1"/>
  <c r="AV228" i="33" s="1"/>
  <c r="E229" i="33"/>
  <c r="AT229" i="33" s="1"/>
  <c r="AV229" i="33" s="1"/>
  <c r="E230" i="33"/>
  <c r="AT230" i="33" s="1"/>
  <c r="AV230" i="33" s="1"/>
  <c r="E221" i="33"/>
  <c r="AT221" i="33" s="1"/>
  <c r="E212" i="33"/>
  <c r="AT212" i="33" s="1"/>
  <c r="AV212" i="33" s="1"/>
  <c r="E213" i="33"/>
  <c r="AT213" i="33" s="1"/>
  <c r="AV213" i="33" s="1"/>
  <c r="E214" i="33"/>
  <c r="AT214" i="33" s="1"/>
  <c r="AV214" i="33" s="1"/>
  <c r="E215" i="33"/>
  <c r="AT215" i="33" s="1"/>
  <c r="AV215" i="33" s="1"/>
  <c r="E216" i="33"/>
  <c r="AT216" i="33" s="1"/>
  <c r="AV216" i="33" s="1"/>
  <c r="E217" i="33"/>
  <c r="AT217" i="33" s="1"/>
  <c r="AV217" i="33" s="1"/>
  <c r="E218" i="33"/>
  <c r="AT218" i="33" s="1"/>
  <c r="AV218" i="33" s="1"/>
  <c r="E219" i="33"/>
  <c r="AT219" i="33" s="1"/>
  <c r="AV219" i="33" s="1"/>
  <c r="E211" i="33"/>
  <c r="AT211" i="33" s="1"/>
  <c r="AV211" i="33" s="1"/>
  <c r="E209" i="33"/>
  <c r="AT209" i="33" s="1"/>
  <c r="AV209" i="33" s="1"/>
  <c r="E210" i="33"/>
  <c r="AT210" i="33" s="1"/>
  <c r="AV210" i="33" s="1"/>
  <c r="E208" i="33"/>
  <c r="AT208" i="33" s="1"/>
  <c r="E200" i="33"/>
  <c r="E201" i="33"/>
  <c r="E202" i="33"/>
  <c r="E203" i="33"/>
  <c r="E204" i="33"/>
  <c r="E205" i="33"/>
  <c r="E206" i="33"/>
  <c r="E199" i="33"/>
  <c r="E186" i="33"/>
  <c r="AT186" i="33" s="1"/>
  <c r="AV186" i="33" s="1"/>
  <c r="E187" i="33"/>
  <c r="AT187" i="33" s="1"/>
  <c r="AV187" i="33" s="1"/>
  <c r="E188" i="33"/>
  <c r="AT188" i="33" s="1"/>
  <c r="AV188" i="33" s="1"/>
  <c r="E189" i="33"/>
  <c r="AT189" i="33" s="1"/>
  <c r="AV189" i="33" s="1"/>
  <c r="E190" i="33"/>
  <c r="AT190" i="33" s="1"/>
  <c r="AV190" i="33" s="1"/>
  <c r="E191" i="33"/>
  <c r="AT191" i="33" s="1"/>
  <c r="AV191" i="33" s="1"/>
  <c r="E192" i="33"/>
  <c r="AT192" i="33" s="1"/>
  <c r="AV192" i="33" s="1"/>
  <c r="E193" i="33"/>
  <c r="AT193" i="33" s="1"/>
  <c r="AV193" i="33" s="1"/>
  <c r="E194" i="33"/>
  <c r="AT194" i="33" s="1"/>
  <c r="AV194" i="33" s="1"/>
  <c r="E185" i="33"/>
  <c r="AT185" i="33" s="1"/>
  <c r="E176" i="33"/>
  <c r="AT176" i="33" s="1"/>
  <c r="AV176" i="33" s="1"/>
  <c r="E177" i="33"/>
  <c r="AT177" i="33" s="1"/>
  <c r="AV177" i="33" s="1"/>
  <c r="E178" i="33"/>
  <c r="AT178" i="33" s="1"/>
  <c r="AV178" i="33" s="1"/>
  <c r="E179" i="33"/>
  <c r="AT179" i="33" s="1"/>
  <c r="AV179" i="33" s="1"/>
  <c r="E180" i="33"/>
  <c r="AT180" i="33" s="1"/>
  <c r="AV180" i="33" s="1"/>
  <c r="E181" i="33"/>
  <c r="AT181" i="33" s="1"/>
  <c r="AV181" i="33" s="1"/>
  <c r="E182" i="33"/>
  <c r="AT182" i="33" s="1"/>
  <c r="AV182" i="33" s="1"/>
  <c r="E183" i="33"/>
  <c r="AT183" i="33" s="1"/>
  <c r="AV183" i="33" s="1"/>
  <c r="E175" i="33"/>
  <c r="AT175" i="33" s="1"/>
  <c r="AV175" i="33" s="1"/>
  <c r="E173" i="33"/>
  <c r="AT173" i="33" s="1"/>
  <c r="AV173" i="33" s="1"/>
  <c r="E174" i="33"/>
  <c r="AT174" i="33" s="1"/>
  <c r="AV174" i="33" s="1"/>
  <c r="E172" i="33"/>
  <c r="AT172" i="33" s="1"/>
  <c r="E164" i="33"/>
  <c r="AT164" i="33" s="1"/>
  <c r="AV164" i="33" s="1"/>
  <c r="E165" i="33"/>
  <c r="AT165" i="33" s="1"/>
  <c r="AV165" i="33" s="1"/>
  <c r="E166" i="33"/>
  <c r="AT166" i="33" s="1"/>
  <c r="AV166" i="33" s="1"/>
  <c r="E167" i="33"/>
  <c r="AT167" i="33" s="1"/>
  <c r="AV167" i="33" s="1"/>
  <c r="E168" i="33"/>
  <c r="AT168" i="33" s="1"/>
  <c r="AV168" i="33" s="1"/>
  <c r="E169" i="33"/>
  <c r="AT169" i="33" s="1"/>
  <c r="AV169" i="33" s="1"/>
  <c r="E170" i="33"/>
  <c r="AT170" i="33" s="1"/>
  <c r="AV170" i="33" s="1"/>
  <c r="AT163" i="33"/>
  <c r="E160" i="33"/>
  <c r="AT160" i="33" s="1"/>
  <c r="AV160" i="33" s="1"/>
  <c r="E159" i="33"/>
  <c r="AT159" i="33" s="1"/>
  <c r="E152" i="33"/>
  <c r="AT152" i="33" s="1"/>
  <c r="AV152" i="33" s="1"/>
  <c r="E149" i="33"/>
  <c r="AT149" i="33" s="1"/>
  <c r="AV149" i="33" s="1"/>
  <c r="E151" i="33"/>
  <c r="AT151" i="33" s="1"/>
  <c r="AV151" i="33" s="1"/>
  <c r="E140" i="33"/>
  <c r="AT140" i="33" s="1"/>
  <c r="AV140" i="33" s="1"/>
  <c r="E141" i="33"/>
  <c r="AT141" i="33" s="1"/>
  <c r="AV141" i="33" s="1"/>
  <c r="E142" i="33"/>
  <c r="AT142" i="33" s="1"/>
  <c r="AV142" i="33" s="1"/>
  <c r="E143" i="33"/>
  <c r="AT143" i="33" s="1"/>
  <c r="AV143" i="33" s="1"/>
  <c r="E144" i="33"/>
  <c r="AT144" i="33" s="1"/>
  <c r="AV144" i="33" s="1"/>
  <c r="E139" i="33"/>
  <c r="AT139" i="33" s="1"/>
  <c r="E129" i="33"/>
  <c r="E130" i="33"/>
  <c r="E131" i="33"/>
  <c r="E132" i="33"/>
  <c r="E133" i="33"/>
  <c r="E134" i="33"/>
  <c r="E135" i="33"/>
  <c r="E136" i="33"/>
  <c r="E137" i="33"/>
  <c r="E128" i="33"/>
  <c r="E115" i="33"/>
  <c r="E116" i="33"/>
  <c r="E117" i="33"/>
  <c r="E118" i="33"/>
  <c r="E119" i="33"/>
  <c r="E120" i="33"/>
  <c r="E121" i="33"/>
  <c r="E122" i="33"/>
  <c r="E123" i="33"/>
  <c r="E124" i="33"/>
  <c r="E125" i="33"/>
  <c r="E126" i="33"/>
  <c r="E114" i="33"/>
  <c r="E106" i="33"/>
  <c r="E107" i="33"/>
  <c r="E108" i="33"/>
  <c r="E109" i="33"/>
  <c r="E110" i="33"/>
  <c r="E111" i="33"/>
  <c r="E112" i="33"/>
  <c r="E105" i="33"/>
  <c r="E90" i="33"/>
  <c r="AT90" i="33" s="1"/>
  <c r="AV90" i="33" s="1"/>
  <c r="E91" i="33"/>
  <c r="AT91" i="33" s="1"/>
  <c r="AV91" i="33" s="1"/>
  <c r="E92" i="33"/>
  <c r="AT92" i="33" s="1"/>
  <c r="AV92" i="33" s="1"/>
  <c r="E93" i="33"/>
  <c r="AT93" i="33" s="1"/>
  <c r="AV93" i="33" s="1"/>
  <c r="E94" i="33"/>
  <c r="AT94" i="33" s="1"/>
  <c r="AV94" i="33" s="1"/>
  <c r="E95" i="33"/>
  <c r="AT95" i="33" s="1"/>
  <c r="AV95" i="33" s="1"/>
  <c r="E96" i="33"/>
  <c r="AT96" i="33" s="1"/>
  <c r="AV96" i="33" s="1"/>
  <c r="E97" i="33"/>
  <c r="AT97" i="33" s="1"/>
  <c r="AV97" i="33" s="1"/>
  <c r="E98" i="33"/>
  <c r="AT98" i="33" s="1"/>
  <c r="AV98" i="33" s="1"/>
  <c r="E99" i="33"/>
  <c r="AT99" i="33" s="1"/>
  <c r="AV99" i="33" s="1"/>
  <c r="E100" i="33"/>
  <c r="AT100" i="33" s="1"/>
  <c r="AV100" i="33" s="1"/>
  <c r="E89" i="33"/>
  <c r="AT89" i="33" s="1"/>
  <c r="E83" i="33"/>
  <c r="AT83" i="33" s="1"/>
  <c r="AV83" i="33" s="1"/>
  <c r="E84" i="33"/>
  <c r="AT84" i="33" s="1"/>
  <c r="AV84" i="33" s="1"/>
  <c r="E85" i="33"/>
  <c r="AT85" i="33" s="1"/>
  <c r="AV85" i="33" s="1"/>
  <c r="E82" i="33"/>
  <c r="AT82" i="33" s="1"/>
  <c r="E78" i="33"/>
  <c r="AT78" i="33" s="1"/>
  <c r="AV78" i="33" s="1"/>
  <c r="E79" i="33"/>
  <c r="AT79" i="33" s="1"/>
  <c r="AV79" i="33" s="1"/>
  <c r="E80" i="33"/>
  <c r="AT80" i="33" s="1"/>
  <c r="AV80" i="33" s="1"/>
  <c r="E77" i="33"/>
  <c r="AT77" i="33" s="1"/>
  <c r="E72" i="33"/>
  <c r="AT72" i="33" s="1"/>
  <c r="AV72" i="33" s="1"/>
  <c r="E73" i="33"/>
  <c r="AT73" i="33" s="1"/>
  <c r="AV73" i="33" s="1"/>
  <c r="E74" i="33"/>
  <c r="AT74" i="33" s="1"/>
  <c r="AV74" i="33" s="1"/>
  <c r="E75" i="33"/>
  <c r="AT75" i="33" s="1"/>
  <c r="AV75" i="33" s="1"/>
  <c r="E71" i="33"/>
  <c r="AT71" i="33" s="1"/>
  <c r="E61" i="33"/>
  <c r="AT61" i="33" s="1"/>
  <c r="AV61" i="33" s="1"/>
  <c r="E62" i="33"/>
  <c r="AT62" i="33" s="1"/>
  <c r="AV62" i="33" s="1"/>
  <c r="E63" i="33"/>
  <c r="AT63" i="33" s="1"/>
  <c r="AV63" i="33" s="1"/>
  <c r="E64" i="33"/>
  <c r="AT64" i="33" s="1"/>
  <c r="AV64" i="33" s="1"/>
  <c r="E65" i="33"/>
  <c r="AT65" i="33" s="1"/>
  <c r="AV65" i="33" s="1"/>
  <c r="E66" i="33"/>
  <c r="AT66" i="33" s="1"/>
  <c r="AV66" i="33" s="1"/>
  <c r="E67" i="33"/>
  <c r="AT67" i="33" s="1"/>
  <c r="AV67" i="33" s="1"/>
  <c r="E68" i="33"/>
  <c r="AT68" i="33" s="1"/>
  <c r="AV68" i="33" s="1"/>
  <c r="E60" i="33"/>
  <c r="AT60" i="33" s="1"/>
  <c r="E50" i="33"/>
  <c r="AT50" i="33" s="1"/>
  <c r="AV50" i="33" s="1"/>
  <c r="E51" i="33"/>
  <c r="AT51" i="33" s="1"/>
  <c r="AV51" i="33" s="1"/>
  <c r="E52" i="33"/>
  <c r="AT52" i="33" s="1"/>
  <c r="AV52" i="33" s="1"/>
  <c r="E53" i="33"/>
  <c r="AT53" i="33" s="1"/>
  <c r="AV53" i="33" s="1"/>
  <c r="E54" i="33"/>
  <c r="AT54" i="33" s="1"/>
  <c r="AV54" i="33" s="1"/>
  <c r="E55" i="33"/>
  <c r="AT55" i="33" s="1"/>
  <c r="AV55" i="33" s="1"/>
  <c r="E56" i="33"/>
  <c r="AT56" i="33" s="1"/>
  <c r="AV56" i="33" s="1"/>
  <c r="E57" i="33"/>
  <c r="AT57" i="33" s="1"/>
  <c r="AV57" i="33" s="1"/>
  <c r="E58" i="33"/>
  <c r="AT58" i="33" s="1"/>
  <c r="AV58" i="33" s="1"/>
  <c r="E48" i="33"/>
  <c r="AT48" i="33" s="1"/>
  <c r="E49" i="33"/>
  <c r="AT49" i="33" s="1"/>
  <c r="AV49" i="33" s="1"/>
  <c r="E39" i="33"/>
  <c r="AT39" i="33" s="1"/>
  <c r="AV39" i="33" s="1"/>
  <c r="E40" i="33"/>
  <c r="AT40" i="33" s="1"/>
  <c r="AV40" i="33" s="1"/>
  <c r="E41" i="33"/>
  <c r="AT41" i="33" s="1"/>
  <c r="AV41" i="33" s="1"/>
  <c r="E42" i="33"/>
  <c r="AT42" i="33" s="1"/>
  <c r="AV42" i="33" s="1"/>
  <c r="E43" i="33"/>
  <c r="AT43" i="33" s="1"/>
  <c r="AV43" i="33" s="1"/>
  <c r="E44" i="33"/>
  <c r="AT44" i="33" s="1"/>
  <c r="AV44" i="33" s="1"/>
  <c r="E45" i="33"/>
  <c r="AT45" i="33" s="1"/>
  <c r="AV45" i="33" s="1"/>
  <c r="E38" i="33"/>
  <c r="AT38" i="33" s="1"/>
  <c r="E27" i="33"/>
  <c r="AT27" i="33" s="1"/>
  <c r="AV27" i="33" s="1"/>
  <c r="E28" i="33"/>
  <c r="AT28" i="33" s="1"/>
  <c r="AV28" i="33" s="1"/>
  <c r="E29" i="33"/>
  <c r="AT29" i="33" s="1"/>
  <c r="AV29" i="33" s="1"/>
  <c r="E30" i="33"/>
  <c r="AT30" i="33" s="1"/>
  <c r="AV30" i="33" s="1"/>
  <c r="E31" i="33"/>
  <c r="AT31" i="33" s="1"/>
  <c r="AV31" i="33" s="1"/>
  <c r="E32" i="33"/>
  <c r="AT32" i="33" s="1"/>
  <c r="AV32" i="33" s="1"/>
  <c r="E33" i="33"/>
  <c r="AT33" i="33" s="1"/>
  <c r="AV33" i="33" s="1"/>
  <c r="E34" i="33"/>
  <c r="AT34" i="33" s="1"/>
  <c r="AV34" i="33" s="1"/>
  <c r="E35" i="33"/>
  <c r="AT35" i="33" s="1"/>
  <c r="AV35" i="33" s="1"/>
  <c r="E36" i="33"/>
  <c r="AT36" i="33" s="1"/>
  <c r="AV36" i="33" s="1"/>
  <c r="E26" i="33"/>
  <c r="AT26" i="33" s="1"/>
  <c r="E23" i="33"/>
  <c r="AT23" i="33" s="1"/>
  <c r="AV23" i="33" s="1"/>
  <c r="E22" i="33"/>
  <c r="AT22" i="33" s="1"/>
  <c r="AV22" i="33" s="1"/>
  <c r="E21" i="33"/>
  <c r="AT21" i="33" s="1"/>
  <c r="AT19" i="33"/>
  <c r="AV19" i="33" s="1"/>
  <c r="E18" i="33"/>
  <c r="AT18" i="33" s="1"/>
  <c r="E11" i="33"/>
  <c r="AT11" i="33" s="1"/>
  <c r="AV11" i="33" s="1"/>
  <c r="E12" i="33"/>
  <c r="AT12" i="33" s="1"/>
  <c r="AV12" i="33" s="1"/>
  <c r="E13" i="33"/>
  <c r="AT13" i="33" s="1"/>
  <c r="AV13" i="33" s="1"/>
  <c r="E14" i="33"/>
  <c r="AT14" i="33" s="1"/>
  <c r="AV14" i="33" s="1"/>
  <c r="E15" i="33"/>
  <c r="AT15" i="33" s="1"/>
  <c r="AV15" i="33" s="1"/>
  <c r="E10" i="33"/>
  <c r="AT10" i="33" s="1"/>
  <c r="E8" i="33"/>
  <c r="AT8" i="33" s="1"/>
  <c r="AV8" i="33" s="1"/>
  <c r="E7" i="33"/>
  <c r="AT7" i="33" s="1"/>
  <c r="AV7" i="33" s="1"/>
  <c r="E6" i="33"/>
  <c r="AT6" i="33" s="1"/>
  <c r="AV6" i="33" s="1"/>
  <c r="AV10" i="33" l="1"/>
  <c r="AV16" i="33" s="1"/>
  <c r="AT16" i="33"/>
  <c r="AV21" i="33"/>
  <c r="AV24" i="33" s="1"/>
  <c r="AT24" i="33"/>
  <c r="AV221" i="33"/>
  <c r="AV231" i="33" s="1"/>
  <c r="AT231" i="33"/>
  <c r="AV60" i="33"/>
  <c r="AV69" i="33" s="1"/>
  <c r="AT69" i="33"/>
  <c r="AV71" i="33"/>
  <c r="AV76" i="33" s="1"/>
  <c r="AT76" i="33"/>
  <c r="AV139" i="33"/>
  <c r="AV145" i="33" s="1"/>
  <c r="AT145" i="33"/>
  <c r="AT195" i="33"/>
  <c r="AV185" i="33"/>
  <c r="AV195" i="33" s="1"/>
  <c r="AV232" i="33"/>
  <c r="AV235" i="33" s="1"/>
  <c r="AT235" i="33"/>
  <c r="AV26" i="33"/>
  <c r="AV37" i="33" s="1"/>
  <c r="AT37" i="33"/>
  <c r="AV82" i="33"/>
  <c r="AV86" i="33" s="1"/>
  <c r="AT86" i="33"/>
  <c r="AV159" i="33"/>
  <c r="AT220" i="33"/>
  <c r="AV208" i="33"/>
  <c r="AV220" i="33" s="1"/>
  <c r="AV241" i="33"/>
  <c r="AV247" i="33" s="1"/>
  <c r="AT247" i="33"/>
  <c r="F157" i="33"/>
  <c r="F251" i="33" s="1"/>
  <c r="AV38" i="33"/>
  <c r="AV46" i="33" s="1"/>
  <c r="AT46" i="33"/>
  <c r="AV163" i="33"/>
  <c r="AV171" i="33" s="1"/>
  <c r="AT171" i="33"/>
  <c r="AT184" i="33"/>
  <c r="AV172" i="33"/>
  <c r="AV184" i="33" s="1"/>
  <c r="AV18" i="33"/>
  <c r="AV20" i="33" s="1"/>
  <c r="AT20" i="33"/>
  <c r="AV48" i="33"/>
  <c r="AV59" i="33" s="1"/>
  <c r="AT59" i="33"/>
  <c r="AV77" i="33"/>
  <c r="AV81" i="33" s="1"/>
  <c r="AT81" i="33"/>
  <c r="AV89" i="33"/>
  <c r="AV101" i="33" s="1"/>
  <c r="AT101" i="33"/>
  <c r="E247" i="33"/>
  <c r="E235" i="33"/>
  <c r="E231" i="33"/>
  <c r="E207" i="33"/>
  <c r="E220" i="33"/>
  <c r="E195" i="33"/>
  <c r="E184" i="33"/>
  <c r="E171" i="33"/>
  <c r="E145" i="33"/>
  <c r="E138" i="33"/>
  <c r="E127" i="33"/>
  <c r="E113" i="33"/>
  <c r="E101" i="33"/>
  <c r="E81" i="33"/>
  <c r="E76" i="33"/>
  <c r="E86" i="33"/>
  <c r="E59" i="33"/>
  <c r="E69" i="33"/>
  <c r="E24" i="33"/>
  <c r="E46" i="33"/>
  <c r="E37" i="33"/>
  <c r="E20" i="33"/>
  <c r="E16" i="33"/>
  <c r="AT25" i="33" l="1"/>
  <c r="AV70" i="33"/>
  <c r="AT70" i="33"/>
  <c r="AT197" i="33"/>
  <c r="F12" i="30"/>
  <c r="AV47" i="33"/>
  <c r="AT87" i="33"/>
  <c r="AV25" i="33"/>
  <c r="AV87" i="33" s="1"/>
  <c r="D12" i="30"/>
  <c r="AV197" i="33"/>
  <c r="AT47" i="33"/>
  <c r="E146" i="33"/>
  <c r="E70" i="33"/>
  <c r="E47" i="33"/>
  <c r="E25" i="33"/>
  <c r="E11" i="30" l="1"/>
  <c r="E87" i="33"/>
  <c r="E103" i="33" s="1"/>
  <c r="E252" i="33" l="1"/>
  <c r="AT103" i="33"/>
  <c r="AV103" i="33" s="1"/>
  <c r="E5" i="33"/>
  <c r="AT5" i="33" s="1"/>
  <c r="AV5" i="33" s="1"/>
  <c r="E4" i="33"/>
  <c r="E9" i="33" l="1"/>
  <c r="E17" i="33" s="1"/>
  <c r="AT4" i="33"/>
  <c r="E17" i="20"/>
  <c r="C8" i="20"/>
  <c r="C6" i="20"/>
  <c r="AV4" i="33" l="1"/>
  <c r="AV9" i="33" s="1"/>
  <c r="AV17" i="33" s="1"/>
  <c r="AT9" i="33"/>
  <c r="AT17" i="33" s="1"/>
  <c r="AS112" i="7" l="1"/>
  <c r="F218" i="7" l="1"/>
  <c r="F375" i="7" l="1"/>
  <c r="F372" i="7"/>
  <c r="F374" i="7" l="1"/>
  <c r="F376" i="7"/>
  <c r="F322" i="7"/>
  <c r="F293" i="7" l="1"/>
  <c r="F280" i="7"/>
  <c r="F258" i="7"/>
  <c r="F11" i="7"/>
  <c r="F99" i="7"/>
  <c r="F128" i="7"/>
  <c r="F94" i="7"/>
  <c r="AV394" i="7"/>
  <c r="AV396" i="7"/>
  <c r="AS394" i="7"/>
  <c r="AT394" i="7"/>
  <c r="AS395" i="7"/>
  <c r="AT395" i="7" s="1"/>
  <c r="AV395" i="7" s="1"/>
  <c r="E426" i="1" s="1"/>
  <c r="AS396" i="7"/>
  <c r="AT396" i="7"/>
  <c r="AT398" i="7"/>
  <c r="AV398" i="7" s="1"/>
  <c r="F399" i="7"/>
  <c r="AT384" i="7"/>
  <c r="AV384" i="7" s="1"/>
  <c r="AX384" i="7" s="1"/>
  <c r="AT385" i="7"/>
  <c r="AV385" i="7" s="1"/>
  <c r="AX385" i="7" s="1"/>
  <c r="AS383" i="7"/>
  <c r="AT383" i="7" s="1"/>
  <c r="AV383" i="7" s="1"/>
  <c r="AS384" i="7"/>
  <c r="AS385" i="7"/>
  <c r="F390" i="7"/>
  <c r="AC2" i="33" l="1"/>
  <c r="C43" i="30" s="1"/>
  <c r="AD2" i="33"/>
  <c r="C44" i="30" s="1"/>
  <c r="AE2" i="33"/>
  <c r="C45" i="30" s="1"/>
  <c r="AF2" i="33"/>
  <c r="C46" i="30" s="1"/>
  <c r="AG2" i="33"/>
  <c r="C47" i="30" s="1"/>
  <c r="AH2" i="33"/>
  <c r="C48" i="30" s="1"/>
  <c r="AI2" i="33"/>
  <c r="C49" i="30" s="1"/>
  <c r="AJ2" i="33"/>
  <c r="C50" i="30" s="1"/>
  <c r="AK2" i="33"/>
  <c r="C51" i="30" s="1"/>
  <c r="AL2" i="33"/>
  <c r="C52" i="30" s="1"/>
  <c r="AM2" i="33"/>
  <c r="C53" i="30" s="1"/>
  <c r="AN2" i="33"/>
  <c r="C54" i="30" s="1"/>
  <c r="AO2" i="33"/>
  <c r="C55" i="30" s="1"/>
  <c r="AP2" i="33"/>
  <c r="C56" i="30" s="1"/>
  <c r="AQ2" i="33"/>
  <c r="C57" i="30" s="1"/>
  <c r="AA2" i="33"/>
  <c r="C41" i="30" s="1"/>
  <c r="AB2" i="33"/>
  <c r="C42" i="30" s="1"/>
  <c r="AI3" i="33"/>
  <c r="B49" i="30" s="1"/>
  <c r="AA3" i="33"/>
  <c r="B41" i="30" s="1"/>
  <c r="AB3" i="33"/>
  <c r="B42" i="30" s="1"/>
  <c r="AC3" i="33"/>
  <c r="B43" i="30" s="1"/>
  <c r="AG3" i="33"/>
  <c r="B47" i="30" s="1"/>
  <c r="Z3" i="33"/>
  <c r="B40" i="30" s="1"/>
  <c r="Z2" i="33"/>
  <c r="C40" i="30" s="1"/>
  <c r="X2" i="33"/>
  <c r="C30" i="30" s="1"/>
  <c r="H2" i="33"/>
  <c r="C14" i="30" s="1"/>
  <c r="I2" i="33"/>
  <c r="C15" i="30" s="1"/>
  <c r="J2" i="33"/>
  <c r="C16" i="30" s="1"/>
  <c r="K2" i="33"/>
  <c r="C17" i="30" s="1"/>
  <c r="L2" i="33"/>
  <c r="C18" i="30" s="1"/>
  <c r="M2" i="33"/>
  <c r="C19" i="30" s="1"/>
  <c r="N2" i="33"/>
  <c r="C20" i="30" s="1"/>
  <c r="O2" i="33"/>
  <c r="C21" i="30" s="1"/>
  <c r="P2" i="33"/>
  <c r="C22" i="30" s="1"/>
  <c r="Q2" i="33"/>
  <c r="C23" i="30" s="1"/>
  <c r="R2" i="33"/>
  <c r="C24" i="30" s="1"/>
  <c r="S2" i="33"/>
  <c r="C25" i="30" s="1"/>
  <c r="T2" i="33"/>
  <c r="C26" i="30" s="1"/>
  <c r="U2" i="33"/>
  <c r="C27" i="30" s="1"/>
  <c r="V2" i="33"/>
  <c r="C28" i="30" s="1"/>
  <c r="W2" i="33"/>
  <c r="C29" i="30" s="1"/>
  <c r="V3" i="33"/>
  <c r="B28" i="30" s="1"/>
  <c r="W3" i="33"/>
  <c r="B29" i="30" s="1"/>
  <c r="X3" i="33"/>
  <c r="B30" i="30" s="1"/>
  <c r="M3" i="33"/>
  <c r="B19" i="30" s="1"/>
  <c r="N3" i="33"/>
  <c r="B20" i="30" s="1"/>
  <c r="O3" i="33"/>
  <c r="B21" i="30" s="1"/>
  <c r="P3" i="33"/>
  <c r="B22" i="30" s="1"/>
  <c r="Q3" i="33"/>
  <c r="B23" i="30" s="1"/>
  <c r="R3" i="33"/>
  <c r="B24" i="30" s="1"/>
  <c r="S3" i="33"/>
  <c r="B25" i="30" s="1"/>
  <c r="T3" i="33"/>
  <c r="B26" i="30" s="1"/>
  <c r="U3" i="33"/>
  <c r="B27" i="30" s="1"/>
  <c r="J3" i="33"/>
  <c r="B16" i="30" s="1"/>
  <c r="K3" i="33"/>
  <c r="B17" i="30" s="1"/>
  <c r="L3" i="33"/>
  <c r="B18" i="30" s="1"/>
  <c r="E3" i="33"/>
  <c r="B11" i="30" s="1"/>
  <c r="G2" i="33"/>
  <c r="C13" i="30" s="1"/>
  <c r="F2" i="33"/>
  <c r="C12" i="30" s="1"/>
  <c r="AM401" i="7" l="1"/>
  <c r="AN401" i="7"/>
  <c r="AM399" i="7"/>
  <c r="AN399" i="7"/>
  <c r="AO399" i="7"/>
  <c r="AO401" i="7" s="1"/>
  <c r="AP399" i="7"/>
  <c r="AP401" i="7" s="1"/>
  <c r="AQ399" i="7"/>
  <c r="AQ401" i="7" s="1"/>
  <c r="AM390" i="7"/>
  <c r="AN390" i="7"/>
  <c r="AO390" i="7"/>
  <c r="AP390" i="7"/>
  <c r="AQ390" i="7"/>
  <c r="AS387" i="7"/>
  <c r="AS388" i="7"/>
  <c r="AS382" i="7"/>
  <c r="AM376" i="7"/>
  <c r="AN376" i="7"/>
  <c r="AO376" i="7"/>
  <c r="AP376" i="7"/>
  <c r="AQ376" i="7"/>
  <c r="AS371" i="7"/>
  <c r="AS372" i="7"/>
  <c r="AS373" i="7"/>
  <c r="AS374" i="7"/>
  <c r="AS375" i="7"/>
  <c r="AS370" i="7"/>
  <c r="AM363" i="7"/>
  <c r="AN363" i="7"/>
  <c r="AO363" i="7"/>
  <c r="AP363" i="7"/>
  <c r="AQ363" i="7"/>
  <c r="AM364" i="7"/>
  <c r="AN364" i="7"/>
  <c r="AO364" i="7"/>
  <c r="AP364" i="7"/>
  <c r="AQ364" i="7"/>
  <c r="AM365" i="7"/>
  <c r="AN365" i="7"/>
  <c r="AO365" i="7"/>
  <c r="AP365" i="7"/>
  <c r="AQ365" i="7"/>
  <c r="AM354" i="7"/>
  <c r="AN354" i="7"/>
  <c r="AO354" i="7"/>
  <c r="AP354" i="7"/>
  <c r="AQ354" i="7"/>
  <c r="AS353" i="7"/>
  <c r="AM346" i="7"/>
  <c r="AN346" i="7"/>
  <c r="AO346" i="7"/>
  <c r="AP346" i="7"/>
  <c r="AP348" i="7" s="1"/>
  <c r="AQ346" i="7"/>
  <c r="AQ348" i="7" s="1"/>
  <c r="AM333" i="7"/>
  <c r="AN333" i="7"/>
  <c r="AO333" i="7"/>
  <c r="AP333" i="7"/>
  <c r="AQ333" i="7"/>
  <c r="AM317" i="7"/>
  <c r="AN317" i="7"/>
  <c r="AO317" i="7"/>
  <c r="AP317" i="7"/>
  <c r="AQ317" i="7"/>
  <c r="AM303" i="7"/>
  <c r="AN303" i="7"/>
  <c r="AO303" i="7"/>
  <c r="AP303" i="7"/>
  <c r="AQ303" i="7"/>
  <c r="AM304" i="7"/>
  <c r="AN304" i="7"/>
  <c r="AO304" i="7"/>
  <c r="AP304" i="7"/>
  <c r="AQ304" i="7"/>
  <c r="AM305" i="7"/>
  <c r="AN305" i="7"/>
  <c r="AO305" i="7"/>
  <c r="AP305" i="7"/>
  <c r="AQ305" i="7"/>
  <c r="AM293" i="7"/>
  <c r="AN293" i="7"/>
  <c r="AO293" i="7"/>
  <c r="AP293" i="7"/>
  <c r="AP295" i="7" s="1"/>
  <c r="AP356" i="7" s="1"/>
  <c r="AQ293" i="7"/>
  <c r="AQ295" i="7" s="1"/>
  <c r="AQ356" i="7" s="1"/>
  <c r="AQ378" i="7" s="1"/>
  <c r="AQ380" i="7" s="1"/>
  <c r="AS256" i="7"/>
  <c r="AM280" i="7"/>
  <c r="AM295" i="7" s="1"/>
  <c r="AN280" i="7"/>
  <c r="AO280" i="7"/>
  <c r="AP280" i="7"/>
  <c r="AQ280" i="7"/>
  <c r="AM264" i="7"/>
  <c r="AN264" i="7"/>
  <c r="AO264" i="7"/>
  <c r="AP264" i="7"/>
  <c r="AQ264" i="7"/>
  <c r="AS257" i="7"/>
  <c r="AS258" i="7"/>
  <c r="AS259" i="7"/>
  <c r="AS260" i="7"/>
  <c r="AS261" i="7"/>
  <c r="AS262" i="7"/>
  <c r="AS263" i="7"/>
  <c r="AS250" i="7"/>
  <c r="AM243" i="7"/>
  <c r="AN243" i="7"/>
  <c r="AO243" i="7"/>
  <c r="AP243" i="7"/>
  <c r="AQ243" i="7"/>
  <c r="AM244" i="7"/>
  <c r="AN244" i="7"/>
  <c r="AO244" i="7"/>
  <c r="AP244" i="7"/>
  <c r="AQ244" i="7"/>
  <c r="AM245" i="7"/>
  <c r="AN245" i="7"/>
  <c r="AO245" i="7"/>
  <c r="AP245" i="7"/>
  <c r="AQ245" i="7"/>
  <c r="AS234" i="7"/>
  <c r="AS232" i="7"/>
  <c r="AS233" i="7"/>
  <c r="AS231" i="7"/>
  <c r="AM224" i="7"/>
  <c r="AN224" i="7"/>
  <c r="AO224" i="7"/>
  <c r="AP224" i="7"/>
  <c r="AQ224" i="7"/>
  <c r="AS223" i="7"/>
  <c r="AS219" i="7"/>
  <c r="AS221" i="7"/>
  <c r="AS222" i="7"/>
  <c r="AS218" i="7"/>
  <c r="AM213" i="7"/>
  <c r="AP213" i="7"/>
  <c r="AP215" i="7" s="1"/>
  <c r="AQ213" i="7"/>
  <c r="AQ215" i="7" s="1"/>
  <c r="AQ226" i="7" s="1"/>
  <c r="AN200" i="7"/>
  <c r="AP200" i="7"/>
  <c r="AQ200" i="7"/>
  <c r="AM183" i="7"/>
  <c r="AN183" i="7"/>
  <c r="AO183" i="7"/>
  <c r="AP183" i="7"/>
  <c r="AQ183" i="7"/>
  <c r="AM184" i="7"/>
  <c r="AN184" i="7"/>
  <c r="AO184" i="7"/>
  <c r="AP184" i="7"/>
  <c r="AQ184" i="7"/>
  <c r="AM185" i="7"/>
  <c r="AN185" i="7"/>
  <c r="AO185" i="7"/>
  <c r="AP185" i="7"/>
  <c r="AQ185" i="7"/>
  <c r="AM176" i="7"/>
  <c r="AN176" i="7"/>
  <c r="AO176" i="7"/>
  <c r="AP176" i="7"/>
  <c r="AQ176" i="7"/>
  <c r="AS162" i="7"/>
  <c r="AM159" i="7"/>
  <c r="AM164" i="7" s="1"/>
  <c r="AN159" i="7"/>
  <c r="AN164" i="7" s="1"/>
  <c r="AO159" i="7"/>
  <c r="AO164" i="7" s="1"/>
  <c r="AP159" i="7"/>
  <c r="AP164" i="7" s="1"/>
  <c r="AQ159" i="7"/>
  <c r="AQ164" i="7" s="1"/>
  <c r="AS157" i="7"/>
  <c r="AS158" i="7"/>
  <c r="AS156" i="7"/>
  <c r="AT156" i="7" s="1"/>
  <c r="AV156" i="7" s="1"/>
  <c r="AS153" i="7"/>
  <c r="AT153" i="7" s="1"/>
  <c r="AV153" i="7" s="1"/>
  <c r="AM150" i="7"/>
  <c r="AN150" i="7"/>
  <c r="AO150" i="7"/>
  <c r="AP150" i="7"/>
  <c r="AQ150" i="7"/>
  <c r="AS129" i="7"/>
  <c r="AS130" i="7"/>
  <c r="AS131" i="7"/>
  <c r="AS132" i="7"/>
  <c r="AS133" i="7"/>
  <c r="AS134" i="7"/>
  <c r="AS135" i="7"/>
  <c r="AS136" i="7"/>
  <c r="AT136" i="7" s="1"/>
  <c r="AS137" i="7"/>
  <c r="AS138" i="7"/>
  <c r="AS139" i="7"/>
  <c r="AM140" i="7"/>
  <c r="AN140" i="7"/>
  <c r="AO140" i="7"/>
  <c r="AP140" i="7"/>
  <c r="AQ140" i="7"/>
  <c r="AM124" i="7"/>
  <c r="AN124" i="7"/>
  <c r="AO124" i="7"/>
  <c r="AP124" i="7"/>
  <c r="AQ124" i="7"/>
  <c r="AM125" i="7"/>
  <c r="AN125" i="7"/>
  <c r="AO125" i="7"/>
  <c r="AP125" i="7"/>
  <c r="AQ125" i="7"/>
  <c r="AM126" i="7"/>
  <c r="AN126" i="7"/>
  <c r="AO126" i="7"/>
  <c r="AP126" i="7"/>
  <c r="AQ126" i="7"/>
  <c r="AS113" i="7"/>
  <c r="AS114" i="7"/>
  <c r="AS115" i="7"/>
  <c r="AM116" i="7"/>
  <c r="AN116" i="7"/>
  <c r="AO116" i="7"/>
  <c r="AP116" i="7"/>
  <c r="AQ116" i="7"/>
  <c r="AS105" i="7"/>
  <c r="AM109" i="7"/>
  <c r="AN109" i="7"/>
  <c r="AO109" i="7"/>
  <c r="AP109" i="7"/>
  <c r="AQ109" i="7"/>
  <c r="AM102" i="7"/>
  <c r="AN102" i="7"/>
  <c r="AO102" i="7"/>
  <c r="AP102" i="7"/>
  <c r="AQ102" i="7"/>
  <c r="AN94" i="7"/>
  <c r="AM92" i="7"/>
  <c r="AN92" i="7"/>
  <c r="AO92" i="7"/>
  <c r="AP92" i="7"/>
  <c r="AQ92" i="7"/>
  <c r="AM81" i="7"/>
  <c r="AM94" i="7" s="1"/>
  <c r="AN81" i="7"/>
  <c r="AO81" i="7"/>
  <c r="AO94" i="7" s="1"/>
  <c r="AP81" i="7"/>
  <c r="AP94" i="7" s="1"/>
  <c r="AQ81" i="7"/>
  <c r="AQ94" i="7" s="1"/>
  <c r="AM65" i="7"/>
  <c r="AN65" i="7"/>
  <c r="AO65" i="7"/>
  <c r="AP65" i="7"/>
  <c r="AQ65" i="7"/>
  <c r="AM66" i="7"/>
  <c r="AN66" i="7"/>
  <c r="AO66" i="7"/>
  <c r="AP66" i="7"/>
  <c r="AQ66" i="7"/>
  <c r="AM67" i="7"/>
  <c r="AN67" i="7"/>
  <c r="AO67" i="7"/>
  <c r="AP67" i="7"/>
  <c r="AQ67" i="7"/>
  <c r="AS48" i="7"/>
  <c r="AS49" i="7"/>
  <c r="AS50" i="7"/>
  <c r="AS51" i="7"/>
  <c r="AS52" i="7"/>
  <c r="AS53" i="7"/>
  <c r="AS54" i="7"/>
  <c r="AS47" i="7"/>
  <c r="AS36" i="7"/>
  <c r="AS37" i="7"/>
  <c r="AS38" i="7"/>
  <c r="AS39" i="7"/>
  <c r="AS40" i="7"/>
  <c r="AS41" i="7"/>
  <c r="AS42" i="7"/>
  <c r="AS43" i="7"/>
  <c r="AS44" i="7"/>
  <c r="AS45" i="7"/>
  <c r="AS35" i="7"/>
  <c r="AM55" i="7"/>
  <c r="AN55" i="7"/>
  <c r="AO55" i="7"/>
  <c r="AP55" i="7"/>
  <c r="AQ55" i="7"/>
  <c r="AS30" i="7"/>
  <c r="AS31" i="7"/>
  <c r="AS29" i="7"/>
  <c r="AS26" i="7"/>
  <c r="AS27" i="7"/>
  <c r="AS11" i="7"/>
  <c r="AT11" i="7" s="1"/>
  <c r="AV11" i="7" s="1"/>
  <c r="AM28" i="7"/>
  <c r="AM32" i="7" s="1"/>
  <c r="AN28" i="7"/>
  <c r="AN32" i="7" s="1"/>
  <c r="AO28" i="7"/>
  <c r="AO32" i="7" s="1"/>
  <c r="AP28" i="7"/>
  <c r="AP32" i="7" s="1"/>
  <c r="AQ28" i="7"/>
  <c r="AQ32" i="7" s="1"/>
  <c r="E349" i="1" l="1"/>
  <c r="AP226" i="7"/>
  <c r="AP378" i="7"/>
  <c r="AP380" i="7" s="1"/>
  <c r="AO348" i="7"/>
  <c r="AO295" i="7"/>
  <c r="AN348" i="7"/>
  <c r="AN295" i="7"/>
  <c r="AM348" i="7"/>
  <c r="AM356" i="7" s="1"/>
  <c r="AM378" i="7" s="1"/>
  <c r="AM380" i="7" s="1"/>
  <c r="AQ118" i="7"/>
  <c r="AQ142" i="7" s="1"/>
  <c r="AQ228" i="7" s="1"/>
  <c r="AQ236" i="7" s="1"/>
  <c r="AQ403" i="7" s="1"/>
  <c r="AQ406" i="7" s="1"/>
  <c r="AP118" i="7"/>
  <c r="AP142" i="7" s="1"/>
  <c r="AP228" i="7" s="1"/>
  <c r="AP236" i="7" s="1"/>
  <c r="AP403" i="7" s="1"/>
  <c r="AP406" i="7" s="1"/>
  <c r="AO118" i="7"/>
  <c r="AO142" i="7" s="1"/>
  <c r="AN118" i="7"/>
  <c r="AN142" i="7"/>
  <c r="AM118" i="7"/>
  <c r="AM142" i="7"/>
  <c r="AS55" i="7"/>
  <c r="AS376" i="7"/>
  <c r="AO356" i="7" l="1"/>
  <c r="AO378" i="7" s="1"/>
  <c r="AO380" i="7" s="1"/>
  <c r="AN356" i="7"/>
  <c r="AN378" i="7" s="1"/>
  <c r="AN380" i="7" s="1"/>
  <c r="L16" i="6"/>
  <c r="I16" i="6" s="1"/>
  <c r="L15" i="6"/>
  <c r="I15" i="6" s="1"/>
  <c r="X30" i="20" l="1"/>
  <c r="X29" i="20"/>
  <c r="X28" i="20"/>
  <c r="Y28" i="20"/>
  <c r="M16" i="22"/>
  <c r="M15" i="22"/>
  <c r="M11" i="22"/>
  <c r="M10" i="22"/>
  <c r="L15" i="22"/>
  <c r="L11" i="22"/>
  <c r="L10" i="22"/>
  <c r="G26" i="22" l="1"/>
  <c r="H26" i="22" s="1"/>
  <c r="F27" i="22"/>
  <c r="G27" i="22"/>
  <c r="H27" i="22" s="1"/>
  <c r="M10" i="13" l="1"/>
  <c r="A15" i="13" l="1"/>
  <c r="C10" i="13" s="1"/>
  <c r="C11" i="13" l="1"/>
  <c r="E16" i="16" l="1"/>
  <c r="E15" i="16"/>
  <c r="E14" i="16"/>
  <c r="E13" i="16"/>
  <c r="E12" i="16"/>
  <c r="AH399" i="7" l="1"/>
  <c r="AH390" i="7"/>
  <c r="AH376" i="7"/>
  <c r="AH365" i="7"/>
  <c r="AH364" i="7"/>
  <c r="AH363" i="7"/>
  <c r="AH354" i="7"/>
  <c r="AH346" i="7"/>
  <c r="AH333" i="7"/>
  <c r="AH317" i="7"/>
  <c r="AH305" i="7"/>
  <c r="AH304" i="7"/>
  <c r="AH303" i="7"/>
  <c r="AH293" i="7"/>
  <c r="AH280" i="7"/>
  <c r="AH264" i="7"/>
  <c r="AH245" i="7"/>
  <c r="AH244" i="7"/>
  <c r="AH243" i="7"/>
  <c r="AH224" i="7"/>
  <c r="AH213" i="7"/>
  <c r="AH200" i="7"/>
  <c r="AH185" i="7"/>
  <c r="AH184" i="7"/>
  <c r="AH183" i="7"/>
  <c r="AH176" i="7"/>
  <c r="AH159" i="7"/>
  <c r="AH150" i="7"/>
  <c r="AH140" i="7"/>
  <c r="AH126" i="7"/>
  <c r="AH125" i="7"/>
  <c r="AH124" i="7"/>
  <c r="AH116" i="7"/>
  <c r="AH109" i="7"/>
  <c r="AH102" i="7"/>
  <c r="AH92" i="7"/>
  <c r="AH81" i="7"/>
  <c r="AH67" i="7"/>
  <c r="AH66" i="7"/>
  <c r="AH65" i="7"/>
  <c r="AH55" i="7"/>
  <c r="AH28" i="7"/>
  <c r="AH32" i="7" s="1"/>
  <c r="AH5" i="7"/>
  <c r="AH242" i="7" l="1"/>
  <c r="AH3" i="33"/>
  <c r="B48" i="30" s="1"/>
  <c r="AH401" i="7"/>
  <c r="AH123" i="7"/>
  <c r="AH182" i="7"/>
  <c r="AH302" i="7"/>
  <c r="AH362" i="7"/>
  <c r="AH164" i="7"/>
  <c r="AH148" i="33" s="1"/>
  <c r="AH153" i="33" s="1"/>
  <c r="AH155" i="33" s="1"/>
  <c r="AH157" i="33" s="1"/>
  <c r="D48" i="30" s="1"/>
  <c r="AH94" i="7"/>
  <c r="AH118" i="7" s="1"/>
  <c r="AH142" i="7" s="1"/>
  <c r="AH348" i="7"/>
  <c r="AH215" i="7"/>
  <c r="AH226" i="7" s="1"/>
  <c r="AH295" i="7"/>
  <c r="AH64" i="7"/>
  <c r="AS128" i="7"/>
  <c r="AS140" i="7" s="1"/>
  <c r="AH251" i="33" l="1"/>
  <c r="F48" i="30" s="1"/>
  <c r="AH356" i="7"/>
  <c r="AH378" i="7" s="1"/>
  <c r="AH380" i="7" s="1"/>
  <c r="AH228" i="7"/>
  <c r="AH236" i="7" s="1"/>
  <c r="AH403" i="7" s="1"/>
  <c r="AH406" i="7" s="1"/>
  <c r="AD5" i="7"/>
  <c r="AD3" i="33" s="1"/>
  <c r="B44" i="30" s="1"/>
  <c r="AB28" i="7"/>
  <c r="AB32" i="7" s="1"/>
  <c r="AB55" i="7"/>
  <c r="AB64" i="7"/>
  <c r="AB65" i="7"/>
  <c r="AB66" i="7"/>
  <c r="AB67" i="7"/>
  <c r="AB81" i="7"/>
  <c r="AB92" i="7"/>
  <c r="AB102" i="7"/>
  <c r="AB109" i="7"/>
  <c r="AB116" i="7"/>
  <c r="AB123" i="7"/>
  <c r="AB124" i="7"/>
  <c r="AB125" i="7"/>
  <c r="AB126" i="7"/>
  <c r="AB140" i="7"/>
  <c r="AB150" i="7"/>
  <c r="AB159" i="7"/>
  <c r="AB176" i="7"/>
  <c r="AB182" i="7"/>
  <c r="AB183" i="7"/>
  <c r="AB184" i="7"/>
  <c r="AB185" i="7"/>
  <c r="AB200" i="7"/>
  <c r="AB213" i="7"/>
  <c r="AB224" i="7"/>
  <c r="AB242" i="7"/>
  <c r="AB243" i="7"/>
  <c r="AB244" i="7"/>
  <c r="AB245" i="7"/>
  <c r="AB264" i="7"/>
  <c r="AB280" i="7"/>
  <c r="AB293" i="7"/>
  <c r="AB302" i="7"/>
  <c r="AB303" i="7"/>
  <c r="AB304" i="7"/>
  <c r="AB305" i="7"/>
  <c r="AB317" i="7"/>
  <c r="AB333" i="7"/>
  <c r="AB346" i="7"/>
  <c r="AB354" i="7"/>
  <c r="AB362" i="7"/>
  <c r="AB363" i="7"/>
  <c r="AB364" i="7"/>
  <c r="AB365" i="7"/>
  <c r="AB376" i="7"/>
  <c r="AB390" i="7"/>
  <c r="AB399" i="7"/>
  <c r="Z399" i="7"/>
  <c r="Z376" i="7"/>
  <c r="Z365" i="7"/>
  <c r="Z364" i="7"/>
  <c r="Z363" i="7"/>
  <c r="Z362" i="7"/>
  <c r="Z354" i="7"/>
  <c r="Z346" i="7"/>
  <c r="Z333" i="7"/>
  <c r="Z317" i="7"/>
  <c r="Z305" i="7"/>
  <c r="Z304" i="7"/>
  <c r="Z303" i="7"/>
  <c r="Z293" i="7"/>
  <c r="Z280" i="7"/>
  <c r="Z264" i="7"/>
  <c r="Z245" i="7"/>
  <c r="Z244" i="7"/>
  <c r="Z243" i="7"/>
  <c r="Z224" i="7"/>
  <c r="Z213" i="7"/>
  <c r="Z200" i="7"/>
  <c r="Z185" i="7"/>
  <c r="Z184" i="7"/>
  <c r="Z183" i="7"/>
  <c r="Z176" i="7"/>
  <c r="Z159" i="7"/>
  <c r="Z150" i="7"/>
  <c r="Z140" i="7"/>
  <c r="Z126" i="7"/>
  <c r="Z125" i="7"/>
  <c r="Z124" i="7"/>
  <c r="Z123" i="7"/>
  <c r="Z116" i="7"/>
  <c r="Z109" i="7"/>
  <c r="Z102" i="7"/>
  <c r="Z92" i="7"/>
  <c r="Z81" i="7"/>
  <c r="Z67" i="7"/>
  <c r="Z66" i="7"/>
  <c r="Z65" i="7"/>
  <c r="Z55" i="7"/>
  <c r="Z28" i="7"/>
  <c r="Z32" i="7" s="1"/>
  <c r="Z302" i="7"/>
  <c r="AS351" i="7"/>
  <c r="AS251" i="7"/>
  <c r="AS253" i="7" s="1"/>
  <c r="AS354" i="7" l="1"/>
  <c r="AT351" i="7"/>
  <c r="Z390" i="7"/>
  <c r="Z401" i="7" s="1"/>
  <c r="AS386" i="7"/>
  <c r="AS390" i="7" s="1"/>
  <c r="Z215" i="7"/>
  <c r="Z226" i="7" s="1"/>
  <c r="Z295" i="7"/>
  <c r="Z164" i="7"/>
  <c r="Z148" i="33" s="1"/>
  <c r="Z94" i="7"/>
  <c r="Z118" i="7" s="1"/>
  <c r="Z142" i="7" s="1"/>
  <c r="AB401" i="7"/>
  <c r="AB164" i="7"/>
  <c r="Z348" i="7"/>
  <c r="AB295" i="7"/>
  <c r="AB215" i="7"/>
  <c r="AB226" i="7" s="1"/>
  <c r="AB348" i="7"/>
  <c r="AB94" i="7"/>
  <c r="AB118" i="7" s="1"/>
  <c r="AB142" i="7" s="1"/>
  <c r="Z64" i="7"/>
  <c r="Z242" i="7"/>
  <c r="Z182" i="7"/>
  <c r="Z228" i="7" l="1"/>
  <c r="Z236" i="7" s="1"/>
  <c r="Z403" i="7" s="1"/>
  <c r="Z406" i="7" s="1"/>
  <c r="Z153" i="33"/>
  <c r="Z155" i="33" s="1"/>
  <c r="Z157" i="33" s="1"/>
  <c r="D40" i="30" s="1"/>
  <c r="AR148" i="33"/>
  <c r="Z356" i="7"/>
  <c r="Z378" i="7" s="1"/>
  <c r="Z380" i="7" s="1"/>
  <c r="AB356" i="7"/>
  <c r="AB378" i="7" s="1"/>
  <c r="AB380" i="7" s="1"/>
  <c r="AB228" i="7"/>
  <c r="AB236" i="7" s="1"/>
  <c r="AB403" i="7" s="1"/>
  <c r="AB406" i="7" s="1"/>
  <c r="Z251" i="33" l="1"/>
  <c r="AR153" i="33"/>
  <c r="AS220" i="7"/>
  <c r="F40" i="30" l="1"/>
  <c r="Y28" i="7"/>
  <c r="Y32" i="7" s="1"/>
  <c r="Y55" i="7"/>
  <c r="Y64" i="7"/>
  <c r="Y65" i="7"/>
  <c r="Y66" i="7"/>
  <c r="Y67" i="7"/>
  <c r="Y81" i="7"/>
  <c r="Y92" i="7"/>
  <c r="Y102" i="7"/>
  <c r="Y109" i="7"/>
  <c r="Y116" i="7"/>
  <c r="Y123" i="7"/>
  <c r="Y124" i="7"/>
  <c r="Y125" i="7"/>
  <c r="Y126" i="7"/>
  <c r="Y140" i="7"/>
  <c r="Y150" i="7"/>
  <c r="Y159" i="7"/>
  <c r="Y182" i="7"/>
  <c r="Y183" i="7"/>
  <c r="Y184" i="7"/>
  <c r="Y185" i="7"/>
  <c r="Y213" i="7"/>
  <c r="Y224" i="7"/>
  <c r="Y242" i="7"/>
  <c r="Y243" i="7"/>
  <c r="Y244" i="7"/>
  <c r="Y245" i="7"/>
  <c r="Y264" i="7"/>
  <c r="Y280" i="7"/>
  <c r="Y293" i="7"/>
  <c r="Y302" i="7"/>
  <c r="Y303" i="7"/>
  <c r="Y304" i="7"/>
  <c r="Y305" i="7"/>
  <c r="Y333" i="7"/>
  <c r="Y346" i="7"/>
  <c r="Y354" i="7"/>
  <c r="Y362" i="7"/>
  <c r="Y363" i="7"/>
  <c r="Y364" i="7"/>
  <c r="Y365" i="7"/>
  <c r="Y376" i="7"/>
  <c r="Y390" i="7"/>
  <c r="Y399" i="7"/>
  <c r="Y401" i="7" l="1"/>
  <c r="Y164" i="7"/>
  <c r="Y94" i="7"/>
  <c r="Y295" i="7"/>
  <c r="Y118" i="7"/>
  <c r="Y142" i="7" s="1"/>
  <c r="E428" i="1"/>
  <c r="X399" i="7"/>
  <c r="AC399" i="7"/>
  <c r="AD399" i="7"/>
  <c r="AE399" i="7"/>
  <c r="AF399" i="7"/>
  <c r="AG399" i="7"/>
  <c r="AI399" i="7"/>
  <c r="AJ399" i="7"/>
  <c r="AK399" i="7"/>
  <c r="AL399" i="7"/>
  <c r="G399" i="7"/>
  <c r="H399" i="7"/>
  <c r="I399" i="7"/>
  <c r="J399" i="7"/>
  <c r="K399" i="7"/>
  <c r="L399" i="7"/>
  <c r="M399" i="7"/>
  <c r="N399" i="7"/>
  <c r="O399" i="7"/>
  <c r="P399" i="7"/>
  <c r="Q399" i="7"/>
  <c r="R399" i="7"/>
  <c r="S399" i="7"/>
  <c r="T399" i="7"/>
  <c r="V399" i="7"/>
  <c r="W399" i="7"/>
  <c r="J28" i="7" l="1"/>
  <c r="J32" i="7" s="1"/>
  <c r="J55" i="7"/>
  <c r="J65" i="7"/>
  <c r="J66" i="7"/>
  <c r="J67" i="7"/>
  <c r="J81" i="7"/>
  <c r="J92" i="7"/>
  <c r="J102" i="7"/>
  <c r="J109" i="7"/>
  <c r="J116" i="7"/>
  <c r="J124" i="7"/>
  <c r="J125" i="7"/>
  <c r="J126" i="7"/>
  <c r="J140" i="7"/>
  <c r="J150" i="7"/>
  <c r="J159" i="7"/>
  <c r="J176" i="7"/>
  <c r="J183" i="7"/>
  <c r="J184" i="7"/>
  <c r="J185" i="7"/>
  <c r="J200" i="7"/>
  <c r="J213" i="7"/>
  <c r="J224" i="7"/>
  <c r="J243" i="7"/>
  <c r="J244" i="7"/>
  <c r="J245" i="7"/>
  <c r="J264" i="7"/>
  <c r="J280" i="7"/>
  <c r="J303" i="7"/>
  <c r="J304" i="7"/>
  <c r="J305" i="7"/>
  <c r="J317" i="7"/>
  <c r="J333" i="7"/>
  <c r="J346" i="7"/>
  <c r="J354" i="7"/>
  <c r="J363" i="7"/>
  <c r="J364" i="7"/>
  <c r="J365" i="7"/>
  <c r="J376" i="7"/>
  <c r="J390" i="7"/>
  <c r="J401" i="7" s="1"/>
  <c r="J215" i="7" l="1"/>
  <c r="J226" i="7" s="1"/>
  <c r="J164" i="7"/>
  <c r="J94" i="7"/>
  <c r="J118" i="7" s="1"/>
  <c r="J142" i="7" s="1"/>
  <c r="J228" i="7" s="1"/>
  <c r="J236" i="7" s="1"/>
  <c r="J403" i="7" s="1"/>
  <c r="J406" i="7" s="1"/>
  <c r="J295" i="7"/>
  <c r="J356" i="7" s="1"/>
  <c r="J348" i="7"/>
  <c r="J378" i="7" l="1"/>
  <c r="J380" i="7" s="1"/>
  <c r="F401" i="7" l="1"/>
  <c r="D41" i="12" l="1"/>
  <c r="D40" i="12"/>
  <c r="D39" i="12"/>
  <c r="D38" i="12"/>
  <c r="M19" i="13" l="1"/>
  <c r="M20" i="13"/>
  <c r="M21" i="13"/>
  <c r="M22" i="13"/>
  <c r="M18" i="13"/>
  <c r="M11" i="13"/>
  <c r="M12" i="13"/>
  <c r="M13" i="13"/>
  <c r="M14" i="13"/>
  <c r="M15" i="13"/>
  <c r="M23" i="13" l="1"/>
  <c r="X81" i="20" l="1"/>
  <c r="Y81" i="20" s="1"/>
  <c r="X82" i="20"/>
  <c r="Y82" i="20" s="1"/>
  <c r="X83" i="20"/>
  <c r="Y83" i="20" s="1"/>
  <c r="X84" i="20"/>
  <c r="Y84" i="20" s="1"/>
  <c r="X80" i="20"/>
  <c r="Y80" i="20" s="1"/>
  <c r="Y137" i="20"/>
  <c r="X137" i="20"/>
  <c r="X138" i="20"/>
  <c r="Y138" i="20" s="1"/>
  <c r="X139" i="20"/>
  <c r="Y139" i="20" s="1"/>
  <c r="X140" i="20"/>
  <c r="Y140" i="20" s="1"/>
  <c r="X136" i="20"/>
  <c r="Y136" i="20" s="1"/>
  <c r="AC152" i="20"/>
  <c r="AD152" i="20" s="1"/>
  <c r="AC153" i="20"/>
  <c r="AD153" i="20" s="1"/>
  <c r="AC154" i="20"/>
  <c r="AD154" i="20" s="1"/>
  <c r="AC155" i="20"/>
  <c r="AD155" i="20" s="1"/>
  <c r="AC151" i="20"/>
  <c r="AD151" i="20" s="1"/>
  <c r="AC96" i="20"/>
  <c r="AD96" i="20" s="1"/>
  <c r="AC97" i="20"/>
  <c r="AD97" i="20" s="1"/>
  <c r="AC98" i="20"/>
  <c r="AD98" i="20" s="1"/>
  <c r="AC99" i="20"/>
  <c r="AD99" i="20" s="1"/>
  <c r="Q4" i="21" l="1"/>
  <c r="AC166" i="20"/>
  <c r="X166" i="20"/>
  <c r="AB165" i="20"/>
  <c r="AA165" i="20"/>
  <c r="W165" i="20"/>
  <c r="V165" i="20"/>
  <c r="AD125" i="20"/>
  <c r="AD126" i="20" s="1"/>
  <c r="Y125" i="20"/>
  <c r="Y126" i="20" s="1"/>
  <c r="AC110" i="20"/>
  <c r="X110" i="20"/>
  <c r="AB109" i="20"/>
  <c r="AA109" i="20"/>
  <c r="W109" i="20"/>
  <c r="V109" i="20"/>
  <c r="AD69" i="20"/>
  <c r="AD70" i="20" s="1"/>
  <c r="Y69" i="20"/>
  <c r="Y70" i="20" s="1"/>
  <c r="Y109" i="20" l="1"/>
  <c r="Y165" i="20"/>
  <c r="AD165" i="20"/>
  <c r="X165" i="20"/>
  <c r="AC165" i="20"/>
  <c r="AD109" i="20"/>
  <c r="X109" i="20"/>
  <c r="AC109" i="20"/>
  <c r="D77" i="21"/>
  <c r="C77" i="21"/>
  <c r="Y177" i="20" l="1"/>
  <c r="Y178" i="20" s="1"/>
  <c r="X218" i="20"/>
  <c r="AC204" i="20"/>
  <c r="AD204" i="20" s="1"/>
  <c r="AC205" i="20"/>
  <c r="AD205" i="20" s="1"/>
  <c r="AC206" i="20"/>
  <c r="AD206" i="20" s="1"/>
  <c r="AC207" i="20"/>
  <c r="AD207" i="20" s="1"/>
  <c r="AC203" i="20"/>
  <c r="AD203" i="20" s="1"/>
  <c r="X189" i="20"/>
  <c r="Y189" i="20" s="1"/>
  <c r="X190" i="20"/>
  <c r="Y190" i="20" s="1"/>
  <c r="X191" i="20"/>
  <c r="Y191" i="20" s="1"/>
  <c r="X192" i="20"/>
  <c r="Y192" i="20" s="1"/>
  <c r="X188" i="20"/>
  <c r="Y188" i="20" s="1"/>
  <c r="AC218" i="20"/>
  <c r="AB217" i="20"/>
  <c r="AA217" i="20"/>
  <c r="W217" i="20"/>
  <c r="V217" i="20"/>
  <c r="AD177" i="20"/>
  <c r="AD178" i="20" s="1"/>
  <c r="Y30" i="20"/>
  <c r="AC44" i="20"/>
  <c r="AC45" i="20"/>
  <c r="AD45" i="20" s="1"/>
  <c r="AC46" i="20"/>
  <c r="AD46" i="20" s="1"/>
  <c r="AC47" i="20"/>
  <c r="AD47" i="20" s="1"/>
  <c r="AB57" i="20"/>
  <c r="AA57" i="20"/>
  <c r="AD17" i="20"/>
  <c r="AD18" i="20" s="1"/>
  <c r="X31" i="20"/>
  <c r="Y31" i="20" s="1"/>
  <c r="X32" i="20"/>
  <c r="AD217" i="20" l="1"/>
  <c r="AD44" i="20"/>
  <c r="AC57" i="20"/>
  <c r="Y217" i="20"/>
  <c r="X217" i="20"/>
  <c r="AC217" i="20"/>
  <c r="AD57" i="20"/>
  <c r="Y29" i="20" l="1"/>
  <c r="Y32" i="20"/>
  <c r="X58" i="20"/>
  <c r="W57" i="20"/>
  <c r="V57" i="20"/>
  <c r="Y17" i="20"/>
  <c r="Y18" i="20" s="1"/>
  <c r="Y57" i="20" l="1"/>
  <c r="X57" i="20"/>
  <c r="H61" i="21" l="1"/>
  <c r="O61" i="21" l="1"/>
  <c r="O57" i="21"/>
  <c r="V61" i="21" l="1"/>
  <c r="H48" i="21"/>
  <c r="O48" i="21"/>
  <c r="V48" i="21"/>
  <c r="X48" i="21"/>
  <c r="N47" i="22"/>
  <c r="N46" i="22"/>
  <c r="N45" i="22"/>
  <c r="S39" i="22"/>
  <c r="O40" i="22"/>
  <c r="P40" i="22"/>
  <c r="Q40" i="22"/>
  <c r="R40" i="22"/>
  <c r="S40" i="22"/>
  <c r="S41" i="22"/>
  <c r="N41" i="22"/>
  <c r="N40" i="22"/>
  <c r="N39" i="22"/>
  <c r="P34" i="22"/>
  <c r="Q34" i="22"/>
  <c r="R34" i="22"/>
  <c r="O35" i="22"/>
  <c r="P35" i="22"/>
  <c r="Q35" i="22"/>
  <c r="R35" i="22"/>
  <c r="O36" i="22"/>
  <c r="P36" i="22"/>
  <c r="Q36" i="22"/>
  <c r="R36" i="22"/>
  <c r="N36" i="22"/>
  <c r="N35" i="22"/>
  <c r="P26" i="22"/>
  <c r="P41" i="22" s="1"/>
  <c r="Q26" i="22"/>
  <c r="Q41" i="22" s="1"/>
  <c r="R26" i="22"/>
  <c r="R39" i="22" s="1"/>
  <c r="I47" i="22"/>
  <c r="I46" i="22"/>
  <c r="I45" i="22"/>
  <c r="F47" i="22"/>
  <c r="F46" i="22"/>
  <c r="F45" i="22"/>
  <c r="H57" i="21"/>
  <c r="F48" i="22" l="1"/>
  <c r="R41" i="22"/>
  <c r="P39" i="22"/>
  <c r="Q39" i="22"/>
  <c r="A47" i="13" l="1"/>
  <c r="A39" i="13"/>
  <c r="A31" i="13"/>
  <c r="A23" i="13"/>
  <c r="C21" i="13" s="1"/>
  <c r="V44" i="21"/>
  <c r="O44" i="21"/>
  <c r="C14" i="13" l="1"/>
  <c r="C12" i="13"/>
  <c r="C13" i="13"/>
  <c r="C19" i="13"/>
  <c r="C18" i="13"/>
  <c r="C20" i="13"/>
  <c r="C22" i="13"/>
  <c r="C322" i="20"/>
  <c r="C321" i="20"/>
  <c r="C320" i="20"/>
  <c r="O43" i="21"/>
  <c r="H44" i="21" l="1"/>
  <c r="X44" i="21"/>
  <c r="F346" i="7" l="1"/>
  <c r="AS148" i="7" l="1"/>
  <c r="AT148" i="7" s="1"/>
  <c r="AV148" i="7" s="1"/>
  <c r="AX148" i="7" s="1"/>
  <c r="AV351" i="7" l="1"/>
  <c r="C7" i="20" l="1"/>
  <c r="T127" i="20"/>
  <c r="T128" i="20" s="1"/>
  <c r="R167" i="20"/>
  <c r="R57" i="20" l="1"/>
  <c r="T177" i="20"/>
  <c r="S159" i="20"/>
  <c r="T159" i="20" s="1"/>
  <c r="S80" i="20"/>
  <c r="T80" i="20" s="1"/>
  <c r="S81" i="20"/>
  <c r="T81" i="20" s="1"/>
  <c r="S82" i="20"/>
  <c r="T82" i="20" s="1"/>
  <c r="S83" i="20"/>
  <c r="T83" i="20" s="1"/>
  <c r="S84" i="20"/>
  <c r="T84" i="20" s="1"/>
  <c r="C4" i="21" l="1"/>
  <c r="S28" i="20"/>
  <c r="S27" i="20"/>
  <c r="S29" i="20"/>
  <c r="S30" i="20"/>
  <c r="F176" i="7"/>
  <c r="AK173" i="7" l="1"/>
  <c r="AK110" i="33" s="1"/>
  <c r="AR110" i="33" s="1"/>
  <c r="AS110" i="33" s="1"/>
  <c r="AT110" i="33" s="1"/>
  <c r="AV110" i="33" s="1"/>
  <c r="AK174" i="7"/>
  <c r="AK111" i="33" s="1"/>
  <c r="AR111" i="33" s="1"/>
  <c r="AS111" i="33" s="1"/>
  <c r="AT111" i="33" s="1"/>
  <c r="AV111" i="33" s="1"/>
  <c r="AK168" i="7"/>
  <c r="AK105" i="33" s="1"/>
  <c r="AK170" i="7"/>
  <c r="AK107" i="33" s="1"/>
  <c r="AR107" i="33" s="1"/>
  <c r="AS107" i="33" s="1"/>
  <c r="AT107" i="33" s="1"/>
  <c r="AV107" i="33" s="1"/>
  <c r="AK172" i="7"/>
  <c r="AK109" i="33" s="1"/>
  <c r="AR109" i="33" s="1"/>
  <c r="AS109" i="33" s="1"/>
  <c r="AT109" i="33" s="1"/>
  <c r="AV109" i="33" s="1"/>
  <c r="AK175" i="7"/>
  <c r="AK112" i="33" s="1"/>
  <c r="AR112" i="33" s="1"/>
  <c r="AS112" i="33" s="1"/>
  <c r="AT112" i="33" s="1"/>
  <c r="AV112" i="33" s="1"/>
  <c r="AK169" i="7"/>
  <c r="AK106" i="33" s="1"/>
  <c r="AR106" i="33" s="1"/>
  <c r="AK171" i="7"/>
  <c r="AK108" i="33" s="1"/>
  <c r="AR108" i="33" s="1"/>
  <c r="AS108" i="33" s="1"/>
  <c r="AT108" i="33" s="1"/>
  <c r="AV108" i="33" s="1"/>
  <c r="AS173" i="7"/>
  <c r="AS170" i="7"/>
  <c r="AS174" i="7"/>
  <c r="AS175" i="7"/>
  <c r="N26" i="20"/>
  <c r="O26" i="20"/>
  <c r="C276" i="20"/>
  <c r="C277" i="20"/>
  <c r="AV300" i="20"/>
  <c r="AV301" i="20"/>
  <c r="AV274" i="20" s="1"/>
  <c r="C303" i="20"/>
  <c r="C304" i="20"/>
  <c r="C305" i="20"/>
  <c r="AS171" i="7" l="1"/>
  <c r="AS172" i="7"/>
  <c r="Y106" i="33"/>
  <c r="AS106" i="33" s="1"/>
  <c r="AT106" i="33" s="1"/>
  <c r="AV106" i="33" s="1"/>
  <c r="Y176" i="7"/>
  <c r="AS168" i="7"/>
  <c r="AK113" i="33"/>
  <c r="AR105" i="33"/>
  <c r="AS169" i="7"/>
  <c r="AT169" i="7" s="1"/>
  <c r="AV169" i="7" s="1"/>
  <c r="AV273" i="20"/>
  <c r="S268" i="20"/>
  <c r="R267" i="20"/>
  <c r="Q267" i="20"/>
  <c r="T227" i="20"/>
  <c r="T228" i="20" s="1"/>
  <c r="S218" i="20"/>
  <c r="R217" i="20"/>
  <c r="Q217" i="20"/>
  <c r="T178" i="20"/>
  <c r="S168" i="20"/>
  <c r="Q167" i="20"/>
  <c r="S112" i="20"/>
  <c r="R111" i="20"/>
  <c r="Q111" i="20"/>
  <c r="T71" i="20"/>
  <c r="T72" i="20" s="1"/>
  <c r="S58" i="20"/>
  <c r="Q57" i="20"/>
  <c r="T30" i="20"/>
  <c r="T29" i="20"/>
  <c r="T28" i="20"/>
  <c r="T27" i="20"/>
  <c r="T26" i="20"/>
  <c r="T17" i="20"/>
  <c r="T18" i="20" s="1"/>
  <c r="X31" i="21"/>
  <c r="X32" i="21"/>
  <c r="X33" i="21"/>
  <c r="X34" i="21"/>
  <c r="X35" i="21"/>
  <c r="X37" i="21"/>
  <c r="X38" i="21"/>
  <c r="X39" i="21"/>
  <c r="X40" i="21"/>
  <c r="X42" i="21"/>
  <c r="X43" i="21"/>
  <c r="X45" i="21"/>
  <c r="X46" i="21"/>
  <c r="X47" i="21"/>
  <c r="X49" i="21"/>
  <c r="X52" i="21"/>
  <c r="X53" i="21"/>
  <c r="X55" i="21"/>
  <c r="X57" i="21"/>
  <c r="X58" i="21"/>
  <c r="X59" i="21"/>
  <c r="X60" i="21"/>
  <c r="X62" i="21"/>
  <c r="X63" i="21"/>
  <c r="X64" i="21"/>
  <c r="X67" i="21"/>
  <c r="V31" i="21"/>
  <c r="V32" i="21"/>
  <c r="V33" i="21"/>
  <c r="V34" i="21"/>
  <c r="V35" i="21"/>
  <c r="V37" i="21"/>
  <c r="V38" i="21"/>
  <c r="V39" i="21"/>
  <c r="V40" i="21"/>
  <c r="V42" i="21"/>
  <c r="V43" i="21"/>
  <c r="V45" i="21"/>
  <c r="V46" i="21"/>
  <c r="V49" i="21"/>
  <c r="V50" i="21"/>
  <c r="V52" i="21"/>
  <c r="V53" i="21"/>
  <c r="V55" i="21"/>
  <c r="V57" i="21"/>
  <c r="V58" i="21"/>
  <c r="V59" i="21"/>
  <c r="V60" i="21"/>
  <c r="V62" i="21"/>
  <c r="V63" i="21"/>
  <c r="V64" i="21"/>
  <c r="V67" i="21"/>
  <c r="H30" i="21"/>
  <c r="O30" i="21"/>
  <c r="AS105" i="33" l="1"/>
  <c r="AR113" i="33"/>
  <c r="V36" i="21"/>
  <c r="T57" i="20"/>
  <c r="S57" i="20"/>
  <c r="D147" i="20"/>
  <c r="E147" i="20" s="1"/>
  <c r="AS113" i="33" l="1"/>
  <c r="AT105" i="33"/>
  <c r="AV379" i="7"/>
  <c r="AV105" i="33" l="1"/>
  <c r="AV113" i="33" s="1"/>
  <c r="AT113" i="33"/>
  <c r="D54" i="13"/>
  <c r="D52" i="13"/>
  <c r="D10" i="13" s="1"/>
  <c r="E17" i="16"/>
  <c r="AT220" i="7" l="1"/>
  <c r="AV220" i="7" s="1"/>
  <c r="AV405" i="7" l="1"/>
  <c r="AL28" i="7" l="1"/>
  <c r="AL32" i="7" s="1"/>
  <c r="AL55" i="7"/>
  <c r="AL65" i="7"/>
  <c r="AL66" i="7"/>
  <c r="AL67" i="7"/>
  <c r="AL81" i="7"/>
  <c r="AL92" i="7"/>
  <c r="AL102" i="7"/>
  <c r="AL109" i="7"/>
  <c r="AL116" i="7"/>
  <c r="AL124" i="7"/>
  <c r="AL125" i="7"/>
  <c r="AL126" i="7"/>
  <c r="AL140" i="7"/>
  <c r="AL150" i="7"/>
  <c r="AL159" i="7"/>
  <c r="AL176" i="7"/>
  <c r="AL183" i="7"/>
  <c r="AL184" i="7"/>
  <c r="AL185" i="7"/>
  <c r="AL224" i="7"/>
  <c r="AL243" i="7"/>
  <c r="AL244" i="7"/>
  <c r="AL245" i="7"/>
  <c r="AL264" i="7"/>
  <c r="AL280" i="7"/>
  <c r="AL293" i="7"/>
  <c r="AL303" i="7"/>
  <c r="AL304" i="7"/>
  <c r="AL305" i="7"/>
  <c r="AL317" i="7"/>
  <c r="AL333" i="7"/>
  <c r="AL346" i="7"/>
  <c r="AL354" i="7"/>
  <c r="AL363" i="7"/>
  <c r="AL364" i="7"/>
  <c r="AL365" i="7"/>
  <c r="AL376" i="7"/>
  <c r="AL390" i="7"/>
  <c r="AL401" i="7" s="1"/>
  <c r="AJ5" i="7"/>
  <c r="AK5" i="7" l="1"/>
  <c r="AJ3" i="33"/>
  <c r="B50" i="30" s="1"/>
  <c r="AL348" i="7"/>
  <c r="AL94" i="7"/>
  <c r="AL118" i="7" s="1"/>
  <c r="AL142" i="7" s="1"/>
  <c r="AL164" i="7"/>
  <c r="AL295" i="7"/>
  <c r="AL356" i="7" l="1"/>
  <c r="AL378" i="7" s="1"/>
  <c r="AL5" i="7"/>
  <c r="AK3" i="33"/>
  <c r="B51" i="30" s="1"/>
  <c r="AL380" i="7"/>
  <c r="I29" i="22"/>
  <c r="J29" i="22" s="1"/>
  <c r="AL3" i="33" l="1"/>
  <c r="B52" i="30" s="1"/>
  <c r="AM5" i="7"/>
  <c r="AL242" i="7"/>
  <c r="AL302" i="7"/>
  <c r="AL64" i="7"/>
  <c r="AL362" i="7"/>
  <c r="AL123" i="7"/>
  <c r="AL182" i="7"/>
  <c r="C17" i="6"/>
  <c r="O17" i="21"/>
  <c r="I84" i="20"/>
  <c r="AN5" i="7" l="1"/>
  <c r="AM3" i="33"/>
  <c r="B53" i="30" s="1"/>
  <c r="AM64" i="7"/>
  <c r="AM362" i="7"/>
  <c r="AM302" i="7"/>
  <c r="AM182" i="7"/>
  <c r="AM123" i="7"/>
  <c r="AM242" i="7"/>
  <c r="AG390" i="7"/>
  <c r="AG376" i="7"/>
  <c r="AG362" i="7"/>
  <c r="AG363" i="7"/>
  <c r="AG364" i="7"/>
  <c r="AG365" i="7"/>
  <c r="AG354" i="7"/>
  <c r="AG346" i="7"/>
  <c r="AG333" i="7"/>
  <c r="AG317" i="7"/>
  <c r="AG302" i="7"/>
  <c r="AG303" i="7"/>
  <c r="AG304" i="7"/>
  <c r="AG305" i="7"/>
  <c r="AG293" i="7"/>
  <c r="AG280" i="7"/>
  <c r="AG264" i="7"/>
  <c r="AG242" i="7"/>
  <c r="AG243" i="7"/>
  <c r="AG244" i="7"/>
  <c r="AG245" i="7"/>
  <c r="AG224" i="7"/>
  <c r="AG213" i="7"/>
  <c r="AG200" i="7"/>
  <c r="AG182" i="7"/>
  <c r="AG183" i="7"/>
  <c r="AG184" i="7"/>
  <c r="AG185" i="7"/>
  <c r="AG176" i="7"/>
  <c r="AG159" i="7"/>
  <c r="AG150" i="7"/>
  <c r="AG140" i="7"/>
  <c r="AG123" i="7"/>
  <c r="AG124" i="7"/>
  <c r="AG125" i="7"/>
  <c r="AG126" i="7"/>
  <c r="AG116" i="7"/>
  <c r="AG109" i="7"/>
  <c r="AG102" i="7"/>
  <c r="AG92" i="7"/>
  <c r="AG81" i="7"/>
  <c r="AG64" i="7"/>
  <c r="AG65" i="7"/>
  <c r="AG66" i="7"/>
  <c r="AG67" i="7"/>
  <c r="AG55" i="7"/>
  <c r="AG28" i="7"/>
  <c r="AG32" i="7" s="1"/>
  <c r="AO5" i="7" l="1"/>
  <c r="AN3" i="33"/>
  <c r="B54" i="30" s="1"/>
  <c r="AN182" i="7"/>
  <c r="AN64" i="7"/>
  <c r="AN362" i="7"/>
  <c r="AN302" i="7"/>
  <c r="AN123" i="7"/>
  <c r="AN242" i="7"/>
  <c r="AG401" i="7"/>
  <c r="AG295" i="7"/>
  <c r="AG348" i="7"/>
  <c r="AG164" i="7"/>
  <c r="AG215" i="7"/>
  <c r="AG226" i="7" s="1"/>
  <c r="AG94" i="7"/>
  <c r="AG118" i="7" s="1"/>
  <c r="AG142" i="7" s="1"/>
  <c r="AP5" i="7" l="1"/>
  <c r="AO3" i="33"/>
  <c r="B55" i="30" s="1"/>
  <c r="AO182" i="7"/>
  <c r="AO64" i="7"/>
  <c r="AO362" i="7"/>
  <c r="AO302" i="7"/>
  <c r="AO123" i="7"/>
  <c r="AO242" i="7"/>
  <c r="AG356" i="7"/>
  <c r="AG378" i="7" s="1"/>
  <c r="AG380" i="7" s="1"/>
  <c r="AG228" i="7"/>
  <c r="AG236" i="7" s="1"/>
  <c r="AG403" i="7" s="1"/>
  <c r="AG406" i="7" s="1"/>
  <c r="AQ5" i="7" l="1"/>
  <c r="AP3" i="33"/>
  <c r="B56" i="30" s="1"/>
  <c r="AP182" i="7"/>
  <c r="AP64" i="7"/>
  <c r="AP362" i="7"/>
  <c r="AP302" i="7"/>
  <c r="AP123" i="7"/>
  <c r="AP242" i="7"/>
  <c r="W28" i="7"/>
  <c r="W32" i="7" s="1"/>
  <c r="X28" i="7"/>
  <c r="X32" i="7" s="1"/>
  <c r="W55" i="7"/>
  <c r="X55" i="7"/>
  <c r="W64" i="7"/>
  <c r="X64" i="7"/>
  <c r="W65" i="7"/>
  <c r="X65" i="7"/>
  <c r="W66" i="7"/>
  <c r="X66" i="7"/>
  <c r="W67" i="7"/>
  <c r="X67" i="7"/>
  <c r="W81" i="7"/>
  <c r="X81" i="7"/>
  <c r="W92" i="7"/>
  <c r="X92" i="7"/>
  <c r="W102" i="7"/>
  <c r="X102" i="7"/>
  <c r="W109" i="7"/>
  <c r="X109" i="7"/>
  <c r="W116" i="7"/>
  <c r="X116" i="7"/>
  <c r="W123" i="7"/>
  <c r="X123" i="7"/>
  <c r="W124" i="7"/>
  <c r="X124" i="7"/>
  <c r="W125" i="7"/>
  <c r="X125" i="7"/>
  <c r="W126" i="7"/>
  <c r="X126" i="7"/>
  <c r="W140" i="7"/>
  <c r="X140" i="7"/>
  <c r="W150" i="7"/>
  <c r="X150" i="7"/>
  <c r="W159" i="7"/>
  <c r="X159" i="7"/>
  <c r="W176" i="7"/>
  <c r="X176" i="7"/>
  <c r="W182" i="7"/>
  <c r="X182" i="7"/>
  <c r="W183" i="7"/>
  <c r="X183" i="7"/>
  <c r="W184" i="7"/>
  <c r="X184" i="7"/>
  <c r="W185" i="7"/>
  <c r="X185" i="7"/>
  <c r="W200" i="7"/>
  <c r="X200" i="7"/>
  <c r="W213" i="7"/>
  <c r="X213" i="7"/>
  <c r="W224" i="7"/>
  <c r="X224" i="7"/>
  <c r="W242" i="7"/>
  <c r="X242" i="7"/>
  <c r="W243" i="7"/>
  <c r="X243" i="7"/>
  <c r="W244" i="7"/>
  <c r="X244" i="7"/>
  <c r="W245" i="7"/>
  <c r="X245" i="7"/>
  <c r="W264" i="7"/>
  <c r="X264" i="7"/>
  <c r="W280" i="7"/>
  <c r="X280" i="7"/>
  <c r="W293" i="7"/>
  <c r="X293" i="7"/>
  <c r="W302" i="7"/>
  <c r="X302" i="7"/>
  <c r="W303" i="7"/>
  <c r="X303" i="7"/>
  <c r="W304" i="7"/>
  <c r="X304" i="7"/>
  <c r="W305" i="7"/>
  <c r="X305" i="7"/>
  <c r="W317" i="7"/>
  <c r="X317" i="7"/>
  <c r="W333" i="7"/>
  <c r="X333" i="7"/>
  <c r="W346" i="7"/>
  <c r="X346" i="7"/>
  <c r="W354" i="7"/>
  <c r="X354" i="7"/>
  <c r="W362" i="7"/>
  <c r="X362" i="7"/>
  <c r="W363" i="7"/>
  <c r="X363" i="7"/>
  <c r="W364" i="7"/>
  <c r="X364" i="7"/>
  <c r="W365" i="7"/>
  <c r="X365" i="7"/>
  <c r="W376" i="7"/>
  <c r="X376" i="7"/>
  <c r="W390" i="7"/>
  <c r="X390" i="7"/>
  <c r="AQ3" i="33" l="1"/>
  <c r="B57" i="30" s="1"/>
  <c r="AQ242" i="7"/>
  <c r="AQ182" i="7"/>
  <c r="AQ64" i="7"/>
  <c r="AQ123" i="7"/>
  <c r="AQ362" i="7"/>
  <c r="AQ302" i="7"/>
  <c r="W401" i="7"/>
  <c r="X401" i="7"/>
  <c r="X164" i="7"/>
  <c r="W164" i="7"/>
  <c r="W94" i="7"/>
  <c r="W118" i="7" s="1"/>
  <c r="W142" i="7" s="1"/>
  <c r="X94" i="7"/>
  <c r="X118" i="7" s="1"/>
  <c r="X142" i="7" s="1"/>
  <c r="X215" i="7"/>
  <c r="X226" i="7" s="1"/>
  <c r="W348" i="7"/>
  <c r="W295" i="7"/>
  <c r="X295" i="7"/>
  <c r="W215" i="7"/>
  <c r="W226" i="7" s="1"/>
  <c r="X348" i="7"/>
  <c r="W356" i="7" l="1"/>
  <c r="W378" i="7" s="1"/>
  <c r="W380" i="7" s="1"/>
  <c r="X228" i="7"/>
  <c r="X236" i="7" s="1"/>
  <c r="X403" i="7" s="1"/>
  <c r="X406" i="7" s="1"/>
  <c r="X356" i="7"/>
  <c r="X378" i="7" s="1"/>
  <c r="X380" i="7" s="1"/>
  <c r="W228" i="7"/>
  <c r="W236" i="7" s="1"/>
  <c r="W403" i="7" s="1"/>
  <c r="W406" i="7" s="1"/>
  <c r="E417" i="7" l="1"/>
  <c r="E418" i="7" s="1"/>
  <c r="E18" i="17" l="1"/>
  <c r="E17" i="17"/>
  <c r="E16" i="17"/>
  <c r="F22" i="17"/>
  <c r="AT373" i="7" l="1"/>
  <c r="AV373" i="7" s="1"/>
  <c r="AS146" i="7"/>
  <c r="AS147" i="7"/>
  <c r="AS149" i="7"/>
  <c r="AS230" i="7"/>
  <c r="C28" i="6" l="1"/>
  <c r="B39" i="12" l="1"/>
  <c r="C41" i="12"/>
  <c r="O71" i="20" l="1"/>
  <c r="O72" i="20" s="1"/>
  <c r="N112" i="20"/>
  <c r="M111" i="20"/>
  <c r="L111" i="20"/>
  <c r="N168" i="20"/>
  <c r="M167" i="20"/>
  <c r="L167" i="20"/>
  <c r="O127" i="20"/>
  <c r="O128" i="20" s="1"/>
  <c r="N268" i="20"/>
  <c r="M267" i="20"/>
  <c r="S236" i="20" s="1"/>
  <c r="L267" i="20"/>
  <c r="O227" i="20"/>
  <c r="O228" i="20" s="1"/>
  <c r="N218" i="20"/>
  <c r="M217" i="20"/>
  <c r="L217" i="20"/>
  <c r="O177" i="20"/>
  <c r="O178" i="20" s="1"/>
  <c r="O17" i="20"/>
  <c r="O18" i="20" s="1"/>
  <c r="N27" i="20"/>
  <c r="O27" i="20" s="1"/>
  <c r="N28" i="20"/>
  <c r="N29" i="20"/>
  <c r="O29" i="20" s="1"/>
  <c r="N30" i="20"/>
  <c r="O30" i="20" s="1"/>
  <c r="N58" i="20"/>
  <c r="M57" i="20"/>
  <c r="L57" i="20"/>
  <c r="S161" i="20" l="1"/>
  <c r="T161" i="20" s="1"/>
  <c r="S160" i="20"/>
  <c r="T160" i="20" s="1"/>
  <c r="S163" i="20"/>
  <c r="T163" i="20" s="1"/>
  <c r="G4" i="21" s="1"/>
  <c r="S162" i="20"/>
  <c r="T162" i="20" s="1"/>
  <c r="N140" i="20"/>
  <c r="O140" i="20" s="1"/>
  <c r="N189" i="20"/>
  <c r="O189" i="20" s="1"/>
  <c r="S189" i="20"/>
  <c r="T189" i="20" s="1"/>
  <c r="S186" i="20"/>
  <c r="S188" i="20"/>
  <c r="T188" i="20" s="1"/>
  <c r="S190" i="20"/>
  <c r="T190" i="20" s="1"/>
  <c r="S187" i="20"/>
  <c r="T187" i="20" s="1"/>
  <c r="N240" i="20"/>
  <c r="O240" i="20" s="1"/>
  <c r="S237" i="20"/>
  <c r="T237" i="20" s="1"/>
  <c r="S240" i="20"/>
  <c r="T240" i="20" s="1"/>
  <c r="S239" i="20"/>
  <c r="T239" i="20" s="1"/>
  <c r="S238" i="20"/>
  <c r="T238" i="20" s="1"/>
  <c r="N57" i="20"/>
  <c r="N82" i="20"/>
  <c r="O82" i="20" s="1"/>
  <c r="N80" i="20"/>
  <c r="O80" i="20" s="1"/>
  <c r="N81" i="20"/>
  <c r="O81" i="20" s="1"/>
  <c r="O28" i="20"/>
  <c r="N190" i="20"/>
  <c r="O190" i="20" s="1"/>
  <c r="N239" i="20"/>
  <c r="O239" i="20" s="1"/>
  <c r="N84" i="20"/>
  <c r="O84" i="20" s="1"/>
  <c r="N187" i="20"/>
  <c r="O187" i="20" s="1"/>
  <c r="N238" i="20"/>
  <c r="O238" i="20" s="1"/>
  <c r="N188" i="20"/>
  <c r="O188" i="20" s="1"/>
  <c r="N236" i="20"/>
  <c r="O236" i="20" s="1"/>
  <c r="N237" i="20"/>
  <c r="N186" i="20"/>
  <c r="O186" i="20" s="1"/>
  <c r="N83" i="20"/>
  <c r="O83" i="20" s="1"/>
  <c r="N136" i="20"/>
  <c r="N137" i="20"/>
  <c r="O137" i="20" s="1"/>
  <c r="N138" i="20"/>
  <c r="O138" i="20" s="1"/>
  <c r="N139" i="20"/>
  <c r="O139" i="20" s="1"/>
  <c r="S111" i="20" l="1"/>
  <c r="T111" i="20"/>
  <c r="T186" i="20"/>
  <c r="S217" i="20"/>
  <c r="T167" i="20"/>
  <c r="S167" i="20"/>
  <c r="T236" i="20"/>
  <c r="X66" i="21" s="1"/>
  <c r="S267" i="20"/>
  <c r="O57" i="20"/>
  <c r="X50" i="21"/>
  <c r="H50" i="21"/>
  <c r="O50" i="21"/>
  <c r="O217" i="20"/>
  <c r="N217" i="20"/>
  <c r="N267" i="20"/>
  <c r="O237" i="20"/>
  <c r="O66" i="21" s="1"/>
  <c r="N111" i="20"/>
  <c r="O111" i="20"/>
  <c r="N167" i="20"/>
  <c r="O136" i="20"/>
  <c r="T267" i="20" l="1"/>
  <c r="V66" i="21"/>
  <c r="T217" i="20"/>
  <c r="V54" i="21"/>
  <c r="O28" i="21"/>
  <c r="O267" i="20"/>
  <c r="O167" i="20"/>
  <c r="F399" i="1"/>
  <c r="F397" i="1"/>
  <c r="D18" i="17" l="1"/>
  <c r="D17" i="17"/>
  <c r="D16" i="17"/>
  <c r="D15" i="17"/>
  <c r="F15" i="17" s="1"/>
  <c r="AK390" i="7" l="1"/>
  <c r="AK376" i="7"/>
  <c r="AK365" i="7"/>
  <c r="AK364" i="7"/>
  <c r="AK363" i="7"/>
  <c r="AK346" i="7"/>
  <c r="AK333" i="7"/>
  <c r="AK305" i="7"/>
  <c r="AK304" i="7"/>
  <c r="AK303" i="7"/>
  <c r="AK293" i="7"/>
  <c r="AK280" i="7"/>
  <c r="AK264" i="7"/>
  <c r="AK245" i="7"/>
  <c r="AK244" i="7"/>
  <c r="AK243" i="7"/>
  <c r="AK224" i="7"/>
  <c r="AK185" i="7"/>
  <c r="AK184" i="7"/>
  <c r="AK183" i="7"/>
  <c r="AK176" i="7"/>
  <c r="AK159" i="7"/>
  <c r="AK150" i="7"/>
  <c r="AK140" i="7"/>
  <c r="AK126" i="7"/>
  <c r="AK125" i="7"/>
  <c r="AK124" i="7"/>
  <c r="AK116" i="7"/>
  <c r="AK109" i="7"/>
  <c r="AK102" i="7"/>
  <c r="AK92" i="7"/>
  <c r="AK81" i="7"/>
  <c r="AK67" i="7"/>
  <c r="AK66" i="7"/>
  <c r="AK65" i="7"/>
  <c r="AK55" i="7"/>
  <c r="AK28" i="7"/>
  <c r="AK32" i="7" s="1"/>
  <c r="AK401" i="7" l="1"/>
  <c r="AK164" i="7"/>
  <c r="AK295" i="7"/>
  <c r="AK94" i="7"/>
  <c r="AK118" i="7" s="1"/>
  <c r="AK142" i="7" s="1"/>
  <c r="U12" i="7" l="1"/>
  <c r="AS12" i="7" s="1"/>
  <c r="U13" i="7"/>
  <c r="AS13" i="7" s="1"/>
  <c r="U14" i="7"/>
  <c r="AS14" i="7" s="1"/>
  <c r="U15" i="7"/>
  <c r="AS15" i="7" s="1"/>
  <c r="U16" i="7"/>
  <c r="AS16" i="7" s="1"/>
  <c r="U17" i="7"/>
  <c r="AS17" i="7" s="1"/>
  <c r="U18" i="7"/>
  <c r="AS18" i="7" s="1"/>
  <c r="U19" i="7"/>
  <c r="AS19" i="7" s="1"/>
  <c r="U20" i="7"/>
  <c r="AS20" i="7" s="1"/>
  <c r="U21" i="7"/>
  <c r="AS21" i="7" s="1"/>
  <c r="U22" i="7"/>
  <c r="AS22" i="7" s="1"/>
  <c r="U23" i="7"/>
  <c r="AS23" i="7" s="1"/>
  <c r="U24" i="7"/>
  <c r="AS24" i="7" s="1"/>
  <c r="U25" i="7"/>
  <c r="AS25" i="7" s="1"/>
  <c r="U55" i="7"/>
  <c r="U64" i="7"/>
  <c r="U65" i="7"/>
  <c r="U66" i="7"/>
  <c r="U67" i="7"/>
  <c r="U81" i="7"/>
  <c r="U92" i="7"/>
  <c r="U102" i="7"/>
  <c r="U109" i="7"/>
  <c r="U116" i="7"/>
  <c r="U123" i="7"/>
  <c r="U124" i="7"/>
  <c r="U125" i="7"/>
  <c r="U126" i="7"/>
  <c r="U140" i="7"/>
  <c r="U150" i="7"/>
  <c r="U159" i="7"/>
  <c r="U176" i="7"/>
  <c r="U182" i="7"/>
  <c r="U183" i="7"/>
  <c r="U184" i="7"/>
  <c r="U185" i="7"/>
  <c r="U200" i="7"/>
  <c r="U213" i="7"/>
  <c r="U224" i="7"/>
  <c r="U242" i="7"/>
  <c r="U243" i="7"/>
  <c r="U244" i="7"/>
  <c r="U245" i="7"/>
  <c r="U264" i="7"/>
  <c r="U280" i="7"/>
  <c r="U293" i="7"/>
  <c r="U302" i="7"/>
  <c r="U303" i="7"/>
  <c r="U304" i="7"/>
  <c r="U305" i="7"/>
  <c r="U317" i="7"/>
  <c r="U333" i="7"/>
  <c r="U346" i="7"/>
  <c r="U354" i="7"/>
  <c r="U362" i="7"/>
  <c r="U363" i="7"/>
  <c r="U364" i="7"/>
  <c r="U365" i="7"/>
  <c r="U376" i="7"/>
  <c r="U390" i="7"/>
  <c r="AS28" i="7" l="1"/>
  <c r="AS32" i="7" s="1"/>
  <c r="U164" i="7"/>
  <c r="U401" i="7"/>
  <c r="U215" i="7"/>
  <c r="U226" i="7" s="1"/>
  <c r="U348" i="7"/>
  <c r="U94" i="7"/>
  <c r="U295" i="7"/>
  <c r="U28" i="7"/>
  <c r="U32" i="7" s="1"/>
  <c r="U118" i="7" l="1"/>
  <c r="U142" i="7" s="1"/>
  <c r="U228" i="7" s="1"/>
  <c r="U236" i="7" s="1"/>
  <c r="U403" i="7" s="1"/>
  <c r="U406" i="7" s="1"/>
  <c r="U356" i="7"/>
  <c r="U378" i="7" s="1"/>
  <c r="U380" i="7" s="1"/>
  <c r="I239" i="20"/>
  <c r="J239" i="20" s="1"/>
  <c r="I240" i="20"/>
  <c r="J240" i="20" s="1"/>
  <c r="I241" i="20"/>
  <c r="J241" i="20" s="1"/>
  <c r="I242" i="20"/>
  <c r="J242" i="20" s="1"/>
  <c r="I238" i="20"/>
  <c r="J238" i="20" s="1"/>
  <c r="I268" i="20"/>
  <c r="H267" i="20"/>
  <c r="G267" i="20"/>
  <c r="J227" i="20"/>
  <c r="J228" i="20" s="1"/>
  <c r="I192" i="20"/>
  <c r="J192" i="20" s="1"/>
  <c r="I188" i="20"/>
  <c r="J188" i="20" s="1"/>
  <c r="I189" i="20"/>
  <c r="J189" i="20" s="1"/>
  <c r="I190" i="20"/>
  <c r="J190" i="20" s="1"/>
  <c r="I191" i="20"/>
  <c r="J191" i="20" s="1"/>
  <c r="I218" i="20"/>
  <c r="H217" i="20"/>
  <c r="G217" i="20"/>
  <c r="J177" i="20"/>
  <c r="J178" i="20" s="1"/>
  <c r="I138" i="20"/>
  <c r="J138" i="20" s="1"/>
  <c r="I134" i="20"/>
  <c r="J134" i="20" s="1"/>
  <c r="I135" i="20"/>
  <c r="J135" i="20" s="1"/>
  <c r="I136" i="20"/>
  <c r="J136" i="20" s="1"/>
  <c r="I137" i="20"/>
  <c r="J137" i="20" s="1"/>
  <c r="I168" i="20"/>
  <c r="H167" i="20"/>
  <c r="G167" i="20"/>
  <c r="J127" i="20"/>
  <c r="J128" i="20" s="1"/>
  <c r="J84" i="20"/>
  <c r="I85" i="20"/>
  <c r="J85" i="20" s="1"/>
  <c r="I86" i="20"/>
  <c r="J86" i="20" s="1"/>
  <c r="I87" i="20"/>
  <c r="J87" i="20" s="1"/>
  <c r="I88" i="20"/>
  <c r="J88" i="20" s="1"/>
  <c r="I112" i="20"/>
  <c r="H111" i="20"/>
  <c r="G111" i="20"/>
  <c r="J71" i="20"/>
  <c r="J72" i="20" s="1"/>
  <c r="I28" i="20"/>
  <c r="I29" i="20"/>
  <c r="J29" i="20" s="1"/>
  <c r="I30" i="20"/>
  <c r="J30" i="20" s="1"/>
  <c r="I31" i="20"/>
  <c r="J31" i="20" s="1"/>
  <c r="I32" i="20"/>
  <c r="J32" i="20" s="1"/>
  <c r="I58" i="20"/>
  <c r="H57" i="20"/>
  <c r="G57" i="20"/>
  <c r="J17" i="20"/>
  <c r="J18" i="20" s="1"/>
  <c r="X54" i="21" l="1"/>
  <c r="H27" i="21"/>
  <c r="H28" i="21"/>
  <c r="J28" i="20"/>
  <c r="I57" i="20"/>
  <c r="J267" i="20"/>
  <c r="I267" i="20"/>
  <c r="J217" i="20"/>
  <c r="I217" i="20"/>
  <c r="J167" i="20"/>
  <c r="AR127" i="20" s="1"/>
  <c r="I167" i="20"/>
  <c r="I111" i="20"/>
  <c r="J111" i="20"/>
  <c r="J57" i="20" l="1"/>
  <c r="X36" i="21"/>
  <c r="X73" i="21" l="1"/>
  <c r="F37" i="22"/>
  <c r="G37" i="22"/>
  <c r="H37" i="22"/>
  <c r="CK257" i="1" l="1"/>
  <c r="CK264" i="1"/>
  <c r="CK271" i="1"/>
  <c r="CK278" i="1"/>
  <c r="CK285" i="1"/>
  <c r="CK292" i="1"/>
  <c r="CK299" i="1"/>
  <c r="CK306" i="1"/>
  <c r="CK334" i="1"/>
  <c r="CK327" i="1"/>
  <c r="CK320" i="1"/>
  <c r="CK313" i="1"/>
  <c r="F17" i="3" l="1"/>
  <c r="G17" i="3"/>
  <c r="H17" i="3"/>
  <c r="I17" i="3"/>
  <c r="CI292" i="1" l="1"/>
  <c r="CI293" i="1"/>
  <c r="A116" i="1" l="1"/>
  <c r="A89" i="1"/>
  <c r="D37" i="22" l="1"/>
  <c r="D51" i="22" l="1"/>
  <c r="D12" i="18"/>
  <c r="D11" i="18"/>
  <c r="D10" i="18"/>
  <c r="D9" i="18"/>
  <c r="S390" i="7" l="1"/>
  <c r="S376" i="7"/>
  <c r="S365" i="7"/>
  <c r="S364" i="7"/>
  <c r="S363" i="7"/>
  <c r="S354" i="7"/>
  <c r="S346" i="7"/>
  <c r="S333" i="7"/>
  <c r="S317" i="7"/>
  <c r="S305" i="7"/>
  <c r="S304" i="7"/>
  <c r="S303" i="7"/>
  <c r="S293" i="7"/>
  <c r="S280" i="7"/>
  <c r="S264" i="7"/>
  <c r="S245" i="7"/>
  <c r="S244" i="7"/>
  <c r="S243" i="7"/>
  <c r="S224" i="7"/>
  <c r="S213" i="7"/>
  <c r="S200" i="7"/>
  <c r="S185" i="7"/>
  <c r="S184" i="7"/>
  <c r="S183" i="7"/>
  <c r="S176" i="7"/>
  <c r="S159" i="7"/>
  <c r="S150" i="7"/>
  <c r="S140" i="7"/>
  <c r="S126" i="7"/>
  <c r="S125" i="7"/>
  <c r="S124" i="7"/>
  <c r="S116" i="7"/>
  <c r="S109" i="7"/>
  <c r="S102" i="7"/>
  <c r="S92" i="7"/>
  <c r="S81" i="7"/>
  <c r="S67" i="7"/>
  <c r="S66" i="7"/>
  <c r="S65" i="7"/>
  <c r="S55" i="7"/>
  <c r="S28" i="7"/>
  <c r="S32" i="7" s="1"/>
  <c r="R390" i="7"/>
  <c r="Q390" i="7"/>
  <c r="R376" i="7"/>
  <c r="Q376" i="7"/>
  <c r="R365" i="7"/>
  <c r="Q365" i="7"/>
  <c r="R364" i="7"/>
  <c r="Q364" i="7"/>
  <c r="R363" i="7"/>
  <c r="Q363" i="7"/>
  <c r="R354" i="7"/>
  <c r="Q354" i="7"/>
  <c r="R346" i="7"/>
  <c r="Q346" i="7"/>
  <c r="R333" i="7"/>
  <c r="Q333" i="7"/>
  <c r="R317" i="7"/>
  <c r="Q317" i="7"/>
  <c r="R305" i="7"/>
  <c r="Q305" i="7"/>
  <c r="R304" i="7"/>
  <c r="Q304" i="7"/>
  <c r="R303" i="7"/>
  <c r="Q303" i="7"/>
  <c r="R293" i="7"/>
  <c r="Q293" i="7"/>
  <c r="R280" i="7"/>
  <c r="Q280" i="7"/>
  <c r="R264" i="7"/>
  <c r="Q264" i="7"/>
  <c r="R245" i="7"/>
  <c r="Q245" i="7"/>
  <c r="R244" i="7"/>
  <c r="Q244" i="7"/>
  <c r="R243" i="7"/>
  <c r="Q243" i="7"/>
  <c r="R224" i="7"/>
  <c r="Q224" i="7"/>
  <c r="R213" i="7"/>
  <c r="Q213" i="7"/>
  <c r="R200" i="7"/>
  <c r="Q200" i="7"/>
  <c r="R185" i="7"/>
  <c r="Q185" i="7"/>
  <c r="R184" i="7"/>
  <c r="Q184" i="7"/>
  <c r="R183" i="7"/>
  <c r="Q183" i="7"/>
  <c r="R176" i="7"/>
  <c r="Q176" i="7"/>
  <c r="R159" i="7"/>
  <c r="Q159" i="7"/>
  <c r="R150" i="7"/>
  <c r="Q150" i="7"/>
  <c r="R140" i="7"/>
  <c r="Q140" i="7"/>
  <c r="R126" i="7"/>
  <c r="Q126" i="7"/>
  <c r="R125" i="7"/>
  <c r="Q125" i="7"/>
  <c r="R124" i="7"/>
  <c r="Q124" i="7"/>
  <c r="R116" i="7"/>
  <c r="Q116" i="7"/>
  <c r="R109" i="7"/>
  <c r="Q109" i="7"/>
  <c r="R102" i="7"/>
  <c r="Q102" i="7"/>
  <c r="R92" i="7"/>
  <c r="Q92" i="7"/>
  <c r="R81" i="7"/>
  <c r="Q81" i="7"/>
  <c r="R67" i="7"/>
  <c r="Q67" i="7"/>
  <c r="R66" i="7"/>
  <c r="Q66" i="7"/>
  <c r="R65" i="7"/>
  <c r="Q65" i="7"/>
  <c r="R55" i="7"/>
  <c r="Q55" i="7"/>
  <c r="R28" i="7"/>
  <c r="R32" i="7" s="1"/>
  <c r="Q28" i="7"/>
  <c r="Q32" i="7" s="1"/>
  <c r="L28" i="7"/>
  <c r="L32" i="7" s="1"/>
  <c r="L55" i="7"/>
  <c r="L64" i="7"/>
  <c r="L65" i="7"/>
  <c r="L66" i="7"/>
  <c r="L67" i="7"/>
  <c r="L81" i="7"/>
  <c r="L92" i="7"/>
  <c r="L102" i="7"/>
  <c r="L109" i="7"/>
  <c r="L116" i="7"/>
  <c r="L123" i="7"/>
  <c r="L124" i="7"/>
  <c r="L125" i="7"/>
  <c r="L126" i="7"/>
  <c r="L140" i="7"/>
  <c r="L150" i="7"/>
  <c r="L159" i="7"/>
  <c r="L176" i="7"/>
  <c r="L182" i="7"/>
  <c r="L183" i="7"/>
  <c r="L184" i="7"/>
  <c r="L185" i="7"/>
  <c r="L200" i="7"/>
  <c r="L213" i="7"/>
  <c r="L224" i="7"/>
  <c r="L242" i="7"/>
  <c r="L243" i="7"/>
  <c r="L244" i="7"/>
  <c r="L245" i="7"/>
  <c r="L264" i="7"/>
  <c r="L280" i="7"/>
  <c r="L293" i="7"/>
  <c r="L302" i="7"/>
  <c r="L303" i="7"/>
  <c r="L304" i="7"/>
  <c r="L305" i="7"/>
  <c r="L317" i="7"/>
  <c r="L333" i="7"/>
  <c r="L346" i="7"/>
  <c r="L354" i="7"/>
  <c r="L362" i="7"/>
  <c r="L363" i="7"/>
  <c r="L364" i="7"/>
  <c r="L365" i="7"/>
  <c r="L376" i="7"/>
  <c r="L390" i="7"/>
  <c r="K28" i="7"/>
  <c r="K32" i="7" s="1"/>
  <c r="K390" i="7"/>
  <c r="K376" i="7"/>
  <c r="K365" i="7"/>
  <c r="K364" i="7"/>
  <c r="K363" i="7"/>
  <c r="K354" i="7"/>
  <c r="K346" i="7"/>
  <c r="K333" i="7"/>
  <c r="K317" i="7"/>
  <c r="K305" i="7"/>
  <c r="K304" i="7"/>
  <c r="K303" i="7"/>
  <c r="K293" i="7"/>
  <c r="K280" i="7"/>
  <c r="K264" i="7"/>
  <c r="K245" i="7"/>
  <c r="K244" i="7"/>
  <c r="K243" i="7"/>
  <c r="K224" i="7"/>
  <c r="K213" i="7"/>
  <c r="K200" i="7"/>
  <c r="K185" i="7"/>
  <c r="K184" i="7"/>
  <c r="K183" i="7"/>
  <c r="K176" i="7"/>
  <c r="K159" i="7"/>
  <c r="K150" i="7"/>
  <c r="K140" i="7"/>
  <c r="K126" i="7"/>
  <c r="K125" i="7"/>
  <c r="K124" i="7"/>
  <c r="K116" i="7"/>
  <c r="K109" i="7"/>
  <c r="K102" i="7"/>
  <c r="K92" i="7"/>
  <c r="K81" i="7"/>
  <c r="K67" i="7"/>
  <c r="K66" i="7"/>
  <c r="K65" i="7"/>
  <c r="K55" i="7"/>
  <c r="K302" i="7"/>
  <c r="S348" i="7" l="1"/>
  <c r="S401" i="7"/>
  <c r="R94" i="7"/>
  <c r="R118" i="7" s="1"/>
  <c r="R142" i="7" s="1"/>
  <c r="R164" i="7"/>
  <c r="R401" i="7"/>
  <c r="R215" i="7"/>
  <c r="R226" i="7" s="1"/>
  <c r="S215" i="7"/>
  <c r="S226" i="7" s="1"/>
  <c r="Q94" i="7"/>
  <c r="Q118" i="7" s="1"/>
  <c r="Q142" i="7" s="1"/>
  <c r="Q164" i="7"/>
  <c r="K164" i="7"/>
  <c r="J148" i="33" s="1"/>
  <c r="J153" i="33" s="1"/>
  <c r="J155" i="33" s="1"/>
  <c r="J157" i="33" s="1"/>
  <c r="S164" i="7"/>
  <c r="S94" i="7"/>
  <c r="S118" i="7" s="1"/>
  <c r="S142" i="7" s="1"/>
  <c r="R295" i="7"/>
  <c r="R348" i="7"/>
  <c r="Q215" i="7"/>
  <c r="Q226" i="7" s="1"/>
  <c r="Q295" i="7"/>
  <c r="Q348" i="7"/>
  <c r="Q401" i="7"/>
  <c r="S295" i="7"/>
  <c r="K94" i="7"/>
  <c r="K118" i="7" s="1"/>
  <c r="K142" i="7" s="1"/>
  <c r="L295" i="7"/>
  <c r="L215" i="7"/>
  <c r="L226" i="7" s="1"/>
  <c r="K215" i="7"/>
  <c r="K226" i="7" s="1"/>
  <c r="K295" i="7"/>
  <c r="L94" i="7"/>
  <c r="L118" i="7" s="1"/>
  <c r="L142" i="7" s="1"/>
  <c r="K348" i="7"/>
  <c r="L348" i="7"/>
  <c r="L401" i="7"/>
  <c r="L164" i="7"/>
  <c r="K148" i="33" s="1"/>
  <c r="K401" i="7"/>
  <c r="K64" i="7"/>
  <c r="K242" i="7"/>
  <c r="K123" i="7"/>
  <c r="K362" i="7"/>
  <c r="K182" i="7"/>
  <c r="D16" i="30" l="1"/>
  <c r="J251" i="33"/>
  <c r="F16" i="30" s="1"/>
  <c r="K153" i="33"/>
  <c r="Y148" i="33"/>
  <c r="AS148" i="33" s="1"/>
  <c r="AS153" i="33" s="1"/>
  <c r="S356" i="7"/>
  <c r="S378" i="7" s="1"/>
  <c r="S380" i="7" s="1"/>
  <c r="R228" i="7"/>
  <c r="R236" i="7" s="1"/>
  <c r="R403" i="7" s="1"/>
  <c r="R406" i="7" s="1"/>
  <c r="R356" i="7"/>
  <c r="R378" i="7" s="1"/>
  <c r="R380" i="7" s="1"/>
  <c r="S228" i="7"/>
  <c r="S236" i="7" s="1"/>
  <c r="S403" i="7" s="1"/>
  <c r="S406" i="7" s="1"/>
  <c r="L356" i="7"/>
  <c r="L378" i="7" s="1"/>
  <c r="L380" i="7" s="1"/>
  <c r="Q228" i="7"/>
  <c r="Q236" i="7" s="1"/>
  <c r="Q403" i="7" s="1"/>
  <c r="Q406" i="7" s="1"/>
  <c r="K356" i="7"/>
  <c r="K378" i="7" s="1"/>
  <c r="K380" i="7" s="1"/>
  <c r="Q356" i="7"/>
  <c r="Q378" i="7" s="1"/>
  <c r="Q380" i="7" s="1"/>
  <c r="L228" i="7"/>
  <c r="L236" i="7" s="1"/>
  <c r="L403" i="7" s="1"/>
  <c r="L406" i="7" s="1"/>
  <c r="K228" i="7"/>
  <c r="K236" i="7" s="1"/>
  <c r="K403" i="7" s="1"/>
  <c r="Y153" i="33" l="1"/>
  <c r="K155" i="33"/>
  <c r="K157" i="33" s="1"/>
  <c r="K406" i="7"/>
  <c r="D17" i="30" l="1"/>
  <c r="K251" i="33"/>
  <c r="F17" i="30" s="1"/>
  <c r="O26" i="22"/>
  <c r="O39" i="22" l="1"/>
  <c r="O41" i="22"/>
  <c r="V26" i="22"/>
  <c r="R37" i="22"/>
  <c r="J37" i="22"/>
  <c r="O37" i="22"/>
  <c r="N37" i="22"/>
  <c r="P42" i="22"/>
  <c r="L37" i="22"/>
  <c r="K37" i="22"/>
  <c r="I37" i="22"/>
  <c r="P37" i="22"/>
  <c r="N42" i="22"/>
  <c r="Q42" i="22"/>
  <c r="M37" i="22"/>
  <c r="T34" i="22"/>
  <c r="Q37" i="22"/>
  <c r="R42" i="22"/>
  <c r="I42" i="22"/>
  <c r="AR228" i="20"/>
  <c r="AR227" i="20"/>
  <c r="AR178" i="20"/>
  <c r="AR177" i="20"/>
  <c r="AR128" i="20"/>
  <c r="AY12" i="20"/>
  <c r="D249" i="20"/>
  <c r="E249" i="20" s="1"/>
  <c r="D251" i="20"/>
  <c r="E251" i="20" s="1"/>
  <c r="D248" i="20"/>
  <c r="E248" i="20" s="1"/>
  <c r="D250" i="20"/>
  <c r="E250" i="20" s="1"/>
  <c r="D247" i="20"/>
  <c r="E247" i="20" s="1"/>
  <c r="D268" i="20"/>
  <c r="C267" i="20"/>
  <c r="B267" i="20"/>
  <c r="E227" i="20"/>
  <c r="E228" i="20" s="1"/>
  <c r="D200" i="20"/>
  <c r="E200" i="20" s="1"/>
  <c r="D197" i="20"/>
  <c r="E197" i="20" s="1"/>
  <c r="D198" i="20"/>
  <c r="E198" i="20" s="1"/>
  <c r="D199" i="20"/>
  <c r="E199" i="20" s="1"/>
  <c r="D201" i="20"/>
  <c r="E201" i="20" s="1"/>
  <c r="D218" i="20"/>
  <c r="C217" i="20"/>
  <c r="B217" i="20"/>
  <c r="E178" i="20"/>
  <c r="D151" i="20"/>
  <c r="E151" i="20" s="1"/>
  <c r="D148" i="20"/>
  <c r="E148" i="20" s="1"/>
  <c r="D149" i="20"/>
  <c r="E149" i="20" s="1"/>
  <c r="D150" i="20"/>
  <c r="E150" i="20" s="1"/>
  <c r="D168" i="20"/>
  <c r="C167" i="20"/>
  <c r="B167" i="20"/>
  <c r="E127" i="20"/>
  <c r="E128" i="20" s="1"/>
  <c r="O42" i="22" l="1"/>
  <c r="D267" i="20"/>
  <c r="E267" i="20"/>
  <c r="D217" i="20"/>
  <c r="E217" i="20"/>
  <c r="E167" i="20"/>
  <c r="D167" i="20"/>
  <c r="V18" i="21"/>
  <c r="V19" i="21"/>
  <c r="V20" i="21"/>
  <c r="O18" i="21"/>
  <c r="O19" i="21"/>
  <c r="O20" i="21"/>
  <c r="H18" i="21"/>
  <c r="H19" i="21"/>
  <c r="H20" i="21"/>
  <c r="D99" i="20" l="1"/>
  <c r="E99" i="20" s="1"/>
  <c r="D100" i="20"/>
  <c r="E100" i="20" s="1"/>
  <c r="D101" i="20"/>
  <c r="E101" i="20" s="1"/>
  <c r="D102" i="20"/>
  <c r="E102" i="20" s="1"/>
  <c r="D98" i="20"/>
  <c r="E98" i="20" s="1"/>
  <c r="F4" i="21"/>
  <c r="E71" i="20"/>
  <c r="E72" i="20" s="1"/>
  <c r="D112" i="20"/>
  <c r="C111" i="20"/>
  <c r="B111" i="20"/>
  <c r="AO72" i="20"/>
  <c r="D38" i="20"/>
  <c r="E38" i="20" s="1"/>
  <c r="D39" i="20"/>
  <c r="E39" i="20" s="1"/>
  <c r="D40" i="20"/>
  <c r="E40" i="20" s="1"/>
  <c r="D41" i="20"/>
  <c r="E41" i="20" s="1"/>
  <c r="D37" i="20"/>
  <c r="E37" i="20" s="1"/>
  <c r="C73" i="21" s="1"/>
  <c r="D58" i="20"/>
  <c r="C57" i="20"/>
  <c r="B57" i="20"/>
  <c r="E18" i="20"/>
  <c r="C5" i="21" l="1"/>
  <c r="C6" i="21" s="1"/>
  <c r="E4" i="21"/>
  <c r="D4" i="21"/>
  <c r="J4" i="21"/>
  <c r="R4" i="21"/>
  <c r="K4" i="21"/>
  <c r="U4" i="21"/>
  <c r="N4" i="21"/>
  <c r="S4" i="21"/>
  <c r="L4" i="21"/>
  <c r="T4" i="21"/>
  <c r="M4" i="21"/>
  <c r="V28" i="21"/>
  <c r="O36" i="21"/>
  <c r="O35" i="21"/>
  <c r="D111" i="20"/>
  <c r="E111" i="20"/>
  <c r="D57" i="20"/>
  <c r="E57" i="20"/>
  <c r="J77" i="21"/>
  <c r="O59" i="21" l="1"/>
  <c r="D42" i="22" l="1"/>
  <c r="E194" i="1"/>
  <c r="E195" i="1"/>
  <c r="E196" i="1"/>
  <c r="E197" i="1"/>
  <c r="E198" i="1"/>
  <c r="E199" i="1"/>
  <c r="E193" i="1"/>
  <c r="E190" i="1"/>
  <c r="E191" i="1"/>
  <c r="E182" i="1"/>
  <c r="E183" i="1"/>
  <c r="E184" i="1"/>
  <c r="E185" i="1"/>
  <c r="E186" i="1"/>
  <c r="E187" i="1"/>
  <c r="E188" i="1"/>
  <c r="C39" i="12" l="1"/>
  <c r="C40" i="12"/>
  <c r="C37" i="12"/>
  <c r="C45" i="13"/>
  <c r="B41" i="12"/>
  <c r="B40" i="12"/>
  <c r="B38" i="12"/>
  <c r="B37" i="12"/>
  <c r="AH368" i="1"/>
  <c r="AG368" i="1"/>
  <c r="AF368" i="1"/>
  <c r="AE368" i="1"/>
  <c r="AD368" i="1"/>
  <c r="AC368" i="1"/>
  <c r="AB368" i="1"/>
  <c r="Y368" i="1"/>
  <c r="X368" i="1"/>
  <c r="V368" i="1"/>
  <c r="U368" i="1"/>
  <c r="S368" i="1"/>
  <c r="AH367" i="1"/>
  <c r="AG367" i="1"/>
  <c r="AF367" i="1"/>
  <c r="AE367" i="1"/>
  <c r="AD367" i="1"/>
  <c r="AC367" i="1"/>
  <c r="AB367" i="1"/>
  <c r="Z367" i="1"/>
  <c r="Y367" i="1"/>
  <c r="V367" i="1"/>
  <c r="U367" i="1"/>
  <c r="AH77" i="1"/>
  <c r="AG77" i="1"/>
  <c r="AF77" i="1"/>
  <c r="AE77" i="1"/>
  <c r="AD77" i="1"/>
  <c r="AC77" i="1"/>
  <c r="AB77" i="1"/>
  <c r="Y77" i="1"/>
  <c r="X77" i="1"/>
  <c r="V77" i="1"/>
  <c r="U77" i="1"/>
  <c r="S77" i="1"/>
  <c r="AH76" i="1"/>
  <c r="AG76" i="1"/>
  <c r="AF76" i="1"/>
  <c r="AE76" i="1"/>
  <c r="AD76" i="1"/>
  <c r="AC76" i="1"/>
  <c r="AB76" i="1"/>
  <c r="Z76" i="1"/>
  <c r="Y76" i="1"/>
  <c r="V76" i="1"/>
  <c r="U76" i="1"/>
  <c r="AY13" i="20" l="1"/>
  <c r="A368" i="1" l="1"/>
  <c r="A76" i="1"/>
  <c r="A30" i="1"/>
  <c r="B2" i="23" l="1"/>
  <c r="G2" i="23"/>
  <c r="L2" i="23"/>
  <c r="B3" i="23"/>
  <c r="G3" i="23"/>
  <c r="L3" i="23"/>
  <c r="O56" i="23"/>
  <c r="P56" i="23"/>
  <c r="P59" i="23"/>
  <c r="P61" i="23" s="1"/>
  <c r="O61" i="23"/>
  <c r="O81" i="23"/>
  <c r="P81" i="23"/>
  <c r="M6" i="22"/>
  <c r="L17" i="22"/>
  <c r="M17" i="22"/>
  <c r="I49" i="22"/>
  <c r="L22" i="22"/>
  <c r="M22" i="22"/>
  <c r="E24" i="22"/>
  <c r="D2" i="21" s="1"/>
  <c r="J24" i="22"/>
  <c r="H3" i="23" s="1"/>
  <c r="O24" i="22"/>
  <c r="R2" i="21" s="1"/>
  <c r="U25" i="22"/>
  <c r="V25" i="22"/>
  <c r="J26" i="22"/>
  <c r="E27" i="22"/>
  <c r="J27" i="22"/>
  <c r="O27" i="22"/>
  <c r="D29" i="22"/>
  <c r="E29" i="22" s="1"/>
  <c r="F29" i="22" s="1"/>
  <c r="G29" i="22" s="1"/>
  <c r="H29" i="22" s="1"/>
  <c r="K29" i="22"/>
  <c r="L29" i="22" s="1"/>
  <c r="M29" i="22" s="1"/>
  <c r="O29" i="22"/>
  <c r="D30" i="22"/>
  <c r="E30" i="22" s="1"/>
  <c r="F30" i="22" s="1"/>
  <c r="G30" i="22" s="1"/>
  <c r="H30" i="22" s="1"/>
  <c r="I30" i="22"/>
  <c r="J30" i="22" s="1"/>
  <c r="K30" i="22" s="1"/>
  <c r="L30" i="22" s="1"/>
  <c r="M30" i="22" s="1"/>
  <c r="O30" i="22"/>
  <c r="R30" i="22"/>
  <c r="X34" i="22"/>
  <c r="S35" i="22"/>
  <c r="X35" i="22"/>
  <c r="V36" i="22"/>
  <c r="X36" i="22"/>
  <c r="X39" i="22"/>
  <c r="X40" i="22"/>
  <c r="X41" i="22"/>
  <c r="A42" i="22"/>
  <c r="A43" i="22"/>
  <c r="X43" i="22"/>
  <c r="N48" i="22"/>
  <c r="S45" i="22"/>
  <c r="X45" i="22"/>
  <c r="X46" i="22"/>
  <c r="I48" i="22"/>
  <c r="X47" i="22"/>
  <c r="A48" i="22"/>
  <c r="A49" i="22"/>
  <c r="X49" i="22"/>
  <c r="X60" i="22"/>
  <c r="C2" i="21"/>
  <c r="J2" i="21"/>
  <c r="H3" i="21"/>
  <c r="O3" i="21"/>
  <c r="V3" i="21"/>
  <c r="O4" i="21"/>
  <c r="C9" i="21"/>
  <c r="C13" i="21" s="1"/>
  <c r="D9" i="21"/>
  <c r="D13" i="21" s="1"/>
  <c r="E9" i="21"/>
  <c r="E13" i="21" s="1"/>
  <c r="F9" i="21"/>
  <c r="F13" i="21" s="1"/>
  <c r="G9" i="21"/>
  <c r="G13" i="21" s="1"/>
  <c r="J9" i="21"/>
  <c r="K9" i="21"/>
  <c r="L9" i="21"/>
  <c r="M9" i="21"/>
  <c r="N9" i="21"/>
  <c r="Q9" i="21"/>
  <c r="R9" i="21"/>
  <c r="S9" i="21"/>
  <c r="T9" i="21"/>
  <c r="U9" i="21"/>
  <c r="H11" i="21"/>
  <c r="H12" i="21"/>
  <c r="O12" i="21"/>
  <c r="V12" i="21"/>
  <c r="H21" i="21"/>
  <c r="O21" i="21"/>
  <c r="V21" i="21"/>
  <c r="H75" i="21"/>
  <c r="O75" i="21"/>
  <c r="V27" i="21"/>
  <c r="V75" i="21" s="1"/>
  <c r="H31" i="21"/>
  <c r="O31" i="21"/>
  <c r="H32" i="21"/>
  <c r="O32" i="21"/>
  <c r="H33" i="21"/>
  <c r="H34" i="21"/>
  <c r="O34" i="21"/>
  <c r="H37" i="21"/>
  <c r="O37" i="21"/>
  <c r="H38" i="21"/>
  <c r="O38" i="21"/>
  <c r="H39" i="21"/>
  <c r="O39" i="21"/>
  <c r="H40" i="21"/>
  <c r="O40" i="21"/>
  <c r="H42" i="21"/>
  <c r="O42" i="21"/>
  <c r="H43" i="21"/>
  <c r="H45" i="21"/>
  <c r="O45" i="21"/>
  <c r="H46" i="21"/>
  <c r="O46" i="21"/>
  <c r="H47" i="21"/>
  <c r="O47" i="21"/>
  <c r="H49" i="21"/>
  <c r="O49" i="21"/>
  <c r="H52" i="21"/>
  <c r="O52" i="21"/>
  <c r="H53" i="21"/>
  <c r="O53" i="21"/>
  <c r="H54" i="21"/>
  <c r="O54" i="21"/>
  <c r="H55" i="21"/>
  <c r="O55" i="21"/>
  <c r="H58" i="21"/>
  <c r="O58" i="21"/>
  <c r="H60" i="21"/>
  <c r="O60" i="21"/>
  <c r="H62" i="21"/>
  <c r="O62" i="21"/>
  <c r="H63" i="21"/>
  <c r="O63" i="21"/>
  <c r="H64" i="21"/>
  <c r="O64" i="21"/>
  <c r="H66" i="21"/>
  <c r="H67" i="21"/>
  <c r="O67" i="21"/>
  <c r="J73" i="21"/>
  <c r="J5" i="21" s="1"/>
  <c r="K73" i="21"/>
  <c r="K5" i="21" s="1"/>
  <c r="L73" i="21"/>
  <c r="L5" i="21" s="1"/>
  <c r="M73" i="21"/>
  <c r="M5" i="21" s="1"/>
  <c r="N73" i="21"/>
  <c r="N5" i="21" s="1"/>
  <c r="Q73" i="21"/>
  <c r="Q5" i="21" s="1"/>
  <c r="R73" i="21"/>
  <c r="R5" i="21" s="1"/>
  <c r="S73" i="21"/>
  <c r="S5" i="21" s="1"/>
  <c r="T73" i="21"/>
  <c r="T5" i="21" s="1"/>
  <c r="U73" i="21"/>
  <c r="U5" i="21" s="1"/>
  <c r="C75" i="21"/>
  <c r="D75" i="21"/>
  <c r="E75" i="21"/>
  <c r="F75" i="21"/>
  <c r="G75" i="21"/>
  <c r="J75" i="21"/>
  <c r="K75" i="21"/>
  <c r="L75" i="21"/>
  <c r="M75" i="21"/>
  <c r="N75" i="21"/>
  <c r="Q75" i="21"/>
  <c r="R75" i="21"/>
  <c r="S75" i="21"/>
  <c r="T75" i="21"/>
  <c r="U75" i="21"/>
  <c r="E77" i="21"/>
  <c r="F77" i="21"/>
  <c r="G77" i="21"/>
  <c r="K77" i="21"/>
  <c r="L77" i="21"/>
  <c r="M77" i="21"/>
  <c r="N77" i="21"/>
  <c r="Q77" i="21"/>
  <c r="R77" i="21"/>
  <c r="S77" i="21"/>
  <c r="T77" i="21"/>
  <c r="U77" i="21"/>
  <c r="B25" i="19"/>
  <c r="A4" i="18"/>
  <c r="E8" i="3"/>
  <c r="E10" i="18"/>
  <c r="F8" i="3" s="1"/>
  <c r="E11" i="18"/>
  <c r="G8" i="3" s="1"/>
  <c r="E12" i="18"/>
  <c r="H8" i="3" s="1"/>
  <c r="A4" i="17"/>
  <c r="F16" i="17"/>
  <c r="F17" i="17"/>
  <c r="G17" i="17" s="1"/>
  <c r="F18" i="17"/>
  <c r="G18" i="17" s="1"/>
  <c r="G22" i="17"/>
  <c r="A4" i="14"/>
  <c r="A6" i="14"/>
  <c r="D8" i="14"/>
  <c r="C20" i="14"/>
  <c r="C22" i="14"/>
  <c r="A23" i="14"/>
  <c r="A31" i="14"/>
  <c r="A47" i="14"/>
  <c r="A51" i="14"/>
  <c r="B51" i="14"/>
  <c r="C51" i="14"/>
  <c r="D51" i="14"/>
  <c r="A52" i="14"/>
  <c r="B52" i="14"/>
  <c r="C52" i="14"/>
  <c r="A53" i="14"/>
  <c r="B53" i="14"/>
  <c r="C53" i="14"/>
  <c r="A54" i="14"/>
  <c r="B54" i="14"/>
  <c r="C54" i="14"/>
  <c r="A55" i="14"/>
  <c r="B55" i="14"/>
  <c r="C55" i="14"/>
  <c r="A56" i="14"/>
  <c r="B56" i="14"/>
  <c r="C56" i="14"/>
  <c r="A15" i="14"/>
  <c r="A39" i="14"/>
  <c r="D53" i="13"/>
  <c r="D43" i="13" s="1"/>
  <c r="D54" i="14"/>
  <c r="D55" i="13"/>
  <c r="D21" i="13" s="1"/>
  <c r="D56" i="13"/>
  <c r="D38" i="13" s="1"/>
  <c r="C34" i="14"/>
  <c r="F34" i="14" s="1"/>
  <c r="C42" i="13"/>
  <c r="F42" i="13" s="1"/>
  <c r="C38" i="12"/>
  <c r="C35" i="14" s="1"/>
  <c r="F35" i="14" s="1"/>
  <c r="C43" i="13"/>
  <c r="C36" i="13"/>
  <c r="C44" i="13"/>
  <c r="C44" i="14" s="1"/>
  <c r="F44" i="14" s="1"/>
  <c r="C29" i="14"/>
  <c r="C37" i="13"/>
  <c r="C30" i="14"/>
  <c r="C38" i="13"/>
  <c r="F38" i="13" s="1"/>
  <c r="C46" i="13"/>
  <c r="H16" i="11"/>
  <c r="D17" i="11"/>
  <c r="G5" i="7"/>
  <c r="AE5" i="7"/>
  <c r="AE3" i="33" s="1"/>
  <c r="B45" i="30" s="1"/>
  <c r="AS5" i="7"/>
  <c r="AT5" i="7"/>
  <c r="AT182" i="7" s="1"/>
  <c r="AU5" i="7"/>
  <c r="AV5" i="7"/>
  <c r="AT12" i="7"/>
  <c r="AV12" i="7" s="1"/>
  <c r="AT14" i="7"/>
  <c r="AV14" i="7" s="1"/>
  <c r="AT15" i="7"/>
  <c r="AV15" i="7" s="1"/>
  <c r="AT16" i="7"/>
  <c r="AV16" i="7" s="1"/>
  <c r="AT17" i="7"/>
  <c r="AV17" i="7" s="1"/>
  <c r="AT18" i="7"/>
  <c r="AV18" i="7" s="1"/>
  <c r="AT19" i="7"/>
  <c r="AV19" i="7" s="1"/>
  <c r="AT20" i="7"/>
  <c r="AV20" i="7" s="1"/>
  <c r="AT21" i="7"/>
  <c r="AV21" i="7" s="1"/>
  <c r="AT22" i="7"/>
  <c r="AV22" i="7" s="1"/>
  <c r="AT23" i="7"/>
  <c r="AV23" i="7" s="1"/>
  <c r="AT24" i="7"/>
  <c r="AV24" i="7" s="1"/>
  <c r="AT25" i="7"/>
  <c r="AV25" i="7" s="1"/>
  <c r="AT26" i="7"/>
  <c r="AV26" i="7" s="1"/>
  <c r="AT27" i="7"/>
  <c r="AV27" i="7" s="1"/>
  <c r="F28" i="7"/>
  <c r="F32" i="7" s="1"/>
  <c r="G28" i="7"/>
  <c r="G32" i="7" s="1"/>
  <c r="H28" i="7"/>
  <c r="H32" i="7" s="1"/>
  <c r="I28" i="7"/>
  <c r="I32" i="7" s="1"/>
  <c r="M28" i="7"/>
  <c r="M32" i="7" s="1"/>
  <c r="N28" i="7"/>
  <c r="N32" i="7" s="1"/>
  <c r="O28" i="7"/>
  <c r="O32" i="7" s="1"/>
  <c r="P28" i="7"/>
  <c r="P32" i="7" s="1"/>
  <c r="V28" i="7"/>
  <c r="V32" i="7" s="1"/>
  <c r="AC28" i="7"/>
  <c r="AC32" i="7" s="1"/>
  <c r="AD28" i="7"/>
  <c r="AD32" i="7" s="1"/>
  <c r="AE28" i="7"/>
  <c r="AE32" i="7" s="1"/>
  <c r="AF28" i="7"/>
  <c r="AF32" i="7" s="1"/>
  <c r="AI28" i="7"/>
  <c r="AI32" i="7" s="1"/>
  <c r="AJ28" i="7"/>
  <c r="AJ32" i="7" s="1"/>
  <c r="AT30" i="7"/>
  <c r="AT31" i="7"/>
  <c r="AV31" i="7" s="1"/>
  <c r="AT35" i="7"/>
  <c r="AV35" i="7" s="1"/>
  <c r="E181" i="1" s="1"/>
  <c r="AT36" i="7"/>
  <c r="AT38" i="7"/>
  <c r="AT39" i="7"/>
  <c r="AT40" i="7"/>
  <c r="AT41" i="7"/>
  <c r="AT42" i="7"/>
  <c r="AT43" i="7"/>
  <c r="AV43" i="7" s="1"/>
  <c r="E189" i="1" s="1"/>
  <c r="AT44" i="7"/>
  <c r="AT45" i="7"/>
  <c r="AT47" i="7"/>
  <c r="AT48" i="7"/>
  <c r="AT49" i="7"/>
  <c r="AT50" i="7"/>
  <c r="AT51" i="7"/>
  <c r="AT52" i="7"/>
  <c r="AT53" i="7"/>
  <c r="AT54" i="7"/>
  <c r="AV54" i="7" s="1"/>
  <c r="F55" i="7"/>
  <c r="G55" i="7"/>
  <c r="H55" i="7"/>
  <c r="I55" i="7"/>
  <c r="T55" i="7"/>
  <c r="M55" i="7"/>
  <c r="N55" i="7"/>
  <c r="O55" i="7"/>
  <c r="P55" i="7"/>
  <c r="V55" i="7"/>
  <c r="AC55" i="7"/>
  <c r="AD55" i="7"/>
  <c r="AE55" i="7"/>
  <c r="AF55" i="7"/>
  <c r="AI55" i="7"/>
  <c r="AJ55" i="7"/>
  <c r="B60" i="7"/>
  <c r="I60" i="7"/>
  <c r="B61" i="7"/>
  <c r="P61" i="7"/>
  <c r="AE61" i="7"/>
  <c r="B62" i="7"/>
  <c r="F64" i="7"/>
  <c r="B65" i="7"/>
  <c r="C65" i="7"/>
  <c r="D65" i="7"/>
  <c r="E65" i="7"/>
  <c r="G65" i="7"/>
  <c r="H65" i="7"/>
  <c r="I65" i="7"/>
  <c r="T65" i="7"/>
  <c r="M65" i="7"/>
  <c r="N65" i="7"/>
  <c r="O65" i="7"/>
  <c r="P65" i="7"/>
  <c r="V65" i="7"/>
  <c r="AC65" i="7"/>
  <c r="AD65" i="7"/>
  <c r="AE65" i="7"/>
  <c r="AF65" i="7"/>
  <c r="AI65" i="7"/>
  <c r="AJ65" i="7"/>
  <c r="AS65" i="7"/>
  <c r="AT65" i="7"/>
  <c r="AV65" i="7"/>
  <c r="B66" i="7"/>
  <c r="C66" i="7"/>
  <c r="E66" i="7"/>
  <c r="G66" i="7"/>
  <c r="H66" i="7"/>
  <c r="I66" i="7"/>
  <c r="T66" i="7"/>
  <c r="M66" i="7"/>
  <c r="N66" i="7"/>
  <c r="O66" i="7"/>
  <c r="P66" i="7"/>
  <c r="V66" i="7"/>
  <c r="AC66" i="7"/>
  <c r="AD66" i="7"/>
  <c r="AE66" i="7"/>
  <c r="AF66" i="7"/>
  <c r="AI66" i="7"/>
  <c r="AJ66" i="7"/>
  <c r="AS66" i="7"/>
  <c r="AT66" i="7"/>
  <c r="AV66" i="7"/>
  <c r="B67" i="7"/>
  <c r="C67" i="7"/>
  <c r="D67" i="7"/>
  <c r="E67" i="7"/>
  <c r="G67" i="7"/>
  <c r="H67" i="7"/>
  <c r="I67" i="7"/>
  <c r="T67" i="7"/>
  <c r="M67" i="7"/>
  <c r="N67" i="7"/>
  <c r="O67" i="7"/>
  <c r="P67" i="7"/>
  <c r="V67" i="7"/>
  <c r="AC67" i="7"/>
  <c r="AD67" i="7"/>
  <c r="AE67" i="7"/>
  <c r="AF67" i="7"/>
  <c r="AI67" i="7"/>
  <c r="AJ67" i="7"/>
  <c r="AS67" i="7"/>
  <c r="AT67" i="7"/>
  <c r="AV67" i="7"/>
  <c r="F81" i="7"/>
  <c r="G81" i="7"/>
  <c r="H81" i="7"/>
  <c r="I81" i="7"/>
  <c r="T81" i="7"/>
  <c r="M81" i="7"/>
  <c r="N81" i="7"/>
  <c r="O81" i="7"/>
  <c r="P81" i="7"/>
  <c r="V81" i="7"/>
  <c r="AC81" i="7"/>
  <c r="AD81" i="7"/>
  <c r="AF81" i="7"/>
  <c r="AI81" i="7"/>
  <c r="AJ81" i="7"/>
  <c r="F92" i="7"/>
  <c r="G92" i="7"/>
  <c r="H92" i="7"/>
  <c r="I92" i="7"/>
  <c r="T92" i="7"/>
  <c r="M92" i="7"/>
  <c r="N92" i="7"/>
  <c r="O92" i="7"/>
  <c r="P92" i="7"/>
  <c r="V92" i="7"/>
  <c r="AC92" i="7"/>
  <c r="AD92" i="7"/>
  <c r="AF92" i="7"/>
  <c r="AI92" i="7"/>
  <c r="AJ92" i="7"/>
  <c r="F102" i="7"/>
  <c r="G102" i="7"/>
  <c r="H102" i="7"/>
  <c r="I102" i="7"/>
  <c r="T102" i="7"/>
  <c r="M102" i="7"/>
  <c r="N102" i="7"/>
  <c r="O102" i="7"/>
  <c r="P102" i="7"/>
  <c r="V102" i="7"/>
  <c r="AC102" i="7"/>
  <c r="AD102" i="7"/>
  <c r="AF102" i="7"/>
  <c r="AI102" i="7"/>
  <c r="AJ102" i="7"/>
  <c r="F109" i="7"/>
  <c r="G109" i="7"/>
  <c r="H109" i="7"/>
  <c r="I109" i="7"/>
  <c r="T109" i="7"/>
  <c r="M109" i="7"/>
  <c r="N109" i="7"/>
  <c r="O109" i="7"/>
  <c r="P109" i="7"/>
  <c r="V109" i="7"/>
  <c r="AC109" i="7"/>
  <c r="AD109" i="7"/>
  <c r="AF109" i="7"/>
  <c r="AI109" i="7"/>
  <c r="AJ109" i="7"/>
  <c r="AT113" i="7"/>
  <c r="AV113" i="7" s="1"/>
  <c r="AT114" i="7"/>
  <c r="AT115" i="7"/>
  <c r="AV115" i="7" s="1"/>
  <c r="E248" i="1" s="1"/>
  <c r="F116" i="7"/>
  <c r="G116" i="7"/>
  <c r="H116" i="7"/>
  <c r="I116" i="7"/>
  <c r="T116" i="7"/>
  <c r="M116" i="7"/>
  <c r="N116" i="7"/>
  <c r="O116" i="7"/>
  <c r="P116" i="7"/>
  <c r="V116" i="7"/>
  <c r="AC116" i="7"/>
  <c r="AD116" i="7"/>
  <c r="AE116" i="7"/>
  <c r="AF116" i="7"/>
  <c r="AI116" i="7"/>
  <c r="AJ116" i="7"/>
  <c r="B119" i="7"/>
  <c r="I119" i="7"/>
  <c r="B120" i="7"/>
  <c r="P120" i="7"/>
  <c r="AE120" i="7" s="1"/>
  <c r="B121" i="7"/>
  <c r="F123" i="7"/>
  <c r="B124" i="7"/>
  <c r="C124" i="7"/>
  <c r="D124" i="7"/>
  <c r="E124" i="7"/>
  <c r="G124" i="7"/>
  <c r="H124" i="7"/>
  <c r="I124" i="7"/>
  <c r="T124" i="7"/>
  <c r="M124" i="7"/>
  <c r="N124" i="7"/>
  <c r="O124" i="7"/>
  <c r="P124" i="7"/>
  <c r="V124" i="7"/>
  <c r="AC124" i="7"/>
  <c r="AD124" i="7"/>
  <c r="AE124" i="7"/>
  <c r="AF124" i="7"/>
  <c r="AI124" i="7"/>
  <c r="AJ124" i="7"/>
  <c r="AS124" i="7"/>
  <c r="AT124" i="7"/>
  <c r="AV124" i="7"/>
  <c r="B125" i="7"/>
  <c r="C125" i="7"/>
  <c r="E125" i="7"/>
  <c r="G125" i="7"/>
  <c r="H125" i="7"/>
  <c r="I125" i="7"/>
  <c r="T125" i="7"/>
  <c r="M125" i="7"/>
  <c r="N125" i="7"/>
  <c r="O125" i="7"/>
  <c r="P125" i="7"/>
  <c r="V125" i="7"/>
  <c r="AC125" i="7"/>
  <c r="AD125" i="7"/>
  <c r="AE125" i="7"/>
  <c r="AF125" i="7"/>
  <c r="AI125" i="7"/>
  <c r="AJ125" i="7"/>
  <c r="AS125" i="7"/>
  <c r="AT125" i="7"/>
  <c r="AV125" i="7"/>
  <c r="B126" i="7"/>
  <c r="C126" i="7"/>
  <c r="D126" i="7"/>
  <c r="E126" i="7"/>
  <c r="G126" i="7"/>
  <c r="H126" i="7"/>
  <c r="I126" i="7"/>
  <c r="T126" i="7"/>
  <c r="M126" i="7"/>
  <c r="N126" i="7"/>
  <c r="O126" i="7"/>
  <c r="P126" i="7"/>
  <c r="V126" i="7"/>
  <c r="AC126" i="7"/>
  <c r="AD126" i="7"/>
  <c r="AE126" i="7"/>
  <c r="AF126" i="7"/>
  <c r="AI126" i="7"/>
  <c r="AJ126" i="7"/>
  <c r="AS126" i="7"/>
  <c r="AT126" i="7"/>
  <c r="AV126" i="7"/>
  <c r="AT129" i="7"/>
  <c r="AV129" i="7" s="1"/>
  <c r="AT130" i="7"/>
  <c r="AV130" i="7" s="1"/>
  <c r="E271" i="1" s="1"/>
  <c r="AT131" i="7"/>
  <c r="AV131" i="7" s="1"/>
  <c r="E278" i="1" s="1"/>
  <c r="AT132" i="7"/>
  <c r="AV132" i="7" s="1"/>
  <c r="E287" i="1" s="1"/>
  <c r="AT133" i="7"/>
  <c r="AV133" i="7" s="1"/>
  <c r="E292" i="1" s="1"/>
  <c r="AT134" i="7"/>
  <c r="AV134" i="7" s="1"/>
  <c r="E304" i="1" s="1"/>
  <c r="AT135" i="7"/>
  <c r="AV135" i="7" s="1"/>
  <c r="E308" i="1" s="1"/>
  <c r="AT137" i="7"/>
  <c r="AT138" i="7"/>
  <c r="AV138" i="7" s="1"/>
  <c r="E327" i="1" s="1"/>
  <c r="AT139" i="7"/>
  <c r="AV139" i="7" s="1"/>
  <c r="E334" i="1" s="1"/>
  <c r="F140" i="7"/>
  <c r="G140" i="7"/>
  <c r="H140" i="7"/>
  <c r="I140" i="7"/>
  <c r="T140" i="7"/>
  <c r="M140" i="7"/>
  <c r="N140" i="7"/>
  <c r="O140" i="7"/>
  <c r="P140" i="7"/>
  <c r="V140" i="7"/>
  <c r="AC140" i="7"/>
  <c r="AD140" i="7"/>
  <c r="AE140" i="7"/>
  <c r="AI140" i="7"/>
  <c r="AJ140" i="7"/>
  <c r="AT146" i="7"/>
  <c r="AT149" i="7"/>
  <c r="AV149" i="7" s="1"/>
  <c r="F150" i="7"/>
  <c r="F164" i="7" s="1"/>
  <c r="E148" i="33" s="1"/>
  <c r="G150" i="7"/>
  <c r="H150" i="7"/>
  <c r="I150" i="7"/>
  <c r="T150" i="7"/>
  <c r="M150" i="7"/>
  <c r="N150" i="7"/>
  <c r="O150" i="7"/>
  <c r="P150" i="7"/>
  <c r="V150" i="7"/>
  <c r="AC150" i="7"/>
  <c r="AD150" i="7"/>
  <c r="AE150" i="7"/>
  <c r="AF150" i="7"/>
  <c r="AI150" i="7"/>
  <c r="AJ150" i="7"/>
  <c r="AT157" i="7"/>
  <c r="AV157" i="7" s="1"/>
  <c r="AT158" i="7"/>
  <c r="AV158" i="7" s="1"/>
  <c r="F159" i="7"/>
  <c r="G159" i="7"/>
  <c r="H159" i="7"/>
  <c r="I159" i="7"/>
  <c r="T159" i="7"/>
  <c r="M159" i="7"/>
  <c r="N159" i="7"/>
  <c r="O159" i="7"/>
  <c r="P159" i="7"/>
  <c r="V159" i="7"/>
  <c r="AC159" i="7"/>
  <c r="AD159" i="7"/>
  <c r="AE159" i="7"/>
  <c r="AF159" i="7"/>
  <c r="AI159" i="7"/>
  <c r="AJ159" i="7"/>
  <c r="G176" i="7"/>
  <c r="H176" i="7"/>
  <c r="I176" i="7"/>
  <c r="T176" i="7"/>
  <c r="M176" i="7"/>
  <c r="N176" i="7"/>
  <c r="O176" i="7"/>
  <c r="P176" i="7"/>
  <c r="V176" i="7"/>
  <c r="AC176" i="7"/>
  <c r="AD176" i="7"/>
  <c r="AE176" i="7"/>
  <c r="AF176" i="7"/>
  <c r="AI176" i="7"/>
  <c r="AJ176" i="7"/>
  <c r="B178" i="7"/>
  <c r="I178" i="7"/>
  <c r="B179" i="7"/>
  <c r="P179" i="7"/>
  <c r="AE179" i="7"/>
  <c r="B180" i="7"/>
  <c r="F182" i="7"/>
  <c r="B183" i="7"/>
  <c r="C183" i="7"/>
  <c r="D183" i="7"/>
  <c r="E183" i="7"/>
  <c r="G183" i="7"/>
  <c r="H183" i="7"/>
  <c r="I183" i="7"/>
  <c r="T183" i="7"/>
  <c r="M183" i="7"/>
  <c r="N183" i="7"/>
  <c r="O183" i="7"/>
  <c r="P183" i="7"/>
  <c r="V183" i="7"/>
  <c r="AC183" i="7"/>
  <c r="AD183" i="7"/>
  <c r="AE183" i="7"/>
  <c r="AF183" i="7"/>
  <c r="AI183" i="7"/>
  <c r="AJ183" i="7"/>
  <c r="AS183" i="7"/>
  <c r="AT183" i="7"/>
  <c r="AV183" i="7"/>
  <c r="B184" i="7"/>
  <c r="C184" i="7"/>
  <c r="E184" i="7"/>
  <c r="G184" i="7"/>
  <c r="H184" i="7"/>
  <c r="I184" i="7"/>
  <c r="T184" i="7"/>
  <c r="M184" i="7"/>
  <c r="N184" i="7"/>
  <c r="O184" i="7"/>
  <c r="P184" i="7"/>
  <c r="V184" i="7"/>
  <c r="AC184" i="7"/>
  <c r="AD184" i="7"/>
  <c r="AE184" i="7"/>
  <c r="AF184" i="7"/>
  <c r="AI184" i="7"/>
  <c r="AJ184" i="7"/>
  <c r="AS184" i="7"/>
  <c r="AT184" i="7"/>
  <c r="AV184" i="7"/>
  <c r="B185" i="7"/>
  <c r="C185" i="7"/>
  <c r="D185" i="7"/>
  <c r="E185" i="7"/>
  <c r="G185" i="7"/>
  <c r="H185" i="7"/>
  <c r="I185" i="7"/>
  <c r="T185" i="7"/>
  <c r="M185" i="7"/>
  <c r="N185" i="7"/>
  <c r="O185" i="7"/>
  <c r="P185" i="7"/>
  <c r="V185" i="7"/>
  <c r="AC185" i="7"/>
  <c r="AD185" i="7"/>
  <c r="AE185" i="7"/>
  <c r="AF185" i="7"/>
  <c r="AI185" i="7"/>
  <c r="AJ185" i="7"/>
  <c r="AS185" i="7"/>
  <c r="AT185" i="7"/>
  <c r="AV185" i="7"/>
  <c r="G200" i="7"/>
  <c r="H200" i="7"/>
  <c r="I200" i="7"/>
  <c r="T200" i="7"/>
  <c r="M200" i="7"/>
  <c r="N200" i="7"/>
  <c r="O200" i="7"/>
  <c r="P200" i="7"/>
  <c r="V200" i="7"/>
  <c r="AC200" i="7"/>
  <c r="AD200" i="7"/>
  <c r="AE200" i="7"/>
  <c r="AF200" i="7"/>
  <c r="F213" i="7"/>
  <c r="G213" i="7"/>
  <c r="H213" i="7"/>
  <c r="I213" i="7"/>
  <c r="T213" i="7"/>
  <c r="M213" i="7"/>
  <c r="N213" i="7"/>
  <c r="O213" i="7"/>
  <c r="P213" i="7"/>
  <c r="V213" i="7"/>
  <c r="AC213" i="7"/>
  <c r="AD213" i="7"/>
  <c r="AE213" i="7"/>
  <c r="AF213" i="7"/>
  <c r="AT218" i="7"/>
  <c r="AV218" i="7" s="1"/>
  <c r="AT219" i="7"/>
  <c r="E399" i="1"/>
  <c r="AT221" i="7"/>
  <c r="AV221" i="7" s="1"/>
  <c r="E400" i="1" s="1"/>
  <c r="AT222" i="7"/>
  <c r="AV222" i="7" s="1"/>
  <c r="AT223" i="7"/>
  <c r="AV223" i="7" s="1"/>
  <c r="F224" i="7"/>
  <c r="G224" i="7"/>
  <c r="H224" i="7"/>
  <c r="I224" i="7"/>
  <c r="T224" i="7"/>
  <c r="M224" i="7"/>
  <c r="N224" i="7"/>
  <c r="O224" i="7"/>
  <c r="P224" i="7"/>
  <c r="V224" i="7"/>
  <c r="AC224" i="7"/>
  <c r="AD224" i="7"/>
  <c r="AE224" i="7"/>
  <c r="AF224" i="7"/>
  <c r="AI224" i="7"/>
  <c r="AJ224" i="7"/>
  <c r="AT230" i="7"/>
  <c r="AT231" i="7"/>
  <c r="AT232" i="7"/>
  <c r="AT233" i="7"/>
  <c r="AV233" i="7" s="1"/>
  <c r="E413" i="1" s="1"/>
  <c r="AT234" i="7"/>
  <c r="AV234" i="7" s="1"/>
  <c r="E414" i="1" s="1"/>
  <c r="B238" i="7"/>
  <c r="I238" i="7"/>
  <c r="B239" i="7"/>
  <c r="P239" i="7"/>
  <c r="AE239" i="7"/>
  <c r="B240" i="7"/>
  <c r="F242" i="7"/>
  <c r="B243" i="7"/>
  <c r="C243" i="7"/>
  <c r="D243" i="7"/>
  <c r="E243" i="7"/>
  <c r="G243" i="7"/>
  <c r="H243" i="7"/>
  <c r="I243" i="7"/>
  <c r="T243" i="7"/>
  <c r="M243" i="7"/>
  <c r="N243" i="7"/>
  <c r="O243" i="7"/>
  <c r="P243" i="7"/>
  <c r="V243" i="7"/>
  <c r="AC243" i="7"/>
  <c r="AD243" i="7"/>
  <c r="AE243" i="7"/>
  <c r="AF243" i="7"/>
  <c r="AI243" i="7"/>
  <c r="AJ243" i="7"/>
  <c r="AS243" i="7"/>
  <c r="AT243" i="7"/>
  <c r="AV243" i="7"/>
  <c r="B244" i="7"/>
  <c r="C244" i="7"/>
  <c r="E244" i="7"/>
  <c r="G244" i="7"/>
  <c r="H244" i="7"/>
  <c r="I244" i="7"/>
  <c r="T244" i="7"/>
  <c r="M244" i="7"/>
  <c r="N244" i="7"/>
  <c r="O244" i="7"/>
  <c r="P244" i="7"/>
  <c r="V244" i="7"/>
  <c r="AC244" i="7"/>
  <c r="AD244" i="7"/>
  <c r="AE244" i="7"/>
  <c r="AF244" i="7"/>
  <c r="AI244" i="7"/>
  <c r="AJ244" i="7"/>
  <c r="AS244" i="7"/>
  <c r="AT244" i="7"/>
  <c r="AV244" i="7"/>
  <c r="B245" i="7"/>
  <c r="C245" i="7"/>
  <c r="D245" i="7"/>
  <c r="E245" i="7"/>
  <c r="G245" i="7"/>
  <c r="H245" i="7"/>
  <c r="I245" i="7"/>
  <c r="T245" i="7"/>
  <c r="M245" i="7"/>
  <c r="N245" i="7"/>
  <c r="O245" i="7"/>
  <c r="P245" i="7"/>
  <c r="V245" i="7"/>
  <c r="AC245" i="7"/>
  <c r="AD245" i="7"/>
  <c r="AE245" i="7"/>
  <c r="AF245" i="7"/>
  <c r="AI245" i="7"/>
  <c r="AJ245" i="7"/>
  <c r="AS245" i="7"/>
  <c r="AT245" i="7"/>
  <c r="AV245" i="7"/>
  <c r="AT250" i="7"/>
  <c r="AV250" i="7" s="1"/>
  <c r="E10" i="1" s="1"/>
  <c r="F264" i="7"/>
  <c r="G264" i="7"/>
  <c r="H264" i="7"/>
  <c r="I264" i="7"/>
  <c r="T264" i="7"/>
  <c r="M264" i="7"/>
  <c r="N264" i="7"/>
  <c r="O264" i="7"/>
  <c r="P264" i="7"/>
  <c r="V264" i="7"/>
  <c r="AC264" i="7"/>
  <c r="AD264" i="7"/>
  <c r="AE264" i="7"/>
  <c r="AF264" i="7"/>
  <c r="AI264" i="7"/>
  <c r="AJ264" i="7"/>
  <c r="G280" i="7"/>
  <c r="H280" i="7"/>
  <c r="I280" i="7"/>
  <c r="T280" i="7"/>
  <c r="M280" i="7"/>
  <c r="N280" i="7"/>
  <c r="O280" i="7"/>
  <c r="P280" i="7"/>
  <c r="V280" i="7"/>
  <c r="AC280" i="7"/>
  <c r="AD280" i="7"/>
  <c r="AE280" i="7"/>
  <c r="AF280" i="7"/>
  <c r="AI280" i="7"/>
  <c r="G293" i="7"/>
  <c r="H293" i="7"/>
  <c r="I293" i="7"/>
  <c r="T293" i="7"/>
  <c r="M293" i="7"/>
  <c r="N293" i="7"/>
  <c r="O293" i="7"/>
  <c r="P293" i="7"/>
  <c r="V293" i="7"/>
  <c r="AC293" i="7"/>
  <c r="AD293" i="7"/>
  <c r="AE293" i="7"/>
  <c r="AF293" i="7"/>
  <c r="AI293" i="7"/>
  <c r="B298" i="7"/>
  <c r="I298" i="7"/>
  <c r="B299" i="7"/>
  <c r="P299" i="7"/>
  <c r="AE299" i="7"/>
  <c r="B300" i="7"/>
  <c r="F302" i="7"/>
  <c r="B303" i="7"/>
  <c r="C303" i="7"/>
  <c r="D303" i="7"/>
  <c r="E303" i="7"/>
  <c r="G303" i="7"/>
  <c r="H303" i="7"/>
  <c r="I303" i="7"/>
  <c r="T303" i="7"/>
  <c r="M303" i="7"/>
  <c r="N303" i="7"/>
  <c r="O303" i="7"/>
  <c r="P303" i="7"/>
  <c r="V303" i="7"/>
  <c r="AC303" i="7"/>
  <c r="AD303" i="7"/>
  <c r="AE303" i="7"/>
  <c r="AF303" i="7"/>
  <c r="AI303" i="7"/>
  <c r="AJ303" i="7"/>
  <c r="AS303" i="7"/>
  <c r="AT303" i="7"/>
  <c r="AV303" i="7"/>
  <c r="B304" i="7"/>
  <c r="C304" i="7"/>
  <c r="E304" i="7"/>
  <c r="G304" i="7"/>
  <c r="H304" i="7"/>
  <c r="I304" i="7"/>
  <c r="T304" i="7"/>
  <c r="M304" i="7"/>
  <c r="N304" i="7"/>
  <c r="O304" i="7"/>
  <c r="P304" i="7"/>
  <c r="V304" i="7"/>
  <c r="AC304" i="7"/>
  <c r="AD304" i="7"/>
  <c r="AE304" i="7"/>
  <c r="AF304" i="7"/>
  <c r="AI304" i="7"/>
  <c r="AJ304" i="7"/>
  <c r="AS304" i="7"/>
  <c r="AT304" i="7"/>
  <c r="AV304" i="7"/>
  <c r="B305" i="7"/>
  <c r="C305" i="7"/>
  <c r="D305" i="7"/>
  <c r="E305" i="7"/>
  <c r="G305" i="7"/>
  <c r="H305" i="7"/>
  <c r="I305" i="7"/>
  <c r="T305" i="7"/>
  <c r="M305" i="7"/>
  <c r="N305" i="7"/>
  <c r="O305" i="7"/>
  <c r="P305" i="7"/>
  <c r="V305" i="7"/>
  <c r="AC305" i="7"/>
  <c r="AD305" i="7"/>
  <c r="AE305" i="7"/>
  <c r="AF305" i="7"/>
  <c r="AI305" i="7"/>
  <c r="AJ305" i="7"/>
  <c r="AS305" i="7"/>
  <c r="AT305" i="7"/>
  <c r="AV305" i="7"/>
  <c r="F317" i="7"/>
  <c r="G317" i="7"/>
  <c r="H317" i="7"/>
  <c r="I317" i="7"/>
  <c r="T317" i="7"/>
  <c r="M317" i="7"/>
  <c r="N317" i="7"/>
  <c r="O317" i="7"/>
  <c r="P317" i="7"/>
  <c r="V317" i="7"/>
  <c r="AC317" i="7"/>
  <c r="AD317" i="7"/>
  <c r="AE317" i="7"/>
  <c r="AF317" i="7"/>
  <c r="AI317" i="7"/>
  <c r="AJ317" i="7"/>
  <c r="G333" i="7"/>
  <c r="H333" i="7"/>
  <c r="I333" i="7"/>
  <c r="T333" i="7"/>
  <c r="M333" i="7"/>
  <c r="N333" i="7"/>
  <c r="O333" i="7"/>
  <c r="P333" i="7"/>
  <c r="V333" i="7"/>
  <c r="AC333" i="7"/>
  <c r="AD333" i="7"/>
  <c r="AE333" i="7"/>
  <c r="AF333" i="7"/>
  <c r="AI333" i="7"/>
  <c r="G346" i="7"/>
  <c r="H346" i="7"/>
  <c r="I346" i="7"/>
  <c r="T346" i="7"/>
  <c r="M346" i="7"/>
  <c r="N346" i="7"/>
  <c r="O346" i="7"/>
  <c r="P346" i="7"/>
  <c r="V346" i="7"/>
  <c r="AC346" i="7"/>
  <c r="AD346" i="7"/>
  <c r="AE346" i="7"/>
  <c r="AF346" i="7"/>
  <c r="AI346" i="7"/>
  <c r="AT353" i="7"/>
  <c r="H354" i="7"/>
  <c r="I354" i="7"/>
  <c r="T354" i="7"/>
  <c r="M354" i="7"/>
  <c r="N354" i="7"/>
  <c r="O354" i="7"/>
  <c r="P354" i="7"/>
  <c r="V354" i="7"/>
  <c r="AC354" i="7"/>
  <c r="AD354" i="7"/>
  <c r="AE354" i="7"/>
  <c r="AF354" i="7"/>
  <c r="AI354" i="7"/>
  <c r="AJ354" i="7"/>
  <c r="B358" i="7"/>
  <c r="B359" i="7"/>
  <c r="P359" i="7"/>
  <c r="AE359" i="7"/>
  <c r="B360" i="7"/>
  <c r="F362" i="7"/>
  <c r="B363" i="7"/>
  <c r="C363" i="7"/>
  <c r="D363" i="7"/>
  <c r="E363" i="7"/>
  <c r="G363" i="7"/>
  <c r="H363" i="7"/>
  <c r="I363" i="7"/>
  <c r="T363" i="7"/>
  <c r="M363" i="7"/>
  <c r="N363" i="7"/>
  <c r="O363" i="7"/>
  <c r="P363" i="7"/>
  <c r="V363" i="7"/>
  <c r="AC363" i="7"/>
  <c r="AD363" i="7"/>
  <c r="AE363" i="7"/>
  <c r="AF363" i="7"/>
  <c r="AI363" i="7"/>
  <c r="AJ363" i="7"/>
  <c r="AS363" i="7"/>
  <c r="AT363" i="7"/>
  <c r="AV363" i="7"/>
  <c r="B364" i="7"/>
  <c r="C364" i="7"/>
  <c r="E364" i="7"/>
  <c r="G364" i="7"/>
  <c r="H364" i="7"/>
  <c r="I364" i="7"/>
  <c r="T364" i="7"/>
  <c r="M364" i="7"/>
  <c r="N364" i="7"/>
  <c r="O364" i="7"/>
  <c r="P364" i="7"/>
  <c r="V364" i="7"/>
  <c r="AC364" i="7"/>
  <c r="AD364" i="7"/>
  <c r="AE364" i="7"/>
  <c r="AF364" i="7"/>
  <c r="AI364" i="7"/>
  <c r="AJ364" i="7"/>
  <c r="AS364" i="7"/>
  <c r="AT364" i="7"/>
  <c r="AV364" i="7"/>
  <c r="B365" i="7"/>
  <c r="C365" i="7"/>
  <c r="D365" i="7"/>
  <c r="E365" i="7"/>
  <c r="G365" i="7"/>
  <c r="H365" i="7"/>
  <c r="I365" i="7"/>
  <c r="T365" i="7"/>
  <c r="M365" i="7"/>
  <c r="N365" i="7"/>
  <c r="O365" i="7"/>
  <c r="P365" i="7"/>
  <c r="V365" i="7"/>
  <c r="AC365" i="7"/>
  <c r="AD365" i="7"/>
  <c r="AE365" i="7"/>
  <c r="AF365" i="7"/>
  <c r="AI365" i="7"/>
  <c r="AJ365" i="7"/>
  <c r="AS365" i="7"/>
  <c r="AT365" i="7"/>
  <c r="AV365" i="7"/>
  <c r="AT370" i="7"/>
  <c r="AV370" i="7" s="1"/>
  <c r="AT371" i="7"/>
  <c r="AV371" i="7" s="1"/>
  <c r="AT372" i="7"/>
  <c r="AV372" i="7" s="1"/>
  <c r="E124" i="1"/>
  <c r="AT374" i="7"/>
  <c r="AV374" i="7" s="1"/>
  <c r="E126" i="1" s="1"/>
  <c r="AT375" i="7"/>
  <c r="AV375" i="7" s="1"/>
  <c r="E125" i="1" s="1"/>
  <c r="G376" i="7"/>
  <c r="H376" i="7"/>
  <c r="I376" i="7"/>
  <c r="T376" i="7"/>
  <c r="M376" i="7"/>
  <c r="N376" i="7"/>
  <c r="O376" i="7"/>
  <c r="P376" i="7"/>
  <c r="V376" i="7"/>
  <c r="AC376" i="7"/>
  <c r="AD376" i="7"/>
  <c r="AE376" i="7"/>
  <c r="AF376" i="7"/>
  <c r="AI376" i="7"/>
  <c r="AJ376" i="7"/>
  <c r="AT382" i="7"/>
  <c r="AV382" i="7" s="1"/>
  <c r="AT386" i="7"/>
  <c r="AV386" i="7" s="1"/>
  <c r="AT387" i="7"/>
  <c r="AT388" i="7"/>
  <c r="H390" i="7"/>
  <c r="I390" i="7"/>
  <c r="T390" i="7"/>
  <c r="M390" i="7"/>
  <c r="N390" i="7"/>
  <c r="O390" i="7"/>
  <c r="P390" i="7"/>
  <c r="V390" i="7"/>
  <c r="AC390" i="7"/>
  <c r="AD390" i="7"/>
  <c r="AE390" i="7"/>
  <c r="AF390" i="7"/>
  <c r="AI390" i="7"/>
  <c r="AJ390" i="7"/>
  <c r="E424" i="1"/>
  <c r="AT410" i="7"/>
  <c r="AU410" i="7" s="1"/>
  <c r="C42" i="5"/>
  <c r="C43" i="5" s="1"/>
  <c r="AV353" i="7" l="1"/>
  <c r="AV354" i="7" s="1"/>
  <c r="AX346" i="7" s="1"/>
  <c r="AT354" i="7"/>
  <c r="AU354" i="7" s="1"/>
  <c r="AU242" i="7"/>
  <c r="AU302" i="7"/>
  <c r="AU123" i="7"/>
  <c r="AU64" i="7"/>
  <c r="AU182" i="7"/>
  <c r="AU362" i="7"/>
  <c r="E264" i="1"/>
  <c r="AV28" i="7"/>
  <c r="AV390" i="7"/>
  <c r="E420" i="1" s="1"/>
  <c r="AX386" i="7"/>
  <c r="O73" i="21"/>
  <c r="E31" i="22"/>
  <c r="C37" i="14"/>
  <c r="F37" i="14" s="1"/>
  <c r="F37" i="13"/>
  <c r="C36" i="14"/>
  <c r="F36" i="14" s="1"/>
  <c r="F36" i="13"/>
  <c r="AO129" i="33"/>
  <c r="AO136" i="33"/>
  <c r="AO134" i="33"/>
  <c r="AN208" i="7"/>
  <c r="AN133" i="33" s="1"/>
  <c r="AL205" i="7"/>
  <c r="AL130" i="33" s="1"/>
  <c r="AL203" i="7"/>
  <c r="AK211" i="7"/>
  <c r="AK136" i="33" s="1"/>
  <c r="AL211" i="7"/>
  <c r="AL136" i="33" s="1"/>
  <c r="AO135" i="33"/>
  <c r="AN209" i="7"/>
  <c r="AN134" i="33" s="1"/>
  <c r="AL206" i="7"/>
  <c r="AL131" i="33" s="1"/>
  <c r="AK205" i="7"/>
  <c r="AK130" i="33" s="1"/>
  <c r="AK212" i="7"/>
  <c r="AK137" i="33" s="1"/>
  <c r="AO137" i="33"/>
  <c r="AN210" i="7"/>
  <c r="AN135" i="33" s="1"/>
  <c r="AL207" i="7"/>
  <c r="AL132" i="33" s="1"/>
  <c r="AK204" i="7"/>
  <c r="AK129" i="33" s="1"/>
  <c r="AK203" i="7"/>
  <c r="AN211" i="7"/>
  <c r="AN136" i="33" s="1"/>
  <c r="AL208" i="7"/>
  <c r="AL133" i="33" s="1"/>
  <c r="AK206" i="7"/>
  <c r="AK131" i="33" s="1"/>
  <c r="AO130" i="33"/>
  <c r="AN204" i="7"/>
  <c r="AN129" i="33" s="1"/>
  <c r="AN212" i="7"/>
  <c r="AN137" i="33" s="1"/>
  <c r="AL209" i="7"/>
  <c r="AL134" i="33" s="1"/>
  <c r="AK207" i="7"/>
  <c r="AK132" i="33" s="1"/>
  <c r="AO131" i="33"/>
  <c r="AN130" i="33"/>
  <c r="AN203" i="7"/>
  <c r="AS203" i="7" s="1"/>
  <c r="AL210" i="7"/>
  <c r="AL135" i="33" s="1"/>
  <c r="AK208" i="7"/>
  <c r="AK133" i="33" s="1"/>
  <c r="AN206" i="7"/>
  <c r="AN131" i="33" s="1"/>
  <c r="AO133" i="33"/>
  <c r="AN207" i="7"/>
  <c r="AN132" i="33" s="1"/>
  <c r="AL204" i="7"/>
  <c r="AL129" i="33" s="1"/>
  <c r="AL212" i="7"/>
  <c r="AL137" i="33" s="1"/>
  <c r="AK210" i="7"/>
  <c r="AK135" i="33" s="1"/>
  <c r="AO132" i="33"/>
  <c r="AK209" i="7"/>
  <c r="AK134" i="33" s="1"/>
  <c r="AV137" i="7"/>
  <c r="E320" i="1" s="1"/>
  <c r="AT140" i="7"/>
  <c r="Y309" i="7"/>
  <c r="AK200" i="33"/>
  <c r="AR200" i="33" s="1"/>
  <c r="Y311" i="7"/>
  <c r="Y310" i="7"/>
  <c r="AS310" i="7" s="1"/>
  <c r="AK202" i="33"/>
  <c r="AR202" i="33" s="1"/>
  <c r="Y312" i="7"/>
  <c r="AS312" i="7" s="1"/>
  <c r="AK203" i="33"/>
  <c r="AR203" i="33" s="1"/>
  <c r="Y316" i="7"/>
  <c r="Y313" i="7"/>
  <c r="AS313" i="7" s="1"/>
  <c r="AK204" i="33"/>
  <c r="AR204" i="33" s="1"/>
  <c r="Y314" i="7"/>
  <c r="AS314" i="7" s="1"/>
  <c r="AK205" i="33"/>
  <c r="AR205" i="33" s="1"/>
  <c r="Y315" i="7"/>
  <c r="AS315" i="7" s="1"/>
  <c r="AK206" i="33"/>
  <c r="AR206" i="33" s="1"/>
  <c r="E153" i="33"/>
  <c r="E155" i="33" s="1"/>
  <c r="E157" i="33" s="1"/>
  <c r="E253" i="33" s="1"/>
  <c r="AT148" i="33"/>
  <c r="H5" i="7"/>
  <c r="F3" i="33"/>
  <c r="B12" i="30" s="1"/>
  <c r="E401" i="1"/>
  <c r="E245" i="1"/>
  <c r="AV55" i="7"/>
  <c r="AX55" i="7" s="1"/>
  <c r="K27" i="22"/>
  <c r="J47" i="22"/>
  <c r="J46" i="22"/>
  <c r="J45" i="22"/>
  <c r="Q56" i="23"/>
  <c r="E411" i="1"/>
  <c r="AS284" i="7"/>
  <c r="AS288" i="7"/>
  <c r="AS292" i="7"/>
  <c r="AS285" i="7"/>
  <c r="AS289" i="7"/>
  <c r="AS283" i="7"/>
  <c r="AS286" i="7"/>
  <c r="AS290" i="7"/>
  <c r="AS287" i="7"/>
  <c r="AS291" i="7"/>
  <c r="AS106" i="7"/>
  <c r="AS70" i="7"/>
  <c r="AT70" i="7" s="1"/>
  <c r="AS83" i="7"/>
  <c r="AT83" i="7" s="1"/>
  <c r="AS71" i="7"/>
  <c r="AS78" i="7"/>
  <c r="AT78" i="7" s="1"/>
  <c r="AV78" i="7" s="1"/>
  <c r="E212" i="1" s="1"/>
  <c r="AS97" i="7"/>
  <c r="AV376" i="7"/>
  <c r="E192" i="1"/>
  <c r="E109" i="1"/>
  <c r="E345" i="1"/>
  <c r="AV150" i="7"/>
  <c r="F49" i="22"/>
  <c r="N49" i="22"/>
  <c r="P49" i="22"/>
  <c r="R49" i="22"/>
  <c r="Q49" i="22"/>
  <c r="O49" i="22"/>
  <c r="O43" i="22"/>
  <c r="N43" i="22"/>
  <c r="P43" i="22"/>
  <c r="P51" i="22" s="1"/>
  <c r="Q43" i="22"/>
  <c r="R43" i="22"/>
  <c r="J49" i="22"/>
  <c r="P27" i="22"/>
  <c r="O45" i="22"/>
  <c r="O46" i="22"/>
  <c r="O47" i="22"/>
  <c r="AX153" i="7"/>
  <c r="AT173" i="7"/>
  <c r="E355" i="1"/>
  <c r="AT174" i="7"/>
  <c r="AV174" i="7" s="1"/>
  <c r="E360" i="1" s="1"/>
  <c r="AT170" i="7"/>
  <c r="AV170" i="7" s="1"/>
  <c r="E356" i="1" s="1"/>
  <c r="AT171" i="7"/>
  <c r="AV171" i="7" s="1"/>
  <c r="E357" i="1" s="1"/>
  <c r="AT175" i="7"/>
  <c r="AV175" i="7" s="1"/>
  <c r="E361" i="1" s="1"/>
  <c r="AT172" i="7"/>
  <c r="AT260" i="7"/>
  <c r="AV260" i="7" s="1"/>
  <c r="E20" i="1" s="1"/>
  <c r="AT257" i="7"/>
  <c r="AV257" i="7" s="1"/>
  <c r="E17" i="1" s="1"/>
  <c r="AT261" i="7"/>
  <c r="AV261" i="7" s="1"/>
  <c r="E21" i="1" s="1"/>
  <c r="AT258" i="7"/>
  <c r="AV258" i="7" s="1"/>
  <c r="AT262" i="7"/>
  <c r="AV262" i="7" s="1"/>
  <c r="E22" i="1" s="1"/>
  <c r="AT259" i="7"/>
  <c r="AV259" i="7" s="1"/>
  <c r="E19" i="1" s="1"/>
  <c r="AT263" i="7"/>
  <c r="AV263" i="7" s="1"/>
  <c r="E23" i="1" s="1"/>
  <c r="AC94" i="7"/>
  <c r="AC118" i="7" s="1"/>
  <c r="AC142" i="7" s="1"/>
  <c r="AV30" i="7"/>
  <c r="E176" i="1" s="1"/>
  <c r="AV114" i="7"/>
  <c r="E247" i="1" s="1"/>
  <c r="G16" i="17"/>
  <c r="F19" i="17"/>
  <c r="F24" i="17" s="1"/>
  <c r="AD362" i="7"/>
  <c r="AC302" i="7"/>
  <c r="AD123" i="7"/>
  <c r="AJ164" i="7"/>
  <c r="AC164" i="7"/>
  <c r="P164" i="7"/>
  <c r="V164" i="7"/>
  <c r="G164" i="7"/>
  <c r="D22" i="13"/>
  <c r="G64" i="7"/>
  <c r="K2" i="21"/>
  <c r="AC242" i="7"/>
  <c r="AC182" i="7"/>
  <c r="N401" i="7"/>
  <c r="E270" i="7"/>
  <c r="F270" i="7" s="1"/>
  <c r="E412" i="1"/>
  <c r="H302" i="7"/>
  <c r="H242" i="7"/>
  <c r="D34" i="13"/>
  <c r="AJ94" i="7"/>
  <c r="AJ118" i="7" s="1"/>
  <c r="AJ142" i="7" s="1"/>
  <c r="G295" i="7"/>
  <c r="G182" i="7"/>
  <c r="X61" i="22"/>
  <c r="U13" i="21"/>
  <c r="S13" i="21"/>
  <c r="O77" i="21"/>
  <c r="AC362" i="7"/>
  <c r="D46" i="13"/>
  <c r="F46" i="13" s="1"/>
  <c r="H362" i="7"/>
  <c r="G302" i="7"/>
  <c r="G242" i="7"/>
  <c r="D14" i="13"/>
  <c r="V9" i="21"/>
  <c r="K26" i="22"/>
  <c r="AC123" i="7"/>
  <c r="G362" i="7"/>
  <c r="AD302" i="7"/>
  <c r="AD242" i="7"/>
  <c r="G123" i="7"/>
  <c r="AC64" i="7"/>
  <c r="D56" i="14"/>
  <c r="D38" i="14" s="1"/>
  <c r="E397" i="1"/>
  <c r="E177" i="1"/>
  <c r="AI94" i="7"/>
  <c r="AI118" i="7" s="1"/>
  <c r="AI142" i="7" s="1"/>
  <c r="P215" i="7"/>
  <c r="P226" i="7" s="1"/>
  <c r="AV136" i="7"/>
  <c r="E9" i="16"/>
  <c r="E19" i="16" s="1"/>
  <c r="E13" i="18"/>
  <c r="P94" i="7"/>
  <c r="P118" i="7" s="1"/>
  <c r="P142" i="7" s="1"/>
  <c r="G94" i="7"/>
  <c r="G118" i="7" s="1"/>
  <c r="G142" i="7" s="1"/>
  <c r="AI295" i="7"/>
  <c r="E317" i="1"/>
  <c r="L17" i="11"/>
  <c r="L18" i="11" s="1"/>
  <c r="D18" i="11"/>
  <c r="F17" i="11"/>
  <c r="F18" i="11" s="1"/>
  <c r="G348" i="7"/>
  <c r="H401" i="7"/>
  <c r="H215" i="7"/>
  <c r="H226" i="7" s="1"/>
  <c r="G401" i="7"/>
  <c r="P295" i="7"/>
  <c r="M295" i="7"/>
  <c r="AC295" i="7"/>
  <c r="AT302" i="7"/>
  <c r="AD215" i="7"/>
  <c r="AD226" i="7" s="1"/>
  <c r="V215" i="7"/>
  <c r="V226" i="7" s="1"/>
  <c r="M215" i="7"/>
  <c r="M226" i="7" s="1"/>
  <c r="AS159" i="7"/>
  <c r="AE182" i="7"/>
  <c r="AE242" i="7"/>
  <c r="AX149" i="7"/>
  <c r="E347" i="1"/>
  <c r="AE401" i="7"/>
  <c r="V295" i="7"/>
  <c r="O94" i="7"/>
  <c r="O118" i="7" s="1"/>
  <c r="O142" i="7" s="1"/>
  <c r="AF295" i="7"/>
  <c r="AC215" i="7"/>
  <c r="AC226" i="7" s="1"/>
  <c r="G215" i="7"/>
  <c r="G226" i="7" s="1"/>
  <c r="AE348" i="7"/>
  <c r="N348" i="7"/>
  <c r="I348" i="7"/>
  <c r="AS116" i="7"/>
  <c r="N94" i="7"/>
  <c r="N118" i="7" s="1"/>
  <c r="N142" i="7" s="1"/>
  <c r="I94" i="7"/>
  <c r="I118" i="7" s="1"/>
  <c r="I142" i="7" s="1"/>
  <c r="E107" i="1"/>
  <c r="E122" i="1"/>
  <c r="AX372" i="7"/>
  <c r="E123" i="1"/>
  <c r="V40" i="22"/>
  <c r="H36" i="21"/>
  <c r="S76" i="21"/>
  <c r="S78" i="21" s="1"/>
  <c r="H35" i="21"/>
  <c r="F73" i="21"/>
  <c r="F5" i="21" s="1"/>
  <c r="D73" i="21"/>
  <c r="D5" i="21" s="1"/>
  <c r="J76" i="21"/>
  <c r="J78" i="21" s="1"/>
  <c r="V4" i="21"/>
  <c r="V73" i="21"/>
  <c r="V77" i="21"/>
  <c r="M6" i="21"/>
  <c r="M15" i="21"/>
  <c r="O5" i="21"/>
  <c r="N13" i="21"/>
  <c r="L13" i="21"/>
  <c r="O9" i="21"/>
  <c r="T36" i="22"/>
  <c r="H9" i="21"/>
  <c r="H13" i="21" s="1"/>
  <c r="D37" i="13"/>
  <c r="D55" i="14"/>
  <c r="D45" i="14" s="1"/>
  <c r="D29" i="13"/>
  <c r="F29" i="13" s="1"/>
  <c r="D13" i="13"/>
  <c r="D19" i="13"/>
  <c r="D53" i="14"/>
  <c r="D43" i="14" s="1"/>
  <c r="D52" i="14"/>
  <c r="D18" i="14" s="1"/>
  <c r="C35" i="13"/>
  <c r="F35" i="13" s="1"/>
  <c r="C34" i="13"/>
  <c r="F34" i="13" s="1"/>
  <c r="F43" i="13"/>
  <c r="AX373" i="7"/>
  <c r="N76" i="21"/>
  <c r="N78" i="21" s="1"/>
  <c r="K6" i="21"/>
  <c r="R6" i="21"/>
  <c r="R15" i="21"/>
  <c r="V5" i="21"/>
  <c r="T13" i="21"/>
  <c r="K13" i="21"/>
  <c r="S15" i="21"/>
  <c r="S22" i="21" s="1"/>
  <c r="S6" i="21"/>
  <c r="N15" i="21"/>
  <c r="N22" i="21" s="1"/>
  <c r="N6" i="21"/>
  <c r="J15" i="21"/>
  <c r="J6" i="21"/>
  <c r="H77" i="21"/>
  <c r="T15" i="21"/>
  <c r="K15" i="21"/>
  <c r="J13" i="21"/>
  <c r="T6" i="21"/>
  <c r="V17" i="21"/>
  <c r="R13" i="21"/>
  <c r="M13" i="21"/>
  <c r="H17" i="21"/>
  <c r="Q13" i="21"/>
  <c r="H4" i="21"/>
  <c r="K76" i="21"/>
  <c r="K78" i="21" s="1"/>
  <c r="U6" i="21"/>
  <c r="U15" i="21"/>
  <c r="Q6" i="21"/>
  <c r="Q15" i="21"/>
  <c r="L6" i="21"/>
  <c r="L15" i="21"/>
  <c r="U76" i="21"/>
  <c r="U78" i="21" s="1"/>
  <c r="L76" i="21"/>
  <c r="L78" i="21" s="1"/>
  <c r="D31" i="22"/>
  <c r="U36" i="22"/>
  <c r="V34" i="22"/>
  <c r="U34" i="22"/>
  <c r="V35" i="22"/>
  <c r="X62" i="22"/>
  <c r="U35" i="22"/>
  <c r="T35" i="22"/>
  <c r="L27" i="22"/>
  <c r="M3" i="23"/>
  <c r="P24" i="22"/>
  <c r="C3" i="23"/>
  <c r="F24" i="22"/>
  <c r="K24" i="22"/>
  <c r="G15" i="17"/>
  <c r="C38" i="14"/>
  <c r="F38" i="14" s="1"/>
  <c r="D20" i="14"/>
  <c r="D28" i="14"/>
  <c r="C46" i="14"/>
  <c r="F46" i="14" s="1"/>
  <c r="C28" i="14"/>
  <c r="C21" i="14"/>
  <c r="AS64" i="7"/>
  <c r="AS123" i="7"/>
  <c r="AS302" i="7"/>
  <c r="D20" i="13"/>
  <c r="D44" i="13"/>
  <c r="F44" i="13" s="1"/>
  <c r="C45" i="14"/>
  <c r="F45" i="14" s="1"/>
  <c r="D36" i="13"/>
  <c r="D12" i="13"/>
  <c r="D44" i="14"/>
  <c r="C27" i="14"/>
  <c r="D12" i="14"/>
  <c r="AV302" i="7"/>
  <c r="AV182" i="7"/>
  <c r="D27" i="13"/>
  <c r="F27" i="13" s="1"/>
  <c r="D11" i="13"/>
  <c r="F15" i="13" s="1"/>
  <c r="G15" i="13" s="1"/>
  <c r="D35" i="13"/>
  <c r="D28" i="13"/>
  <c r="F28" i="13" s="1"/>
  <c r="D36" i="14"/>
  <c r="D30" i="13"/>
  <c r="F30" i="13" s="1"/>
  <c r="D26" i="13"/>
  <c r="D18" i="13"/>
  <c r="D45" i="13"/>
  <c r="F45" i="13" s="1"/>
  <c r="AV362" i="7"/>
  <c r="AV242" i="7"/>
  <c r="AT242" i="7"/>
  <c r="AT362" i="7"/>
  <c r="AS242" i="7"/>
  <c r="AT64" i="7"/>
  <c r="AS362" i="7"/>
  <c r="AS182" i="7"/>
  <c r="AT123" i="7"/>
  <c r="O295" i="7"/>
  <c r="T295" i="7"/>
  <c r="AT379" i="7"/>
  <c r="AF5" i="7"/>
  <c r="AF3" i="33" s="1"/>
  <c r="B46" i="30" s="1"/>
  <c r="AE64" i="7"/>
  <c r="AE123" i="7"/>
  <c r="AE302" i="7"/>
  <c r="AE362" i="7"/>
  <c r="I401" i="7"/>
  <c r="AT390" i="7"/>
  <c r="AC348" i="7"/>
  <c r="P348" i="7"/>
  <c r="AD295" i="7"/>
  <c r="H295" i="7"/>
  <c r="T28" i="7"/>
  <c r="T32" i="7" s="1"/>
  <c r="AF348" i="7"/>
  <c r="O348" i="7"/>
  <c r="T348" i="7"/>
  <c r="V348" i="7"/>
  <c r="M348" i="7"/>
  <c r="AX233" i="7"/>
  <c r="AE164" i="7"/>
  <c r="N164" i="7"/>
  <c r="I164" i="7"/>
  <c r="AF140" i="7"/>
  <c r="AJ401" i="7"/>
  <c r="AC401" i="7"/>
  <c r="P401" i="7"/>
  <c r="AI401" i="7"/>
  <c r="AF401" i="7"/>
  <c r="O401" i="7"/>
  <c r="AS224" i="7"/>
  <c r="AV219" i="7"/>
  <c r="AE215" i="7"/>
  <c r="AE226" i="7" s="1"/>
  <c r="N215" i="7"/>
  <c r="N226" i="7" s="1"/>
  <c r="I215" i="7"/>
  <c r="I226" i="7" s="1"/>
  <c r="AF215" i="7"/>
  <c r="AF226" i="7" s="1"/>
  <c r="O215" i="7"/>
  <c r="O226" i="7" s="1"/>
  <c r="T215" i="7"/>
  <c r="T226" i="7" s="1"/>
  <c r="AD164" i="7"/>
  <c r="M164" i="7"/>
  <c r="H164" i="7"/>
  <c r="AF94" i="7"/>
  <c r="AF118" i="7" s="1"/>
  <c r="T94" i="7"/>
  <c r="AV64" i="7"/>
  <c r="AV123" i="7"/>
  <c r="AD64" i="7"/>
  <c r="AD182" i="7"/>
  <c r="AI164" i="7"/>
  <c r="AF164" i="7"/>
  <c r="O164" i="7"/>
  <c r="T164" i="7"/>
  <c r="AI348" i="7"/>
  <c r="AD401" i="7"/>
  <c r="V401" i="7"/>
  <c r="M401" i="7"/>
  <c r="T401" i="7"/>
  <c r="AT376" i="7"/>
  <c r="AD348" i="7"/>
  <c r="H348" i="7"/>
  <c r="E156" i="1"/>
  <c r="AE295" i="7"/>
  <c r="N295" i="7"/>
  <c r="I295" i="7"/>
  <c r="AT251" i="7"/>
  <c r="AX234" i="7"/>
  <c r="AT13" i="7"/>
  <c r="AV13" i="7" s="1"/>
  <c r="AT162" i="7"/>
  <c r="AV159" i="7"/>
  <c r="AS150" i="7"/>
  <c r="AT159" i="7"/>
  <c r="H64" i="7"/>
  <c r="I5" i="7"/>
  <c r="H182" i="7"/>
  <c r="AT224" i="7"/>
  <c r="AT105" i="7"/>
  <c r="AT37" i="7"/>
  <c r="AT55" i="7" s="1"/>
  <c r="AV29" i="7"/>
  <c r="AX147" i="7"/>
  <c r="AT116" i="7"/>
  <c r="AD94" i="7"/>
  <c r="AD118" i="7" s="1"/>
  <c r="AD142" i="7" s="1"/>
  <c r="V94" i="7"/>
  <c r="V118" i="7" s="1"/>
  <c r="V142" i="7" s="1"/>
  <c r="M94" i="7"/>
  <c r="M118" i="7" s="1"/>
  <c r="M142" i="7" s="1"/>
  <c r="H94" i="7"/>
  <c r="H118" i="7" s="1"/>
  <c r="H142" i="7" s="1"/>
  <c r="C45" i="5"/>
  <c r="C44" i="5"/>
  <c r="AR134" i="33" l="1"/>
  <c r="AS134" i="33" s="1"/>
  <c r="AT134" i="33" s="1"/>
  <c r="AV134" i="33" s="1"/>
  <c r="AV251" i="7"/>
  <c r="AT253" i="7"/>
  <c r="AU253" i="7" s="1"/>
  <c r="AK201" i="33"/>
  <c r="AR201" i="33" s="1"/>
  <c r="AS311" i="7"/>
  <c r="AS316" i="7"/>
  <c r="AV140" i="7"/>
  <c r="AX140" i="7" s="1"/>
  <c r="E175" i="1"/>
  <c r="AV32" i="7"/>
  <c r="AY148" i="7"/>
  <c r="AY153" i="7"/>
  <c r="E69" i="22"/>
  <c r="C20" i="23" s="1"/>
  <c r="AR133" i="33"/>
  <c r="AS133" i="33" s="1"/>
  <c r="AT133" i="33" s="1"/>
  <c r="AV133" i="33" s="1"/>
  <c r="E65" i="22"/>
  <c r="C16" i="23" s="1"/>
  <c r="AR136" i="33"/>
  <c r="AS136" i="33" s="1"/>
  <c r="AT136" i="33" s="1"/>
  <c r="AV136" i="33" s="1"/>
  <c r="AS208" i="7"/>
  <c r="AT208" i="7" s="1"/>
  <c r="AV208" i="7" s="1"/>
  <c r="E386" i="1" s="1"/>
  <c r="AR135" i="33"/>
  <c r="AS135" i="33" s="1"/>
  <c r="AT135" i="33" s="1"/>
  <c r="AV135" i="33" s="1"/>
  <c r="AN128" i="33"/>
  <c r="AN138" i="33" s="1"/>
  <c r="AN146" i="33" s="1"/>
  <c r="AN155" i="33" s="1"/>
  <c r="AN157" i="33" s="1"/>
  <c r="AN213" i="7"/>
  <c r="AN215" i="7" s="1"/>
  <c r="AN226" i="7" s="1"/>
  <c r="AN228" i="7" s="1"/>
  <c r="AN236" i="7" s="1"/>
  <c r="AN403" i="7" s="1"/>
  <c r="AN406" i="7" s="1"/>
  <c r="AR131" i="33"/>
  <c r="AS131" i="33" s="1"/>
  <c r="AT131" i="33" s="1"/>
  <c r="AV131" i="33" s="1"/>
  <c r="AL128" i="33"/>
  <c r="AL138" i="33" s="1"/>
  <c r="AL213" i="7"/>
  <c r="AR137" i="33"/>
  <c r="AS137" i="33" s="1"/>
  <c r="AT137" i="33" s="1"/>
  <c r="AV137" i="33" s="1"/>
  <c r="AT203" i="7"/>
  <c r="AR130" i="33"/>
  <c r="AS130" i="33" s="1"/>
  <c r="AT130" i="33" s="1"/>
  <c r="AV130" i="33" s="1"/>
  <c r="AR132" i="33"/>
  <c r="AS132" i="33" s="1"/>
  <c r="AT132" i="33" s="1"/>
  <c r="AV132" i="33" s="1"/>
  <c r="AO128" i="33"/>
  <c r="AO138" i="33" s="1"/>
  <c r="AO213" i="7"/>
  <c r="AS205" i="7"/>
  <c r="AT205" i="7" s="1"/>
  <c r="AV205" i="7" s="1"/>
  <c r="E383" i="1" s="1"/>
  <c r="AK128" i="33"/>
  <c r="AK213" i="7"/>
  <c r="AR129" i="33"/>
  <c r="AS129" i="33" s="1"/>
  <c r="AT129" i="33" s="1"/>
  <c r="AV129" i="33" s="1"/>
  <c r="X202" i="33"/>
  <c r="Y202" i="33" s="1"/>
  <c r="AS202" i="33" s="1"/>
  <c r="AT202" i="33" s="1"/>
  <c r="AV202" i="33" s="1"/>
  <c r="AT312" i="7"/>
  <c r="AV312" i="7" s="1"/>
  <c r="E66" i="1" s="1"/>
  <c r="AK199" i="33"/>
  <c r="AK317" i="7"/>
  <c r="AK348" i="7" s="1"/>
  <c r="AK356" i="7" s="1"/>
  <c r="AK378" i="7" s="1"/>
  <c r="AK380" i="7" s="1"/>
  <c r="X205" i="33"/>
  <c r="Y205" i="33" s="1"/>
  <c r="AS205" i="33" s="1"/>
  <c r="AT205" i="33" s="1"/>
  <c r="AV205" i="33" s="1"/>
  <c r="AT315" i="7"/>
  <c r="AV315" i="7" s="1"/>
  <c r="E69" i="1" s="1"/>
  <c r="X200" i="33"/>
  <c r="Y200" i="33" s="1"/>
  <c r="AS200" i="33" s="1"/>
  <c r="AT200" i="33" s="1"/>
  <c r="AV200" i="33" s="1"/>
  <c r="AT310" i="7"/>
  <c r="AV310" i="7" s="1"/>
  <c r="E64" i="1" s="1"/>
  <c r="X204" i="33"/>
  <c r="Y204" i="33" s="1"/>
  <c r="AS204" i="33" s="1"/>
  <c r="AT204" i="33" s="1"/>
  <c r="AV204" i="33" s="1"/>
  <c r="AT314" i="7"/>
  <c r="AV314" i="7" s="1"/>
  <c r="E68" i="1" s="1"/>
  <c r="X201" i="33"/>
  <c r="Y201" i="33" s="1"/>
  <c r="AS201" i="33" s="1"/>
  <c r="AT201" i="33" s="1"/>
  <c r="AV201" i="33" s="1"/>
  <c r="AT311" i="7"/>
  <c r="AV311" i="7" s="1"/>
  <c r="E65" i="1" s="1"/>
  <c r="X203" i="33"/>
  <c r="Y203" i="33" s="1"/>
  <c r="AS203" i="33" s="1"/>
  <c r="AT203" i="33" s="1"/>
  <c r="AV203" i="33" s="1"/>
  <c r="AT313" i="7"/>
  <c r="AV313" i="7" s="1"/>
  <c r="E67" i="1" s="1"/>
  <c r="X206" i="33"/>
  <c r="Y206" i="33" s="1"/>
  <c r="AS206" i="33" s="1"/>
  <c r="AT206" i="33" s="1"/>
  <c r="AV206" i="33" s="1"/>
  <c r="AT316" i="7"/>
  <c r="AV316" i="7" s="1"/>
  <c r="E70" i="1" s="1"/>
  <c r="X199" i="33"/>
  <c r="Y317" i="7"/>
  <c r="Y348" i="7" s="1"/>
  <c r="Y356" i="7" s="1"/>
  <c r="Y378" i="7" s="1"/>
  <c r="Y380" i="7" s="1"/>
  <c r="AV148" i="33"/>
  <c r="AV153" i="33" s="1"/>
  <c r="AT153" i="33"/>
  <c r="D11" i="30"/>
  <c r="E251" i="33"/>
  <c r="G11" i="30"/>
  <c r="AS164" i="7"/>
  <c r="AS73" i="7"/>
  <c r="AT73" i="7" s="1"/>
  <c r="AV73" i="7" s="1"/>
  <c r="E207" i="1" s="1"/>
  <c r="AS80" i="7"/>
  <c r="AT80" i="7" s="1"/>
  <c r="AV80" i="7" s="1"/>
  <c r="E214" i="1" s="1"/>
  <c r="AS212" i="7"/>
  <c r="AT212" i="7" s="1"/>
  <c r="AV212" i="7" s="1"/>
  <c r="E390" i="1" s="1"/>
  <c r="J5" i="7"/>
  <c r="I3" i="33" s="1"/>
  <c r="B15" i="30" s="1"/>
  <c r="H3" i="33"/>
  <c r="B14" i="30" s="1"/>
  <c r="AS210" i="7"/>
  <c r="AT210" i="7" s="1"/>
  <c r="AV210" i="7" s="1"/>
  <c r="E388" i="1" s="1"/>
  <c r="AS99" i="7"/>
  <c r="AT99" i="7" s="1"/>
  <c r="AV99" i="7" s="1"/>
  <c r="E231" i="1" s="1"/>
  <c r="AS74" i="7"/>
  <c r="AT74" i="7" s="1"/>
  <c r="AV74" i="7" s="1"/>
  <c r="E208" i="1" s="1"/>
  <c r="H123" i="7"/>
  <c r="G3" i="33"/>
  <c r="B13" i="30" s="1"/>
  <c r="AS76" i="7"/>
  <c r="AT76" i="7" s="1"/>
  <c r="AV76" i="7" s="1"/>
  <c r="E210" i="1" s="1"/>
  <c r="AS72" i="7"/>
  <c r="AT72" i="7" s="1"/>
  <c r="AV72" i="7" s="1"/>
  <c r="AS84" i="7"/>
  <c r="AS107" i="7"/>
  <c r="AS206" i="7"/>
  <c r="AT206" i="7" s="1"/>
  <c r="AV206" i="7" s="1"/>
  <c r="E384" i="1" s="1"/>
  <c r="AS89" i="7"/>
  <c r="AT89" i="7" s="1"/>
  <c r="AV89" i="7" s="1"/>
  <c r="E222" i="1" s="1"/>
  <c r="AS75" i="7"/>
  <c r="AS85" i="7"/>
  <c r="AT85" i="7" s="1"/>
  <c r="AV85" i="7" s="1"/>
  <c r="AS77" i="7"/>
  <c r="AT77" i="7" s="1"/>
  <c r="AV77" i="7" s="1"/>
  <c r="E211" i="1" s="1"/>
  <c r="AS91" i="7"/>
  <c r="AT91" i="7" s="1"/>
  <c r="AV91" i="7" s="1"/>
  <c r="E224" i="1" s="1"/>
  <c r="AS209" i="7"/>
  <c r="AT209" i="7" s="1"/>
  <c r="AV209" i="7" s="1"/>
  <c r="E387" i="1" s="1"/>
  <c r="AS211" i="7"/>
  <c r="AT211" i="7" s="1"/>
  <c r="AS101" i="7"/>
  <c r="AT101" i="7" s="1"/>
  <c r="AV101" i="7" s="1"/>
  <c r="E233" i="1" s="1"/>
  <c r="AS90" i="7"/>
  <c r="AT90" i="7" s="1"/>
  <c r="AV90" i="7" s="1"/>
  <c r="E223" i="1" s="1"/>
  <c r="AS87" i="7"/>
  <c r="AT87" i="7" s="1"/>
  <c r="AV87" i="7" s="1"/>
  <c r="E220" i="1" s="1"/>
  <c r="AS204" i="7"/>
  <c r="AT204" i="7" s="1"/>
  <c r="AS207" i="7"/>
  <c r="AT207" i="7" s="1"/>
  <c r="AV207" i="7" s="1"/>
  <c r="E385" i="1" s="1"/>
  <c r="AS79" i="7"/>
  <c r="AT79" i="7" s="1"/>
  <c r="AV79" i="7" s="1"/>
  <c r="E213" i="1" s="1"/>
  <c r="AS100" i="7"/>
  <c r="AT100" i="7" s="1"/>
  <c r="AV100" i="7" s="1"/>
  <c r="E232" i="1" s="1"/>
  <c r="C69" i="4" s="1"/>
  <c r="AS86" i="7"/>
  <c r="AT86" i="7" s="1"/>
  <c r="AV86" i="7" s="1"/>
  <c r="E219" i="1" s="1"/>
  <c r="AS98" i="7"/>
  <c r="AT98" i="7" s="1"/>
  <c r="AV98" i="7" s="1"/>
  <c r="E230" i="1" s="1"/>
  <c r="AS88" i="7"/>
  <c r="AT88" i="7" s="1"/>
  <c r="AV88" i="7" s="1"/>
  <c r="E221" i="1" s="1"/>
  <c r="AS108" i="7"/>
  <c r="AT108" i="7" s="1"/>
  <c r="AV108" i="7" s="1"/>
  <c r="E241" i="1" s="1"/>
  <c r="AV173" i="7"/>
  <c r="E359" i="1" s="1"/>
  <c r="K46" i="22"/>
  <c r="K45" i="22"/>
  <c r="K47" i="22"/>
  <c r="L46" i="22"/>
  <c r="L45" i="22"/>
  <c r="L47" i="22"/>
  <c r="E200" i="1"/>
  <c r="E201" i="1" s="1"/>
  <c r="E202" i="1" s="1"/>
  <c r="G45" i="22"/>
  <c r="G47" i="22"/>
  <c r="G46" i="22"/>
  <c r="E415" i="1"/>
  <c r="N51" i="22"/>
  <c r="AI213" i="7"/>
  <c r="J123" i="7"/>
  <c r="J182" i="7"/>
  <c r="J64" i="7"/>
  <c r="J242" i="7"/>
  <c r="J302" i="7"/>
  <c r="J362" i="7"/>
  <c r="AT289" i="7"/>
  <c r="AV289" i="7" s="1"/>
  <c r="E52" i="1" s="1"/>
  <c r="AT290" i="7"/>
  <c r="AV290" i="7" s="1"/>
  <c r="E53" i="1" s="1"/>
  <c r="AT285" i="7"/>
  <c r="AV285" i="7" s="1"/>
  <c r="E48" i="1" s="1"/>
  <c r="E110" i="1"/>
  <c r="AV172" i="7"/>
  <c r="E358" i="1" s="1"/>
  <c r="AV164" i="7"/>
  <c r="AT292" i="7"/>
  <c r="AV292" i="7" s="1"/>
  <c r="E55" i="1" s="1"/>
  <c r="AT287" i="7"/>
  <c r="AV287" i="7" s="1"/>
  <c r="E50" i="1" s="1"/>
  <c r="AT288" i="7"/>
  <c r="AV288" i="7" s="1"/>
  <c r="E51" i="1" s="1"/>
  <c r="AT284" i="7"/>
  <c r="AV284" i="7" s="1"/>
  <c r="E47" i="1" s="1"/>
  <c r="E18" i="1"/>
  <c r="AE109" i="7"/>
  <c r="AE102" i="7"/>
  <c r="AE81" i="7"/>
  <c r="AE92" i="7"/>
  <c r="F51" i="22"/>
  <c r="K49" i="22"/>
  <c r="P46" i="22"/>
  <c r="P47" i="22"/>
  <c r="P45" i="22"/>
  <c r="Q27" i="22"/>
  <c r="T27" i="22"/>
  <c r="E313" i="1"/>
  <c r="AT168" i="7"/>
  <c r="AT291" i="7"/>
  <c r="AV291" i="7" s="1"/>
  <c r="E54" i="1" s="1"/>
  <c r="AT286" i="7"/>
  <c r="AT340" i="7"/>
  <c r="AV340" i="7" s="1"/>
  <c r="E96" i="1" s="1"/>
  <c r="AT344" i="7"/>
  <c r="AV344" i="7" s="1"/>
  <c r="E100" i="1" s="1"/>
  <c r="AJ213" i="7"/>
  <c r="AT283" i="7"/>
  <c r="AV283" i="7" s="1"/>
  <c r="AJ293" i="7"/>
  <c r="AX116" i="7"/>
  <c r="E246" i="1"/>
  <c r="E249" i="1" s="1"/>
  <c r="S249" i="1" s="1"/>
  <c r="E257" i="1"/>
  <c r="L20" i="11"/>
  <c r="G19" i="17"/>
  <c r="G25" i="17" s="1"/>
  <c r="AC356" i="7"/>
  <c r="AC378" i="7" s="1"/>
  <c r="AC380" i="7" s="1"/>
  <c r="G356" i="7"/>
  <c r="G378" i="7" s="1"/>
  <c r="G380" i="7" s="1"/>
  <c r="AD356" i="7"/>
  <c r="AD378" i="7" s="1"/>
  <c r="AD380" i="7" s="1"/>
  <c r="F118" i="7"/>
  <c r="F142" i="7" s="1"/>
  <c r="AF123" i="7"/>
  <c r="AX231" i="7"/>
  <c r="AX232" i="7"/>
  <c r="D21" i="14"/>
  <c r="D11" i="14"/>
  <c r="AF356" i="7"/>
  <c r="AF378" i="7" s="1"/>
  <c r="AF380" i="7" s="1"/>
  <c r="AE356" i="7"/>
  <c r="AE378" i="7" s="1"/>
  <c r="AE380" i="7" s="1"/>
  <c r="H228" i="7"/>
  <c r="H236" i="7" s="1"/>
  <c r="H403" i="7" s="1"/>
  <c r="H406" i="7" s="1"/>
  <c r="N356" i="7"/>
  <c r="N378" i="7" s="1"/>
  <c r="N380" i="7" s="1"/>
  <c r="M356" i="7"/>
  <c r="M378" i="7" s="1"/>
  <c r="M380" i="7" s="1"/>
  <c r="P356" i="7"/>
  <c r="P378" i="7" s="1"/>
  <c r="P380" i="7" s="1"/>
  <c r="V356" i="7"/>
  <c r="V378" i="7" s="1"/>
  <c r="V380" i="7" s="1"/>
  <c r="D22" i="14"/>
  <c r="D20" i="11"/>
  <c r="J48" i="22"/>
  <c r="L26" i="22"/>
  <c r="I51" i="22"/>
  <c r="T76" i="21"/>
  <c r="T78" i="21" s="1"/>
  <c r="R76" i="21"/>
  <c r="R78" i="21" s="1"/>
  <c r="S23" i="21"/>
  <c r="T43" i="22"/>
  <c r="D30" i="14"/>
  <c r="F30" i="14" s="1"/>
  <c r="D42" i="14"/>
  <c r="D10" i="14"/>
  <c r="D29" i="14"/>
  <c r="F29" i="14" s="1"/>
  <c r="D37" i="14"/>
  <c r="D27" i="14"/>
  <c r="F27" i="14" s="1"/>
  <c r="D35" i="14"/>
  <c r="D34" i="14"/>
  <c r="D13" i="14"/>
  <c r="D19" i="14"/>
  <c r="D26" i="14"/>
  <c r="F26" i="14" s="1"/>
  <c r="D14" i="14"/>
  <c r="AD228" i="7"/>
  <c r="AD236" i="7" s="1"/>
  <c r="AD403" i="7" s="1"/>
  <c r="AD406" i="7" s="1"/>
  <c r="D46" i="14"/>
  <c r="J42" i="22"/>
  <c r="O48" i="22"/>
  <c r="T118" i="7"/>
  <c r="T142" i="7" s="1"/>
  <c r="T228" i="7" s="1"/>
  <c r="T236" i="7" s="1"/>
  <c r="T403" i="7" s="1"/>
  <c r="T406" i="7" s="1"/>
  <c r="O356" i="7"/>
  <c r="O378" i="7" s="1"/>
  <c r="O380" i="7" s="1"/>
  <c r="I228" i="7"/>
  <c r="I236" i="7" s="1"/>
  <c r="I403" i="7" s="1"/>
  <c r="I406" i="7" s="1"/>
  <c r="I356" i="7"/>
  <c r="I378" i="7" s="1"/>
  <c r="I380" i="7" s="1"/>
  <c r="AI356" i="7"/>
  <c r="AI378" i="7" s="1"/>
  <c r="AI380" i="7" s="1"/>
  <c r="F20" i="11"/>
  <c r="F15" i="3" s="1"/>
  <c r="J17" i="11"/>
  <c r="J18" i="11" s="1"/>
  <c r="J20" i="11" s="1"/>
  <c r="H18" i="11"/>
  <c r="H20" i="11" s="1"/>
  <c r="O228" i="7"/>
  <c r="O236" i="7" s="1"/>
  <c r="O403" i="7" s="1"/>
  <c r="O406" i="7" s="1"/>
  <c r="V228" i="7"/>
  <c r="V236" i="7" s="1"/>
  <c r="V403" i="7" s="1"/>
  <c r="V406" i="7" s="1"/>
  <c r="M228" i="7"/>
  <c r="M236" i="7" s="1"/>
  <c r="M403" i="7" s="1"/>
  <c r="AC228" i="7"/>
  <c r="AC236" i="7" s="1"/>
  <c r="AC403" i="7" s="1"/>
  <c r="AC406" i="7" s="1"/>
  <c r="H356" i="7"/>
  <c r="H378" i="7" s="1"/>
  <c r="H380" i="7" s="1"/>
  <c r="AX367" i="7"/>
  <c r="E119" i="1"/>
  <c r="E138" i="1" s="1"/>
  <c r="AV224" i="7"/>
  <c r="AX224" i="7" s="1"/>
  <c r="E398" i="1"/>
  <c r="E402" i="1" s="1"/>
  <c r="D76" i="21"/>
  <c r="E68" i="22" s="1"/>
  <c r="J51" i="22"/>
  <c r="K51" i="22"/>
  <c r="V43" i="22"/>
  <c r="E73" i="21"/>
  <c r="E5" i="21" s="1"/>
  <c r="E6" i="21" s="1"/>
  <c r="F15" i="21"/>
  <c r="F22" i="21" s="1"/>
  <c r="F23" i="21" s="1"/>
  <c r="F6" i="21"/>
  <c r="D6" i="21"/>
  <c r="D15" i="21"/>
  <c r="D22" i="21" s="1"/>
  <c r="D23" i="21" s="1"/>
  <c r="E54" i="22" s="1"/>
  <c r="G76" i="21"/>
  <c r="G78" i="21" s="1"/>
  <c r="G73" i="21"/>
  <c r="G5" i="21" s="1"/>
  <c r="F76" i="21"/>
  <c r="F78" i="21" s="1"/>
  <c r="E76" i="21"/>
  <c r="E78" i="21" s="1"/>
  <c r="H76" i="21"/>
  <c r="C15" i="21"/>
  <c r="N23" i="21"/>
  <c r="M22" i="21"/>
  <c r="M23" i="21" s="1"/>
  <c r="O6" i="21"/>
  <c r="V6" i="21"/>
  <c r="U37" i="22"/>
  <c r="T40" i="22"/>
  <c r="E322" i="7"/>
  <c r="E189" i="7"/>
  <c r="F28" i="14"/>
  <c r="L22" i="21"/>
  <c r="L23" i="21" s="1"/>
  <c r="U22" i="21"/>
  <c r="U23" i="21" s="1"/>
  <c r="T22" i="21"/>
  <c r="T23" i="21" s="1"/>
  <c r="F23" i="13"/>
  <c r="G23" i="13" s="1"/>
  <c r="I3" i="23"/>
  <c r="L24" i="22"/>
  <c r="L2" i="21"/>
  <c r="N3" i="23"/>
  <c r="Q24" i="22"/>
  <c r="S2" i="21"/>
  <c r="Q51" i="22"/>
  <c r="V15" i="21"/>
  <c r="Q22" i="21"/>
  <c r="Q23" i="21" s="1"/>
  <c r="R22" i="21"/>
  <c r="R23" i="21" s="1"/>
  <c r="Q76" i="21"/>
  <c r="Q78" i="21" s="1"/>
  <c r="K22" i="21"/>
  <c r="K23" i="21" s="1"/>
  <c r="U40" i="22"/>
  <c r="D3" i="23"/>
  <c r="G24" i="22"/>
  <c r="E2" i="21"/>
  <c r="M27" i="22"/>
  <c r="O15" i="21"/>
  <c r="J22" i="21"/>
  <c r="C76" i="21"/>
  <c r="V41" i="22"/>
  <c r="O51" i="22"/>
  <c r="U43" i="22"/>
  <c r="V37" i="22"/>
  <c r="T37" i="22"/>
  <c r="V11" i="21"/>
  <c r="V13" i="21" s="1"/>
  <c r="M76" i="21"/>
  <c r="M78" i="21" s="1"/>
  <c r="O11" i="21"/>
  <c r="O13" i="21" s="1"/>
  <c r="F25" i="17"/>
  <c r="F31" i="13"/>
  <c r="G31" i="13" s="1"/>
  <c r="F47" i="13"/>
  <c r="G47" i="13" s="1"/>
  <c r="AF182" i="7"/>
  <c r="AF242" i="7"/>
  <c r="AF302" i="7"/>
  <c r="AF362" i="7"/>
  <c r="AF64" i="7"/>
  <c r="N228" i="7"/>
  <c r="N236" i="7" s="1"/>
  <c r="N403" i="7" s="1"/>
  <c r="N406" i="7" s="1"/>
  <c r="P228" i="7"/>
  <c r="P236" i="7" s="1"/>
  <c r="P403" i="7" s="1"/>
  <c r="P406" i="7" s="1"/>
  <c r="AT28" i="7"/>
  <c r="AT32" i="7" s="1"/>
  <c r="AF142" i="7"/>
  <c r="AF228" i="7" s="1"/>
  <c r="AF236" i="7" s="1"/>
  <c r="AF403" i="7" s="1"/>
  <c r="AF406" i="7" s="1"/>
  <c r="T356" i="7"/>
  <c r="T378" i="7" s="1"/>
  <c r="T380" i="7" s="1"/>
  <c r="G228" i="7"/>
  <c r="G236" i="7" s="1"/>
  <c r="G403" i="7" s="1"/>
  <c r="G406" i="7" s="1"/>
  <c r="I123" i="7"/>
  <c r="I64" i="7"/>
  <c r="I242" i="7"/>
  <c r="I182" i="7"/>
  <c r="I302" i="7"/>
  <c r="I362" i="7"/>
  <c r="E346" i="1"/>
  <c r="AT150" i="7"/>
  <c r="AT393" i="7"/>
  <c r="AV105" i="7"/>
  <c r="AV70" i="7"/>
  <c r="E11" i="1" l="1"/>
  <c r="E13" i="1" s="1"/>
  <c r="AV253" i="7"/>
  <c r="AX253" i="7" s="1"/>
  <c r="AY253" i="7" s="1"/>
  <c r="G15" i="30"/>
  <c r="E178" i="1"/>
  <c r="T178" i="1"/>
  <c r="T249" i="1"/>
  <c r="E128" i="1"/>
  <c r="H73" i="21"/>
  <c r="D78" i="21"/>
  <c r="E70" i="22"/>
  <c r="C8" i="23"/>
  <c r="E57" i="22"/>
  <c r="C78" i="21"/>
  <c r="H23" i="13"/>
  <c r="H15" i="13"/>
  <c r="E16" i="3" s="1"/>
  <c r="J253" i="33"/>
  <c r="L253" i="33"/>
  <c r="N253" i="33"/>
  <c r="AJ253" i="33"/>
  <c r="AP253" i="33"/>
  <c r="W253" i="33"/>
  <c r="Z253" i="33"/>
  <c r="AH253" i="33"/>
  <c r="AT213" i="7"/>
  <c r="AU213" i="7" s="1"/>
  <c r="AK138" i="33"/>
  <c r="AR128" i="33"/>
  <c r="Q253" i="33"/>
  <c r="AN251" i="33"/>
  <c r="F54" i="30" s="1"/>
  <c r="D54" i="30"/>
  <c r="G54" i="30" s="1"/>
  <c r="S253" i="33"/>
  <c r="AS213" i="7"/>
  <c r="AV211" i="7"/>
  <c r="E389" i="1" s="1"/>
  <c r="AE253" i="33"/>
  <c r="O253" i="33"/>
  <c r="AF253" i="33"/>
  <c r="AU253" i="33"/>
  <c r="F253" i="33"/>
  <c r="AC253" i="33"/>
  <c r="Y199" i="33"/>
  <c r="X207" i="33"/>
  <c r="AR199" i="33"/>
  <c r="AR207" i="33" s="1"/>
  <c r="AR237" i="33" s="1"/>
  <c r="AR249" i="33" s="1"/>
  <c r="AK207" i="33"/>
  <c r="AK237" i="33" s="1"/>
  <c r="AK249" i="33" s="1"/>
  <c r="R253" i="33"/>
  <c r="AN253" i="33"/>
  <c r="AB253" i="33"/>
  <c r="H253" i="33"/>
  <c r="P253" i="33"/>
  <c r="AD253" i="33"/>
  <c r="G253" i="33"/>
  <c r="T253" i="33"/>
  <c r="AG253" i="33"/>
  <c r="M253" i="33"/>
  <c r="AI253" i="33"/>
  <c r="I253" i="33"/>
  <c r="V253" i="33"/>
  <c r="AQ253" i="33"/>
  <c r="K253" i="33"/>
  <c r="U253" i="33"/>
  <c r="F11" i="30"/>
  <c r="AA253" i="33"/>
  <c r="G46" i="30"/>
  <c r="G26" i="30"/>
  <c r="G14" i="30"/>
  <c r="G23" i="30"/>
  <c r="G27" i="30"/>
  <c r="G44" i="30"/>
  <c r="G41" i="30"/>
  <c r="G20" i="30"/>
  <c r="G49" i="30"/>
  <c r="G13" i="30"/>
  <c r="G28" i="30"/>
  <c r="G17" i="30"/>
  <c r="G21" i="30"/>
  <c r="G47" i="30"/>
  <c r="G18" i="30"/>
  <c r="G56" i="30"/>
  <c r="G29" i="30"/>
  <c r="G16" i="30"/>
  <c r="G42" i="30"/>
  <c r="G57" i="30"/>
  <c r="G24" i="30"/>
  <c r="G45" i="30"/>
  <c r="G19" i="30"/>
  <c r="G12" i="30"/>
  <c r="G22" i="30"/>
  <c r="G25" i="30"/>
  <c r="G43" i="30"/>
  <c r="G50" i="30"/>
  <c r="G48" i="30"/>
  <c r="G40" i="30"/>
  <c r="AS81" i="7"/>
  <c r="AS109" i="7"/>
  <c r="AS92" i="7"/>
  <c r="AS102" i="7"/>
  <c r="AT107" i="7"/>
  <c r="AV107" i="7" s="1"/>
  <c r="E240" i="1" s="1"/>
  <c r="AT84" i="7"/>
  <c r="AV84" i="7" s="1"/>
  <c r="E218" i="1" s="1"/>
  <c r="AT75" i="7"/>
  <c r="AV75" i="7" s="1"/>
  <c r="E209" i="1" s="1"/>
  <c r="E350" i="1"/>
  <c r="E351" i="1" s="1"/>
  <c r="P48" i="22"/>
  <c r="K48" i="22"/>
  <c r="H46" i="22"/>
  <c r="H47" i="22"/>
  <c r="H45" i="22"/>
  <c r="M45" i="22"/>
  <c r="M47" i="22"/>
  <c r="U47" i="22" s="1"/>
  <c r="M46" i="22"/>
  <c r="U46" i="22" s="1"/>
  <c r="G49" i="22"/>
  <c r="U27" i="22"/>
  <c r="AX32" i="7"/>
  <c r="E340" i="1"/>
  <c r="AV286" i="7"/>
  <c r="E49" i="1" s="1"/>
  <c r="AT106" i="7"/>
  <c r="AT97" i="7"/>
  <c r="AT71" i="7"/>
  <c r="AE94" i="7"/>
  <c r="AE118" i="7" s="1"/>
  <c r="AE142" i="7" s="1"/>
  <c r="AE228" i="7" s="1"/>
  <c r="AE236" i="7" s="1"/>
  <c r="AE403" i="7" s="1"/>
  <c r="AE406" i="7" s="1"/>
  <c r="L49" i="22"/>
  <c r="L51" i="22" s="1"/>
  <c r="R27" i="22"/>
  <c r="Q45" i="22"/>
  <c r="Q46" i="22"/>
  <c r="Q47" i="22"/>
  <c r="T26" i="22"/>
  <c r="AT317" i="7"/>
  <c r="AS317" i="7"/>
  <c r="AV204" i="7"/>
  <c r="E382" i="1" s="1"/>
  <c r="AT342" i="7"/>
  <c r="AV342" i="7" s="1"/>
  <c r="E98" i="1" s="1"/>
  <c r="AT338" i="7"/>
  <c r="AV338" i="7" s="1"/>
  <c r="E94" i="1" s="1"/>
  <c r="AT337" i="7"/>
  <c r="AT345" i="7"/>
  <c r="AV345" i="7" s="1"/>
  <c r="E101" i="1" s="1"/>
  <c r="AT343" i="7"/>
  <c r="AV343" i="7" s="1"/>
  <c r="E99" i="1" s="1"/>
  <c r="AT341" i="7"/>
  <c r="AV341" i="7" s="1"/>
  <c r="E97" i="1" s="1"/>
  <c r="AT339" i="7"/>
  <c r="AV339" i="7" s="1"/>
  <c r="AT256" i="7"/>
  <c r="AS264" i="7"/>
  <c r="AS293" i="7"/>
  <c r="AJ346" i="7"/>
  <c r="M26" i="22"/>
  <c r="U26" i="22" s="1"/>
  <c r="G24" i="17"/>
  <c r="D24" i="17" s="1"/>
  <c r="D19" i="17"/>
  <c r="M19" i="17" s="1"/>
  <c r="AJ182" i="7"/>
  <c r="AJ302" i="7"/>
  <c r="AJ64" i="7"/>
  <c r="AJ123" i="7"/>
  <c r="AJ242" i="7"/>
  <c r="AJ362" i="7"/>
  <c r="F39" i="13"/>
  <c r="G39" i="13" s="1"/>
  <c r="M406" i="7"/>
  <c r="T45" i="22"/>
  <c r="T46" i="22"/>
  <c r="T47" i="22"/>
  <c r="K42" i="22"/>
  <c r="F42" i="22"/>
  <c r="G48" i="22"/>
  <c r="G51" i="22"/>
  <c r="F39" i="14"/>
  <c r="G39" i="14" s="1"/>
  <c r="F23" i="14"/>
  <c r="G23" i="14" s="1"/>
  <c r="F15" i="14"/>
  <c r="G15" i="14" s="1"/>
  <c r="E18" i="3" s="1"/>
  <c r="E15" i="21"/>
  <c r="E22" i="21" s="1"/>
  <c r="E23" i="21" s="1"/>
  <c r="E237" i="1"/>
  <c r="E205" i="1"/>
  <c r="F31" i="22"/>
  <c r="O76" i="21"/>
  <c r="O78" i="21" s="1"/>
  <c r="H5" i="21"/>
  <c r="G15" i="21"/>
  <c r="G22" i="21" s="1"/>
  <c r="G23" i="21" s="1"/>
  <c r="G6" i="21"/>
  <c r="E323" i="7"/>
  <c r="F323" i="7" s="1"/>
  <c r="E190" i="7"/>
  <c r="F190" i="7" s="1"/>
  <c r="G31" i="14"/>
  <c r="V76" i="21"/>
  <c r="V78" i="21" s="1"/>
  <c r="O22" i="21"/>
  <c r="H47" i="13"/>
  <c r="R51" i="22"/>
  <c r="V49" i="22"/>
  <c r="V51" i="22" s="1"/>
  <c r="C43" i="23"/>
  <c r="C48" i="23"/>
  <c r="C47" i="23"/>
  <c r="L48" i="22"/>
  <c r="V39" i="22"/>
  <c r="V42" i="22" s="1"/>
  <c r="B16" i="23"/>
  <c r="J3" i="23"/>
  <c r="M24" i="22"/>
  <c r="M2" i="21"/>
  <c r="J23" i="21"/>
  <c r="O3" i="23"/>
  <c r="R24" i="22"/>
  <c r="T2" i="21"/>
  <c r="E3" i="23"/>
  <c r="H24" i="22"/>
  <c r="F2" i="21"/>
  <c r="B20" i="23"/>
  <c r="V27" i="22"/>
  <c r="V22" i="21"/>
  <c r="D25" i="17"/>
  <c r="F47" i="14"/>
  <c r="G47" i="14" s="1"/>
  <c r="H31" i="13"/>
  <c r="AV393" i="7"/>
  <c r="AT164" i="7"/>
  <c r="AS176" i="7"/>
  <c r="AS199" i="33" l="1"/>
  <c r="E423" i="1"/>
  <c r="H78" i="21"/>
  <c r="E63" i="22"/>
  <c r="E66" i="22" s="1"/>
  <c r="E72" i="22" s="1"/>
  <c r="H39" i="13"/>
  <c r="H23" i="14"/>
  <c r="AV337" i="7"/>
  <c r="E93" i="1" s="1"/>
  <c r="AT346" i="7"/>
  <c r="AS128" i="33"/>
  <c r="AR138" i="33"/>
  <c r="AK252" i="33"/>
  <c r="E51" i="30"/>
  <c r="E59" i="30" s="1"/>
  <c r="Y207" i="33"/>
  <c r="X237" i="33"/>
  <c r="AS207" i="33"/>
  <c r="AS237" i="33" s="1"/>
  <c r="AS249" i="33" s="1"/>
  <c r="AT199" i="33"/>
  <c r="AS94" i="7"/>
  <c r="AS118" i="7" s="1"/>
  <c r="AS142" i="7" s="1"/>
  <c r="AT81" i="7"/>
  <c r="H49" i="22"/>
  <c r="E27" i="17"/>
  <c r="R177" i="1" s="1"/>
  <c r="AS274" i="7"/>
  <c r="AS278" i="7"/>
  <c r="AS271" i="7"/>
  <c r="AS275" i="7"/>
  <c r="AS279" i="7"/>
  <c r="AS268" i="7"/>
  <c r="AS272" i="7"/>
  <c r="AS276" i="7"/>
  <c r="AS269" i="7"/>
  <c r="AS273" i="7"/>
  <c r="AS277" i="7"/>
  <c r="AS267" i="7"/>
  <c r="AS270" i="7"/>
  <c r="E95" i="1"/>
  <c r="AV309" i="7"/>
  <c r="AV106" i="7"/>
  <c r="AT109" i="7"/>
  <c r="AV97" i="7"/>
  <c r="AT102" i="7"/>
  <c r="AT92" i="7"/>
  <c r="AV83" i="7"/>
  <c r="E216" i="1" s="1"/>
  <c r="AV71" i="7"/>
  <c r="L42" i="22"/>
  <c r="M49" i="22"/>
  <c r="M51" i="22" s="1"/>
  <c r="U39" i="22"/>
  <c r="M42" i="22"/>
  <c r="Q48" i="22"/>
  <c r="R45" i="22"/>
  <c r="V45" i="22" s="1"/>
  <c r="R46" i="22"/>
  <c r="V46" i="22" s="1"/>
  <c r="R47" i="22"/>
  <c r="V47" i="22" s="1"/>
  <c r="AX164" i="7"/>
  <c r="AT264" i="7"/>
  <c r="AV256" i="7"/>
  <c r="AT293" i="7"/>
  <c r="AS346" i="7"/>
  <c r="F333" i="7"/>
  <c r="F295" i="7"/>
  <c r="E28" i="17"/>
  <c r="S177" i="1" s="1"/>
  <c r="AK362" i="7"/>
  <c r="AK302" i="7"/>
  <c r="AK242" i="7"/>
  <c r="AK64" i="7"/>
  <c r="AK123" i="7"/>
  <c r="AK182" i="7"/>
  <c r="AI242" i="7"/>
  <c r="AI182" i="7"/>
  <c r="AI362" i="7"/>
  <c r="AI302" i="7"/>
  <c r="AI123" i="7"/>
  <c r="AI64" i="7"/>
  <c r="H39" i="14"/>
  <c r="H47" i="14"/>
  <c r="T39" i="22"/>
  <c r="T41" i="22"/>
  <c r="H51" i="22"/>
  <c r="H48" i="22"/>
  <c r="G42" i="22"/>
  <c r="F54" i="22"/>
  <c r="F57" i="22" s="1"/>
  <c r="F65" i="22"/>
  <c r="D16" i="23" s="1"/>
  <c r="F69" i="22"/>
  <c r="D20" i="23" s="1"/>
  <c r="H31" i="14"/>
  <c r="C19" i="23"/>
  <c r="C21" i="23" s="1"/>
  <c r="F68" i="22"/>
  <c r="D19" i="23" s="1"/>
  <c r="O79" i="21"/>
  <c r="V79" i="21"/>
  <c r="C22" i="21"/>
  <c r="C23" i="21" s="1"/>
  <c r="H15" i="21"/>
  <c r="H6" i="21"/>
  <c r="C9" i="23"/>
  <c r="O23" i="21"/>
  <c r="C10" i="23"/>
  <c r="F3" i="23"/>
  <c r="G2" i="21"/>
  <c r="H31" i="22" s="1"/>
  <c r="T48" i="22"/>
  <c r="B46" i="23"/>
  <c r="B48" i="23"/>
  <c r="M48" i="22"/>
  <c r="U45" i="22"/>
  <c r="U48" i="22" s="1"/>
  <c r="B19" i="23"/>
  <c r="V23" i="21"/>
  <c r="B47" i="23"/>
  <c r="B43" i="23"/>
  <c r="G31" i="22"/>
  <c r="P3" i="23"/>
  <c r="U2" i="21"/>
  <c r="K3" i="23"/>
  <c r="N2" i="21"/>
  <c r="C46" i="23"/>
  <c r="C49" i="23" s="1"/>
  <c r="AV203" i="7"/>
  <c r="AV213" i="7" s="1"/>
  <c r="AV168" i="7"/>
  <c r="AV176" i="7" s="1"/>
  <c r="AT176" i="7"/>
  <c r="E225" i="1" l="1"/>
  <c r="D57" i="22"/>
  <c r="AV317" i="7"/>
  <c r="AX317" i="7" s="1"/>
  <c r="AS138" i="33"/>
  <c r="AT128" i="33"/>
  <c r="AV199" i="33"/>
  <c r="AV207" i="33" s="1"/>
  <c r="AV237" i="33" s="1"/>
  <c r="AV249" i="33" s="1"/>
  <c r="AT207" i="33"/>
  <c r="AT237" i="33" s="1"/>
  <c r="AT249" i="33" s="1"/>
  <c r="X249" i="33"/>
  <c r="Y237" i="33"/>
  <c r="U41" i="22"/>
  <c r="U42" i="22" s="1"/>
  <c r="F348" i="7"/>
  <c r="E63" i="1"/>
  <c r="E238" i="1"/>
  <c r="E242" i="1" s="1"/>
  <c r="T242" i="1" s="1"/>
  <c r="AV109" i="7"/>
  <c r="AX109" i="7" s="1"/>
  <c r="AV102" i="7"/>
  <c r="AX102" i="7" s="1"/>
  <c r="E229" i="1"/>
  <c r="AT94" i="7"/>
  <c r="E206" i="1"/>
  <c r="AV94" i="7"/>
  <c r="U49" i="22"/>
  <c r="U51" i="22" s="1"/>
  <c r="R48" i="22"/>
  <c r="V48" i="22"/>
  <c r="AV264" i="7"/>
  <c r="AX264" i="7" s="1"/>
  <c r="E16" i="1"/>
  <c r="E134" i="1" s="1"/>
  <c r="AV293" i="7"/>
  <c r="E46" i="1"/>
  <c r="AV336" i="7"/>
  <c r="AV346" i="7" s="1"/>
  <c r="AT275" i="7"/>
  <c r="AV275" i="7" s="1"/>
  <c r="E36" i="1" s="1"/>
  <c r="AT279" i="7"/>
  <c r="AV279" i="7" s="1"/>
  <c r="E40" i="1" s="1"/>
  <c r="AT269" i="7"/>
  <c r="AV269" i="7" s="1"/>
  <c r="AT274" i="7"/>
  <c r="AV274" i="7" s="1"/>
  <c r="E35" i="1" s="1"/>
  <c r="AT277" i="7"/>
  <c r="AV277" i="7" s="1"/>
  <c r="E38" i="1" s="1"/>
  <c r="AT273" i="7"/>
  <c r="AV273" i="7" s="1"/>
  <c r="E34" i="1" s="1"/>
  <c r="AT268" i="7"/>
  <c r="AV268" i="7" s="1"/>
  <c r="E28" i="1" s="1"/>
  <c r="AT271" i="7"/>
  <c r="AV271" i="7" s="1"/>
  <c r="E32" i="1" s="1"/>
  <c r="AT267" i="7"/>
  <c r="AV267" i="7" s="1"/>
  <c r="E27" i="1" s="1"/>
  <c r="AJ280" i="7"/>
  <c r="AJ295" i="7" s="1"/>
  <c r="AT272" i="7"/>
  <c r="AV272" i="7" s="1"/>
  <c r="E33" i="1" s="1"/>
  <c r="AT270" i="7"/>
  <c r="AT276" i="7"/>
  <c r="AV276" i="7" s="1"/>
  <c r="E37" i="1" s="1"/>
  <c r="AT278" i="7"/>
  <c r="AV278" i="7" s="1"/>
  <c r="E39" i="1" s="1"/>
  <c r="T42" i="22"/>
  <c r="T49" i="22"/>
  <c r="T51" i="22" s="1"/>
  <c r="H42" i="22"/>
  <c r="D47" i="23"/>
  <c r="D10" i="23"/>
  <c r="D9" i="23"/>
  <c r="F70" i="22"/>
  <c r="D21" i="23"/>
  <c r="D46" i="23"/>
  <c r="D48" i="23"/>
  <c r="D43" i="23"/>
  <c r="K31" i="22"/>
  <c r="K54" i="22" s="1"/>
  <c r="I31" i="22"/>
  <c r="AX213" i="7"/>
  <c r="E381" i="1"/>
  <c r="AX176" i="7"/>
  <c r="E354" i="1"/>
  <c r="G68" i="22"/>
  <c r="G65" i="22"/>
  <c r="G69" i="22"/>
  <c r="G54" i="22"/>
  <c r="H69" i="22"/>
  <c r="F20" i="23" s="1"/>
  <c r="H54" i="22"/>
  <c r="H68" i="22"/>
  <c r="H65" i="22"/>
  <c r="F16" i="23" s="1"/>
  <c r="H22" i="21"/>
  <c r="H79" i="21" s="1"/>
  <c r="C39" i="23"/>
  <c r="C40" i="23"/>
  <c r="AA76" i="1"/>
  <c r="AA367" i="1"/>
  <c r="C11" i="23"/>
  <c r="C17" i="23" s="1"/>
  <c r="C23" i="23" s="1"/>
  <c r="J31" i="22"/>
  <c r="F200" i="7"/>
  <c r="R31" i="22"/>
  <c r="M31" i="22"/>
  <c r="B49" i="23"/>
  <c r="P31" i="22"/>
  <c r="L31" i="22"/>
  <c r="O31" i="22"/>
  <c r="Q31" i="22"/>
  <c r="N31" i="22"/>
  <c r="N54" i="22" s="1"/>
  <c r="N60" i="22" s="1"/>
  <c r="L8" i="23" s="1"/>
  <c r="B21" i="23"/>
  <c r="AY346" i="7" l="1"/>
  <c r="F380" i="7"/>
  <c r="E215" i="1"/>
  <c r="E56" i="1"/>
  <c r="T223" i="1"/>
  <c r="T211" i="1"/>
  <c r="E24" i="1"/>
  <c r="E391" i="1"/>
  <c r="E234" i="1"/>
  <c r="T234" i="1" s="1"/>
  <c r="E71" i="1"/>
  <c r="E362" i="1"/>
  <c r="D63" i="22"/>
  <c r="AT138" i="33"/>
  <c r="AV128" i="33"/>
  <c r="AV138" i="33" s="1"/>
  <c r="X252" i="33"/>
  <c r="Y252" i="33" s="1"/>
  <c r="AS252" i="33" s="1"/>
  <c r="AT252" i="33" s="1"/>
  <c r="AV252" i="33" s="1"/>
  <c r="E30" i="30"/>
  <c r="E32" i="30" s="1"/>
  <c r="E61" i="30" s="1"/>
  <c r="Y249" i="33"/>
  <c r="Y189" i="7"/>
  <c r="X116" i="33" s="1"/>
  <c r="Y116" i="33" s="1"/>
  <c r="Y196" i="7"/>
  <c r="X123" i="33" s="1"/>
  <c r="Y123" i="33" s="1"/>
  <c r="AO117" i="33"/>
  <c r="AO125" i="33"/>
  <c r="AM189" i="7"/>
  <c r="AM116" i="33" s="1"/>
  <c r="AM196" i="7"/>
  <c r="AM123" i="33" s="1"/>
  <c r="AL191" i="7"/>
  <c r="AL118" i="33" s="1"/>
  <c r="AL199" i="7"/>
  <c r="AL126" i="33" s="1"/>
  <c r="AK189" i="7"/>
  <c r="AK116" i="33" s="1"/>
  <c r="AK198" i="7"/>
  <c r="AK125" i="33" s="1"/>
  <c r="Y188" i="7"/>
  <c r="X115" i="33" s="1"/>
  <c r="Y115" i="33" s="1"/>
  <c r="Y197" i="7"/>
  <c r="X124" i="33" s="1"/>
  <c r="Y124" i="33" s="1"/>
  <c r="AO118" i="33"/>
  <c r="AO126" i="33"/>
  <c r="AM188" i="7"/>
  <c r="AM115" i="33" s="1"/>
  <c r="AM197" i="7"/>
  <c r="AM124" i="33" s="1"/>
  <c r="AL192" i="7"/>
  <c r="AL119" i="33" s="1"/>
  <c r="AL187" i="7"/>
  <c r="AK190" i="7"/>
  <c r="AK117" i="33" s="1"/>
  <c r="AK199" i="7"/>
  <c r="AK126" i="33" s="1"/>
  <c r="AO123" i="33"/>
  <c r="AL197" i="7"/>
  <c r="AL124" i="33" s="1"/>
  <c r="AK193" i="7"/>
  <c r="AK120" i="33" s="1"/>
  <c r="AL190" i="7"/>
  <c r="AL117" i="33" s="1"/>
  <c r="Y190" i="7"/>
  <c r="X117" i="33" s="1"/>
  <c r="Y117" i="33" s="1"/>
  <c r="Y198" i="7"/>
  <c r="X125" i="33" s="1"/>
  <c r="Y125" i="33" s="1"/>
  <c r="AO119" i="33"/>
  <c r="AM190" i="7"/>
  <c r="AM117" i="33" s="1"/>
  <c r="AM198" i="7"/>
  <c r="AM125" i="33" s="1"/>
  <c r="AL193" i="7"/>
  <c r="AL120" i="33" s="1"/>
  <c r="AK187" i="7"/>
  <c r="AK191" i="7"/>
  <c r="AK118" i="33" s="1"/>
  <c r="AL188" i="7"/>
  <c r="AL115" i="33" s="1"/>
  <c r="AK188" i="7"/>
  <c r="AK115" i="33" s="1"/>
  <c r="Y191" i="7"/>
  <c r="X118" i="33" s="1"/>
  <c r="Y118" i="33" s="1"/>
  <c r="Y199" i="7"/>
  <c r="X126" i="33" s="1"/>
  <c r="Y126" i="33" s="1"/>
  <c r="AO120" i="33"/>
  <c r="AM191" i="7"/>
  <c r="AM118" i="33" s="1"/>
  <c r="AM199" i="7"/>
  <c r="AM126" i="33" s="1"/>
  <c r="AL194" i="7"/>
  <c r="AL121" i="33" s="1"/>
  <c r="AK192" i="7"/>
  <c r="AK119" i="33" s="1"/>
  <c r="Y192" i="7"/>
  <c r="X119" i="33" s="1"/>
  <c r="Y119" i="33" s="1"/>
  <c r="Y187" i="7"/>
  <c r="AO121" i="33"/>
  <c r="AM192" i="7"/>
  <c r="AM119" i="33" s="1"/>
  <c r="AM187" i="7"/>
  <c r="AS187" i="7" s="1"/>
  <c r="AL195" i="7"/>
  <c r="AL122" i="33" s="1"/>
  <c r="AK194" i="7"/>
  <c r="AK121" i="33" s="1"/>
  <c r="AM194" i="7"/>
  <c r="AM121" i="33" s="1"/>
  <c r="Y195" i="7"/>
  <c r="X122" i="33" s="1"/>
  <c r="Y122" i="33" s="1"/>
  <c r="AO124" i="33"/>
  <c r="AM195" i="7"/>
  <c r="AM122" i="33" s="1"/>
  <c r="AK197" i="7"/>
  <c r="AK124" i="33" s="1"/>
  <c r="Y193" i="7"/>
  <c r="X120" i="33" s="1"/>
  <c r="Y120" i="33" s="1"/>
  <c r="AO122" i="33"/>
  <c r="AM193" i="7"/>
  <c r="AM120" i="33" s="1"/>
  <c r="AL189" i="7"/>
  <c r="AL116" i="33" s="1"/>
  <c r="AL196" i="7"/>
  <c r="AL123" i="33" s="1"/>
  <c r="AK195" i="7"/>
  <c r="AK122" i="33" s="1"/>
  <c r="AO116" i="33"/>
  <c r="AK196" i="7"/>
  <c r="AK123" i="33" s="1"/>
  <c r="AO115" i="33"/>
  <c r="AL198" i="7"/>
  <c r="AL125" i="33" s="1"/>
  <c r="Y194" i="7"/>
  <c r="X121" i="33" s="1"/>
  <c r="Y121" i="33" s="1"/>
  <c r="AX94" i="7"/>
  <c r="AV118" i="7"/>
  <c r="AV142" i="7" s="1"/>
  <c r="AT118" i="7"/>
  <c r="AT142" i="7" s="1"/>
  <c r="I65" i="22"/>
  <c r="I68" i="22"/>
  <c r="E92" i="1"/>
  <c r="E137" i="1" s="1"/>
  <c r="AV331" i="7"/>
  <c r="E85" i="1" s="1"/>
  <c r="AV322" i="7"/>
  <c r="AV329" i="7"/>
  <c r="E83" i="1" s="1"/>
  <c r="AV323" i="7"/>
  <c r="AV324" i="7"/>
  <c r="E78" i="1" s="1"/>
  <c r="F215" i="7"/>
  <c r="F226" i="7" s="1"/>
  <c r="F228" i="7" s="1"/>
  <c r="F236" i="7" s="1"/>
  <c r="F403" i="7" s="1"/>
  <c r="F406" i="7" s="1"/>
  <c r="AS280" i="7"/>
  <c r="AS295" i="7" s="1"/>
  <c r="AV328" i="7"/>
  <c r="E82" i="1" s="1"/>
  <c r="AV325" i="7"/>
  <c r="E79" i="1" s="1"/>
  <c r="AV332" i="7"/>
  <c r="E86" i="1" s="1"/>
  <c r="AV330" i="7"/>
  <c r="E84" i="1" s="1"/>
  <c r="AV327" i="7"/>
  <c r="E81" i="1" s="1"/>
  <c r="AV321" i="7"/>
  <c r="E75" i="1" s="1"/>
  <c r="AV326" i="7"/>
  <c r="E80" i="1" s="1"/>
  <c r="AJ333" i="7"/>
  <c r="D49" i="23"/>
  <c r="F63" i="22"/>
  <c r="F66" i="22" s="1"/>
  <c r="F72" i="22" s="1"/>
  <c r="I54" i="22"/>
  <c r="D8" i="23"/>
  <c r="D11" i="23" s="1"/>
  <c r="D17" i="23" s="1"/>
  <c r="D23" i="23" s="1"/>
  <c r="K65" i="22"/>
  <c r="I16" i="23" s="1"/>
  <c r="K69" i="22"/>
  <c r="I20" i="23" s="1"/>
  <c r="K68" i="22"/>
  <c r="Q69" i="22"/>
  <c r="O20" i="23" s="1"/>
  <c r="Q68" i="22"/>
  <c r="Q65" i="22"/>
  <c r="O16" i="23" s="1"/>
  <c r="P54" i="22"/>
  <c r="P61" i="22" s="1"/>
  <c r="P68" i="22"/>
  <c r="P65" i="22"/>
  <c r="N16" i="23" s="1"/>
  <c r="P69" i="22"/>
  <c r="N20" i="23" s="1"/>
  <c r="R54" i="22"/>
  <c r="R62" i="22" s="1"/>
  <c r="P10" i="23" s="1"/>
  <c r="R68" i="22"/>
  <c r="P19" i="23" s="1"/>
  <c r="R65" i="22"/>
  <c r="P16" i="23" s="1"/>
  <c r="R69" i="22"/>
  <c r="P20" i="23" s="1"/>
  <c r="J54" i="22"/>
  <c r="J68" i="22"/>
  <c r="H19" i="23" s="1"/>
  <c r="J69" i="22"/>
  <c r="H20" i="23" s="1"/>
  <c r="J65" i="22"/>
  <c r="H16" i="23" s="1"/>
  <c r="I9" i="23"/>
  <c r="K57" i="22"/>
  <c r="I10" i="23"/>
  <c r="N65" i="22"/>
  <c r="N69" i="22"/>
  <c r="L54" i="22"/>
  <c r="L68" i="22"/>
  <c r="L69" i="22"/>
  <c r="J20" i="23" s="1"/>
  <c r="L65" i="22"/>
  <c r="J16" i="23" s="1"/>
  <c r="O54" i="22"/>
  <c r="O68" i="22"/>
  <c r="O65" i="22"/>
  <c r="M16" i="23" s="1"/>
  <c r="O69" i="22"/>
  <c r="M20" i="23" s="1"/>
  <c r="M68" i="22"/>
  <c r="M69" i="22"/>
  <c r="K20" i="23" s="1"/>
  <c r="M65" i="22"/>
  <c r="K16" i="23" s="1"/>
  <c r="M54" i="22"/>
  <c r="F10" i="23"/>
  <c r="F9" i="23"/>
  <c r="H23" i="21"/>
  <c r="B9" i="23"/>
  <c r="B10" i="23"/>
  <c r="AN368" i="1"/>
  <c r="AO368" i="1"/>
  <c r="C41" i="23"/>
  <c r="C44" i="23" s="1"/>
  <c r="C51" i="23" s="1"/>
  <c r="AV270" i="7"/>
  <c r="E29" i="1" s="1"/>
  <c r="AT280" i="7"/>
  <c r="P43" i="23"/>
  <c r="D40" i="23"/>
  <c r="N68" i="22"/>
  <c r="I69" i="22"/>
  <c r="F19" i="23"/>
  <c r="F21" i="23" s="1"/>
  <c r="H70" i="22"/>
  <c r="E19" i="23"/>
  <c r="G70" i="22"/>
  <c r="T68" i="22"/>
  <c r="B8" i="23"/>
  <c r="I43" i="23"/>
  <c r="E16" i="23"/>
  <c r="T65" i="22"/>
  <c r="B40" i="23"/>
  <c r="F48" i="23"/>
  <c r="F47" i="23"/>
  <c r="F43" i="23"/>
  <c r="H57" i="22"/>
  <c r="D39" i="23"/>
  <c r="T54" i="22"/>
  <c r="T57" i="22" s="1"/>
  <c r="E20" i="23"/>
  <c r="T69" i="22"/>
  <c r="B39" i="23"/>
  <c r="Q54" i="22"/>
  <c r="AS190" i="7" l="1"/>
  <c r="AR126" i="33"/>
  <c r="AS126" i="33" s="1"/>
  <c r="AT126" i="33" s="1"/>
  <c r="AV126" i="33" s="1"/>
  <c r="AS199" i="7"/>
  <c r="AR122" i="33"/>
  <c r="AS122" i="33" s="1"/>
  <c r="AT122" i="33" s="1"/>
  <c r="AV122" i="33" s="1"/>
  <c r="AS196" i="7"/>
  <c r="AS192" i="7"/>
  <c r="AR119" i="33"/>
  <c r="AS119" i="33" s="1"/>
  <c r="AT119" i="33" s="1"/>
  <c r="AV119" i="33" s="1"/>
  <c r="AR120" i="33"/>
  <c r="AS120" i="33" s="1"/>
  <c r="AT120" i="33" s="1"/>
  <c r="AV120" i="33" s="1"/>
  <c r="T71" i="1"/>
  <c r="T24" i="1"/>
  <c r="T187" i="1" s="1"/>
  <c r="E102" i="1"/>
  <c r="E226" i="1"/>
  <c r="E251" i="1" s="1"/>
  <c r="E252" i="1" s="1"/>
  <c r="E41" i="1"/>
  <c r="E58" i="1" s="1"/>
  <c r="E142" i="1" s="1"/>
  <c r="AS191" i="7"/>
  <c r="AT191" i="7" s="1"/>
  <c r="AV191" i="7" s="1"/>
  <c r="E369" i="1" s="1"/>
  <c r="AK114" i="33"/>
  <c r="AK200" i="7"/>
  <c r="AK215" i="7" s="1"/>
  <c r="AK226" i="7" s="1"/>
  <c r="AK228" i="7" s="1"/>
  <c r="AK236" i="7" s="1"/>
  <c r="AK403" i="7" s="1"/>
  <c r="AK406" i="7" s="1"/>
  <c r="AS195" i="7"/>
  <c r="AT195" i="7" s="1"/>
  <c r="AV195" i="7" s="1"/>
  <c r="E373" i="1" s="1"/>
  <c r="AR123" i="33"/>
  <c r="AS123" i="33" s="1"/>
  <c r="AT123" i="33" s="1"/>
  <c r="AV123" i="33" s="1"/>
  <c r="AR124" i="33"/>
  <c r="AS124" i="33" s="1"/>
  <c r="AT124" i="33" s="1"/>
  <c r="AV124" i="33" s="1"/>
  <c r="AS197" i="7"/>
  <c r="X114" i="33"/>
  <c r="Y200" i="7"/>
  <c r="Y215" i="7" s="1"/>
  <c r="Y226" i="7" s="1"/>
  <c r="Y228" i="7" s="1"/>
  <c r="Y236" i="7" s="1"/>
  <c r="Y403" i="7" s="1"/>
  <c r="Y406" i="7" s="1"/>
  <c r="AO114" i="33"/>
  <c r="AO127" i="33" s="1"/>
  <c r="AO146" i="33" s="1"/>
  <c r="AO155" i="33" s="1"/>
  <c r="AO157" i="33" s="1"/>
  <c r="AO200" i="7"/>
  <c r="AO215" i="7" s="1"/>
  <c r="AO226" i="7" s="1"/>
  <c r="AO228" i="7" s="1"/>
  <c r="AO236" i="7" s="1"/>
  <c r="AO403" i="7" s="1"/>
  <c r="AO406" i="7" s="1"/>
  <c r="AR115" i="33"/>
  <c r="AS115" i="33" s="1"/>
  <c r="AT115" i="33" s="1"/>
  <c r="AV115" i="33" s="1"/>
  <c r="AR117" i="33"/>
  <c r="AS117" i="33" s="1"/>
  <c r="AT117" i="33" s="1"/>
  <c r="AV117" i="33" s="1"/>
  <c r="AL114" i="33"/>
  <c r="AL127" i="33" s="1"/>
  <c r="AL146" i="33" s="1"/>
  <c r="AL155" i="33" s="1"/>
  <c r="AL157" i="33" s="1"/>
  <c r="AL200" i="7"/>
  <c r="AL215" i="7" s="1"/>
  <c r="AL226" i="7" s="1"/>
  <c r="AL228" i="7" s="1"/>
  <c r="AL236" i="7" s="1"/>
  <c r="AL403" i="7" s="1"/>
  <c r="AL406" i="7" s="1"/>
  <c r="AR125" i="33"/>
  <c r="AS125" i="33" s="1"/>
  <c r="AT125" i="33" s="1"/>
  <c r="AV125" i="33" s="1"/>
  <c r="AM114" i="33"/>
  <c r="AM127" i="33" s="1"/>
  <c r="AM146" i="33" s="1"/>
  <c r="AM155" i="33" s="1"/>
  <c r="AM157" i="33" s="1"/>
  <c r="AM200" i="7"/>
  <c r="AM215" i="7" s="1"/>
  <c r="AM226" i="7" s="1"/>
  <c r="AM228" i="7" s="1"/>
  <c r="AM236" i="7" s="1"/>
  <c r="AM403" i="7" s="1"/>
  <c r="AM406" i="7" s="1"/>
  <c r="AR121" i="33"/>
  <c r="AS121" i="33" s="1"/>
  <c r="AT121" i="33" s="1"/>
  <c r="AV121" i="33" s="1"/>
  <c r="AR118" i="33"/>
  <c r="AS118" i="33" s="1"/>
  <c r="AT118" i="33" s="1"/>
  <c r="AV118" i="33" s="1"/>
  <c r="AR116" i="33"/>
  <c r="AS116" i="33" s="1"/>
  <c r="AT116" i="33" s="1"/>
  <c r="AV116" i="33" s="1"/>
  <c r="AS193" i="7"/>
  <c r="AT193" i="7" s="1"/>
  <c r="AV193" i="7" s="1"/>
  <c r="E371" i="1" s="1"/>
  <c r="AS189" i="7"/>
  <c r="AT189" i="7" s="1"/>
  <c r="AV189" i="7" s="1"/>
  <c r="AS188" i="7"/>
  <c r="AT188" i="7" s="1"/>
  <c r="AV188" i="7" s="1"/>
  <c r="E366" i="1" s="1"/>
  <c r="AS198" i="7"/>
  <c r="AT198" i="7" s="1"/>
  <c r="AV198" i="7" s="1"/>
  <c r="E376" i="1" s="1"/>
  <c r="AS194" i="7"/>
  <c r="AT194" i="7" s="1"/>
  <c r="AI200" i="7"/>
  <c r="AI215" i="7" s="1"/>
  <c r="AI226" i="7" s="1"/>
  <c r="AI228" i="7" s="1"/>
  <c r="AI236" i="7" s="1"/>
  <c r="AI403" i="7" s="1"/>
  <c r="AI406" i="7" s="1"/>
  <c r="AT187" i="7"/>
  <c r="AX142" i="7"/>
  <c r="AY293" i="7"/>
  <c r="AJ348" i="7"/>
  <c r="E76" i="1"/>
  <c r="AO76" i="1" s="1"/>
  <c r="AT199" i="7"/>
  <c r="AV199" i="7" s="1"/>
  <c r="E377" i="1" s="1"/>
  <c r="AT190" i="7"/>
  <c r="AV190" i="7" s="1"/>
  <c r="AT196" i="7"/>
  <c r="AV196" i="7" s="1"/>
  <c r="E374" i="1" s="1"/>
  <c r="AT197" i="7"/>
  <c r="AV197" i="7" s="1"/>
  <c r="E375" i="1" s="1"/>
  <c r="AT192" i="7"/>
  <c r="AV192" i="7" s="1"/>
  <c r="E370" i="1" s="1"/>
  <c r="AJ200" i="7"/>
  <c r="K70" i="22"/>
  <c r="I19" i="23"/>
  <c r="I21" i="23" s="1"/>
  <c r="I46" i="23"/>
  <c r="I49" i="23" s="1"/>
  <c r="I47" i="23"/>
  <c r="I48" i="23"/>
  <c r="P46" i="23"/>
  <c r="P47" i="23"/>
  <c r="P48" i="23"/>
  <c r="H43" i="23"/>
  <c r="R57" i="22"/>
  <c r="AA28" i="1"/>
  <c r="R61" i="22"/>
  <c r="P9" i="23" s="1"/>
  <c r="R60" i="22"/>
  <c r="P8" i="23" s="1"/>
  <c r="P62" i="22"/>
  <c r="N10" i="23" s="1"/>
  <c r="P60" i="22"/>
  <c r="K10" i="23"/>
  <c r="K9" i="23"/>
  <c r="M57" i="22"/>
  <c r="J10" i="23"/>
  <c r="J9" i="23"/>
  <c r="L57" i="22"/>
  <c r="J57" i="22"/>
  <c r="H9" i="23"/>
  <c r="H10" i="23"/>
  <c r="O61" i="22"/>
  <c r="M9" i="23" s="1"/>
  <c r="O62" i="22"/>
  <c r="M10" i="23" s="1"/>
  <c r="O60" i="22"/>
  <c r="Q61" i="22"/>
  <c r="O9" i="23" s="1"/>
  <c r="Q62" i="22"/>
  <c r="O10" i="23" s="1"/>
  <c r="Q60" i="22"/>
  <c r="H47" i="23"/>
  <c r="H48" i="23"/>
  <c r="H46" i="23"/>
  <c r="AV280" i="7"/>
  <c r="H21" i="23"/>
  <c r="J70" i="22"/>
  <c r="P21" i="23"/>
  <c r="R70" i="22"/>
  <c r="AS333" i="7"/>
  <c r="AS348" i="7" s="1"/>
  <c r="AT295" i="7"/>
  <c r="AU295" i="7" s="1"/>
  <c r="D41" i="23"/>
  <c r="D44" i="23" s="1"/>
  <c r="D51" i="23" s="1"/>
  <c r="T70" i="22"/>
  <c r="E47" i="23"/>
  <c r="E48" i="23"/>
  <c r="E43" i="23"/>
  <c r="O43" i="23"/>
  <c r="O47" i="23"/>
  <c r="O48" i="23"/>
  <c r="G57" i="22"/>
  <c r="F8" i="23"/>
  <c r="F11" i="23" s="1"/>
  <c r="F17" i="23" s="1"/>
  <c r="F23" i="23" s="1"/>
  <c r="H63" i="22"/>
  <c r="H66" i="22" s="1"/>
  <c r="H72" i="22" s="1"/>
  <c r="O57" i="22"/>
  <c r="B11" i="23"/>
  <c r="B17" i="23" s="1"/>
  <c r="B23" i="23" s="1"/>
  <c r="I70" i="22"/>
  <c r="U68" i="22"/>
  <c r="G19" i="23"/>
  <c r="L19" i="23"/>
  <c r="V68" i="22"/>
  <c r="N70" i="22"/>
  <c r="K43" i="23"/>
  <c r="K48" i="23"/>
  <c r="K47" i="23"/>
  <c r="E46" i="23"/>
  <c r="N48" i="23"/>
  <c r="N47" i="23"/>
  <c r="N43" i="23"/>
  <c r="P57" i="22"/>
  <c r="N9" i="23"/>
  <c r="Q70" i="22"/>
  <c r="O19" i="23"/>
  <c r="O21" i="23" s="1"/>
  <c r="B41" i="23"/>
  <c r="B44" i="23" s="1"/>
  <c r="B51" i="23" s="1"/>
  <c r="J43" i="23"/>
  <c r="J48" i="23"/>
  <c r="J47" i="23"/>
  <c r="M43" i="23"/>
  <c r="M47" i="23"/>
  <c r="M48" i="23"/>
  <c r="E21" i="23"/>
  <c r="U54" i="22"/>
  <c r="U57" i="22" s="1"/>
  <c r="G16" i="23"/>
  <c r="U65" i="22"/>
  <c r="L16" i="23"/>
  <c r="V65" i="22"/>
  <c r="K19" i="23"/>
  <c r="K21" i="23" s="1"/>
  <c r="M70" i="22"/>
  <c r="Q57" i="22"/>
  <c r="F46" i="23"/>
  <c r="F49" i="23" s="1"/>
  <c r="M19" i="23"/>
  <c r="M21" i="23" s="1"/>
  <c r="O70" i="22"/>
  <c r="G20" i="23"/>
  <c r="U69" i="22"/>
  <c r="K63" i="22"/>
  <c r="K66" i="22" s="1"/>
  <c r="I8" i="23"/>
  <c r="I11" i="23" s="1"/>
  <c r="I17" i="23" s="1"/>
  <c r="L20" i="23"/>
  <c r="V69" i="22"/>
  <c r="N19" i="23"/>
  <c r="N21" i="23" s="1"/>
  <c r="P70" i="22"/>
  <c r="J19" i="23"/>
  <c r="J21" i="23" s="1"/>
  <c r="L70" i="22"/>
  <c r="V54" i="22"/>
  <c r="V57" i="22" s="1"/>
  <c r="AJ356" i="7" l="1"/>
  <c r="AJ378" i="7" s="1"/>
  <c r="AJ380" i="7" s="1"/>
  <c r="AS380" i="7" s="1"/>
  <c r="T200" i="1"/>
  <c r="T184" i="1"/>
  <c r="T190" i="1"/>
  <c r="T360" i="1"/>
  <c r="T355" i="1"/>
  <c r="T197" i="1"/>
  <c r="T189" i="1"/>
  <c r="T191" i="1"/>
  <c r="T426" i="1"/>
  <c r="T183" i="1"/>
  <c r="T358" i="1"/>
  <c r="T361" i="1"/>
  <c r="T345" i="1"/>
  <c r="T198" i="1"/>
  <c r="T181" i="1"/>
  <c r="T195" i="1"/>
  <c r="T359" i="1"/>
  <c r="T357" i="1"/>
  <c r="T185" i="1"/>
  <c r="T182" i="1"/>
  <c r="T196" i="1"/>
  <c r="T194" i="1"/>
  <c r="T354" i="1"/>
  <c r="T356" i="1"/>
  <c r="T188" i="1"/>
  <c r="T186" i="1"/>
  <c r="T199" i="1"/>
  <c r="T193" i="1"/>
  <c r="T123" i="1"/>
  <c r="E342" i="1"/>
  <c r="E343" i="1" s="1"/>
  <c r="Q16" i="23"/>
  <c r="Q19" i="23"/>
  <c r="AV295" i="7"/>
  <c r="AX280" i="7"/>
  <c r="AY280" i="7" s="1"/>
  <c r="AV194" i="7"/>
  <c r="AT200" i="7"/>
  <c r="D52" i="30"/>
  <c r="G52" i="30" s="1"/>
  <c r="AL251" i="33"/>
  <c r="F52" i="30" s="1"/>
  <c r="AL253" i="33"/>
  <c r="D55" i="30"/>
  <c r="G55" i="30" s="1"/>
  <c r="AO251" i="33"/>
  <c r="F55" i="30" s="1"/>
  <c r="AO253" i="33"/>
  <c r="D53" i="30"/>
  <c r="G53" i="30" s="1"/>
  <c r="AM251" i="33"/>
  <c r="F53" i="30" s="1"/>
  <c r="AM253" i="33"/>
  <c r="AK127" i="33"/>
  <c r="AK146" i="33" s="1"/>
  <c r="AK155" i="33" s="1"/>
  <c r="AK157" i="33" s="1"/>
  <c r="AR114" i="33"/>
  <c r="X127" i="33"/>
  <c r="Y114" i="33"/>
  <c r="AJ215" i="7"/>
  <c r="AJ226" i="7" s="1"/>
  <c r="AJ228" i="7" s="1"/>
  <c r="AJ236" i="7" s="1"/>
  <c r="AN76" i="1"/>
  <c r="E367" i="1"/>
  <c r="AS200" i="7"/>
  <c r="AV187" i="7"/>
  <c r="AS356" i="7"/>
  <c r="AS378" i="7" s="1"/>
  <c r="K72" i="22"/>
  <c r="P49" i="23"/>
  <c r="I23" i="23"/>
  <c r="P39" i="23"/>
  <c r="P11" i="23"/>
  <c r="P17" i="23" s="1"/>
  <c r="P23" i="23" s="1"/>
  <c r="R63" i="22"/>
  <c r="R66" i="22" s="1"/>
  <c r="R72" i="22" s="1"/>
  <c r="J63" i="22"/>
  <c r="J66" i="22" s="1"/>
  <c r="J72" i="22" s="1"/>
  <c r="H8" i="23"/>
  <c r="H11" i="23" s="1"/>
  <c r="H17" i="23" s="1"/>
  <c r="H23" i="23" s="1"/>
  <c r="N61" i="22"/>
  <c r="N62" i="22"/>
  <c r="N57" i="22"/>
  <c r="H49" i="23"/>
  <c r="Q20" i="23"/>
  <c r="AN30" i="1"/>
  <c r="AO30" i="1"/>
  <c r="Z207" i="1"/>
  <c r="Y207" i="1"/>
  <c r="AC207" i="1"/>
  <c r="U207" i="1"/>
  <c r="AD207" i="1"/>
  <c r="AB207" i="1"/>
  <c r="AH207" i="1"/>
  <c r="AF207" i="1"/>
  <c r="V207" i="1"/>
  <c r="AE207" i="1"/>
  <c r="AG207" i="1"/>
  <c r="AA207" i="1"/>
  <c r="F39" i="23"/>
  <c r="AT333" i="7"/>
  <c r="AV333" i="7"/>
  <c r="AV348" i="7" s="1"/>
  <c r="G21" i="23"/>
  <c r="I40" i="23"/>
  <c r="L48" i="23"/>
  <c r="I39" i="23"/>
  <c r="G63" i="22"/>
  <c r="G66" i="22" s="1"/>
  <c r="G72" i="22" s="1"/>
  <c r="E8" i="23"/>
  <c r="T60" i="22"/>
  <c r="L47" i="23"/>
  <c r="L46" i="23"/>
  <c r="H40" i="23"/>
  <c r="O8" i="23"/>
  <c r="O11" i="23" s="1"/>
  <c r="O17" i="23" s="1"/>
  <c r="O23" i="23" s="1"/>
  <c r="Q63" i="22"/>
  <c r="Q66" i="22" s="1"/>
  <c r="Q72" i="22" s="1"/>
  <c r="I57" i="22"/>
  <c r="N46" i="23"/>
  <c r="N49" i="23" s="1"/>
  <c r="U70" i="22"/>
  <c r="L43" i="23"/>
  <c r="G46" i="23"/>
  <c r="H39" i="23"/>
  <c r="J46" i="23"/>
  <c r="J49" i="23" s="1"/>
  <c r="E49" i="23"/>
  <c r="K46" i="23"/>
  <c r="K49" i="23" s="1"/>
  <c r="L21" i="23"/>
  <c r="O63" i="22"/>
  <c r="O66" i="22" s="1"/>
  <c r="O72" i="22" s="1"/>
  <c r="M8" i="23"/>
  <c r="J8" i="23"/>
  <c r="J11" i="23" s="1"/>
  <c r="J17" i="23" s="1"/>
  <c r="J23" i="23" s="1"/>
  <c r="L63" i="22"/>
  <c r="L66" i="22" s="1"/>
  <c r="L72" i="22" s="1"/>
  <c r="E10" i="23"/>
  <c r="T62" i="22"/>
  <c r="G48" i="23"/>
  <c r="G43" i="23"/>
  <c r="M46" i="23"/>
  <c r="M49" i="23" s="1"/>
  <c r="N8" i="23"/>
  <c r="N11" i="23" s="1"/>
  <c r="N17" i="23" s="1"/>
  <c r="N23" i="23" s="1"/>
  <c r="P63" i="22"/>
  <c r="P66" i="22" s="1"/>
  <c r="P72" i="22" s="1"/>
  <c r="O46" i="23"/>
  <c r="O49" i="23" s="1"/>
  <c r="G47" i="23"/>
  <c r="K8" i="23"/>
  <c r="K11" i="23" s="1"/>
  <c r="K17" i="23" s="1"/>
  <c r="K23" i="23" s="1"/>
  <c r="M63" i="22"/>
  <c r="M66" i="22" s="1"/>
  <c r="M72" i="22" s="1"/>
  <c r="V70" i="22"/>
  <c r="E9" i="23"/>
  <c r="T61" i="22"/>
  <c r="T192" i="1" l="1"/>
  <c r="T201" i="1"/>
  <c r="T202" i="1" s="1"/>
  <c r="AX295" i="7"/>
  <c r="AY295" i="7" s="1"/>
  <c r="E59" i="1"/>
  <c r="T362" i="1"/>
  <c r="M11" i="23"/>
  <c r="M17" i="23" s="1"/>
  <c r="M23" i="23" s="1"/>
  <c r="Q8" i="23"/>
  <c r="Q21" i="23"/>
  <c r="AV356" i="7"/>
  <c r="AV378" i="7" s="1"/>
  <c r="AX378" i="7" s="1"/>
  <c r="E372" i="1"/>
  <c r="AX200" i="7"/>
  <c r="AY200" i="7" s="1"/>
  <c r="AY213" i="7" s="1"/>
  <c r="AX333" i="7"/>
  <c r="Y127" i="33"/>
  <c r="X146" i="33"/>
  <c r="AS114" i="33"/>
  <c r="AR127" i="33"/>
  <c r="AR146" i="33" s="1"/>
  <c r="AR155" i="33" s="1"/>
  <c r="AR157" i="33" s="1"/>
  <c r="AK251" i="33"/>
  <c r="D51" i="30"/>
  <c r="AK253" i="33"/>
  <c r="AR253" i="33" s="1"/>
  <c r="AS215" i="7"/>
  <c r="AS226" i="7" s="1"/>
  <c r="AS228" i="7" s="1"/>
  <c r="H42" i="3"/>
  <c r="I42" i="3"/>
  <c r="AJ403" i="7"/>
  <c r="AJ406" i="7" s="1"/>
  <c r="AS406" i="7" s="1"/>
  <c r="P40" i="23"/>
  <c r="P41" i="23" s="1"/>
  <c r="P44" i="23" s="1"/>
  <c r="P51" i="23" s="1"/>
  <c r="F40" i="23"/>
  <c r="F41" i="23" s="1"/>
  <c r="F44" i="23" s="1"/>
  <c r="F51" i="23" s="1"/>
  <c r="Q43" i="23"/>
  <c r="N63" i="22"/>
  <c r="N66" i="22" s="1"/>
  <c r="N72" i="22" s="1"/>
  <c r="E365" i="1"/>
  <c r="AA77" i="1"/>
  <c r="AA368" i="1"/>
  <c r="E74" i="1"/>
  <c r="Z77" i="1"/>
  <c r="Z368" i="1"/>
  <c r="AT348" i="7"/>
  <c r="Q47" i="23"/>
  <c r="H41" i="23"/>
  <c r="H44" i="23" s="1"/>
  <c r="H51" i="23" s="1"/>
  <c r="M40" i="23"/>
  <c r="I41" i="23"/>
  <c r="I44" i="23" s="1"/>
  <c r="I51" i="23" s="1"/>
  <c r="Q48" i="23"/>
  <c r="K40" i="23"/>
  <c r="G49" i="23"/>
  <c r="G8" i="23"/>
  <c r="U60" i="22"/>
  <c r="I63" i="22"/>
  <c r="I66" i="22" s="1"/>
  <c r="I72" i="22" s="1"/>
  <c r="L10" i="23"/>
  <c r="Q10" i="23" s="1"/>
  <c r="V62" i="22"/>
  <c r="T63" i="22"/>
  <c r="T66" i="22" s="1"/>
  <c r="T72" i="22" s="1"/>
  <c r="J39" i="23"/>
  <c r="N40" i="23"/>
  <c r="E40" i="23"/>
  <c r="O40" i="23"/>
  <c r="G9" i="23"/>
  <c r="U61" i="22"/>
  <c r="V60" i="22"/>
  <c r="E11" i="23"/>
  <c r="E17" i="23" s="1"/>
  <c r="E23" i="23" s="1"/>
  <c r="E39" i="23"/>
  <c r="M39" i="23"/>
  <c r="V61" i="22"/>
  <c r="L9" i="23"/>
  <c r="Q9" i="23" s="1"/>
  <c r="Q46" i="23"/>
  <c r="N39" i="23"/>
  <c r="O39" i="23"/>
  <c r="K39" i="23"/>
  <c r="G10" i="23"/>
  <c r="U62" i="22"/>
  <c r="L49" i="23"/>
  <c r="J40" i="23"/>
  <c r="P55" i="23" l="1"/>
  <c r="Q17" i="23"/>
  <c r="E87" i="1"/>
  <c r="T367" i="1"/>
  <c r="T76" i="1"/>
  <c r="T40" i="1"/>
  <c r="T207" i="1"/>
  <c r="T217" i="1"/>
  <c r="T218" i="1"/>
  <c r="T27" i="1"/>
  <c r="T28" i="1"/>
  <c r="E378" i="1"/>
  <c r="F51" i="30"/>
  <c r="F59" i="30" s="1"/>
  <c r="AR251" i="33"/>
  <c r="AS127" i="33"/>
  <c r="AS146" i="33" s="1"/>
  <c r="AS155" i="33" s="1"/>
  <c r="AS157" i="33" s="1"/>
  <c r="AT114" i="33"/>
  <c r="D59" i="30"/>
  <c r="G51" i="30"/>
  <c r="G59" i="30" s="1"/>
  <c r="X155" i="33"/>
  <c r="Y146" i="33"/>
  <c r="AS236" i="7"/>
  <c r="AT215" i="7"/>
  <c r="AU215" i="7" s="1"/>
  <c r="AY224" i="7"/>
  <c r="E42" i="3"/>
  <c r="F42" i="3"/>
  <c r="AV215" i="7"/>
  <c r="M41" i="23"/>
  <c r="M44" i="23" s="1"/>
  <c r="M51" i="23" s="1"/>
  <c r="O41" i="23"/>
  <c r="O44" i="23" s="1"/>
  <c r="O51" i="23" s="1"/>
  <c r="G42" i="3"/>
  <c r="AT356" i="7"/>
  <c r="AU356" i="7" s="1"/>
  <c r="AX348" i="7"/>
  <c r="V63" i="22"/>
  <c r="V66" i="22" s="1"/>
  <c r="V72" i="22" s="1"/>
  <c r="K41" i="23"/>
  <c r="K44" i="23" s="1"/>
  <c r="K51" i="23" s="1"/>
  <c r="N41" i="23"/>
  <c r="N44" i="23" s="1"/>
  <c r="N51" i="23" s="1"/>
  <c r="J41" i="23"/>
  <c r="J44" i="23" s="1"/>
  <c r="J51" i="23" s="1"/>
  <c r="L40" i="23"/>
  <c r="G40" i="23"/>
  <c r="Q49" i="23"/>
  <c r="U63" i="22"/>
  <c r="U66" i="22" s="1"/>
  <c r="U72" i="22" s="1"/>
  <c r="E41" i="23"/>
  <c r="E44" i="23" s="1"/>
  <c r="E51" i="23" s="1"/>
  <c r="L39" i="23"/>
  <c r="G11" i="23"/>
  <c r="G17" i="23" s="1"/>
  <c r="G23" i="23" s="1"/>
  <c r="G39" i="23"/>
  <c r="L11" i="23"/>
  <c r="L17" i="23" s="1"/>
  <c r="L23" i="23" s="1"/>
  <c r="E89" i="1" l="1"/>
  <c r="E104" i="1"/>
  <c r="T377" i="1"/>
  <c r="T86" i="1"/>
  <c r="E393" i="1"/>
  <c r="T366" i="1"/>
  <c r="T75" i="1"/>
  <c r="T74" i="1"/>
  <c r="T87" i="1" s="1"/>
  <c r="T365" i="1"/>
  <c r="T41" i="1"/>
  <c r="T109" i="1" s="1"/>
  <c r="AV226" i="7"/>
  <c r="AX226" i="7" s="1"/>
  <c r="AT127" i="33"/>
  <c r="AT146" i="33" s="1"/>
  <c r="AT155" i="33" s="1"/>
  <c r="AT157" i="33" s="1"/>
  <c r="AV114" i="33"/>
  <c r="AV127" i="33" s="1"/>
  <c r="AV146" i="33" s="1"/>
  <c r="AV155" i="33" s="1"/>
  <c r="AV157" i="33" s="1"/>
  <c r="X157" i="33"/>
  <c r="Y155" i="33"/>
  <c r="AV228" i="7"/>
  <c r="AV236" i="7" s="1"/>
  <c r="AT378" i="7"/>
  <c r="AU378" i="7" s="1"/>
  <c r="AT226" i="7"/>
  <c r="AU226" i="7" s="1"/>
  <c r="AX356" i="7"/>
  <c r="AY356" i="7" s="1"/>
  <c r="AY348" i="7"/>
  <c r="L41" i="23"/>
  <c r="L44" i="23" s="1"/>
  <c r="L51" i="23" s="1"/>
  <c r="Q40" i="23"/>
  <c r="G41" i="23"/>
  <c r="G44" i="23" s="1"/>
  <c r="G51" i="23" s="1"/>
  <c r="Q39" i="23"/>
  <c r="T378" i="1" l="1"/>
  <c r="Q24" i="23"/>
  <c r="R29" i="1"/>
  <c r="W29" i="1"/>
  <c r="E404" i="1"/>
  <c r="E406" i="1" s="1"/>
  <c r="T205" i="1"/>
  <c r="T398" i="1"/>
  <c r="T10" i="1"/>
  <c r="T216" i="1"/>
  <c r="T225" i="1" s="1"/>
  <c r="T224" i="1"/>
  <c r="T346" i="1"/>
  <c r="T424" i="1"/>
  <c r="D30" i="30"/>
  <c r="X251" i="33"/>
  <c r="Y157" i="33"/>
  <c r="X253" i="33"/>
  <c r="Y253" i="33" s="1"/>
  <c r="AS253" i="33" s="1"/>
  <c r="AT253" i="33" s="1"/>
  <c r="AV253" i="33" s="1"/>
  <c r="AX236" i="7"/>
  <c r="AX228" i="7"/>
  <c r="AT228" i="7"/>
  <c r="AU228" i="7" s="1"/>
  <c r="Q41" i="23"/>
  <c r="Q44" i="23" s="1"/>
  <c r="Q51" i="23" s="1"/>
  <c r="R40" i="23" s="1"/>
  <c r="E417" i="1" l="1"/>
  <c r="E418" i="1" s="1"/>
  <c r="T214" i="1"/>
  <c r="T213" i="1"/>
  <c r="T215" i="1" s="1"/>
  <c r="T226" i="1" s="1"/>
  <c r="T251" i="1" s="1"/>
  <c r="F30" i="30"/>
  <c r="F32" i="30" s="1"/>
  <c r="F61" i="30" s="1"/>
  <c r="Y251" i="33"/>
  <c r="AS251" i="33" s="1"/>
  <c r="AT251" i="33" s="1"/>
  <c r="AV251" i="33" s="1"/>
  <c r="D32" i="30"/>
  <c r="D61" i="30" s="1"/>
  <c r="G30" i="30"/>
  <c r="G32" i="30" s="1"/>
  <c r="G61" i="30" s="1"/>
  <c r="R19" i="23"/>
  <c r="R9" i="23"/>
  <c r="R20" i="23"/>
  <c r="R8" i="23"/>
  <c r="R16" i="23"/>
  <c r="O67" i="23"/>
  <c r="Q67" i="23" s="1"/>
  <c r="R10" i="23"/>
  <c r="AT236" i="7"/>
  <c r="AU236" i="7" s="1"/>
  <c r="R48" i="23"/>
  <c r="R39" i="23"/>
  <c r="R41" i="23" s="1"/>
  <c r="R43" i="23"/>
  <c r="R47" i="23"/>
  <c r="O55" i="23"/>
  <c r="Q55" i="23" s="1"/>
  <c r="R56" i="23" s="1"/>
  <c r="R46" i="23"/>
  <c r="Q52" i="23"/>
  <c r="T252" i="1" l="1"/>
  <c r="R21" i="23"/>
  <c r="R11" i="23"/>
  <c r="R44" i="23"/>
  <c r="R55" i="23"/>
  <c r="R49" i="23"/>
  <c r="R24" i="23" l="1"/>
  <c r="R51" i="23"/>
  <c r="R52" i="23" s="1"/>
  <c r="X207" i="1"/>
  <c r="X367" i="1"/>
  <c r="X76" i="1"/>
  <c r="W368" i="1"/>
  <c r="W77" i="1"/>
  <c r="AM30" i="1"/>
  <c r="R368" i="1"/>
  <c r="AI30" i="1"/>
  <c r="AL30" i="1"/>
  <c r="R77" i="1"/>
  <c r="AK30" i="1" l="1"/>
  <c r="F18" i="3" l="1"/>
  <c r="S367" i="1" l="1"/>
  <c r="S76" i="1"/>
  <c r="S207" i="1"/>
  <c r="AI31" i="1" l="1"/>
  <c r="E28" i="6"/>
  <c r="F28" i="6"/>
  <c r="G28" i="6"/>
  <c r="H28" i="6"/>
  <c r="D28" i="6"/>
  <c r="E17" i="6"/>
  <c r="F17" i="6"/>
  <c r="G17" i="6"/>
  <c r="H17" i="6"/>
  <c r="D17" i="6"/>
  <c r="AL31" i="1" l="1"/>
  <c r="AI368" i="1"/>
  <c r="AL368" i="1"/>
  <c r="AM368" i="1"/>
  <c r="AK368" i="1" l="1"/>
  <c r="E5" i="3" l="1"/>
  <c r="E33" i="6" l="1"/>
  <c r="F33" i="6"/>
  <c r="G33" i="6"/>
  <c r="H33" i="6"/>
  <c r="D33" i="6"/>
  <c r="C33" i="6" l="1"/>
  <c r="J33" i="6" s="1"/>
  <c r="E136" i="1" l="1"/>
  <c r="T136" i="1" s="1" a="1"/>
  <c r="T136" i="1" s="1"/>
  <c r="A425" i="1" l="1"/>
  <c r="N4" i="1"/>
  <c r="M4" i="1"/>
  <c r="L4" i="1"/>
  <c r="K4" i="1"/>
  <c r="J4" i="1"/>
  <c r="C29" i="5"/>
  <c r="E29" i="5" s="1"/>
  <c r="D42" i="5"/>
  <c r="E42" i="5"/>
  <c r="F42" i="5"/>
  <c r="G42" i="5"/>
  <c r="H42" i="5"/>
  <c r="I42" i="5"/>
  <c r="J42" i="5"/>
  <c r="K42" i="5"/>
  <c r="L42" i="5"/>
  <c r="M42" i="5"/>
  <c r="N42" i="5"/>
  <c r="S27" i="1"/>
  <c r="S365" i="1" s="1"/>
  <c r="S28" i="1"/>
  <c r="S75" i="1" s="1"/>
  <c r="S40" i="1"/>
  <c r="S86" i="1" s="1"/>
  <c r="U27" i="1"/>
  <c r="U74" i="1" s="1"/>
  <c r="U28" i="1"/>
  <c r="U75" i="1" s="1"/>
  <c r="U40" i="1"/>
  <c r="U86" i="1" s="1"/>
  <c r="V27" i="1"/>
  <c r="V365" i="1" s="1"/>
  <c r="V28" i="1"/>
  <c r="V75" i="1" s="1"/>
  <c r="V40" i="1"/>
  <c r="V86" i="1" s="1"/>
  <c r="Y27" i="1"/>
  <c r="Y365" i="1" s="1"/>
  <c r="Y28" i="1"/>
  <c r="Y75" i="1" s="1"/>
  <c r="Y40" i="1"/>
  <c r="Y377" i="1" s="1"/>
  <c r="Z27" i="1"/>
  <c r="Z365" i="1" s="1"/>
  <c r="Z28" i="1"/>
  <c r="Z75" i="1" s="1"/>
  <c r="Z40" i="1"/>
  <c r="Z86" i="1" s="1"/>
  <c r="AA75" i="1"/>
  <c r="AB27" i="1"/>
  <c r="AB365" i="1" s="1"/>
  <c r="AB28" i="1"/>
  <c r="AB40" i="1"/>
  <c r="AB86" i="1" s="1"/>
  <c r="AC27" i="1"/>
  <c r="AC74" i="1" s="1"/>
  <c r="AC28" i="1"/>
  <c r="AC75" i="1" s="1"/>
  <c r="AC40" i="1"/>
  <c r="AC86" i="1" s="1"/>
  <c r="AD27" i="1"/>
  <c r="AD365" i="1" s="1"/>
  <c r="AD28" i="1"/>
  <c r="AD75" i="1" s="1"/>
  <c r="AD40" i="1"/>
  <c r="AD86" i="1" s="1"/>
  <c r="AE27" i="1"/>
  <c r="AE365" i="1" s="1"/>
  <c r="AE28" i="1"/>
  <c r="AE75" i="1" s="1"/>
  <c r="AE40" i="1"/>
  <c r="AE377" i="1" s="1"/>
  <c r="AF27" i="1"/>
  <c r="AF365" i="1" s="1"/>
  <c r="AF28" i="1"/>
  <c r="AF75" i="1" s="1"/>
  <c r="AF40" i="1"/>
  <c r="AF86" i="1" s="1"/>
  <c r="AG27" i="1"/>
  <c r="AG74" i="1" s="1"/>
  <c r="AG28" i="1"/>
  <c r="AG75" i="1" s="1"/>
  <c r="AG40" i="1"/>
  <c r="AH27" i="1"/>
  <c r="AH365" i="1" s="1"/>
  <c r="AO365" i="1" s="1"/>
  <c r="AH28" i="1"/>
  <c r="AH75" i="1" s="1"/>
  <c r="AO75" i="1" s="1"/>
  <c r="AH40" i="1"/>
  <c r="AH86" i="1" s="1"/>
  <c r="AO86" i="1" s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BY207" i="1"/>
  <c r="CA207" i="1"/>
  <c r="CB207" i="1"/>
  <c r="CD207" i="1"/>
  <c r="CF207" i="1"/>
  <c r="CH207" i="1"/>
  <c r="R223" i="1"/>
  <c r="BS223" i="1" s="1"/>
  <c r="R211" i="1"/>
  <c r="BS211" i="1" s="1"/>
  <c r="BU223" i="1"/>
  <c r="BU211" i="1"/>
  <c r="W223" i="1"/>
  <c r="BX223" i="1" s="1"/>
  <c r="W211" i="1"/>
  <c r="BX211" i="1" s="1"/>
  <c r="X217" i="1"/>
  <c r="BY217" i="1" s="1"/>
  <c r="X218" i="1"/>
  <c r="BY218" i="1" s="1"/>
  <c r="X223" i="1"/>
  <c r="BY223" i="1" s="1"/>
  <c r="X211" i="1"/>
  <c r="BY211" i="1" s="1"/>
  <c r="S217" i="1"/>
  <c r="BT217" i="1" s="1"/>
  <c r="S218" i="1"/>
  <c r="BT218" i="1" s="1"/>
  <c r="S223" i="1"/>
  <c r="BT223" i="1" s="1"/>
  <c r="S211" i="1"/>
  <c r="BT211" i="1" s="1"/>
  <c r="U217" i="1"/>
  <c r="BV217" i="1" s="1"/>
  <c r="U218" i="1"/>
  <c r="BV218" i="1" s="1"/>
  <c r="U223" i="1"/>
  <c r="BV223" i="1" s="1"/>
  <c r="U211" i="1"/>
  <c r="BV211" i="1" s="1"/>
  <c r="V217" i="1"/>
  <c r="BW217" i="1" s="1"/>
  <c r="V218" i="1"/>
  <c r="BW218" i="1" s="1"/>
  <c r="V223" i="1"/>
  <c r="BW223" i="1" s="1"/>
  <c r="V211" i="1"/>
  <c r="BW211" i="1" s="1"/>
  <c r="Y217" i="1"/>
  <c r="BZ217" i="1" s="1"/>
  <c r="Y218" i="1"/>
  <c r="BZ218" i="1" s="1"/>
  <c r="Y223" i="1"/>
  <c r="BZ223" i="1" s="1"/>
  <c r="Y211" i="1"/>
  <c r="BZ211" i="1" s="1"/>
  <c r="Z217" i="1"/>
  <c r="CA217" i="1" s="1"/>
  <c r="Z218" i="1"/>
  <c r="CA218" i="1" s="1"/>
  <c r="Z223" i="1"/>
  <c r="CA223" i="1" s="1"/>
  <c r="Z211" i="1"/>
  <c r="CA211" i="1" s="1"/>
  <c r="AA217" i="1"/>
  <c r="CB217" i="1" s="1"/>
  <c r="AA218" i="1"/>
  <c r="CB218" i="1" s="1"/>
  <c r="AA223" i="1"/>
  <c r="CB223" i="1" s="1"/>
  <c r="AA211" i="1"/>
  <c r="CB211" i="1" s="1"/>
  <c r="AB217" i="1"/>
  <c r="CC217" i="1" s="1"/>
  <c r="AB218" i="1"/>
  <c r="CC218" i="1" s="1"/>
  <c r="AB223" i="1"/>
  <c r="CC223" i="1" s="1"/>
  <c r="AB211" i="1"/>
  <c r="CC211" i="1" s="1"/>
  <c r="AC217" i="1"/>
  <c r="CD217" i="1" s="1"/>
  <c r="AC218" i="1"/>
  <c r="CD218" i="1" s="1"/>
  <c r="AC223" i="1"/>
  <c r="CD223" i="1" s="1"/>
  <c r="AC211" i="1"/>
  <c r="CD211" i="1" s="1"/>
  <c r="AD217" i="1"/>
  <c r="CE217" i="1" s="1"/>
  <c r="AD218" i="1"/>
  <c r="CE218" i="1" s="1"/>
  <c r="AD223" i="1"/>
  <c r="CE223" i="1" s="1"/>
  <c r="AD211" i="1"/>
  <c r="CE211" i="1" s="1"/>
  <c r="AE217" i="1"/>
  <c r="CF217" i="1" s="1"/>
  <c r="AE218" i="1"/>
  <c r="CF218" i="1" s="1"/>
  <c r="AE223" i="1"/>
  <c r="CF223" i="1" s="1"/>
  <c r="AE211" i="1"/>
  <c r="CF211" i="1" s="1"/>
  <c r="AF217" i="1"/>
  <c r="CG217" i="1" s="1"/>
  <c r="AF218" i="1"/>
  <c r="CG218" i="1" s="1"/>
  <c r="AF223" i="1"/>
  <c r="CG223" i="1" s="1"/>
  <c r="AF211" i="1"/>
  <c r="CG211" i="1" s="1"/>
  <c r="AG217" i="1"/>
  <c r="CH217" i="1" s="1"/>
  <c r="AG218" i="1"/>
  <c r="CH218" i="1" s="1"/>
  <c r="AG223" i="1"/>
  <c r="CH223" i="1" s="1"/>
  <c r="AG211" i="1"/>
  <c r="CH211" i="1" s="1"/>
  <c r="AH217" i="1"/>
  <c r="AO217" i="1" s="1"/>
  <c r="AH218" i="1"/>
  <c r="AO218" i="1" s="1"/>
  <c r="AH223" i="1"/>
  <c r="AO223" i="1" s="1"/>
  <c r="AH211" i="1"/>
  <c r="CI211" i="1" s="1"/>
  <c r="R234" i="1"/>
  <c r="CM170" i="1"/>
  <c r="BT207" i="1"/>
  <c r="BV207" i="1"/>
  <c r="BW207" i="1"/>
  <c r="BZ207" i="1"/>
  <c r="CC207" i="1"/>
  <c r="CE207" i="1"/>
  <c r="CG207" i="1"/>
  <c r="CI207" i="1"/>
  <c r="A2" i="1"/>
  <c r="A3" i="1"/>
  <c r="A4" i="1"/>
  <c r="A5" i="1"/>
  <c r="A6" i="1"/>
  <c r="A7" i="1"/>
  <c r="A8" i="1"/>
  <c r="A9" i="1"/>
  <c r="A10" i="1"/>
  <c r="A11" i="1"/>
  <c r="A13" i="1"/>
  <c r="A14" i="1"/>
  <c r="A15" i="1"/>
  <c r="A16" i="1"/>
  <c r="F63" i="1" s="1"/>
  <c r="A17" i="1"/>
  <c r="A18" i="1"/>
  <c r="F65" i="1" s="1"/>
  <c r="A19" i="1"/>
  <c r="A20" i="1"/>
  <c r="F67" i="1" s="1"/>
  <c r="A21" i="1"/>
  <c r="F68" i="1" s="1"/>
  <c r="A22" i="1"/>
  <c r="F69" i="1" s="1"/>
  <c r="A23" i="1"/>
  <c r="F70" i="1" s="1"/>
  <c r="A24" i="1"/>
  <c r="A25" i="1"/>
  <c r="A26" i="1"/>
  <c r="A27" i="1"/>
  <c r="F74" i="1" s="1"/>
  <c r="A28" i="1"/>
  <c r="F75" i="1" s="1"/>
  <c r="A29" i="1"/>
  <c r="F367" i="1" s="1"/>
  <c r="A31" i="1"/>
  <c r="A32" i="1"/>
  <c r="F369" i="1" s="1"/>
  <c r="A33" i="1"/>
  <c r="F79" i="1" s="1"/>
  <c r="A34" i="1"/>
  <c r="F80" i="1" s="1"/>
  <c r="A35" i="1"/>
  <c r="A36" i="1"/>
  <c r="F82" i="1" s="1"/>
  <c r="A37" i="1"/>
  <c r="F83" i="1" s="1"/>
  <c r="A38" i="1"/>
  <c r="A39" i="1"/>
  <c r="F220" i="1" s="1"/>
  <c r="CK220" i="1" s="1"/>
  <c r="A40" i="1"/>
  <c r="F377" i="1" s="1"/>
  <c r="A41" i="1"/>
  <c r="F216" i="1" s="1"/>
  <c r="CK216" i="1" s="1"/>
  <c r="A42" i="1"/>
  <c r="A43" i="1"/>
  <c r="A44" i="1"/>
  <c r="A45" i="1"/>
  <c r="A46" i="1"/>
  <c r="F92" i="1" s="1"/>
  <c r="A47" i="1"/>
  <c r="F93" i="1" s="1"/>
  <c r="A48" i="1"/>
  <c r="F94" i="1" s="1"/>
  <c r="A49" i="1"/>
  <c r="F385" i="1" s="1"/>
  <c r="A50" i="1"/>
  <c r="A51" i="1"/>
  <c r="F387" i="1" s="1"/>
  <c r="A52" i="1"/>
  <c r="A53" i="1"/>
  <c r="F389" i="1" s="1"/>
  <c r="A54" i="1"/>
  <c r="F100" i="1" s="1"/>
  <c r="A55" i="1"/>
  <c r="F101" i="1" s="1"/>
  <c r="A56" i="1"/>
  <c r="A57" i="1"/>
  <c r="A58" i="1"/>
  <c r="K10" i="4" s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K13" i="4" s="1"/>
  <c r="A72" i="1"/>
  <c r="A73" i="1"/>
  <c r="A74" i="1"/>
  <c r="A75" i="1"/>
  <c r="A77" i="1"/>
  <c r="A78" i="1"/>
  <c r="A79" i="1"/>
  <c r="A80" i="1"/>
  <c r="A81" i="1"/>
  <c r="A82" i="1"/>
  <c r="A83" i="1"/>
  <c r="A84" i="1"/>
  <c r="A85" i="1"/>
  <c r="A86" i="1"/>
  <c r="A87" i="1"/>
  <c r="K14" i="4" s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K16" i="4" s="1"/>
  <c r="A103" i="1"/>
  <c r="A104" i="1"/>
  <c r="A105" i="1"/>
  <c r="A106" i="1"/>
  <c r="A107" i="1"/>
  <c r="A109" i="1"/>
  <c r="A110" i="1"/>
  <c r="A111" i="1"/>
  <c r="A112" i="1"/>
  <c r="K17" i="4" s="1"/>
  <c r="A113" i="1"/>
  <c r="A114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K49" i="4" s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K269" i="4" s="1"/>
  <c r="A149" i="1"/>
  <c r="A150" i="1"/>
  <c r="A151" i="1"/>
  <c r="K271" i="4" s="1"/>
  <c r="A152" i="1"/>
  <c r="A153" i="1"/>
  <c r="A154" i="1"/>
  <c r="A155" i="1"/>
  <c r="A156" i="1"/>
  <c r="K76" i="4" s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K29" i="4" s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K30" i="4" s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K31" i="4" s="1"/>
  <c r="A227" i="1"/>
  <c r="A228" i="1"/>
  <c r="A229" i="1"/>
  <c r="A230" i="1"/>
  <c r="A231" i="1"/>
  <c r="A232" i="1"/>
  <c r="A233" i="1"/>
  <c r="A234" i="1"/>
  <c r="K32" i="4" s="1"/>
  <c r="A235" i="1"/>
  <c r="A236" i="1"/>
  <c r="A237" i="1"/>
  <c r="A238" i="1"/>
  <c r="A239" i="1"/>
  <c r="A240" i="1"/>
  <c r="A241" i="1"/>
  <c r="A242" i="1"/>
  <c r="K33" i="4" s="1"/>
  <c r="A243" i="1"/>
  <c r="A244" i="1"/>
  <c r="A245" i="1"/>
  <c r="A246" i="1"/>
  <c r="A247" i="1"/>
  <c r="A248" i="1"/>
  <c r="A249" i="1"/>
  <c r="A250" i="1"/>
  <c r="A251" i="1"/>
  <c r="A252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K35" i="4" s="1"/>
  <c r="A341" i="1"/>
  <c r="A342" i="1"/>
  <c r="A343" i="1"/>
  <c r="A344" i="1"/>
  <c r="A345" i="1"/>
  <c r="A346" i="1"/>
  <c r="A347" i="1"/>
  <c r="A348" i="1"/>
  <c r="A349" i="1"/>
  <c r="A350" i="1"/>
  <c r="K38" i="4" s="1"/>
  <c r="A351" i="1"/>
  <c r="A352" i="1"/>
  <c r="A353" i="1"/>
  <c r="A354" i="1"/>
  <c r="A355" i="1"/>
  <c r="A356" i="1"/>
  <c r="A357" i="1"/>
  <c r="A358" i="1"/>
  <c r="A359" i="1"/>
  <c r="A360" i="1"/>
  <c r="A361" i="1"/>
  <c r="A362" i="1"/>
  <c r="K40" i="4" s="1"/>
  <c r="A363" i="1"/>
  <c r="A364" i="1"/>
  <c r="A365" i="1"/>
  <c r="A366" i="1"/>
  <c r="A367" i="1"/>
  <c r="A369" i="1"/>
  <c r="A370" i="1"/>
  <c r="A371" i="1"/>
  <c r="A372" i="1"/>
  <c r="A373" i="1"/>
  <c r="A374" i="1"/>
  <c r="A375" i="1"/>
  <c r="A376" i="1"/>
  <c r="A377" i="1"/>
  <c r="A378" i="1"/>
  <c r="K41" i="4" s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K42" i="4" s="1"/>
  <c r="A392" i="1"/>
  <c r="A393" i="1"/>
  <c r="A394" i="1"/>
  <c r="A395" i="1"/>
  <c r="A396" i="1"/>
  <c r="A397" i="1"/>
  <c r="A398" i="1"/>
  <c r="A399" i="1"/>
  <c r="A401" i="1"/>
  <c r="A402" i="1"/>
  <c r="K43" i="4" s="1"/>
  <c r="A403" i="1"/>
  <c r="A404" i="1"/>
  <c r="K44" i="4" s="1"/>
  <c r="A405" i="1"/>
  <c r="A406" i="1"/>
  <c r="A407" i="1"/>
  <c r="A408" i="1"/>
  <c r="F413" i="1" s="1"/>
  <c r="A409" i="1"/>
  <c r="A410" i="1"/>
  <c r="A411" i="1"/>
  <c r="A412" i="1"/>
  <c r="A413" i="1"/>
  <c r="A414" i="1"/>
  <c r="A415" i="1"/>
  <c r="A416" i="1"/>
  <c r="A417" i="1"/>
  <c r="A418" i="1"/>
  <c r="A419" i="1"/>
  <c r="A420" i="1"/>
  <c r="K24" i="4" s="1"/>
  <c r="A421" i="1"/>
  <c r="A422" i="1"/>
  <c r="A423" i="1"/>
  <c r="A424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K285" i="4" s="1"/>
  <c r="A441" i="1"/>
  <c r="K296" i="4" s="1"/>
  <c r="A442" i="1"/>
  <c r="K305" i="4" s="1"/>
  <c r="A443" i="1"/>
  <c r="A444" i="1"/>
  <c r="A445" i="1"/>
  <c r="A446" i="1"/>
  <c r="A447" i="1"/>
  <c r="A448" i="1"/>
  <c r="C57" i="4"/>
  <c r="CN170" i="1"/>
  <c r="CO170" i="1"/>
  <c r="CP170" i="1"/>
  <c r="CQ170" i="1"/>
  <c r="CR170" i="1"/>
  <c r="C70" i="4"/>
  <c r="C71" i="4"/>
  <c r="C78" i="4"/>
  <c r="AT4" i="1"/>
  <c r="BB4" i="1"/>
  <c r="AU4" i="1"/>
  <c r="BC4" i="1"/>
  <c r="AV4" i="1"/>
  <c r="BD4" i="1"/>
  <c r="AW4" i="1"/>
  <c r="BE4" i="1"/>
  <c r="AX4" i="1"/>
  <c r="BF4" i="1"/>
  <c r="AY4" i="1"/>
  <c r="BG4" i="1"/>
  <c r="C1" i="4"/>
  <c r="C31" i="5"/>
  <c r="C35" i="5"/>
  <c r="D21" i="5"/>
  <c r="D22" i="5"/>
  <c r="E21" i="5"/>
  <c r="E22" i="5"/>
  <c r="F21" i="5"/>
  <c r="F22" i="5"/>
  <c r="G35" i="5"/>
  <c r="H21" i="5"/>
  <c r="K21" i="5" s="1"/>
  <c r="H22" i="5"/>
  <c r="I21" i="5"/>
  <c r="I22" i="5"/>
  <c r="J21" i="5"/>
  <c r="M21" i="5" s="1"/>
  <c r="J22" i="5"/>
  <c r="L21" i="5"/>
  <c r="L35" i="5" s="1"/>
  <c r="N25" i="5"/>
  <c r="I23" i="5"/>
  <c r="L23" i="5" s="1"/>
  <c r="H23" i="5"/>
  <c r="K23" i="5" s="1"/>
  <c r="N23" i="5" s="1"/>
  <c r="N27" i="5"/>
  <c r="N32" i="5"/>
  <c r="M25" i="5"/>
  <c r="J23" i="5"/>
  <c r="M23" i="5" s="1"/>
  <c r="M27" i="5"/>
  <c r="M32" i="5"/>
  <c r="L32" i="5"/>
  <c r="L27" i="5"/>
  <c r="L25" i="5"/>
  <c r="I24" i="5"/>
  <c r="L24" i="5" s="1"/>
  <c r="I19" i="5"/>
  <c r="L19" i="5" s="1"/>
  <c r="G1" i="1"/>
  <c r="H1" i="1"/>
  <c r="I1" i="1"/>
  <c r="J1" i="1"/>
  <c r="K1" i="1"/>
  <c r="L1" i="1"/>
  <c r="M1" i="1"/>
  <c r="N1" i="1"/>
  <c r="O1" i="1"/>
  <c r="P1" i="1"/>
  <c r="Q1" i="1"/>
  <c r="R1" i="1"/>
  <c r="S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E1" i="1"/>
  <c r="A1" i="1"/>
  <c r="A1" i="4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BT239" i="1"/>
  <c r="BU239" i="1"/>
  <c r="BV239" i="1"/>
  <c r="BW239" i="1"/>
  <c r="BY239" i="1"/>
  <c r="BZ239" i="1"/>
  <c r="CA239" i="1"/>
  <c r="CB239" i="1"/>
  <c r="CC239" i="1"/>
  <c r="CD239" i="1"/>
  <c r="CE239" i="1"/>
  <c r="CF239" i="1"/>
  <c r="CG239" i="1"/>
  <c r="CH239" i="1"/>
  <c r="CI239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K338" i="1"/>
  <c r="CK337" i="1"/>
  <c r="CK335" i="1"/>
  <c r="CK331" i="1"/>
  <c r="CK330" i="1"/>
  <c r="CK328" i="1"/>
  <c r="CK324" i="1"/>
  <c r="CK323" i="1"/>
  <c r="CK321" i="1"/>
  <c r="CK317" i="1"/>
  <c r="CK316" i="1"/>
  <c r="CK314" i="1"/>
  <c r="CK310" i="1"/>
  <c r="CK309" i="1"/>
  <c r="CK307" i="1"/>
  <c r="CK303" i="1"/>
  <c r="CK302" i="1"/>
  <c r="CK300" i="1"/>
  <c r="CK296" i="1"/>
  <c r="CK295" i="1"/>
  <c r="CK293" i="1"/>
  <c r="CK289" i="1"/>
  <c r="CK288" i="1"/>
  <c r="CK286" i="1"/>
  <c r="CK282" i="1"/>
  <c r="CK281" i="1"/>
  <c r="CK279" i="1"/>
  <c r="CK275" i="1"/>
  <c r="CK274" i="1"/>
  <c r="CK272" i="1"/>
  <c r="CK268" i="1"/>
  <c r="CK267" i="1"/>
  <c r="CK265" i="1"/>
  <c r="CK261" i="1"/>
  <c r="CK260" i="1"/>
  <c r="CK258" i="1"/>
  <c r="CK248" i="1"/>
  <c r="CK247" i="1"/>
  <c r="CK246" i="1"/>
  <c r="CK245" i="1"/>
  <c r="CK241" i="1"/>
  <c r="CK240" i="1"/>
  <c r="CK239" i="1"/>
  <c r="CK238" i="1"/>
  <c r="CK237" i="1"/>
  <c r="CK233" i="1"/>
  <c r="CK232" i="1"/>
  <c r="CK231" i="1"/>
  <c r="CK230" i="1"/>
  <c r="CK229" i="1"/>
  <c r="CK212" i="1"/>
  <c r="CK206" i="1"/>
  <c r="CK176" i="1"/>
  <c r="CK177" i="1"/>
  <c r="CK175" i="1"/>
  <c r="K25" i="5"/>
  <c r="K32" i="5"/>
  <c r="K27" i="5"/>
  <c r="H24" i="5"/>
  <c r="K24" i="5" s="1"/>
  <c r="H19" i="5"/>
  <c r="K19" i="5" s="1"/>
  <c r="J32" i="5"/>
  <c r="I32" i="5"/>
  <c r="H32" i="5"/>
  <c r="G32" i="5"/>
  <c r="F32" i="5"/>
  <c r="E32" i="5"/>
  <c r="D32" i="5"/>
  <c r="H25" i="5"/>
  <c r="G25" i="5"/>
  <c r="J27" i="5"/>
  <c r="I27" i="5"/>
  <c r="H27" i="5"/>
  <c r="I25" i="5"/>
  <c r="J25" i="5" s="1"/>
  <c r="J24" i="5"/>
  <c r="J20" i="5"/>
  <c r="I20" i="5"/>
  <c r="H20" i="5"/>
  <c r="J19" i="5"/>
  <c r="E25" i="5"/>
  <c r="F25" i="5" s="1"/>
  <c r="D25" i="5"/>
  <c r="F20" i="5"/>
  <c r="E20" i="5"/>
  <c r="D20" i="5"/>
  <c r="C25" i="5"/>
  <c r="F27" i="5"/>
  <c r="E27" i="5"/>
  <c r="D27" i="5"/>
  <c r="F24" i="5"/>
  <c r="F23" i="5"/>
  <c r="F19" i="5"/>
  <c r="E23" i="5"/>
  <c r="E24" i="5"/>
  <c r="E19" i="5"/>
  <c r="D24" i="5"/>
  <c r="D23" i="5"/>
  <c r="D19" i="5"/>
  <c r="T1" i="3"/>
  <c r="K4" i="3"/>
  <c r="AI432" i="1"/>
  <c r="AI430" i="1"/>
  <c r="AI423" i="1"/>
  <c r="AI422" i="1"/>
  <c r="AI421" i="1"/>
  <c r="AI420" i="1"/>
  <c r="AI419" i="1"/>
  <c r="AI418" i="1"/>
  <c r="AI416" i="1"/>
  <c r="AI410" i="1"/>
  <c r="AI409" i="1"/>
  <c r="AI407" i="1"/>
  <c r="AI405" i="1"/>
  <c r="R371" i="1"/>
  <c r="R372" i="1"/>
  <c r="AL372" i="1" s="1"/>
  <c r="R373" i="1"/>
  <c r="R374" i="1"/>
  <c r="R375" i="1"/>
  <c r="R376" i="1"/>
  <c r="AI403" i="1"/>
  <c r="AI396" i="1"/>
  <c r="AI395" i="1"/>
  <c r="AI394" i="1"/>
  <c r="AI392" i="1"/>
  <c r="AI380" i="1"/>
  <c r="AI379" i="1"/>
  <c r="S369" i="1"/>
  <c r="S370" i="1"/>
  <c r="S371" i="1"/>
  <c r="S372" i="1"/>
  <c r="S373" i="1"/>
  <c r="S374" i="1"/>
  <c r="S375" i="1"/>
  <c r="S376" i="1"/>
  <c r="U369" i="1"/>
  <c r="U370" i="1"/>
  <c r="U371" i="1"/>
  <c r="U372" i="1"/>
  <c r="U373" i="1"/>
  <c r="U374" i="1"/>
  <c r="U375" i="1"/>
  <c r="U376" i="1"/>
  <c r="V369" i="1"/>
  <c r="V370" i="1"/>
  <c r="V371" i="1"/>
  <c r="V372" i="1"/>
  <c r="V373" i="1"/>
  <c r="V374" i="1"/>
  <c r="V375" i="1"/>
  <c r="V376" i="1"/>
  <c r="W371" i="1"/>
  <c r="W372" i="1"/>
  <c r="W373" i="1"/>
  <c r="W374" i="1"/>
  <c r="W375" i="1"/>
  <c r="W376" i="1"/>
  <c r="X369" i="1"/>
  <c r="X370" i="1"/>
  <c r="X371" i="1"/>
  <c r="X372" i="1"/>
  <c r="X373" i="1"/>
  <c r="X374" i="1"/>
  <c r="X375" i="1"/>
  <c r="X376" i="1"/>
  <c r="Y369" i="1"/>
  <c r="Y370" i="1"/>
  <c r="Y371" i="1"/>
  <c r="Y372" i="1"/>
  <c r="Y373" i="1"/>
  <c r="Y374" i="1"/>
  <c r="Y375" i="1"/>
  <c r="Y376" i="1"/>
  <c r="Z369" i="1"/>
  <c r="Z370" i="1"/>
  <c r="Z371" i="1"/>
  <c r="Z372" i="1"/>
  <c r="Z373" i="1"/>
  <c r="Z374" i="1"/>
  <c r="Z375" i="1"/>
  <c r="Z376" i="1"/>
  <c r="AA369" i="1"/>
  <c r="AA370" i="1"/>
  <c r="AA371" i="1"/>
  <c r="AA372" i="1"/>
  <c r="AA373" i="1"/>
  <c r="AA374" i="1"/>
  <c r="AA375" i="1"/>
  <c r="AA376" i="1"/>
  <c r="AB369" i="1"/>
  <c r="AB370" i="1"/>
  <c r="AB371" i="1"/>
  <c r="AB372" i="1"/>
  <c r="AB373" i="1"/>
  <c r="AB374" i="1"/>
  <c r="AB375" i="1"/>
  <c r="AB376" i="1"/>
  <c r="AC369" i="1"/>
  <c r="AC370" i="1"/>
  <c r="AC371" i="1"/>
  <c r="AC372" i="1"/>
  <c r="AC373" i="1"/>
  <c r="AC374" i="1"/>
  <c r="AC375" i="1"/>
  <c r="AC376" i="1"/>
  <c r="AD369" i="1"/>
  <c r="AD370" i="1"/>
  <c r="AD371" i="1"/>
  <c r="AD372" i="1"/>
  <c r="AD373" i="1"/>
  <c r="AD374" i="1"/>
  <c r="AD375" i="1"/>
  <c r="AD376" i="1"/>
  <c r="AE369" i="1"/>
  <c r="AE370" i="1"/>
  <c r="AE371" i="1"/>
  <c r="AE372" i="1"/>
  <c r="AE373" i="1"/>
  <c r="AE374" i="1"/>
  <c r="AE375" i="1"/>
  <c r="AE376" i="1"/>
  <c r="AF369" i="1"/>
  <c r="AF370" i="1"/>
  <c r="AF371" i="1"/>
  <c r="AF372" i="1"/>
  <c r="AF373" i="1"/>
  <c r="AF374" i="1"/>
  <c r="AF375" i="1"/>
  <c r="AF376" i="1"/>
  <c r="AG369" i="1"/>
  <c r="AG370" i="1"/>
  <c r="AG371" i="1"/>
  <c r="AG372" i="1"/>
  <c r="AG373" i="1"/>
  <c r="AG374" i="1"/>
  <c r="AG375" i="1"/>
  <c r="AG376" i="1"/>
  <c r="AH369" i="1"/>
  <c r="AO369" i="1" s="1"/>
  <c r="AH370" i="1"/>
  <c r="AO370" i="1" s="1"/>
  <c r="AH371" i="1"/>
  <c r="AO371" i="1" s="1"/>
  <c r="AH372" i="1"/>
  <c r="AO372" i="1" s="1"/>
  <c r="AH373" i="1"/>
  <c r="AO373" i="1" s="1"/>
  <c r="AH374" i="1"/>
  <c r="AH375" i="1"/>
  <c r="AO375" i="1" s="1"/>
  <c r="AH376" i="1"/>
  <c r="AO376" i="1" s="1"/>
  <c r="AI364" i="1"/>
  <c r="AI363" i="1"/>
  <c r="AI353" i="1"/>
  <c r="AI352" i="1"/>
  <c r="AI351" i="1"/>
  <c r="AI349" i="1"/>
  <c r="AI348" i="1"/>
  <c r="AI344" i="1"/>
  <c r="AI343" i="1"/>
  <c r="AI341" i="1"/>
  <c r="AI338" i="1"/>
  <c r="AI337" i="1"/>
  <c r="R220" i="1"/>
  <c r="R222" i="1"/>
  <c r="BS222" i="1" s="1"/>
  <c r="R209" i="1"/>
  <c r="BS209" i="1" s="1"/>
  <c r="S219" i="1"/>
  <c r="S220" i="1"/>
  <c r="BT220" i="1" s="1"/>
  <c r="S221" i="1"/>
  <c r="BT221" i="1" s="1"/>
  <c r="S222" i="1"/>
  <c r="BT222" i="1" s="1"/>
  <c r="S208" i="1"/>
  <c r="BT208" i="1" s="1"/>
  <c r="S209" i="1"/>
  <c r="BT209" i="1" s="1"/>
  <c r="S210" i="1"/>
  <c r="BU219" i="1"/>
  <c r="BU221" i="1"/>
  <c r="BU208" i="1"/>
  <c r="BU210" i="1"/>
  <c r="U219" i="1"/>
  <c r="BV219" i="1" s="1"/>
  <c r="U220" i="1"/>
  <c r="BV220" i="1" s="1"/>
  <c r="U221" i="1"/>
  <c r="U222" i="1"/>
  <c r="BV222" i="1" s="1"/>
  <c r="U208" i="1"/>
  <c r="BV208" i="1" s="1"/>
  <c r="U209" i="1"/>
  <c r="BV209" i="1" s="1"/>
  <c r="U210" i="1"/>
  <c r="BV210" i="1" s="1"/>
  <c r="V219" i="1"/>
  <c r="BW219" i="1" s="1"/>
  <c r="V220" i="1"/>
  <c r="BW220" i="1" s="1"/>
  <c r="V221" i="1"/>
  <c r="BW221" i="1" s="1"/>
  <c r="V222" i="1"/>
  <c r="BW222" i="1" s="1"/>
  <c r="V208" i="1"/>
  <c r="BW208" i="1" s="1"/>
  <c r="V209" i="1"/>
  <c r="V210" i="1"/>
  <c r="BW210" i="1" s="1"/>
  <c r="W220" i="1"/>
  <c r="W222" i="1"/>
  <c r="BX222" i="1" s="1"/>
  <c r="W209" i="1"/>
  <c r="BX209" i="1" s="1"/>
  <c r="X219" i="1"/>
  <c r="BY219" i="1" s="1"/>
  <c r="X220" i="1"/>
  <c r="X221" i="1"/>
  <c r="BY221" i="1" s="1"/>
  <c r="X222" i="1"/>
  <c r="X208" i="1"/>
  <c r="BY208" i="1" s="1"/>
  <c r="X209" i="1"/>
  <c r="X210" i="1"/>
  <c r="BY210" i="1" s="1"/>
  <c r="Y219" i="1"/>
  <c r="BZ219" i="1" s="1"/>
  <c r="Y220" i="1"/>
  <c r="BZ220" i="1" s="1"/>
  <c r="Y221" i="1"/>
  <c r="BZ221" i="1" s="1"/>
  <c r="Y222" i="1"/>
  <c r="BZ222" i="1" s="1"/>
  <c r="Y208" i="1"/>
  <c r="BZ208" i="1" s="1"/>
  <c r="Y209" i="1"/>
  <c r="BZ209" i="1" s="1"/>
  <c r="Y210" i="1"/>
  <c r="BZ210" i="1" s="1"/>
  <c r="Z219" i="1"/>
  <c r="CA219" i="1" s="1"/>
  <c r="Z220" i="1"/>
  <c r="Z221" i="1"/>
  <c r="CA221" i="1" s="1"/>
  <c r="Z222" i="1"/>
  <c r="CA222" i="1" s="1"/>
  <c r="Z208" i="1"/>
  <c r="CA208" i="1" s="1"/>
  <c r="Z209" i="1"/>
  <c r="Z210" i="1"/>
  <c r="CA210" i="1" s="1"/>
  <c r="AA219" i="1"/>
  <c r="CB219" i="1" s="1"/>
  <c r="AA220" i="1"/>
  <c r="CB220" i="1" s="1"/>
  <c r="AA221" i="1"/>
  <c r="CB221" i="1" s="1"/>
  <c r="AA222" i="1"/>
  <c r="CB222" i="1" s="1"/>
  <c r="AA208" i="1"/>
  <c r="CB208" i="1" s="1"/>
  <c r="AA209" i="1"/>
  <c r="CB209" i="1" s="1"/>
  <c r="AA210" i="1"/>
  <c r="AB219" i="1"/>
  <c r="CC219" i="1" s="1"/>
  <c r="AB220" i="1"/>
  <c r="AB221" i="1"/>
  <c r="AB222" i="1"/>
  <c r="CC222" i="1" s="1"/>
  <c r="AB208" i="1"/>
  <c r="AB209" i="1"/>
  <c r="AB210" i="1"/>
  <c r="CC210" i="1" s="1"/>
  <c r="AC219" i="1"/>
  <c r="AC220" i="1"/>
  <c r="CD220" i="1" s="1"/>
  <c r="AC221" i="1"/>
  <c r="CD221" i="1" s="1"/>
  <c r="AC222" i="1"/>
  <c r="CD222" i="1" s="1"/>
  <c r="AC208" i="1"/>
  <c r="AC209" i="1"/>
  <c r="CD209" i="1" s="1"/>
  <c r="AC210" i="1"/>
  <c r="AD219" i="1"/>
  <c r="CE219" i="1" s="1"/>
  <c r="AD220" i="1"/>
  <c r="CE220" i="1" s="1"/>
  <c r="AD221" i="1"/>
  <c r="CE221" i="1" s="1"/>
  <c r="AD222" i="1"/>
  <c r="CE222" i="1" s="1"/>
  <c r="AD208" i="1"/>
  <c r="CE208" i="1" s="1"/>
  <c r="AD209" i="1"/>
  <c r="AD210" i="1"/>
  <c r="CE210" i="1" s="1"/>
  <c r="AE219" i="1"/>
  <c r="CF219" i="1" s="1"/>
  <c r="AE220" i="1"/>
  <c r="CF220" i="1" s="1"/>
  <c r="AE221" i="1"/>
  <c r="AE222" i="1"/>
  <c r="CF222" i="1" s="1"/>
  <c r="AE208" i="1"/>
  <c r="AE209" i="1"/>
  <c r="CF209" i="1" s="1"/>
  <c r="AE210" i="1"/>
  <c r="CF210" i="1" s="1"/>
  <c r="AF219" i="1"/>
  <c r="CG219" i="1" s="1"/>
  <c r="AF220" i="1"/>
  <c r="AF221" i="1"/>
  <c r="CG221" i="1" s="1"/>
  <c r="AF222" i="1"/>
  <c r="CG222" i="1" s="1"/>
  <c r="AF208" i="1"/>
  <c r="CG208" i="1" s="1"/>
  <c r="AF209" i="1"/>
  <c r="AF210" i="1"/>
  <c r="CG210" i="1" s="1"/>
  <c r="AG219" i="1"/>
  <c r="CH219" i="1" s="1"/>
  <c r="AG220" i="1"/>
  <c r="CH220" i="1" s="1"/>
  <c r="AG221" i="1"/>
  <c r="CH221" i="1" s="1"/>
  <c r="AG222" i="1"/>
  <c r="CH222" i="1" s="1"/>
  <c r="AG208" i="1"/>
  <c r="CH208" i="1" s="1"/>
  <c r="AG209" i="1"/>
  <c r="CH209" i="1" s="1"/>
  <c r="AG210" i="1"/>
  <c r="CH210" i="1" s="1"/>
  <c r="AH219" i="1"/>
  <c r="AO219" i="1" s="1"/>
  <c r="AH220" i="1"/>
  <c r="AO220" i="1" s="1"/>
  <c r="AH221" i="1"/>
  <c r="CI221" i="1" s="1"/>
  <c r="AH222" i="1"/>
  <c r="CI222" i="1" s="1"/>
  <c r="AH208" i="1"/>
  <c r="AO208" i="1" s="1"/>
  <c r="AH209" i="1"/>
  <c r="AO209" i="1" s="1"/>
  <c r="AH210" i="1"/>
  <c r="AO210" i="1" s="1"/>
  <c r="AI333" i="1"/>
  <c r="AI331" i="1"/>
  <c r="AI330" i="1"/>
  <c r="AI326" i="1"/>
  <c r="AI324" i="1"/>
  <c r="AI323" i="1"/>
  <c r="AI319" i="1"/>
  <c r="AI317" i="1"/>
  <c r="AI316" i="1"/>
  <c r="AI312" i="1"/>
  <c r="AI310" i="1"/>
  <c r="AI309" i="1"/>
  <c r="AI305" i="1"/>
  <c r="AI303" i="1"/>
  <c r="AI302" i="1"/>
  <c r="AI298" i="1"/>
  <c r="AI296" i="1"/>
  <c r="AI295" i="1"/>
  <c r="AI291" i="1"/>
  <c r="AI289" i="1"/>
  <c r="AI288" i="1"/>
  <c r="AI284" i="1"/>
  <c r="AI282" i="1"/>
  <c r="AI281" i="1"/>
  <c r="AI277" i="1"/>
  <c r="AI275" i="1"/>
  <c r="AI274" i="1"/>
  <c r="AI270" i="1"/>
  <c r="AI268" i="1"/>
  <c r="AI267" i="1"/>
  <c r="AI263" i="1"/>
  <c r="AI261" i="1"/>
  <c r="AI260" i="1"/>
  <c r="AI256" i="1"/>
  <c r="AI255" i="1"/>
  <c r="AI254" i="1"/>
  <c r="AI250" i="1"/>
  <c r="AI248" i="1"/>
  <c r="AI247" i="1"/>
  <c r="AI246" i="1"/>
  <c r="AI245" i="1"/>
  <c r="AI244" i="1"/>
  <c r="AI243" i="1"/>
  <c r="AI241" i="1"/>
  <c r="AI240" i="1"/>
  <c r="AI238" i="1"/>
  <c r="AI237" i="1"/>
  <c r="AI236" i="1"/>
  <c r="AI235" i="1"/>
  <c r="AI233" i="1"/>
  <c r="AI232" i="1"/>
  <c r="AI231" i="1"/>
  <c r="AI230" i="1"/>
  <c r="AI229" i="1"/>
  <c r="AI228" i="1"/>
  <c r="AI227" i="1"/>
  <c r="AI212" i="1"/>
  <c r="AI206" i="1"/>
  <c r="AI204" i="1"/>
  <c r="AI203" i="1"/>
  <c r="AI180" i="1"/>
  <c r="AI179" i="1"/>
  <c r="AI177" i="1"/>
  <c r="AI176" i="1"/>
  <c r="AI174" i="1"/>
  <c r="AI158" i="1"/>
  <c r="AI157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3" i="1"/>
  <c r="AI132" i="1"/>
  <c r="AI131" i="1"/>
  <c r="AI129" i="1"/>
  <c r="AI127" i="1"/>
  <c r="AI122" i="1"/>
  <c r="AI121" i="1"/>
  <c r="AI120" i="1"/>
  <c r="AI118" i="1"/>
  <c r="AI113" i="1"/>
  <c r="R80" i="1"/>
  <c r="R81" i="1"/>
  <c r="R82" i="1"/>
  <c r="R83" i="1"/>
  <c r="R84" i="1"/>
  <c r="R85" i="1"/>
  <c r="AI111" i="1"/>
  <c r="AI106" i="1"/>
  <c r="AI105" i="1"/>
  <c r="AI103" i="1"/>
  <c r="AI91" i="1"/>
  <c r="AI90" i="1"/>
  <c r="S78" i="1"/>
  <c r="S79" i="1"/>
  <c r="S80" i="1"/>
  <c r="S81" i="1"/>
  <c r="S82" i="1"/>
  <c r="S83" i="1"/>
  <c r="S84" i="1"/>
  <c r="S85" i="1"/>
  <c r="U78" i="1"/>
  <c r="U79" i="1"/>
  <c r="U80" i="1"/>
  <c r="U81" i="1"/>
  <c r="U82" i="1"/>
  <c r="U83" i="1"/>
  <c r="U84" i="1"/>
  <c r="U85" i="1"/>
  <c r="V78" i="1"/>
  <c r="V79" i="1"/>
  <c r="V80" i="1"/>
  <c r="V81" i="1"/>
  <c r="V82" i="1"/>
  <c r="V83" i="1"/>
  <c r="V84" i="1"/>
  <c r="V85" i="1"/>
  <c r="W80" i="1"/>
  <c r="W81" i="1"/>
  <c r="W82" i="1"/>
  <c r="W83" i="1"/>
  <c r="W84" i="1"/>
  <c r="W85" i="1"/>
  <c r="X78" i="1"/>
  <c r="X79" i="1"/>
  <c r="X80" i="1"/>
  <c r="X81" i="1"/>
  <c r="X82" i="1"/>
  <c r="X83" i="1"/>
  <c r="X84" i="1"/>
  <c r="X85" i="1"/>
  <c r="Y78" i="1"/>
  <c r="Y79" i="1"/>
  <c r="Y80" i="1"/>
  <c r="Y81" i="1"/>
  <c r="Y82" i="1"/>
  <c r="Y83" i="1"/>
  <c r="Y84" i="1"/>
  <c r="Y85" i="1"/>
  <c r="Z78" i="1"/>
  <c r="Z79" i="1"/>
  <c r="Z80" i="1"/>
  <c r="Z81" i="1"/>
  <c r="Z82" i="1"/>
  <c r="Z83" i="1"/>
  <c r="Z84" i="1"/>
  <c r="Z85" i="1"/>
  <c r="AA78" i="1"/>
  <c r="AA79" i="1"/>
  <c r="AA80" i="1"/>
  <c r="AA81" i="1"/>
  <c r="AA82" i="1"/>
  <c r="AA83" i="1"/>
  <c r="AA84" i="1"/>
  <c r="AA85" i="1"/>
  <c r="AB78" i="1"/>
  <c r="AB79" i="1"/>
  <c r="AB80" i="1"/>
  <c r="AB81" i="1"/>
  <c r="AB82" i="1"/>
  <c r="AB83" i="1"/>
  <c r="AB84" i="1"/>
  <c r="AB85" i="1"/>
  <c r="AC78" i="1"/>
  <c r="AC79" i="1"/>
  <c r="AC80" i="1"/>
  <c r="AC81" i="1"/>
  <c r="AC82" i="1"/>
  <c r="AC83" i="1"/>
  <c r="AC84" i="1"/>
  <c r="AC85" i="1"/>
  <c r="AD78" i="1"/>
  <c r="AD79" i="1"/>
  <c r="AD80" i="1"/>
  <c r="AD81" i="1"/>
  <c r="AD82" i="1"/>
  <c r="AD83" i="1"/>
  <c r="AD84" i="1"/>
  <c r="AD85" i="1"/>
  <c r="AE78" i="1"/>
  <c r="AE79" i="1"/>
  <c r="AE80" i="1"/>
  <c r="AE81" i="1"/>
  <c r="AE82" i="1"/>
  <c r="AE83" i="1"/>
  <c r="AE84" i="1"/>
  <c r="AE85" i="1"/>
  <c r="AF78" i="1"/>
  <c r="AF79" i="1"/>
  <c r="AF80" i="1"/>
  <c r="AF81" i="1"/>
  <c r="AF82" i="1"/>
  <c r="AF83" i="1"/>
  <c r="AF84" i="1"/>
  <c r="AF85" i="1"/>
  <c r="AG78" i="1"/>
  <c r="AG79" i="1"/>
  <c r="AG80" i="1"/>
  <c r="AG81" i="1"/>
  <c r="AG82" i="1"/>
  <c r="AG83" i="1"/>
  <c r="AG84" i="1"/>
  <c r="AG85" i="1"/>
  <c r="AH78" i="1"/>
  <c r="AO78" i="1" s="1"/>
  <c r="AH79" i="1"/>
  <c r="AO79" i="1" s="1"/>
  <c r="AH80" i="1"/>
  <c r="AO80" i="1" s="1"/>
  <c r="AH81" i="1"/>
  <c r="AO81" i="1" s="1"/>
  <c r="AH82" i="1"/>
  <c r="AO82" i="1" s="1"/>
  <c r="AH83" i="1"/>
  <c r="AO83" i="1" s="1"/>
  <c r="AH84" i="1"/>
  <c r="AO84" i="1" s="1"/>
  <c r="AH85" i="1"/>
  <c r="AO85" i="1" s="1"/>
  <c r="AI73" i="1"/>
  <c r="AI72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O70" i="1" s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O69" i="1" s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O68" i="1" s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O67" i="1" s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O65" i="1" s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O64" i="1" s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O63" i="1" s="1"/>
  <c r="AI62" i="1"/>
  <c r="AI61" i="1"/>
  <c r="AI60" i="1"/>
  <c r="AI59" i="1"/>
  <c r="AI57" i="1"/>
  <c r="AI45" i="1"/>
  <c r="AI44" i="1"/>
  <c r="AI42" i="1"/>
  <c r="AI39" i="1"/>
  <c r="AI38" i="1"/>
  <c r="AI37" i="1"/>
  <c r="AI36" i="1"/>
  <c r="AI35" i="1"/>
  <c r="AI34" i="1"/>
  <c r="AI26" i="1"/>
  <c r="AI25" i="1"/>
  <c r="AI23" i="1"/>
  <c r="AI22" i="1"/>
  <c r="AI21" i="1"/>
  <c r="AI20" i="1"/>
  <c r="AI19" i="1"/>
  <c r="AI18" i="1"/>
  <c r="AI17" i="1"/>
  <c r="AI16" i="1"/>
  <c r="AI15" i="1"/>
  <c r="AI14" i="1"/>
  <c r="AI9" i="1"/>
  <c r="AI8" i="1"/>
  <c r="AI7" i="1"/>
  <c r="L1" i="4"/>
  <c r="BO4" i="1"/>
  <c r="BN4" i="1"/>
  <c r="BM4" i="1"/>
  <c r="BL4" i="1"/>
  <c r="BK4" i="1"/>
  <c r="BJ4" i="1"/>
  <c r="BT177" i="1"/>
  <c r="BS177" i="1"/>
  <c r="I58" i="4"/>
  <c r="BZ201" i="1"/>
  <c r="CA201" i="1"/>
  <c r="CB201" i="1"/>
  <c r="CC201" i="1"/>
  <c r="CD201" i="1"/>
  <c r="CE201" i="1"/>
  <c r="CF201" i="1"/>
  <c r="CG201" i="1"/>
  <c r="CH201" i="1"/>
  <c r="CI201" i="1"/>
  <c r="R1" i="3"/>
  <c r="S1" i="3"/>
  <c r="G18" i="3"/>
  <c r="H18" i="3"/>
  <c r="I18" i="3"/>
  <c r="J18" i="3"/>
  <c r="D19" i="3"/>
  <c r="E37" i="3" s="1"/>
  <c r="S58" i="3" s="1"/>
  <c r="E38" i="3"/>
  <c r="F5" i="3"/>
  <c r="G5" i="3"/>
  <c r="H5" i="3"/>
  <c r="J5" i="3"/>
  <c r="J6" i="3"/>
  <c r="D7" i="3"/>
  <c r="D8" i="3"/>
  <c r="E26" i="3" s="1"/>
  <c r="E9" i="3"/>
  <c r="F9" i="3"/>
  <c r="G9" i="3"/>
  <c r="H9" i="3"/>
  <c r="I9" i="3"/>
  <c r="J9" i="3"/>
  <c r="J10" i="3" s="1"/>
  <c r="D11" i="3"/>
  <c r="D12" i="3"/>
  <c r="E30" i="3" s="1"/>
  <c r="L58" i="3" s="1"/>
  <c r="D13" i="3"/>
  <c r="E31" i="3" s="1"/>
  <c r="M58" i="3" s="1"/>
  <c r="T21" i="3"/>
  <c r="F14" i="3"/>
  <c r="U21" i="3" s="1"/>
  <c r="G14" i="3"/>
  <c r="V21" i="3" s="1"/>
  <c r="H14" i="3"/>
  <c r="W21" i="3" s="1"/>
  <c r="I14" i="3"/>
  <c r="X21" i="3" s="1"/>
  <c r="J14" i="3"/>
  <c r="G15" i="3"/>
  <c r="H15" i="3"/>
  <c r="J15" i="3"/>
  <c r="F16" i="3"/>
  <c r="G16" i="3"/>
  <c r="H16" i="3"/>
  <c r="I16" i="3"/>
  <c r="J16" i="3"/>
  <c r="J17" i="3"/>
  <c r="B1" i="1"/>
  <c r="D1" i="1"/>
  <c r="C1" i="1"/>
  <c r="I179" i="4"/>
  <c r="I255" i="4" s="1"/>
  <c r="H179" i="4"/>
  <c r="G179" i="4"/>
  <c r="F179" i="4"/>
  <c r="E179" i="4"/>
  <c r="D179" i="4"/>
  <c r="I178" i="4"/>
  <c r="I254" i="4" s="1"/>
  <c r="H178" i="4"/>
  <c r="G178" i="4"/>
  <c r="F178" i="4"/>
  <c r="E178" i="4"/>
  <c r="D178" i="4"/>
  <c r="I177" i="4"/>
  <c r="I247" i="4" s="1"/>
  <c r="I253" i="4" s="1"/>
  <c r="H177" i="4"/>
  <c r="G177" i="4"/>
  <c r="F177" i="4"/>
  <c r="E177" i="4"/>
  <c r="D177" i="4"/>
  <c r="AN239" i="1"/>
  <c r="AO239" i="1"/>
  <c r="AL16" i="1"/>
  <c r="AL17" i="1"/>
  <c r="AL18" i="1"/>
  <c r="AL19" i="1"/>
  <c r="AL20" i="1"/>
  <c r="AL21" i="1"/>
  <c r="AL22" i="1"/>
  <c r="AL23" i="1"/>
  <c r="AL34" i="1"/>
  <c r="AL35" i="1"/>
  <c r="AL36" i="1"/>
  <c r="AL37" i="1"/>
  <c r="AL38" i="1"/>
  <c r="AL39" i="1"/>
  <c r="AL122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M23" i="1"/>
  <c r="AN23" i="1"/>
  <c r="AO23" i="1"/>
  <c r="AO66" i="1"/>
  <c r="AN29" i="1"/>
  <c r="AO29" i="1"/>
  <c r="AM31" i="1"/>
  <c r="AN31" i="1"/>
  <c r="AO31" i="1"/>
  <c r="AN32" i="1"/>
  <c r="AO32" i="1"/>
  <c r="AN33" i="1"/>
  <c r="AO33" i="1"/>
  <c r="AM34" i="1"/>
  <c r="AN34" i="1"/>
  <c r="AO34" i="1"/>
  <c r="AM35" i="1"/>
  <c r="AN35" i="1"/>
  <c r="AO35" i="1"/>
  <c r="AM36" i="1"/>
  <c r="AN36" i="1"/>
  <c r="AO36" i="1"/>
  <c r="AM37" i="1"/>
  <c r="AN37" i="1"/>
  <c r="AO37" i="1"/>
  <c r="AM38" i="1"/>
  <c r="AN38" i="1"/>
  <c r="AO38" i="1"/>
  <c r="AM39" i="1"/>
  <c r="AN39" i="1"/>
  <c r="AO39" i="1"/>
  <c r="AN77" i="1"/>
  <c r="AO77" i="1"/>
  <c r="AN78" i="1"/>
  <c r="AM122" i="1"/>
  <c r="AN122" i="1"/>
  <c r="AO122" i="1"/>
  <c r="AO136" i="1"/>
  <c r="AO150" i="1" s="1"/>
  <c r="AN136" i="1"/>
  <c r="AN150" i="1" s="1"/>
  <c r="D1" i="3"/>
  <c r="AN175" i="1"/>
  <c r="AO175" i="1"/>
  <c r="AL176" i="1"/>
  <c r="AM176" i="1"/>
  <c r="AN176" i="1"/>
  <c r="AO176" i="1"/>
  <c r="AL177" i="1"/>
  <c r="AM177" i="1"/>
  <c r="AN177" i="1"/>
  <c r="AO177" i="1"/>
  <c r="AL206" i="1"/>
  <c r="AM206" i="1"/>
  <c r="AN206" i="1"/>
  <c r="AO206" i="1"/>
  <c r="AN207" i="1"/>
  <c r="AO207" i="1"/>
  <c r="AL212" i="1"/>
  <c r="AM212" i="1"/>
  <c r="AN212" i="1"/>
  <c r="AO212" i="1"/>
  <c r="AL229" i="1"/>
  <c r="AM229" i="1"/>
  <c r="AN229" i="1"/>
  <c r="AO229" i="1"/>
  <c r="AL230" i="1"/>
  <c r="AM230" i="1"/>
  <c r="AN230" i="1"/>
  <c r="AO230" i="1"/>
  <c r="AL231" i="1"/>
  <c r="AM231" i="1"/>
  <c r="AN231" i="1"/>
  <c r="AO231" i="1"/>
  <c r="AL232" i="1"/>
  <c r="AM232" i="1"/>
  <c r="AN232" i="1"/>
  <c r="AO232" i="1"/>
  <c r="AL233" i="1"/>
  <c r="AM233" i="1"/>
  <c r="AN233" i="1"/>
  <c r="AO233" i="1"/>
  <c r="AL237" i="1"/>
  <c r="AM237" i="1"/>
  <c r="AN237" i="1"/>
  <c r="AO237" i="1"/>
  <c r="AL238" i="1"/>
  <c r="AM238" i="1"/>
  <c r="AN238" i="1"/>
  <c r="AO238" i="1"/>
  <c r="AL240" i="1"/>
  <c r="AM240" i="1"/>
  <c r="AN240" i="1"/>
  <c r="AO240" i="1"/>
  <c r="AL241" i="1"/>
  <c r="AM241" i="1"/>
  <c r="AN241" i="1"/>
  <c r="AO241" i="1"/>
  <c r="AL245" i="1"/>
  <c r="AM245" i="1"/>
  <c r="AN245" i="1"/>
  <c r="AO245" i="1"/>
  <c r="AL246" i="1"/>
  <c r="AM246" i="1"/>
  <c r="AN246" i="1"/>
  <c r="AO246" i="1"/>
  <c r="AL247" i="1"/>
  <c r="AM247" i="1"/>
  <c r="AN247" i="1"/>
  <c r="AO247" i="1"/>
  <c r="AL248" i="1"/>
  <c r="AM248" i="1"/>
  <c r="AN248" i="1"/>
  <c r="AO248" i="1"/>
  <c r="AL260" i="1"/>
  <c r="AM260" i="1"/>
  <c r="AN260" i="1"/>
  <c r="AO260" i="1"/>
  <c r="AL261" i="1"/>
  <c r="AM261" i="1"/>
  <c r="AN261" i="1"/>
  <c r="AO261" i="1"/>
  <c r="AL267" i="1"/>
  <c r="AM267" i="1"/>
  <c r="AN267" i="1"/>
  <c r="AO267" i="1"/>
  <c r="AL268" i="1"/>
  <c r="AM268" i="1"/>
  <c r="AN268" i="1"/>
  <c r="AO268" i="1"/>
  <c r="AL274" i="1"/>
  <c r="AM274" i="1"/>
  <c r="AN274" i="1"/>
  <c r="AO274" i="1"/>
  <c r="AL275" i="1"/>
  <c r="AM275" i="1"/>
  <c r="AN275" i="1"/>
  <c r="AO275" i="1"/>
  <c r="AL281" i="1"/>
  <c r="AM281" i="1"/>
  <c r="AN281" i="1"/>
  <c r="AO281" i="1"/>
  <c r="AL282" i="1"/>
  <c r="AM282" i="1"/>
  <c r="AN282" i="1"/>
  <c r="AO282" i="1"/>
  <c r="AL288" i="1"/>
  <c r="AM288" i="1"/>
  <c r="AN288" i="1"/>
  <c r="AO288" i="1"/>
  <c r="AL289" i="1"/>
  <c r="AM289" i="1"/>
  <c r="AN289" i="1"/>
  <c r="AO289" i="1"/>
  <c r="AO293" i="1"/>
  <c r="AL295" i="1"/>
  <c r="AM295" i="1"/>
  <c r="AN295" i="1"/>
  <c r="AO295" i="1"/>
  <c r="AL296" i="1"/>
  <c r="AM296" i="1"/>
  <c r="AN296" i="1"/>
  <c r="AO296" i="1"/>
  <c r="AL302" i="1"/>
  <c r="AM302" i="1"/>
  <c r="AN302" i="1"/>
  <c r="AO302" i="1"/>
  <c r="AL303" i="1"/>
  <c r="AM303" i="1"/>
  <c r="AN303" i="1"/>
  <c r="AO303" i="1"/>
  <c r="AL309" i="1"/>
  <c r="AM309" i="1"/>
  <c r="AN309" i="1"/>
  <c r="AO309" i="1"/>
  <c r="AL310" i="1"/>
  <c r="AM310" i="1"/>
  <c r="AN310" i="1"/>
  <c r="AO310" i="1"/>
  <c r="AL316" i="1"/>
  <c r="AM316" i="1"/>
  <c r="AN316" i="1"/>
  <c r="AO316" i="1"/>
  <c r="AL317" i="1"/>
  <c r="AM317" i="1"/>
  <c r="AN317" i="1"/>
  <c r="AO317" i="1"/>
  <c r="AL323" i="1"/>
  <c r="AM323" i="1"/>
  <c r="AN323" i="1"/>
  <c r="AO323" i="1"/>
  <c r="AL324" i="1"/>
  <c r="AM324" i="1"/>
  <c r="AN324" i="1"/>
  <c r="AO324" i="1"/>
  <c r="AL330" i="1"/>
  <c r="AM330" i="1"/>
  <c r="AN330" i="1"/>
  <c r="AO330" i="1"/>
  <c r="AL331" i="1"/>
  <c r="AM331" i="1"/>
  <c r="AN331" i="1"/>
  <c r="AO331" i="1"/>
  <c r="AL337" i="1"/>
  <c r="AM337" i="1"/>
  <c r="AN337" i="1"/>
  <c r="AO337" i="1"/>
  <c r="AL338" i="1"/>
  <c r="AM338" i="1"/>
  <c r="AN338" i="1"/>
  <c r="AO338" i="1"/>
  <c r="AL349" i="1"/>
  <c r="AM349" i="1"/>
  <c r="AN349" i="1"/>
  <c r="AO349" i="1"/>
  <c r="AN367" i="1"/>
  <c r="AO367" i="1"/>
  <c r="AM374" i="1"/>
  <c r="AO374" i="1"/>
  <c r="AM376" i="1"/>
  <c r="AL420" i="1"/>
  <c r="AM420" i="1"/>
  <c r="AN420" i="1"/>
  <c r="AO420" i="1"/>
  <c r="AL423" i="1"/>
  <c r="AM423" i="1"/>
  <c r="AN423" i="1"/>
  <c r="AO423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BS237" i="1"/>
  <c r="CI338" i="1"/>
  <c r="CH338" i="1"/>
  <c r="CG338" i="1"/>
  <c r="CF338" i="1"/>
  <c r="CE338" i="1"/>
  <c r="CD338" i="1"/>
  <c r="CC338" i="1"/>
  <c r="CB338" i="1"/>
  <c r="CA338" i="1"/>
  <c r="BZ338" i="1"/>
  <c r="BY338" i="1"/>
  <c r="BX338" i="1"/>
  <c r="BW338" i="1"/>
  <c r="BV338" i="1"/>
  <c r="BU338" i="1"/>
  <c r="BT338" i="1"/>
  <c r="BS338" i="1"/>
  <c r="CI337" i="1"/>
  <c r="CH337" i="1"/>
  <c r="CG337" i="1"/>
  <c r="CF337" i="1"/>
  <c r="CE337" i="1"/>
  <c r="CD337" i="1"/>
  <c r="CC337" i="1"/>
  <c r="CB337" i="1"/>
  <c r="CA337" i="1"/>
  <c r="BZ337" i="1"/>
  <c r="BY337" i="1"/>
  <c r="BX337" i="1"/>
  <c r="BW337" i="1"/>
  <c r="BV337" i="1"/>
  <c r="BU337" i="1"/>
  <c r="BT337" i="1"/>
  <c r="BS337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CI296" i="1"/>
  <c r="CH296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T201" i="1"/>
  <c r="BU201" i="1"/>
  <c r="BV201" i="1"/>
  <c r="BW201" i="1"/>
  <c r="BX201" i="1"/>
  <c r="BY201" i="1"/>
  <c r="BS201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Y222" i="1"/>
  <c r="BU222" i="1"/>
  <c r="CF221" i="1"/>
  <c r="BV221" i="1"/>
  <c r="CG220" i="1"/>
  <c r="CC220" i="1"/>
  <c r="CA220" i="1"/>
  <c r="BY220" i="1"/>
  <c r="BU220" i="1"/>
  <c r="CD219" i="1"/>
  <c r="BT219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CB210" i="1"/>
  <c r="BT210" i="1"/>
  <c r="CG209" i="1"/>
  <c r="CE209" i="1"/>
  <c r="CC209" i="1"/>
  <c r="CA209" i="1"/>
  <c r="BY209" i="1"/>
  <c r="BW209" i="1"/>
  <c r="BU209" i="1"/>
  <c r="CD208" i="1"/>
  <c r="CC208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CL341" i="1"/>
  <c r="CL339" i="1"/>
  <c r="CL333" i="1"/>
  <c r="CL332" i="1"/>
  <c r="CL326" i="1"/>
  <c r="CL325" i="1"/>
  <c r="CL319" i="1"/>
  <c r="CL318" i="1"/>
  <c r="CL312" i="1"/>
  <c r="CL311" i="1"/>
  <c r="CL305" i="1"/>
  <c r="CL304" i="1"/>
  <c r="CL298" i="1"/>
  <c r="CL297" i="1"/>
  <c r="CL291" i="1"/>
  <c r="CL290" i="1"/>
  <c r="CL284" i="1"/>
  <c r="CL283" i="1"/>
  <c r="CL277" i="1"/>
  <c r="CL276" i="1"/>
  <c r="CL270" i="1"/>
  <c r="CL269" i="1"/>
  <c r="CL263" i="1"/>
  <c r="CL262" i="1"/>
  <c r="CL256" i="1"/>
  <c r="CL255" i="1"/>
  <c r="CL254" i="1"/>
  <c r="CL250" i="1"/>
  <c r="CL244" i="1"/>
  <c r="CL243" i="1"/>
  <c r="CL236" i="1"/>
  <c r="CL235" i="1"/>
  <c r="CL228" i="1"/>
  <c r="CL227" i="1"/>
  <c r="CL204" i="1"/>
  <c r="CL203" i="1"/>
  <c r="CL180" i="1"/>
  <c r="CL179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BS175" i="1"/>
  <c r="BT175" i="1"/>
  <c r="BU175" i="1"/>
  <c r="BW175" i="1"/>
  <c r="BX175" i="1"/>
  <c r="BY175" i="1"/>
  <c r="CA175" i="1"/>
  <c r="CB175" i="1"/>
  <c r="CC175" i="1"/>
  <c r="CD175" i="1"/>
  <c r="CE175" i="1"/>
  <c r="CF175" i="1"/>
  <c r="CG175" i="1"/>
  <c r="CH175" i="1"/>
  <c r="CI175" i="1"/>
  <c r="E4" i="3"/>
  <c r="F4" i="3"/>
  <c r="G4" i="3"/>
  <c r="H4" i="3"/>
  <c r="I4" i="3"/>
  <c r="J4" i="3"/>
  <c r="B1" i="3"/>
  <c r="C1" i="3"/>
  <c r="E1" i="3"/>
  <c r="F1" i="3"/>
  <c r="G1" i="3"/>
  <c r="H1" i="3"/>
  <c r="I1" i="3"/>
  <c r="J1" i="3"/>
  <c r="K1" i="3"/>
  <c r="L1" i="3"/>
  <c r="M1" i="3"/>
  <c r="N1" i="3"/>
  <c r="O1" i="3"/>
  <c r="P1" i="3"/>
  <c r="Q1" i="3"/>
  <c r="F1" i="1"/>
  <c r="J1" i="4"/>
  <c r="K1" i="4"/>
  <c r="A1" i="3"/>
  <c r="B1" i="4"/>
  <c r="D1" i="4"/>
  <c r="E1" i="4"/>
  <c r="F1" i="4"/>
  <c r="G1" i="4"/>
  <c r="H1" i="4"/>
  <c r="I1" i="4"/>
  <c r="A2" i="4" l="1"/>
  <c r="A3" i="4"/>
  <c r="A4" i="4"/>
  <c r="A5" i="4"/>
  <c r="A9" i="4"/>
  <c r="A6" i="4"/>
  <c r="A8" i="4"/>
  <c r="A7" i="4"/>
  <c r="AL85" i="1"/>
  <c r="AL376" i="1"/>
  <c r="D15" i="3"/>
  <c r="E33" i="3" s="1"/>
  <c r="T58" i="3"/>
  <c r="E18" i="32"/>
  <c r="H58" i="3"/>
  <c r="E6" i="32"/>
  <c r="AL373" i="1"/>
  <c r="J37" i="3"/>
  <c r="S63" i="3" s="1"/>
  <c r="AM375" i="1"/>
  <c r="AL374" i="1"/>
  <c r="AQ125" i="1"/>
  <c r="P428" i="1"/>
  <c r="AQ428" i="1"/>
  <c r="F425" i="1"/>
  <c r="F428" i="1"/>
  <c r="AN81" i="1"/>
  <c r="AN375" i="1"/>
  <c r="AN371" i="1"/>
  <c r="BS249" i="1"/>
  <c r="AO221" i="1"/>
  <c r="CI220" i="1"/>
  <c r="AN83" i="1"/>
  <c r="AN79" i="1"/>
  <c r="AM83" i="1"/>
  <c r="AN373" i="1"/>
  <c r="AL371" i="1"/>
  <c r="CI209" i="1"/>
  <c r="AA178" i="1"/>
  <c r="D4" i="3"/>
  <c r="F22" i="3" s="1"/>
  <c r="AN369" i="1"/>
  <c r="AM373" i="1"/>
  <c r="AL375" i="1"/>
  <c r="CL240" i="1"/>
  <c r="CI210" i="1"/>
  <c r="F37" i="3"/>
  <c r="S59" i="3" s="1"/>
  <c r="CI218" i="1"/>
  <c r="AN218" i="1"/>
  <c r="CL282" i="1"/>
  <c r="AL209" i="1"/>
  <c r="AN85" i="1"/>
  <c r="AM85" i="1"/>
  <c r="AM81" i="1"/>
  <c r="AL83" i="1"/>
  <c r="AL81" i="1"/>
  <c r="AM371" i="1"/>
  <c r="CI219" i="1"/>
  <c r="AN208" i="1"/>
  <c r="AN210" i="1"/>
  <c r="AN209" i="1"/>
  <c r="AM220" i="1"/>
  <c r="AI209" i="1"/>
  <c r="AM372" i="1"/>
  <c r="AQ249" i="1"/>
  <c r="AN376" i="1"/>
  <c r="AK376" i="1" s="1"/>
  <c r="AL69" i="1"/>
  <c r="AL65" i="1"/>
  <c r="CF208" i="1"/>
  <c r="CD210" i="1"/>
  <c r="BX220" i="1"/>
  <c r="CL245" i="1"/>
  <c r="BW242" i="1"/>
  <c r="AM222" i="1"/>
  <c r="AM64" i="1"/>
  <c r="AM65" i="1"/>
  <c r="AM68" i="1"/>
  <c r="AM69" i="1"/>
  <c r="AN82" i="1"/>
  <c r="AN222" i="1"/>
  <c r="AN221" i="1"/>
  <c r="AL220" i="1"/>
  <c r="CI208" i="1"/>
  <c r="BS220" i="1"/>
  <c r="CC221" i="1"/>
  <c r="CF242" i="1"/>
  <c r="CB242" i="1"/>
  <c r="BT242" i="1"/>
  <c r="AO222" i="1"/>
  <c r="AN374" i="1"/>
  <c r="AN370" i="1"/>
  <c r="AN372" i="1"/>
  <c r="BZ234" i="1"/>
  <c r="CC249" i="1"/>
  <c r="AM63" i="1"/>
  <c r="AM66" i="1"/>
  <c r="AM67" i="1"/>
  <c r="AM70" i="1"/>
  <c r="AN84" i="1"/>
  <c r="AN80" i="1"/>
  <c r="AN220" i="1"/>
  <c r="AN219" i="1"/>
  <c r="AM209" i="1"/>
  <c r="AL222" i="1"/>
  <c r="V178" i="1"/>
  <c r="X178" i="1"/>
  <c r="R249" i="1"/>
  <c r="AO27" i="1"/>
  <c r="Y366" i="1"/>
  <c r="Y378" i="1" s="1"/>
  <c r="G10" i="3"/>
  <c r="C80" i="4"/>
  <c r="AN211" i="1"/>
  <c r="AL67" i="1"/>
  <c r="AL63" i="1"/>
  <c r="AO211" i="1"/>
  <c r="AL211" i="1"/>
  <c r="S178" i="1"/>
  <c r="F116" i="1"/>
  <c r="T89" i="1"/>
  <c r="F199" i="1"/>
  <c r="CK199" i="1" s="1"/>
  <c r="F89" i="1"/>
  <c r="AI211" i="1"/>
  <c r="AM211" i="1"/>
  <c r="F10" i="3"/>
  <c r="E10" i="3"/>
  <c r="H37" i="3"/>
  <c r="S61" i="3" s="1"/>
  <c r="I35" i="5"/>
  <c r="E29" i="3"/>
  <c r="K58" i="3" s="1"/>
  <c r="Y175" i="1"/>
  <c r="Y178" i="1" s="1"/>
  <c r="H31" i="3"/>
  <c r="M61" i="3" s="1"/>
  <c r="E25" i="3"/>
  <c r="U175" i="1"/>
  <c r="U178" i="1" s="1"/>
  <c r="C60" i="4"/>
  <c r="P131" i="1"/>
  <c r="S377" i="1"/>
  <c r="AF178" i="1"/>
  <c r="AN223" i="1"/>
  <c r="AI223" i="1"/>
  <c r="AE178" i="1"/>
  <c r="S24" i="1"/>
  <c r="S183" i="1" s="1"/>
  <c r="BT183" i="1" s="1"/>
  <c r="AB178" i="1"/>
  <c r="U365" i="1"/>
  <c r="Y86" i="1"/>
  <c r="AL223" i="1"/>
  <c r="AM223" i="1"/>
  <c r="CI223" i="1"/>
  <c r="CL223" i="1" s="1"/>
  <c r="AH377" i="1"/>
  <c r="AO377" i="1" s="1"/>
  <c r="X234" i="1"/>
  <c r="V377" i="1"/>
  <c r="AD377" i="1"/>
  <c r="AH249" i="1"/>
  <c r="AD249" i="1"/>
  <c r="Z249" i="1"/>
  <c r="X249" i="1"/>
  <c r="AF249" i="1"/>
  <c r="AB249" i="1"/>
  <c r="V249" i="1"/>
  <c r="I250" i="4"/>
  <c r="AH234" i="1"/>
  <c r="Z234" i="1"/>
  <c r="P408" i="1"/>
  <c r="AD234" i="1"/>
  <c r="S234" i="1"/>
  <c r="AD366" i="1"/>
  <c r="AE86" i="1"/>
  <c r="AH366" i="1"/>
  <c r="AO366" i="1" s="1"/>
  <c r="V366" i="1"/>
  <c r="H25" i="3"/>
  <c r="J25" i="3"/>
  <c r="G63" i="3" s="1"/>
  <c r="BV234" i="1"/>
  <c r="CH234" i="1"/>
  <c r="BU249" i="1"/>
  <c r="BY249" i="1"/>
  <c r="CG249" i="1"/>
  <c r="CL338" i="1"/>
  <c r="R71" i="1"/>
  <c r="BS234" i="1"/>
  <c r="BW234" i="1"/>
  <c r="CA234" i="1"/>
  <c r="CE234" i="1"/>
  <c r="CI234" i="1"/>
  <c r="CD234" i="1"/>
  <c r="BU234" i="1"/>
  <c r="BY234" i="1"/>
  <c r="CC234" i="1"/>
  <c r="CG234" i="1"/>
  <c r="BV249" i="1"/>
  <c r="BZ249" i="1"/>
  <c r="CD249" i="1"/>
  <c r="CH249" i="1"/>
  <c r="BT249" i="1"/>
  <c r="BX249" i="1"/>
  <c r="CB249" i="1"/>
  <c r="AI84" i="1"/>
  <c r="CL238" i="1"/>
  <c r="AQ366" i="1"/>
  <c r="CL241" i="1"/>
  <c r="AQ295" i="1"/>
  <c r="P238" i="1"/>
  <c r="AQ230" i="1"/>
  <c r="BT234" i="1"/>
  <c r="BX234" i="1"/>
  <c r="CB234" i="1"/>
  <c r="CF234" i="1"/>
  <c r="CL230" i="1"/>
  <c r="BW249" i="1"/>
  <c r="CA249" i="1"/>
  <c r="CE249" i="1"/>
  <c r="CI249" i="1"/>
  <c r="CF249" i="1"/>
  <c r="CL302" i="1"/>
  <c r="CL330" i="1"/>
  <c r="CL237" i="1"/>
  <c r="AG41" i="1"/>
  <c r="AQ401" i="1"/>
  <c r="P324" i="1"/>
  <c r="P296" i="1"/>
  <c r="P280" i="1"/>
  <c r="P199" i="1"/>
  <c r="AQ368" i="1"/>
  <c r="AQ76" i="1"/>
  <c r="P368" i="1"/>
  <c r="AQ30" i="1"/>
  <c r="P30" i="1"/>
  <c r="P76" i="1"/>
  <c r="AQ361" i="1"/>
  <c r="AQ357" i="1"/>
  <c r="AQ321" i="1"/>
  <c r="AQ109" i="1"/>
  <c r="AE366" i="1"/>
  <c r="AE378" i="1" s="1"/>
  <c r="AN28" i="1"/>
  <c r="AB377" i="1"/>
  <c r="S366" i="1"/>
  <c r="AN27" i="1"/>
  <c r="AN40" i="1"/>
  <c r="AF377" i="1"/>
  <c r="Z366" i="1"/>
  <c r="AB75" i="1"/>
  <c r="AN75" i="1" s="1"/>
  <c r="F76" i="1"/>
  <c r="F368" i="1"/>
  <c r="AM77" i="1"/>
  <c r="CI242" i="1"/>
  <c r="CL222" i="1"/>
  <c r="CG242" i="1"/>
  <c r="CC242" i="1"/>
  <c r="BY242" i="1"/>
  <c r="BU242" i="1"/>
  <c r="CE242" i="1"/>
  <c r="CA242" i="1"/>
  <c r="CH242" i="1"/>
  <c r="CD242" i="1"/>
  <c r="BZ242" i="1"/>
  <c r="BV242" i="1"/>
  <c r="AL24" i="1"/>
  <c r="F390" i="1"/>
  <c r="AK331" i="1"/>
  <c r="AK275" i="1"/>
  <c r="AQ21" i="1"/>
  <c r="K52" i="4"/>
  <c r="AQ309" i="1"/>
  <c r="AK237" i="1"/>
  <c r="AN217" i="1"/>
  <c r="AO40" i="1"/>
  <c r="AF366" i="1"/>
  <c r="AB366" i="1"/>
  <c r="U366" i="1"/>
  <c r="P178" i="1"/>
  <c r="Y74" i="1"/>
  <c r="AK295" i="1"/>
  <c r="AG377" i="1"/>
  <c r="AC377" i="1"/>
  <c r="AG366" i="1"/>
  <c r="AC366" i="1"/>
  <c r="AE74" i="1"/>
  <c r="F374" i="1"/>
  <c r="P23" i="1"/>
  <c r="F198" i="1"/>
  <c r="CK198" i="1" s="1"/>
  <c r="AQ257" i="1"/>
  <c r="AQ37" i="1"/>
  <c r="F181" i="1"/>
  <c r="CK181" i="1" s="1"/>
  <c r="F366" i="1"/>
  <c r="F354" i="1"/>
  <c r="F189" i="1"/>
  <c r="CK189" i="1" s="1"/>
  <c r="K276" i="4"/>
  <c r="AQ412" i="1"/>
  <c r="AQ387" i="1"/>
  <c r="AQ375" i="1"/>
  <c r="P371" i="1"/>
  <c r="P355" i="1"/>
  <c r="AQ299" i="1"/>
  <c r="P259" i="1"/>
  <c r="AQ194" i="1"/>
  <c r="AQ182" i="1"/>
  <c r="AQ138" i="1"/>
  <c r="AQ46" i="1"/>
  <c r="P391" i="1"/>
  <c r="F370" i="1"/>
  <c r="F346" i="1"/>
  <c r="AQ404" i="1"/>
  <c r="AQ340" i="1"/>
  <c r="F365" i="1"/>
  <c r="F373" i="1"/>
  <c r="F137" i="1"/>
  <c r="P32" i="1"/>
  <c r="F86" i="1"/>
  <c r="P234" i="1"/>
  <c r="F112" i="1"/>
  <c r="P86" i="1"/>
  <c r="P211" i="1"/>
  <c r="AQ68" i="1"/>
  <c r="AQ216" i="1"/>
  <c r="AQ359" i="1"/>
  <c r="AQ372" i="1"/>
  <c r="AQ10" i="1"/>
  <c r="P308" i="1"/>
  <c r="AQ289" i="1"/>
  <c r="AQ427" i="1"/>
  <c r="AQ414" i="1"/>
  <c r="AQ385" i="1"/>
  <c r="AQ381" i="1"/>
  <c r="AQ377" i="1"/>
  <c r="AQ365" i="1"/>
  <c r="P361" i="1"/>
  <c r="P357" i="1"/>
  <c r="AQ349" i="1"/>
  <c r="P337" i="1"/>
  <c r="AQ325" i="1"/>
  <c r="P321" i="1"/>
  <c r="AQ313" i="1"/>
  <c r="AQ301" i="1"/>
  <c r="AQ297" i="1"/>
  <c r="P289" i="1"/>
  <c r="AQ285" i="1"/>
  <c r="AQ269" i="1"/>
  <c r="AQ265" i="1"/>
  <c r="P249" i="1"/>
  <c r="AQ240" i="1"/>
  <c r="AQ224" i="1"/>
  <c r="P220" i="1"/>
  <c r="AQ212" i="1"/>
  <c r="P208" i="1"/>
  <c r="P215" i="1"/>
  <c r="AQ196" i="1"/>
  <c r="AQ188" i="1"/>
  <c r="AQ184" i="1"/>
  <c r="P176" i="1"/>
  <c r="AQ136" i="1"/>
  <c r="P110" i="1"/>
  <c r="AQ92" i="1"/>
  <c r="AQ86" i="1"/>
  <c r="P82" i="1"/>
  <c r="AQ78" i="1"/>
  <c r="AQ74" i="1"/>
  <c r="AQ70" i="1"/>
  <c r="AQ66" i="1"/>
  <c r="AQ50" i="1"/>
  <c r="AQ292" i="1"/>
  <c r="F414" i="1"/>
  <c r="P19" i="1"/>
  <c r="P80" i="1"/>
  <c r="P126" i="1"/>
  <c r="P222" i="1"/>
  <c r="P377" i="1"/>
  <c r="P414" i="1"/>
  <c r="AQ33" i="1"/>
  <c r="AQ84" i="1"/>
  <c r="AQ131" i="1"/>
  <c r="AQ222" i="1"/>
  <c r="AQ358" i="1"/>
  <c r="AQ376" i="1"/>
  <c r="AQ370" i="1"/>
  <c r="AQ397" i="1"/>
  <c r="P260" i="1"/>
  <c r="P275" i="1"/>
  <c r="P307" i="1"/>
  <c r="P336" i="1"/>
  <c r="AQ279" i="1"/>
  <c r="AQ296" i="1"/>
  <c r="AQ331" i="1"/>
  <c r="P424" i="1"/>
  <c r="AQ431" i="1"/>
  <c r="P412" i="1"/>
  <c r="P375" i="1"/>
  <c r="AQ371" i="1"/>
  <c r="P367" i="1"/>
  <c r="P359" i="1"/>
  <c r="AQ355" i="1"/>
  <c r="AQ347" i="1"/>
  <c r="AQ339" i="1"/>
  <c r="P331" i="1"/>
  <c r="AQ327" i="1"/>
  <c r="P315" i="1"/>
  <c r="AQ311" i="1"/>
  <c r="AQ307" i="1"/>
  <c r="P303" i="1"/>
  <c r="P295" i="1"/>
  <c r="AQ287" i="1"/>
  <c r="AQ283" i="1"/>
  <c r="P279" i="1"/>
  <c r="AQ275" i="1"/>
  <c r="AQ271" i="1"/>
  <c r="AQ259" i="1"/>
  <c r="P340" i="1"/>
  <c r="P246" i="1"/>
  <c r="AQ238" i="1"/>
  <c r="P230" i="1"/>
  <c r="AQ218" i="1"/>
  <c r="AQ214" i="1"/>
  <c r="P206" i="1"/>
  <c r="AQ198" i="1"/>
  <c r="AQ190" i="1"/>
  <c r="AQ186" i="1"/>
  <c r="P182" i="1"/>
  <c r="AQ134" i="1"/>
  <c r="AQ126" i="1"/>
  <c r="AQ98" i="1"/>
  <c r="P84" i="1"/>
  <c r="AQ80" i="1"/>
  <c r="P64" i="1"/>
  <c r="P40" i="1"/>
  <c r="AQ32" i="1"/>
  <c r="AQ19" i="1"/>
  <c r="P24" i="1"/>
  <c r="F384" i="1"/>
  <c r="P38" i="1"/>
  <c r="P68" i="1"/>
  <c r="P214" i="1"/>
  <c r="P265" i="1"/>
  <c r="AQ28" i="1"/>
  <c r="AQ48" i="1"/>
  <c r="AQ100" i="1"/>
  <c r="AQ206" i="1"/>
  <c r="AQ246" i="1"/>
  <c r="AQ360" i="1"/>
  <c r="AQ356" i="1"/>
  <c r="AQ374" i="1"/>
  <c r="AQ367" i="1"/>
  <c r="AQ399" i="1"/>
  <c r="AQ424" i="1"/>
  <c r="P413" i="1"/>
  <c r="P218" i="1"/>
  <c r="P287" i="1"/>
  <c r="P309" i="1"/>
  <c r="AQ156" i="1"/>
  <c r="AQ294" i="1"/>
  <c r="F119" i="1"/>
  <c r="P415" i="1"/>
  <c r="F404" i="1"/>
  <c r="AQ389" i="1"/>
  <c r="P373" i="1"/>
  <c r="AQ373" i="1"/>
  <c r="AQ369" i="1"/>
  <c r="P369" i="1"/>
  <c r="AQ362" i="1"/>
  <c r="AQ345" i="1"/>
  <c r="AQ350" i="1"/>
  <c r="AQ329" i="1"/>
  <c r="P329" i="1"/>
  <c r="P317" i="1"/>
  <c r="AQ317" i="1"/>
  <c r="AQ293" i="1"/>
  <c r="P293" i="1"/>
  <c r="AQ281" i="1"/>
  <c r="P281" i="1"/>
  <c r="AQ273" i="1"/>
  <c r="P273" i="1"/>
  <c r="AQ261" i="1"/>
  <c r="P261" i="1"/>
  <c r="AQ232" i="1"/>
  <c r="P232" i="1"/>
  <c r="P225" i="1"/>
  <c r="P200" i="1"/>
  <c r="AQ200" i="1"/>
  <c r="K91" i="4"/>
  <c r="AQ124" i="1"/>
  <c r="P124" i="1"/>
  <c r="AQ96" i="1"/>
  <c r="P71" i="1"/>
  <c r="F375" i="1"/>
  <c r="F84" i="1"/>
  <c r="AQ17" i="1"/>
  <c r="F64" i="1"/>
  <c r="F156" i="1"/>
  <c r="F382" i="1"/>
  <c r="F411" i="1"/>
  <c r="F431" i="1"/>
  <c r="P21" i="1"/>
  <c r="P36" i="1"/>
  <c r="P66" i="1"/>
  <c r="P78" i="1"/>
  <c r="P190" i="1"/>
  <c r="P212" i="1"/>
  <c r="P347" i="1"/>
  <c r="AQ23" i="1"/>
  <c r="AQ40" i="1"/>
  <c r="AQ64" i="1"/>
  <c r="AQ82" i="1"/>
  <c r="AQ94" i="1"/>
  <c r="AQ225" i="1"/>
  <c r="K9" i="4"/>
  <c r="K22" i="4"/>
  <c r="F427" i="1"/>
  <c r="P301" i="1"/>
  <c r="AQ315" i="1"/>
  <c r="AQ337" i="1"/>
  <c r="F66" i="1"/>
  <c r="F96" i="1"/>
  <c r="F222" i="1"/>
  <c r="CK222" i="1" s="1"/>
  <c r="F259" i="1"/>
  <c r="CK259" i="1" s="1"/>
  <c r="F266" i="1"/>
  <c r="CK266" i="1" s="1"/>
  <c r="F273" i="1"/>
  <c r="CK273" i="1" s="1"/>
  <c r="F280" i="1"/>
  <c r="CK280" i="1" s="1"/>
  <c r="F287" i="1"/>
  <c r="CK287" i="1" s="1"/>
  <c r="F294" i="1"/>
  <c r="CK294" i="1" s="1"/>
  <c r="F301" i="1"/>
  <c r="CK301" i="1" s="1"/>
  <c r="F308" i="1"/>
  <c r="CK308" i="1" s="1"/>
  <c r="F315" i="1"/>
  <c r="CK315" i="1" s="1"/>
  <c r="F322" i="1"/>
  <c r="CK322" i="1" s="1"/>
  <c r="F329" i="1"/>
  <c r="CK329" i="1" s="1"/>
  <c r="F336" i="1"/>
  <c r="CK336" i="1" s="1"/>
  <c r="P135" i="1"/>
  <c r="K61" i="4"/>
  <c r="P431" i="1"/>
  <c r="AQ335" i="1"/>
  <c r="P335" i="1"/>
  <c r="AQ323" i="1"/>
  <c r="P323" i="1"/>
  <c r="P267" i="1"/>
  <c r="AQ267" i="1"/>
  <c r="AQ210" i="1"/>
  <c r="P210" i="1"/>
  <c r="AQ52" i="1"/>
  <c r="F98" i="1"/>
  <c r="F219" i="1"/>
  <c r="CK219" i="1" s="1"/>
  <c r="F78" i="1"/>
  <c r="F208" i="1"/>
  <c r="CK208" i="1" s="1"/>
  <c r="AQ24" i="1"/>
  <c r="F388" i="1"/>
  <c r="F412" i="1"/>
  <c r="P29" i="1"/>
  <c r="P198" i="1"/>
  <c r="P224" i="1"/>
  <c r="AQ36" i="1"/>
  <c r="AQ54" i="1"/>
  <c r="AQ383" i="1"/>
  <c r="P404" i="1"/>
  <c r="AQ415" i="1"/>
  <c r="K26" i="4"/>
  <c r="K48" i="4"/>
  <c r="AQ208" i="1"/>
  <c r="P362" i="1"/>
  <c r="AQ420" i="1"/>
  <c r="AQ303" i="1"/>
  <c r="AQ429" i="1"/>
  <c r="P417" i="1"/>
  <c r="K45" i="4"/>
  <c r="P338" i="1"/>
  <c r="P322" i="1"/>
  <c r="P310" i="1"/>
  <c r="P294" i="1"/>
  <c r="P282" i="1"/>
  <c r="P266" i="1"/>
  <c r="AQ251" i="1"/>
  <c r="AQ242" i="1"/>
  <c r="AQ234" i="1"/>
  <c r="P213" i="1"/>
  <c r="P209" i="1"/>
  <c r="P202" i="1"/>
  <c r="P197" i="1"/>
  <c r="AQ201" i="1"/>
  <c r="AQ192" i="1"/>
  <c r="K270" i="4"/>
  <c r="AQ139" i="1"/>
  <c r="F130" i="1"/>
  <c r="AQ112" i="1"/>
  <c r="AQ35" i="1"/>
  <c r="AQ31" i="1"/>
  <c r="P41" i="1"/>
  <c r="F372" i="1"/>
  <c r="F376" i="1"/>
  <c r="F386" i="1"/>
  <c r="F408" i="1"/>
  <c r="P17" i="1"/>
  <c r="P109" i="1"/>
  <c r="P349" i="1"/>
  <c r="AQ27" i="1"/>
  <c r="AQ38" i="1"/>
  <c r="AQ34" i="1"/>
  <c r="AQ29" i="1"/>
  <c r="AQ176" i="1"/>
  <c r="AQ220" i="1"/>
  <c r="AQ408" i="1"/>
  <c r="K304" i="4"/>
  <c r="AQ110" i="1"/>
  <c r="P350" i="1"/>
  <c r="AQ215" i="1"/>
  <c r="P427" i="1"/>
  <c r="F28" i="1"/>
  <c r="F417" i="1"/>
  <c r="F371" i="1"/>
  <c r="P34" i="1"/>
  <c r="P70" i="1"/>
  <c r="P240" i="1"/>
  <c r="AQ16" i="1"/>
  <c r="AQ39" i="1"/>
  <c r="AQ122" i="1"/>
  <c r="AQ264" i="1"/>
  <c r="AQ393" i="1"/>
  <c r="AQ71" i="1"/>
  <c r="P436" i="1"/>
  <c r="P378" i="1"/>
  <c r="F252" i="1"/>
  <c r="AQ87" i="1"/>
  <c r="AK246" i="1"/>
  <c r="J31" i="3"/>
  <c r="M63" i="3" s="1"/>
  <c r="F31" i="3"/>
  <c r="M59" i="3" s="1"/>
  <c r="H30" i="3"/>
  <c r="L61" i="3" s="1"/>
  <c r="I37" i="3"/>
  <c r="S62" i="3" s="1"/>
  <c r="G37" i="3"/>
  <c r="AQ423" i="1"/>
  <c r="P401" i="1"/>
  <c r="AQ390" i="1"/>
  <c r="AQ388" i="1"/>
  <c r="AQ386" i="1"/>
  <c r="AQ384" i="1"/>
  <c r="P376" i="1"/>
  <c r="P374" i="1"/>
  <c r="P372" i="1"/>
  <c r="P370" i="1"/>
  <c r="P366" i="1"/>
  <c r="AQ346" i="1"/>
  <c r="AQ338" i="1"/>
  <c r="AQ336" i="1"/>
  <c r="AQ334" i="1"/>
  <c r="AQ324" i="1"/>
  <c r="AQ322" i="1"/>
  <c r="AQ320" i="1"/>
  <c r="AQ310" i="1"/>
  <c r="AQ308" i="1"/>
  <c r="AQ306" i="1"/>
  <c r="AQ282" i="1"/>
  <c r="AQ280" i="1"/>
  <c r="AQ278" i="1"/>
  <c r="AQ262" i="1"/>
  <c r="P258" i="1"/>
  <c r="AQ245" i="1"/>
  <c r="AQ237" i="1"/>
  <c r="AQ223" i="1"/>
  <c r="AQ221" i="1"/>
  <c r="AQ219" i="1"/>
  <c r="AQ217" i="1"/>
  <c r="AQ213" i="1"/>
  <c r="AQ211" i="1"/>
  <c r="AQ209" i="1"/>
  <c r="AQ207" i="1"/>
  <c r="AQ195" i="1"/>
  <c r="P191" i="1"/>
  <c r="P189" i="1"/>
  <c r="AQ177" i="1"/>
  <c r="K400" i="4"/>
  <c r="AQ135" i="1"/>
  <c r="P123" i="1"/>
  <c r="AQ107" i="1"/>
  <c r="AQ93" i="1"/>
  <c r="P69" i="1"/>
  <c r="P67" i="1"/>
  <c r="P65" i="1"/>
  <c r="AQ63" i="1"/>
  <c r="CL206" i="1"/>
  <c r="CL209" i="1"/>
  <c r="CL212" i="1"/>
  <c r="AI372" i="1"/>
  <c r="E35" i="5"/>
  <c r="D31" i="5"/>
  <c r="Z377" i="1"/>
  <c r="AQ391" i="1"/>
  <c r="F406" i="1"/>
  <c r="F138" i="1"/>
  <c r="F358" i="1"/>
  <c r="P114" i="1"/>
  <c r="P130" i="1"/>
  <c r="AQ202" i="1"/>
  <c r="K7" i="4"/>
  <c r="K46" i="4"/>
  <c r="F436" i="1"/>
  <c r="F185" i="1"/>
  <c r="CK185" i="1" s="1"/>
  <c r="F194" i="1"/>
  <c r="CK194" i="1" s="1"/>
  <c r="F210" i="1"/>
  <c r="CK210" i="1" s="1"/>
  <c r="F217" i="1"/>
  <c r="CK217" i="1" s="1"/>
  <c r="F221" i="1"/>
  <c r="CK221" i="1" s="1"/>
  <c r="F224" i="1"/>
  <c r="CK224" i="1" s="1"/>
  <c r="P402" i="1"/>
  <c r="F393" i="1"/>
  <c r="AQ406" i="1"/>
  <c r="AQ226" i="1"/>
  <c r="AQ128" i="1"/>
  <c r="AQ102" i="1"/>
  <c r="F223" i="1"/>
  <c r="CK223" i="1" s="1"/>
  <c r="F218" i="1"/>
  <c r="CK218" i="1" s="1"/>
  <c r="F134" i="1"/>
  <c r="F25" i="3"/>
  <c r="F356" i="1"/>
  <c r="F360" i="1"/>
  <c r="AQ55" i="1"/>
  <c r="AQ53" i="1"/>
  <c r="AQ51" i="1"/>
  <c r="AQ49" i="1"/>
  <c r="AQ193" i="1"/>
  <c r="P226" i="1"/>
  <c r="AQ241" i="1"/>
  <c r="P242" i="1"/>
  <c r="AQ342" i="1"/>
  <c r="K15" i="4"/>
  <c r="K36" i="4"/>
  <c r="P251" i="1"/>
  <c r="AQ417" i="1"/>
  <c r="P252" i="1"/>
  <c r="P87" i="1"/>
  <c r="AQ378" i="1"/>
  <c r="I153" i="4"/>
  <c r="F43" i="1"/>
  <c r="F95" i="1"/>
  <c r="F97" i="1"/>
  <c r="F99" i="1"/>
  <c r="F183" i="1"/>
  <c r="CK183" i="1" s="1"/>
  <c r="F187" i="1"/>
  <c r="CK187" i="1" s="1"/>
  <c r="F191" i="1"/>
  <c r="CK191" i="1" s="1"/>
  <c r="F196" i="1"/>
  <c r="CK196" i="1" s="1"/>
  <c r="F200" i="1"/>
  <c r="CK200" i="1" s="1"/>
  <c r="CL229" i="1"/>
  <c r="CL231" i="1"/>
  <c r="CL232" i="1"/>
  <c r="CL233" i="1"/>
  <c r="CL246" i="1"/>
  <c r="CL247" i="1"/>
  <c r="CL248" i="1"/>
  <c r="CL260" i="1"/>
  <c r="CL267" i="1"/>
  <c r="CL268" i="1"/>
  <c r="CL274" i="1"/>
  <c r="CL275" i="1"/>
  <c r="CL281" i="1"/>
  <c r="CL288" i="1"/>
  <c r="CL289" i="1"/>
  <c r="CL295" i="1"/>
  <c r="CL296" i="1"/>
  <c r="CL303" i="1"/>
  <c r="CL309" i="1"/>
  <c r="CL310" i="1"/>
  <c r="CL316" i="1"/>
  <c r="CL317" i="1"/>
  <c r="CL323" i="1"/>
  <c r="CL324" i="1"/>
  <c r="CL331" i="1"/>
  <c r="CL337" i="1"/>
  <c r="AN64" i="1"/>
  <c r="AL64" i="1"/>
  <c r="AN65" i="1"/>
  <c r="AN66" i="1"/>
  <c r="AL66" i="1"/>
  <c r="AN67" i="1"/>
  <c r="AN68" i="1"/>
  <c r="AL68" i="1"/>
  <c r="AN69" i="1"/>
  <c r="AN70" i="1"/>
  <c r="AL70" i="1"/>
  <c r="AI376" i="1"/>
  <c r="P426" i="1"/>
  <c r="AQ413" i="1"/>
  <c r="K413" i="4"/>
  <c r="AQ398" i="1"/>
  <c r="AQ382" i="1"/>
  <c r="P360" i="1"/>
  <c r="P358" i="1"/>
  <c r="P356" i="1"/>
  <c r="AQ354" i="1"/>
  <c r="P346" i="1"/>
  <c r="F339" i="1"/>
  <c r="CK339" i="1" s="1"/>
  <c r="AQ332" i="1"/>
  <c r="AQ330" i="1"/>
  <c r="AQ328" i="1"/>
  <c r="AQ318" i="1"/>
  <c r="AQ316" i="1"/>
  <c r="AQ314" i="1"/>
  <c r="AQ304" i="1"/>
  <c r="AQ302" i="1"/>
  <c r="AQ300" i="1"/>
  <c r="AQ290" i="1"/>
  <c r="AQ288" i="1"/>
  <c r="AQ286" i="1"/>
  <c r="AQ276" i="1"/>
  <c r="AQ274" i="1"/>
  <c r="AQ272" i="1"/>
  <c r="AQ268" i="1"/>
  <c r="AQ266" i="1"/>
  <c r="AQ260" i="1"/>
  <c r="AQ258" i="1"/>
  <c r="AQ247" i="1"/>
  <c r="AQ239" i="1"/>
  <c r="AQ231" i="1"/>
  <c r="AQ229" i="1"/>
  <c r="P223" i="1"/>
  <c r="P221" i="1"/>
  <c r="P219" i="1"/>
  <c r="P217" i="1"/>
  <c r="P207" i="1"/>
  <c r="AQ205" i="1"/>
  <c r="AQ199" i="1"/>
  <c r="AQ197" i="1"/>
  <c r="AQ191" i="1"/>
  <c r="AQ189" i="1"/>
  <c r="AQ187" i="1"/>
  <c r="AQ185" i="1"/>
  <c r="AQ183" i="1"/>
  <c r="P177" i="1"/>
  <c r="K398" i="4"/>
  <c r="P125" i="1"/>
  <c r="AQ123" i="1"/>
  <c r="AQ101" i="1"/>
  <c r="AQ99" i="1"/>
  <c r="AQ97" i="1"/>
  <c r="AQ95" i="1"/>
  <c r="AQ85" i="1"/>
  <c r="AQ83" i="1"/>
  <c r="AQ81" i="1"/>
  <c r="AQ79" i="1"/>
  <c r="AQ77" i="1"/>
  <c r="AQ75" i="1"/>
  <c r="AQ69" i="1"/>
  <c r="AQ67" i="1"/>
  <c r="AQ65" i="1"/>
  <c r="AQ47" i="1"/>
  <c r="AN249" i="1"/>
  <c r="AL249" i="1"/>
  <c r="AM84" i="1"/>
  <c r="AM82" i="1"/>
  <c r="AM80" i="1"/>
  <c r="AL84" i="1"/>
  <c r="AL82" i="1"/>
  <c r="AI80" i="1"/>
  <c r="AG234" i="1"/>
  <c r="AF234" i="1"/>
  <c r="AE234" i="1"/>
  <c r="AC234" i="1"/>
  <c r="AB234" i="1"/>
  <c r="AA234" i="1"/>
  <c r="Y234" i="1"/>
  <c r="V234" i="1"/>
  <c r="U234" i="1"/>
  <c r="Z41" i="1"/>
  <c r="Z109" i="1" s="1"/>
  <c r="AQ41" i="1"/>
  <c r="K34" i="4"/>
  <c r="P248" i="1"/>
  <c r="AQ248" i="1"/>
  <c r="P13" i="1"/>
  <c r="F297" i="1"/>
  <c r="CK297" i="1" s="1"/>
  <c r="AQ114" i="1"/>
  <c r="F114" i="1"/>
  <c r="AH178" i="1"/>
  <c r="AG178" i="1"/>
  <c r="AD178" i="1"/>
  <c r="AC178" i="1"/>
  <c r="Z178" i="1"/>
  <c r="P318" i="1"/>
  <c r="AG249" i="1"/>
  <c r="AE249" i="1"/>
  <c r="AC249" i="1"/>
  <c r="AA249" i="1"/>
  <c r="Y249" i="1"/>
  <c r="U249" i="1"/>
  <c r="AK231" i="1"/>
  <c r="R178" i="1"/>
  <c r="AH24" i="1"/>
  <c r="AH200" i="1" s="1"/>
  <c r="AD24" i="1"/>
  <c r="AD186" i="1" s="1"/>
  <c r="CE186" i="1" s="1"/>
  <c r="AK177" i="1"/>
  <c r="AO178" i="1"/>
  <c r="I213" i="4"/>
  <c r="P136" i="1"/>
  <c r="AQ402" i="1"/>
  <c r="P393" i="1"/>
  <c r="P192" i="1"/>
  <c r="AQ178" i="1"/>
  <c r="P128" i="1"/>
  <c r="P102" i="1"/>
  <c r="F104" i="1"/>
  <c r="AQ56" i="1"/>
  <c r="K423" i="4"/>
  <c r="F269" i="1"/>
  <c r="CK269" i="1" s="1"/>
  <c r="F325" i="1"/>
  <c r="CK325" i="1" s="1"/>
  <c r="I25" i="3"/>
  <c r="G25" i="3"/>
  <c r="F355" i="1"/>
  <c r="F357" i="1"/>
  <c r="F359" i="1"/>
  <c r="F361" i="1"/>
  <c r="F383" i="1"/>
  <c r="F135" i="1"/>
  <c r="F342" i="1"/>
  <c r="F433" i="1"/>
  <c r="P18" i="1"/>
  <c r="P20" i="1"/>
  <c r="P22" i="1"/>
  <c r="P28" i="1"/>
  <c r="P39" i="1"/>
  <c r="P33" i="1"/>
  <c r="P31" i="1"/>
  <c r="P75" i="1"/>
  <c r="P85" i="1"/>
  <c r="P83" i="1"/>
  <c r="P81" i="1"/>
  <c r="P79" i="1"/>
  <c r="P77" i="1"/>
  <c r="P134" i="1"/>
  <c r="P137" i="1"/>
  <c r="P183" i="1"/>
  <c r="P233" i="1"/>
  <c r="P231" i="1"/>
  <c r="P241" i="1"/>
  <c r="P247" i="1"/>
  <c r="P268" i="1"/>
  <c r="P398" i="1"/>
  <c r="AQ22" i="1"/>
  <c r="AQ20" i="1"/>
  <c r="AQ18" i="1"/>
  <c r="P112" i="1"/>
  <c r="AQ130" i="1"/>
  <c r="AQ137" i="1"/>
  <c r="AQ175" i="1"/>
  <c r="AQ181" i="1"/>
  <c r="P201" i="1"/>
  <c r="AQ233" i="1"/>
  <c r="P342" i="1"/>
  <c r="AQ411" i="1"/>
  <c r="P433" i="1"/>
  <c r="AQ433" i="1"/>
  <c r="K6" i="4"/>
  <c r="P104" i="1"/>
  <c r="AQ104" i="1"/>
  <c r="F251" i="1"/>
  <c r="P406" i="1"/>
  <c r="F345" i="1"/>
  <c r="F426" i="1"/>
  <c r="K20" i="4"/>
  <c r="P429" i="1"/>
  <c r="P272" i="1"/>
  <c r="P274" i="1"/>
  <c r="P286" i="1"/>
  <c r="P288" i="1"/>
  <c r="P300" i="1"/>
  <c r="P302" i="1"/>
  <c r="P314" i="1"/>
  <c r="P316" i="1"/>
  <c r="P328" i="1"/>
  <c r="P330" i="1"/>
  <c r="P139" i="1"/>
  <c r="AQ119" i="1"/>
  <c r="AQ426" i="1"/>
  <c r="F136" i="1"/>
  <c r="F10" i="1"/>
  <c r="F27" i="1"/>
  <c r="F40" i="1"/>
  <c r="F77" i="1"/>
  <c r="F85" i="1"/>
  <c r="F123" i="1"/>
  <c r="F182" i="1"/>
  <c r="CK182" i="1" s="1"/>
  <c r="F184" i="1"/>
  <c r="CK184" i="1" s="1"/>
  <c r="F186" i="1"/>
  <c r="CK186" i="1" s="1"/>
  <c r="F188" i="1"/>
  <c r="CK188" i="1" s="1"/>
  <c r="F190" i="1"/>
  <c r="CK190" i="1" s="1"/>
  <c r="F193" i="1"/>
  <c r="CK193" i="1" s="1"/>
  <c r="F195" i="1"/>
  <c r="CK195" i="1" s="1"/>
  <c r="F197" i="1"/>
  <c r="CK197" i="1" s="1"/>
  <c r="F205" i="1"/>
  <c r="CK205" i="1" s="1"/>
  <c r="F207" i="1"/>
  <c r="CK207" i="1" s="1"/>
  <c r="F209" i="1"/>
  <c r="CK209" i="1" s="1"/>
  <c r="F211" i="1"/>
  <c r="CK211" i="1" s="1"/>
  <c r="F283" i="1"/>
  <c r="CK283" i="1" s="1"/>
  <c r="F311" i="1"/>
  <c r="CK311" i="1" s="1"/>
  <c r="P290" i="1"/>
  <c r="F332" i="1"/>
  <c r="CK332" i="1" s="1"/>
  <c r="K399" i="4"/>
  <c r="I122" i="4"/>
  <c r="I172" i="4"/>
  <c r="I232" i="4"/>
  <c r="AN24" i="1"/>
  <c r="P37" i="1"/>
  <c r="P35" i="1"/>
  <c r="F81" i="1"/>
  <c r="I118" i="4"/>
  <c r="I136" i="4"/>
  <c r="I157" i="4"/>
  <c r="I200" i="4"/>
  <c r="I217" i="4"/>
  <c r="I248" i="4"/>
  <c r="AQ58" i="1"/>
  <c r="F347" i="1"/>
  <c r="F58" i="1"/>
  <c r="AN242" i="1"/>
  <c r="AO71" i="1"/>
  <c r="AG71" i="1"/>
  <c r="AE71" i="1"/>
  <c r="AC71" i="1"/>
  <c r="AA71" i="1"/>
  <c r="Y71" i="1"/>
  <c r="W71" i="1"/>
  <c r="U71" i="1"/>
  <c r="P58" i="1"/>
  <c r="CL211" i="1"/>
  <c r="CI217" i="1"/>
  <c r="AO28" i="1"/>
  <c r="U377" i="1"/>
  <c r="AA366" i="1"/>
  <c r="AG365" i="1"/>
  <c r="AC365" i="1"/>
  <c r="AG86" i="1"/>
  <c r="AG87" i="1" s="1"/>
  <c r="AC41" i="1"/>
  <c r="AC109" i="1" s="1"/>
  <c r="U41" i="1"/>
  <c r="U109" i="1" s="1"/>
  <c r="AF24" i="1"/>
  <c r="AF182" i="1" s="1"/>
  <c r="Z24" i="1"/>
  <c r="Z182" i="1" s="1"/>
  <c r="CA182" i="1" s="1"/>
  <c r="AK23" i="1"/>
  <c r="AK22" i="1"/>
  <c r="AK21" i="1"/>
  <c r="AK20" i="1"/>
  <c r="AK19" i="1"/>
  <c r="AG24" i="1"/>
  <c r="AE24" i="1"/>
  <c r="AB24" i="1"/>
  <c r="V24" i="1"/>
  <c r="AK18" i="1"/>
  <c r="AO24" i="1"/>
  <c r="AM24" i="1"/>
  <c r="AK17" i="1"/>
  <c r="W24" i="1"/>
  <c r="AK16" i="1"/>
  <c r="K8" i="4"/>
  <c r="F381" i="1"/>
  <c r="AQ11" i="1"/>
  <c r="AQ13" i="1"/>
  <c r="AK337" i="1"/>
  <c r="AK303" i="1"/>
  <c r="AK267" i="1"/>
  <c r="AK261" i="1"/>
  <c r="AK240" i="1"/>
  <c r="AK420" i="1"/>
  <c r="AK349" i="1"/>
  <c r="AK323" i="1"/>
  <c r="AK317" i="1"/>
  <c r="AK281" i="1"/>
  <c r="AK248" i="1"/>
  <c r="AO249" i="1"/>
  <c r="AM249" i="1"/>
  <c r="AK233" i="1"/>
  <c r="AM234" i="1"/>
  <c r="AK309" i="1"/>
  <c r="AK289" i="1"/>
  <c r="AO234" i="1"/>
  <c r="AK229" i="1"/>
  <c r="P138" i="1"/>
  <c r="K278" i="4"/>
  <c r="AN63" i="1"/>
  <c r="AL80" i="1"/>
  <c r="P239" i="1"/>
  <c r="K294" i="4"/>
  <c r="K277" i="4"/>
  <c r="K404" i="4"/>
  <c r="K422" i="4"/>
  <c r="I31" i="3"/>
  <c r="M62" i="3" s="1"/>
  <c r="G31" i="3"/>
  <c r="J30" i="3"/>
  <c r="L63" i="3" s="1"/>
  <c r="F30" i="3"/>
  <c r="L59" i="3" s="1"/>
  <c r="AH71" i="1"/>
  <c r="AF71" i="1"/>
  <c r="AD71" i="1"/>
  <c r="AB71" i="1"/>
  <c r="Z71" i="1"/>
  <c r="X71" i="1"/>
  <c r="V71" i="1"/>
  <c r="AI65" i="1"/>
  <c r="AI67" i="1"/>
  <c r="AI69" i="1"/>
  <c r="F262" i="1"/>
  <c r="CK262" i="1" s="1"/>
  <c r="F276" i="1"/>
  <c r="CK276" i="1" s="1"/>
  <c r="F290" i="1"/>
  <c r="CK290" i="1" s="1"/>
  <c r="F304" i="1"/>
  <c r="CK304" i="1" s="1"/>
  <c r="F318" i="1"/>
  <c r="CK318" i="1" s="1"/>
  <c r="P262" i="1"/>
  <c r="J35" i="5"/>
  <c r="F35" i="5"/>
  <c r="Y41" i="1"/>
  <c r="Y109" i="1" s="1"/>
  <c r="AI64" i="1"/>
  <c r="AI66" i="1"/>
  <c r="AI68" i="1"/>
  <c r="AI70" i="1"/>
  <c r="AI82" i="1"/>
  <c r="AI374" i="1"/>
  <c r="W249" i="1"/>
  <c r="W178" i="1"/>
  <c r="AC24" i="1"/>
  <c r="AA24" i="1"/>
  <c r="Y24" i="1"/>
  <c r="U24" i="1"/>
  <c r="E43" i="1"/>
  <c r="AE41" i="1"/>
  <c r="AE109" i="1" s="1"/>
  <c r="H26" i="3"/>
  <c r="J26" i="3"/>
  <c r="H63" i="3" s="1"/>
  <c r="F26" i="3"/>
  <c r="H29" i="3"/>
  <c r="K61" i="3" s="1"/>
  <c r="J29" i="3"/>
  <c r="K63" i="3" s="1"/>
  <c r="F29" i="3"/>
  <c r="K59" i="3" s="1"/>
  <c r="I29" i="3"/>
  <c r="K62" i="3" s="1"/>
  <c r="G29" i="3"/>
  <c r="K60" i="3" s="1"/>
  <c r="C178" i="4"/>
  <c r="CL177" i="1"/>
  <c r="CL201" i="1"/>
  <c r="AK324" i="1"/>
  <c r="AK316" i="1"/>
  <c r="AK296" i="1"/>
  <c r="AK288" i="1"/>
  <c r="AK268" i="1"/>
  <c r="AK260" i="1"/>
  <c r="AK247" i="1"/>
  <c r="AO242" i="1"/>
  <c r="AK238" i="1"/>
  <c r="AK232" i="1"/>
  <c r="AK212" i="1"/>
  <c r="K35" i="5"/>
  <c r="N21" i="5"/>
  <c r="CL176" i="1"/>
  <c r="AK338" i="1"/>
  <c r="AK330" i="1"/>
  <c r="AK310" i="1"/>
  <c r="AK302" i="1"/>
  <c r="AK282" i="1"/>
  <c r="AK274" i="1"/>
  <c r="AK245" i="1"/>
  <c r="AK241" i="1"/>
  <c r="AK230" i="1"/>
  <c r="AN234" i="1"/>
  <c r="AL234" i="1"/>
  <c r="AK206" i="1"/>
  <c r="AK122" i="1"/>
  <c r="I120" i="4"/>
  <c r="I134" i="4"/>
  <c r="I138" i="4"/>
  <c r="I155" i="4"/>
  <c r="I170" i="4"/>
  <c r="I195" i="4"/>
  <c r="I211" i="4"/>
  <c r="I210" i="4"/>
  <c r="I216" i="4" s="1"/>
  <c r="I218" i="4"/>
  <c r="I237" i="4"/>
  <c r="I249" i="4"/>
  <c r="C177" i="4"/>
  <c r="C179" i="4"/>
  <c r="D16" i="3"/>
  <c r="E34" i="3" s="1"/>
  <c r="E14" i="32" s="1"/>
  <c r="E13" i="32"/>
  <c r="D14" i="3"/>
  <c r="I30" i="3"/>
  <c r="L62" i="3" s="1"/>
  <c r="G30" i="3"/>
  <c r="I26" i="3"/>
  <c r="G26" i="3"/>
  <c r="G6" i="32" s="1"/>
  <c r="J38" i="3"/>
  <c r="T63" i="3" s="1"/>
  <c r="I38" i="3"/>
  <c r="H38" i="3"/>
  <c r="G38" i="3"/>
  <c r="F38" i="3"/>
  <c r="F18" i="32" s="1"/>
  <c r="BR340" i="1"/>
  <c r="AI63" i="1"/>
  <c r="AI85" i="1"/>
  <c r="AI83" i="1"/>
  <c r="AI81" i="1"/>
  <c r="AI220" i="1"/>
  <c r="AI222" i="1"/>
  <c r="AI375" i="1"/>
  <c r="AI373" i="1"/>
  <c r="AI371" i="1"/>
  <c r="H35" i="5"/>
  <c r="D35" i="5"/>
  <c r="W234" i="1"/>
  <c r="X24" i="1"/>
  <c r="R24" i="1"/>
  <c r="AK176" i="1"/>
  <c r="AN178" i="1"/>
  <c r="AK39" i="1"/>
  <c r="AK37" i="1"/>
  <c r="AK35" i="1"/>
  <c r="AK38" i="1"/>
  <c r="AK36" i="1"/>
  <c r="AK34" i="1"/>
  <c r="D9" i="3"/>
  <c r="E27" i="3" s="1"/>
  <c r="E7" i="32" s="1"/>
  <c r="D6" i="3"/>
  <c r="D5" i="3"/>
  <c r="D18" i="3"/>
  <c r="E36" i="3" s="1"/>
  <c r="E16" i="32" s="1"/>
  <c r="L29" i="5"/>
  <c r="H29" i="5"/>
  <c r="K44" i="5"/>
  <c r="N29" i="5"/>
  <c r="J29" i="5"/>
  <c r="F29" i="5"/>
  <c r="H43" i="5"/>
  <c r="L43" i="5"/>
  <c r="G45" i="5"/>
  <c r="D29" i="5"/>
  <c r="M29" i="5"/>
  <c r="K29" i="5"/>
  <c r="I29" i="5"/>
  <c r="G29" i="5"/>
  <c r="CL261" i="1"/>
  <c r="AK423" i="1"/>
  <c r="V136" i="1" a="1"/>
  <c r="V136" i="1" s="1"/>
  <c r="X136" i="1" a="1"/>
  <c r="X136" i="1" s="1"/>
  <c r="Z136" i="1" a="1"/>
  <c r="Z136" i="1" s="1"/>
  <c r="AB136" i="1" a="1"/>
  <c r="AB136" i="1" s="1"/>
  <c r="AD136" i="1" a="1"/>
  <c r="AD136" i="1" s="1"/>
  <c r="AF136" i="1" a="1"/>
  <c r="AF136" i="1" s="1"/>
  <c r="AH136" i="1" a="1"/>
  <c r="AH136" i="1" s="1"/>
  <c r="S136" i="1" a="1"/>
  <c r="S136" i="1" s="1"/>
  <c r="U136" i="1" a="1"/>
  <c r="U136" i="1" s="1"/>
  <c r="W136" i="1" a="1"/>
  <c r="W136" i="1" s="1"/>
  <c r="Y136" i="1" a="1"/>
  <c r="Y136" i="1" s="1"/>
  <c r="AA136" i="1" a="1"/>
  <c r="AA136" i="1" s="1"/>
  <c r="AC136" i="1" a="1"/>
  <c r="AC136" i="1" s="1"/>
  <c r="AE136" i="1" a="1"/>
  <c r="AE136" i="1" s="1"/>
  <c r="AG136" i="1" a="1"/>
  <c r="AG136" i="1" s="1"/>
  <c r="R136" i="1" a="1"/>
  <c r="R136" i="1" s="1"/>
  <c r="A86" i="4"/>
  <c r="A24" i="4"/>
  <c r="A129" i="4"/>
  <c r="A58" i="4"/>
  <c r="A11" i="4"/>
  <c r="A13" i="4"/>
  <c r="A15" i="4"/>
  <c r="A17" i="4"/>
  <c r="A19" i="4"/>
  <c r="A21" i="4"/>
  <c r="A23" i="4"/>
  <c r="A26" i="4"/>
  <c r="A28" i="4"/>
  <c r="A30" i="4"/>
  <c r="A32" i="4"/>
  <c r="A34" i="4"/>
  <c r="A36" i="4"/>
  <c r="A38" i="4"/>
  <c r="A40" i="4"/>
  <c r="A42" i="4"/>
  <c r="A44" i="4"/>
  <c r="A46" i="4"/>
  <c r="A48" i="4"/>
  <c r="A50" i="4"/>
  <c r="A52" i="4"/>
  <c r="A54" i="4"/>
  <c r="A56" i="4"/>
  <c r="A59" i="4"/>
  <c r="A61" i="4"/>
  <c r="A63" i="4"/>
  <c r="A65" i="4"/>
  <c r="A67" i="4"/>
  <c r="A69" i="4"/>
  <c r="A71" i="4"/>
  <c r="A73" i="4"/>
  <c r="A75" i="4"/>
  <c r="A78" i="4"/>
  <c r="A80" i="4"/>
  <c r="A82" i="4"/>
  <c r="A84" i="4"/>
  <c r="A88" i="4"/>
  <c r="A90" i="4"/>
  <c r="A93" i="4"/>
  <c r="A95" i="4"/>
  <c r="A97" i="4"/>
  <c r="A99" i="4"/>
  <c r="A101" i="4"/>
  <c r="A103" i="4"/>
  <c r="A105" i="4"/>
  <c r="A107" i="4"/>
  <c r="A109" i="4"/>
  <c r="A111" i="4"/>
  <c r="A113" i="4"/>
  <c r="A115" i="4"/>
  <c r="A117" i="4"/>
  <c r="A119" i="4"/>
  <c r="A121" i="4"/>
  <c r="A123" i="4"/>
  <c r="A125" i="4"/>
  <c r="A127" i="4"/>
  <c r="A130" i="4"/>
  <c r="A132" i="4"/>
  <c r="A134" i="4"/>
  <c r="A136" i="4"/>
  <c r="A138" i="4"/>
  <c r="A140" i="4"/>
  <c r="A142" i="4"/>
  <c r="A144" i="4"/>
  <c r="A146" i="4"/>
  <c r="A148" i="4"/>
  <c r="A150" i="4"/>
  <c r="A152" i="4"/>
  <c r="A154" i="4"/>
  <c r="A156" i="4"/>
  <c r="A158" i="4"/>
  <c r="A160" i="4"/>
  <c r="A162" i="4"/>
  <c r="A164" i="4"/>
  <c r="A166" i="4"/>
  <c r="A168" i="4"/>
  <c r="A170" i="4"/>
  <c r="A172" i="4"/>
  <c r="A174" i="4"/>
  <c r="A176" i="4"/>
  <c r="A178" i="4"/>
  <c r="A180" i="4"/>
  <c r="A182" i="4"/>
  <c r="A184" i="4"/>
  <c r="A186" i="4"/>
  <c r="A188" i="4"/>
  <c r="A190" i="4"/>
  <c r="A192" i="4"/>
  <c r="A194" i="4"/>
  <c r="A196" i="4"/>
  <c r="A198" i="4"/>
  <c r="A200" i="4"/>
  <c r="A202" i="4"/>
  <c r="A204" i="4"/>
  <c r="A206" i="4"/>
  <c r="A208" i="4"/>
  <c r="A210" i="4"/>
  <c r="K216" i="4" s="1"/>
  <c r="A212" i="4"/>
  <c r="A214" i="4"/>
  <c r="A216" i="4"/>
  <c r="A218" i="4"/>
  <c r="A220" i="4"/>
  <c r="A222" i="4"/>
  <c r="A224" i="4"/>
  <c r="A226" i="4"/>
  <c r="A228" i="4"/>
  <c r="A230" i="4"/>
  <c r="K236" i="4" s="1"/>
  <c r="A232" i="4"/>
  <c r="A234" i="4"/>
  <c r="A236" i="4"/>
  <c r="A238" i="4"/>
  <c r="A240" i="4"/>
  <c r="A242" i="4"/>
  <c r="A244" i="4"/>
  <c r="A246" i="4"/>
  <c r="A248" i="4"/>
  <c r="A250" i="4"/>
  <c r="A252" i="4"/>
  <c r="A254" i="4"/>
  <c r="A256" i="4"/>
  <c r="A258" i="4"/>
  <c r="A260" i="4"/>
  <c r="A262" i="4"/>
  <c r="A264" i="4"/>
  <c r="A266" i="4"/>
  <c r="A268" i="4"/>
  <c r="A270" i="4"/>
  <c r="A272" i="4"/>
  <c r="A274" i="4"/>
  <c r="A276" i="4"/>
  <c r="A278" i="4"/>
  <c r="A280" i="4"/>
  <c r="A282" i="4"/>
  <c r="A284" i="4"/>
  <c r="A286" i="4"/>
  <c r="A288" i="4"/>
  <c r="A290" i="4"/>
  <c r="K110" i="4" s="1"/>
  <c r="A292" i="4"/>
  <c r="A294" i="4"/>
  <c r="A296" i="4"/>
  <c r="A298" i="4"/>
  <c r="A300" i="4"/>
  <c r="A302" i="4"/>
  <c r="A304" i="4"/>
  <c r="A306" i="4"/>
  <c r="A308" i="4"/>
  <c r="A310" i="4"/>
  <c r="K112" i="4" s="1"/>
  <c r="A312" i="4"/>
  <c r="A314" i="4"/>
  <c r="A316" i="4"/>
  <c r="A318" i="4"/>
  <c r="A320" i="4"/>
  <c r="A322" i="4"/>
  <c r="A324" i="4"/>
  <c r="A326" i="4"/>
  <c r="K127" i="4" s="1"/>
  <c r="A328" i="4"/>
  <c r="A330" i="4"/>
  <c r="A332" i="4"/>
  <c r="A334" i="4"/>
  <c r="A336" i="4"/>
  <c r="A338" i="4"/>
  <c r="A340" i="4"/>
  <c r="A342" i="4"/>
  <c r="K144" i="4" s="1"/>
  <c r="A344" i="4"/>
  <c r="A346" i="4"/>
  <c r="A348" i="4"/>
  <c r="A350" i="4"/>
  <c r="A352" i="4"/>
  <c r="A354" i="4"/>
  <c r="A356" i="4"/>
  <c r="K146" i="4" s="1"/>
  <c r="A358" i="4"/>
  <c r="A360" i="4"/>
  <c r="A362" i="4"/>
  <c r="A364" i="4"/>
  <c r="A366" i="4"/>
  <c r="A368" i="4"/>
  <c r="A370" i="4"/>
  <c r="A372" i="4"/>
  <c r="A374" i="4"/>
  <c r="A376" i="4"/>
  <c r="A378" i="4"/>
  <c r="A380" i="4"/>
  <c r="K161" i="4" s="1"/>
  <c r="A382" i="4"/>
  <c r="A384" i="4"/>
  <c r="A386" i="4"/>
  <c r="A388" i="4"/>
  <c r="A390" i="4"/>
  <c r="A392" i="4"/>
  <c r="A394" i="4"/>
  <c r="K163" i="4" s="1"/>
  <c r="A396" i="4"/>
  <c r="A398" i="4"/>
  <c r="A400" i="4"/>
  <c r="A402" i="4"/>
  <c r="A404" i="4"/>
  <c r="A406" i="4"/>
  <c r="A408" i="4"/>
  <c r="A410" i="4"/>
  <c r="A412" i="4"/>
  <c r="A414" i="4"/>
  <c r="A416" i="4"/>
  <c r="A418" i="4"/>
  <c r="A420" i="4"/>
  <c r="A422" i="4"/>
  <c r="A424" i="4"/>
  <c r="A426" i="4"/>
  <c r="A428" i="4"/>
  <c r="K189" i="4" s="1"/>
  <c r="A430" i="4"/>
  <c r="A432" i="4"/>
  <c r="A434" i="4"/>
  <c r="A436" i="4"/>
  <c r="A438" i="4"/>
  <c r="A440" i="4"/>
  <c r="A442" i="4"/>
  <c r="A444" i="4"/>
  <c r="A446" i="4"/>
  <c r="A448" i="4"/>
  <c r="A450" i="4"/>
  <c r="A452" i="4"/>
  <c r="A454" i="4"/>
  <c r="A456" i="4"/>
  <c r="K205" i="4" s="1"/>
  <c r="A458" i="4"/>
  <c r="A460" i="4"/>
  <c r="A462" i="4"/>
  <c r="A464" i="4"/>
  <c r="A466" i="4"/>
  <c r="A468" i="4"/>
  <c r="A470" i="4"/>
  <c r="A472" i="4"/>
  <c r="A474" i="4"/>
  <c r="A476" i="4"/>
  <c r="A478" i="4"/>
  <c r="A480" i="4"/>
  <c r="A482" i="4"/>
  <c r="A484" i="4"/>
  <c r="A486" i="4"/>
  <c r="K225" i="4" s="1"/>
  <c r="A488" i="4"/>
  <c r="A490" i="4"/>
  <c r="A492" i="4"/>
  <c r="A494" i="4"/>
  <c r="A496" i="4"/>
  <c r="A498" i="4"/>
  <c r="A500" i="4"/>
  <c r="A502" i="4"/>
  <c r="A504" i="4"/>
  <c r="A506" i="4"/>
  <c r="A508" i="4"/>
  <c r="A510" i="4"/>
  <c r="A512" i="4"/>
  <c r="A514" i="4"/>
  <c r="A516" i="4"/>
  <c r="K242" i="4" s="1"/>
  <c r="A518" i="4"/>
  <c r="A520" i="4"/>
  <c r="A522" i="4"/>
  <c r="A524" i="4"/>
  <c r="A526" i="4"/>
  <c r="A528" i="4"/>
  <c r="A530" i="4"/>
  <c r="A532" i="4"/>
  <c r="A534" i="4"/>
  <c r="A87" i="4"/>
  <c r="A77" i="4"/>
  <c r="A91" i="4"/>
  <c r="K65" i="4" s="1"/>
  <c r="A10" i="4"/>
  <c r="A12" i="4"/>
  <c r="A14" i="4"/>
  <c r="A16" i="4"/>
  <c r="A18" i="4"/>
  <c r="A20" i="4"/>
  <c r="K21" i="4" s="1"/>
  <c r="A22" i="4"/>
  <c r="A25" i="4"/>
  <c r="A27" i="4"/>
  <c r="A29" i="4"/>
  <c r="A31" i="4"/>
  <c r="A33" i="4"/>
  <c r="A35" i="4"/>
  <c r="A37" i="4"/>
  <c r="A39" i="4"/>
  <c r="A41" i="4"/>
  <c r="A43" i="4"/>
  <c r="A45" i="4"/>
  <c r="A47" i="4"/>
  <c r="A49" i="4"/>
  <c r="A51" i="4"/>
  <c r="A53" i="4"/>
  <c r="A55" i="4"/>
  <c r="A57" i="4"/>
  <c r="A60" i="4"/>
  <c r="A62" i="4"/>
  <c r="A64" i="4"/>
  <c r="A66" i="4"/>
  <c r="A68" i="4"/>
  <c r="A70" i="4"/>
  <c r="A72" i="4"/>
  <c r="A74" i="4"/>
  <c r="A76" i="4"/>
  <c r="A79" i="4"/>
  <c r="A81" i="4"/>
  <c r="A83" i="4"/>
  <c r="K84" i="4" s="1"/>
  <c r="A85" i="4"/>
  <c r="A89" i="4"/>
  <c r="A92" i="4"/>
  <c r="A94" i="4"/>
  <c r="A96" i="4"/>
  <c r="A98" i="4"/>
  <c r="A100" i="4"/>
  <c r="A102" i="4"/>
  <c r="A104" i="4"/>
  <c r="A106" i="4"/>
  <c r="A108" i="4"/>
  <c r="A110" i="4"/>
  <c r="A112" i="4"/>
  <c r="A114" i="4"/>
  <c r="A116" i="4"/>
  <c r="A118" i="4"/>
  <c r="A120" i="4"/>
  <c r="A122" i="4"/>
  <c r="A124" i="4"/>
  <c r="A126" i="4"/>
  <c r="A128" i="4"/>
  <c r="A131" i="4"/>
  <c r="A133" i="4"/>
  <c r="A135" i="4"/>
  <c r="A137" i="4"/>
  <c r="A139" i="4"/>
  <c r="A141" i="4"/>
  <c r="A143" i="4"/>
  <c r="A145" i="4"/>
  <c r="A147" i="4"/>
  <c r="A149" i="4"/>
  <c r="A151" i="4"/>
  <c r="A153" i="4"/>
  <c r="A155" i="4"/>
  <c r="A157" i="4"/>
  <c r="A159" i="4"/>
  <c r="A161" i="4"/>
  <c r="A163" i="4"/>
  <c r="A165" i="4"/>
  <c r="A167" i="4"/>
  <c r="A169" i="4"/>
  <c r="A171" i="4"/>
  <c r="A173" i="4"/>
  <c r="A175" i="4"/>
  <c r="A177" i="4"/>
  <c r="A179" i="4"/>
  <c r="A181" i="4"/>
  <c r="A183" i="4"/>
  <c r="A185" i="4"/>
  <c r="A187" i="4"/>
  <c r="A189" i="4"/>
  <c r="A191" i="4"/>
  <c r="A193" i="4"/>
  <c r="K199" i="4" s="1"/>
  <c r="A195" i="4"/>
  <c r="A197" i="4"/>
  <c r="A199" i="4"/>
  <c r="A201" i="4"/>
  <c r="A203" i="4"/>
  <c r="A205" i="4"/>
  <c r="A207" i="4"/>
  <c r="A209" i="4"/>
  <c r="A211" i="4"/>
  <c r="A213" i="4"/>
  <c r="A215" i="4"/>
  <c r="A217" i="4"/>
  <c r="A219" i="4"/>
  <c r="A221" i="4"/>
  <c r="A223" i="4"/>
  <c r="A225" i="4"/>
  <c r="A227" i="4"/>
  <c r="A229" i="4"/>
  <c r="A231" i="4"/>
  <c r="A233" i="4"/>
  <c r="A235" i="4"/>
  <c r="A237" i="4"/>
  <c r="A239" i="4"/>
  <c r="A241" i="4"/>
  <c r="A243" i="4"/>
  <c r="A245" i="4"/>
  <c r="A247" i="4"/>
  <c r="K253" i="4" s="1"/>
  <c r="A249" i="4"/>
  <c r="A251" i="4"/>
  <c r="A253" i="4"/>
  <c r="A255" i="4"/>
  <c r="A257" i="4"/>
  <c r="A259" i="4"/>
  <c r="A261" i="4"/>
  <c r="A263" i="4"/>
  <c r="A265" i="4"/>
  <c r="A267" i="4"/>
  <c r="A269" i="4"/>
  <c r="A271" i="4"/>
  <c r="A273" i="4"/>
  <c r="A275" i="4"/>
  <c r="A277" i="4"/>
  <c r="A279" i="4"/>
  <c r="A281" i="4"/>
  <c r="K109" i="4" s="1"/>
  <c r="A283" i="4"/>
  <c r="A285" i="4"/>
  <c r="A287" i="4"/>
  <c r="A289" i="4"/>
  <c r="A291" i="4"/>
  <c r="A293" i="4"/>
  <c r="A295" i="4"/>
  <c r="A297" i="4"/>
  <c r="A299" i="4"/>
  <c r="A301" i="4"/>
  <c r="K111" i="4" s="1"/>
  <c r="A303" i="4"/>
  <c r="A305" i="4"/>
  <c r="A307" i="4"/>
  <c r="A309" i="4"/>
  <c r="A311" i="4"/>
  <c r="A313" i="4"/>
  <c r="A315" i="4"/>
  <c r="A317" i="4"/>
  <c r="A319" i="4"/>
  <c r="K126" i="4" s="1"/>
  <c r="A321" i="4"/>
  <c r="A323" i="4"/>
  <c r="A325" i="4"/>
  <c r="A327" i="4"/>
  <c r="A329" i="4"/>
  <c r="A331" i="4"/>
  <c r="A333" i="4"/>
  <c r="K128" i="4" s="1"/>
  <c r="A335" i="4"/>
  <c r="A337" i="4"/>
  <c r="A339" i="4"/>
  <c r="A341" i="4"/>
  <c r="A343" i="4"/>
  <c r="A345" i="4"/>
  <c r="A347" i="4"/>
  <c r="A349" i="4"/>
  <c r="K145" i="4" s="1"/>
  <c r="A351" i="4"/>
  <c r="A353" i="4"/>
  <c r="A355" i="4"/>
  <c r="A357" i="4"/>
  <c r="A359" i="4"/>
  <c r="A361" i="4"/>
  <c r="A363" i="4"/>
  <c r="K147" i="4" s="1"/>
  <c r="A365" i="4"/>
  <c r="A367" i="4"/>
  <c r="A369" i="4"/>
  <c r="A371" i="4"/>
  <c r="A373" i="4"/>
  <c r="K160" i="4" s="1"/>
  <c r="A375" i="4"/>
  <c r="A377" i="4"/>
  <c r="A379" i="4"/>
  <c r="A381" i="4"/>
  <c r="A383" i="4"/>
  <c r="A385" i="4"/>
  <c r="A387" i="4"/>
  <c r="K162" i="4" s="1"/>
  <c r="A389" i="4"/>
  <c r="A391" i="4"/>
  <c r="A393" i="4"/>
  <c r="A395" i="4"/>
  <c r="A397" i="4"/>
  <c r="A399" i="4"/>
  <c r="A401" i="4"/>
  <c r="A403" i="4"/>
  <c r="A405" i="4"/>
  <c r="A407" i="4"/>
  <c r="A409" i="4"/>
  <c r="A411" i="4"/>
  <c r="A413" i="4"/>
  <c r="A415" i="4"/>
  <c r="A417" i="4"/>
  <c r="A419" i="4"/>
  <c r="K188" i="4" s="1"/>
  <c r="A421" i="4"/>
  <c r="A423" i="4"/>
  <c r="A425" i="4"/>
  <c r="A427" i="4"/>
  <c r="A429" i="4"/>
  <c r="A431" i="4"/>
  <c r="A433" i="4"/>
  <c r="A435" i="4"/>
  <c r="A437" i="4"/>
  <c r="A439" i="4"/>
  <c r="A441" i="4"/>
  <c r="A443" i="4"/>
  <c r="A445" i="4"/>
  <c r="A447" i="4"/>
  <c r="A449" i="4"/>
  <c r="K204" i="4" s="1"/>
  <c r="A451" i="4"/>
  <c r="A453" i="4"/>
  <c r="A455" i="4"/>
  <c r="A457" i="4"/>
  <c r="A459" i="4"/>
  <c r="A461" i="4"/>
  <c r="A463" i="4"/>
  <c r="K206" i="4" s="1"/>
  <c r="A465" i="4"/>
  <c r="A467" i="4"/>
  <c r="A469" i="4"/>
  <c r="A471" i="4"/>
  <c r="A473" i="4"/>
  <c r="A475" i="4"/>
  <c r="A477" i="4"/>
  <c r="A479" i="4"/>
  <c r="K224" i="4" s="1"/>
  <c r="A481" i="4"/>
  <c r="A483" i="4"/>
  <c r="A485" i="4"/>
  <c r="A487" i="4"/>
  <c r="A489" i="4"/>
  <c r="A491" i="4"/>
  <c r="A493" i="4"/>
  <c r="K226" i="4" s="1"/>
  <c r="A495" i="4"/>
  <c r="A497" i="4"/>
  <c r="A499" i="4"/>
  <c r="A501" i="4"/>
  <c r="A503" i="4"/>
  <c r="A505" i="4"/>
  <c r="A507" i="4"/>
  <c r="A509" i="4"/>
  <c r="K241" i="4" s="1"/>
  <c r="A511" i="4"/>
  <c r="A513" i="4"/>
  <c r="A515" i="4"/>
  <c r="A517" i="4"/>
  <c r="A519" i="4"/>
  <c r="A521" i="4"/>
  <c r="A523" i="4"/>
  <c r="K243" i="4" s="1"/>
  <c r="A525" i="4"/>
  <c r="A527" i="4"/>
  <c r="A529" i="4"/>
  <c r="A531" i="4"/>
  <c r="A533" i="4"/>
  <c r="P339" i="1"/>
  <c r="P325" i="1"/>
  <c r="P311" i="1"/>
  <c r="P297" i="1"/>
  <c r="P283" i="1"/>
  <c r="P269" i="1"/>
  <c r="K284" i="4"/>
  <c r="K293" i="4"/>
  <c r="K295" i="4"/>
  <c r="I119" i="4"/>
  <c r="I121" i="4"/>
  <c r="I135" i="4"/>
  <c r="I137" i="4"/>
  <c r="I154" i="4"/>
  <c r="I156" i="4"/>
  <c r="I169" i="4"/>
  <c r="I171" i="4"/>
  <c r="I173" i="4"/>
  <c r="I194" i="4"/>
  <c r="I196" i="4"/>
  <c r="I193" i="4"/>
  <c r="I199" i="4" s="1"/>
  <c r="I201" i="4"/>
  <c r="I212" i="4"/>
  <c r="I231" i="4"/>
  <c r="I233" i="4"/>
  <c r="I230" i="4"/>
  <c r="I236" i="4" s="1"/>
  <c r="I238" i="4"/>
  <c r="K405" i="4"/>
  <c r="K414" i="4"/>
  <c r="E150" i="1"/>
  <c r="AC87" i="1"/>
  <c r="U87" i="1"/>
  <c r="P276" i="1"/>
  <c r="P304" i="1"/>
  <c r="P332" i="1"/>
  <c r="G31" i="5"/>
  <c r="H31" i="5" s="1"/>
  <c r="AQ425" i="1"/>
  <c r="P425" i="1"/>
  <c r="K81" i="4"/>
  <c r="AH242" i="1"/>
  <c r="AG242" i="1"/>
  <c r="AF242" i="1"/>
  <c r="AE242" i="1"/>
  <c r="AD242" i="1"/>
  <c r="AC242" i="1"/>
  <c r="AB242" i="1"/>
  <c r="AA242" i="1"/>
  <c r="Z242" i="1"/>
  <c r="Y242" i="1"/>
  <c r="V242" i="1"/>
  <c r="U242" i="1"/>
  <c r="S242" i="1"/>
  <c r="X242" i="1"/>
  <c r="X27" i="1"/>
  <c r="X40" i="1"/>
  <c r="E43" i="5"/>
  <c r="G43" i="5"/>
  <c r="I43" i="5"/>
  <c r="K43" i="5"/>
  <c r="M43" i="5"/>
  <c r="D43" i="5"/>
  <c r="AA27" i="1"/>
  <c r="AA40" i="1"/>
  <c r="AH41" i="1"/>
  <c r="AH74" i="1"/>
  <c r="AF41" i="1"/>
  <c r="AF109" i="1" s="1"/>
  <c r="AF74" i="1"/>
  <c r="AF87" i="1" s="1"/>
  <c r="AD41" i="1"/>
  <c r="AD109" i="1" s="1"/>
  <c r="AD74" i="1"/>
  <c r="AD87" i="1" s="1"/>
  <c r="AB41" i="1"/>
  <c r="AB109" i="1" s="1"/>
  <c r="AB74" i="1"/>
  <c r="Z74" i="1"/>
  <c r="Z87" i="1" s="1"/>
  <c r="V41" i="1"/>
  <c r="V109" i="1" s="1"/>
  <c r="V74" i="1"/>
  <c r="V87" i="1" s="1"/>
  <c r="S41" i="1"/>
  <c r="S74" i="1"/>
  <c r="S87" i="1" s="1"/>
  <c r="S71" i="1"/>
  <c r="X28" i="1"/>
  <c r="N43" i="5"/>
  <c r="J43" i="5"/>
  <c r="F43" i="5"/>
  <c r="AD378" i="1" l="1"/>
  <c r="E24" i="3"/>
  <c r="F58" i="3" s="1"/>
  <c r="G62" i="3"/>
  <c r="I5" i="32"/>
  <c r="G58" i="3"/>
  <c r="E5" i="32"/>
  <c r="G59" i="3"/>
  <c r="F5" i="32"/>
  <c r="G61" i="3"/>
  <c r="H5" i="32"/>
  <c r="G60" i="3"/>
  <c r="G5" i="32"/>
  <c r="T43" i="1"/>
  <c r="E112" i="1"/>
  <c r="E114" i="1" s="1"/>
  <c r="E118" i="1" s="1"/>
  <c r="T60" i="3"/>
  <c r="G18" i="32"/>
  <c r="J18" i="32" s="1"/>
  <c r="T61" i="3"/>
  <c r="H18" i="32"/>
  <c r="T62" i="3"/>
  <c r="I18" i="32"/>
  <c r="E58" i="3"/>
  <c r="E3" i="32"/>
  <c r="H59" i="3"/>
  <c r="F6" i="32"/>
  <c r="H62" i="3"/>
  <c r="I6" i="32"/>
  <c r="H61" i="3"/>
  <c r="H6" i="32"/>
  <c r="J6" i="32" s="1"/>
  <c r="D59" i="3"/>
  <c r="F2" i="32"/>
  <c r="AK374" i="1"/>
  <c r="V378" i="1"/>
  <c r="AK373" i="1"/>
  <c r="AK375" i="1"/>
  <c r="AK83" i="1"/>
  <c r="AK371" i="1"/>
  <c r="E31" i="5"/>
  <c r="F31" i="5" s="1"/>
  <c r="I31" i="5" s="1"/>
  <c r="J31" i="5" s="1"/>
  <c r="K31" i="5" s="1"/>
  <c r="L31" i="5" s="1"/>
  <c r="N31" i="5" s="1"/>
  <c r="AK372" i="1"/>
  <c r="AK81" i="1"/>
  <c r="AK85" i="1"/>
  <c r="AK209" i="1"/>
  <c r="CL220" i="1"/>
  <c r="AK65" i="1"/>
  <c r="AK222" i="1"/>
  <c r="AK220" i="1"/>
  <c r="AM71" i="1"/>
  <c r="AK69" i="1"/>
  <c r="CL249" i="1"/>
  <c r="CL234" i="1"/>
  <c r="AK211" i="1"/>
  <c r="D10" i="3"/>
  <c r="E28" i="3" s="1"/>
  <c r="I22" i="3"/>
  <c r="E2" i="32"/>
  <c r="G22" i="3"/>
  <c r="H22" i="3"/>
  <c r="E32" i="3"/>
  <c r="S21" i="3"/>
  <c r="AK67" i="1"/>
  <c r="S123" i="1"/>
  <c r="S182" i="1"/>
  <c r="BT182" i="1" s="1"/>
  <c r="V10" i="1"/>
  <c r="AE216" i="1"/>
  <c r="CF216" i="1" s="1"/>
  <c r="AE10" i="1"/>
  <c r="Y10" i="1"/>
  <c r="U10" i="1"/>
  <c r="AB10" i="1"/>
  <c r="AF10" i="1"/>
  <c r="S10" i="1"/>
  <c r="S109" i="1"/>
  <c r="Z10" i="1"/>
  <c r="AG216" i="1"/>
  <c r="CH216" i="1" s="1"/>
  <c r="AG10" i="1"/>
  <c r="AG109" i="1"/>
  <c r="AN109" i="1" s="1"/>
  <c r="AD10" i="1"/>
  <c r="AH109" i="1"/>
  <c r="AO109" i="1" s="1"/>
  <c r="AH10" i="1"/>
  <c r="E116" i="1"/>
  <c r="AC10" i="1"/>
  <c r="S190" i="1"/>
  <c r="BT190" i="1" s="1"/>
  <c r="S185" i="1"/>
  <c r="BT185" i="1" s="1"/>
  <c r="S378" i="1"/>
  <c r="S199" i="1"/>
  <c r="BT199" i="1" s="1"/>
  <c r="S194" i="1"/>
  <c r="BT194" i="1" s="1"/>
  <c r="S359" i="1"/>
  <c r="S354" i="1"/>
  <c r="AK223" i="1"/>
  <c r="S89" i="1"/>
  <c r="V89" i="1"/>
  <c r="AD89" i="1"/>
  <c r="U89" i="1"/>
  <c r="AC89" i="1"/>
  <c r="Z89" i="1"/>
  <c r="AG89" i="1"/>
  <c r="AF89" i="1"/>
  <c r="J22" i="3"/>
  <c r="D63" i="3" s="1"/>
  <c r="AI175" i="1"/>
  <c r="BV175" i="1"/>
  <c r="AL175" i="1"/>
  <c r="AM175" i="1"/>
  <c r="AM178" i="1" s="1"/>
  <c r="BZ175" i="1"/>
  <c r="P35" i="5"/>
  <c r="C30" i="5" s="1"/>
  <c r="AH183" i="1"/>
  <c r="AO183" i="1" s="1"/>
  <c r="AH188" i="1"/>
  <c r="AO188" i="1" s="1"/>
  <c r="AH187" i="1"/>
  <c r="CI187" i="1" s="1"/>
  <c r="AH184" i="1"/>
  <c r="AO184" i="1" s="1"/>
  <c r="Z378" i="1"/>
  <c r="AG224" i="1"/>
  <c r="CH224" i="1" s="1"/>
  <c r="S361" i="1"/>
  <c r="S345" i="1"/>
  <c r="S193" i="1"/>
  <c r="BT193" i="1" s="1"/>
  <c r="S184" i="1"/>
  <c r="BT184" i="1" s="1"/>
  <c r="S356" i="1"/>
  <c r="S196" i="1"/>
  <c r="BT196" i="1" s="1"/>
  <c r="S187" i="1"/>
  <c r="BT187" i="1" s="1"/>
  <c r="S426" i="1"/>
  <c r="S355" i="1"/>
  <c r="S195" i="1"/>
  <c r="BT195" i="1" s="1"/>
  <c r="S186" i="1"/>
  <c r="BT186" i="1" s="1"/>
  <c r="S358" i="1"/>
  <c r="S198" i="1"/>
  <c r="BT198" i="1" s="1"/>
  <c r="S189" i="1"/>
  <c r="BT189" i="1" s="1"/>
  <c r="S181" i="1"/>
  <c r="BT181" i="1" s="1"/>
  <c r="S357" i="1"/>
  <c r="S197" i="1"/>
  <c r="BT197" i="1" s="1"/>
  <c r="S188" i="1"/>
  <c r="BT188" i="1" s="1"/>
  <c r="S360" i="1"/>
  <c r="S200" i="1"/>
  <c r="BT200" i="1" s="1"/>
  <c r="S191" i="1"/>
  <c r="BT191" i="1" s="1"/>
  <c r="AG346" i="1"/>
  <c r="AG424" i="1"/>
  <c r="AG398" i="1"/>
  <c r="AG205" i="1"/>
  <c r="CH205" i="1" s="1"/>
  <c r="AH378" i="1"/>
  <c r="Y87" i="1"/>
  <c r="Y89" i="1" s="1"/>
  <c r="AE87" i="1"/>
  <c r="AE89" i="1" s="1"/>
  <c r="AK82" i="1"/>
  <c r="AH426" i="1"/>
  <c r="E144" i="1"/>
  <c r="E151" i="1" s="1"/>
  <c r="AK80" i="1"/>
  <c r="AO378" i="1"/>
  <c r="S43" i="1"/>
  <c r="AD182" i="1"/>
  <c r="CE182" i="1" s="1"/>
  <c r="AD426" i="1"/>
  <c r="AD184" i="1"/>
  <c r="CE184" i="1" s="1"/>
  <c r="AD181" i="1"/>
  <c r="CE181" i="1" s="1"/>
  <c r="AD185" i="1"/>
  <c r="CE185" i="1" s="1"/>
  <c r="AI234" i="1"/>
  <c r="AN377" i="1"/>
  <c r="AG43" i="1"/>
  <c r="AH181" i="1"/>
  <c r="CI181" i="1" s="1"/>
  <c r="AH185" i="1"/>
  <c r="CI185" i="1" s="1"/>
  <c r="AH189" i="1"/>
  <c r="AO189" i="1" s="1"/>
  <c r="AH182" i="1"/>
  <c r="AO182" i="1" s="1"/>
  <c r="AH186" i="1"/>
  <c r="AO186" i="1" s="1"/>
  <c r="AC205" i="1"/>
  <c r="CD205" i="1" s="1"/>
  <c r="AK84" i="1"/>
  <c r="AK64" i="1"/>
  <c r="F24" i="3"/>
  <c r="AI249" i="1"/>
  <c r="AN366" i="1"/>
  <c r="AC378" i="1"/>
  <c r="AN41" i="1"/>
  <c r="AC346" i="1"/>
  <c r="AF378" i="1"/>
  <c r="AC224" i="1"/>
  <c r="CD224" i="1" s="1"/>
  <c r="U378" i="1"/>
  <c r="AG378" i="1"/>
  <c r="AB378" i="1"/>
  <c r="AO41" i="1"/>
  <c r="AK68" i="1"/>
  <c r="AK70" i="1"/>
  <c r="AL71" i="1"/>
  <c r="AK66" i="1"/>
  <c r="AB43" i="1"/>
  <c r="AC424" i="1"/>
  <c r="AC216" i="1"/>
  <c r="CD216" i="1" s="1"/>
  <c r="V43" i="1"/>
  <c r="AF43" i="1"/>
  <c r="Z43" i="1"/>
  <c r="AD43" i="1"/>
  <c r="AH43" i="1"/>
  <c r="E143" i="1"/>
  <c r="AC398" i="1"/>
  <c r="K415" i="4"/>
  <c r="K60" i="4"/>
  <c r="S60" i="3"/>
  <c r="D37" i="3"/>
  <c r="Z181" i="1"/>
  <c r="CA181" i="1" s="1"/>
  <c r="AH193" i="1"/>
  <c r="AH197" i="1"/>
  <c r="AH190" i="1"/>
  <c r="AH195" i="1"/>
  <c r="AH199" i="1"/>
  <c r="F32" i="3"/>
  <c r="J32" i="3"/>
  <c r="N63" i="3" s="1"/>
  <c r="H34" i="3"/>
  <c r="H14" i="32" s="1"/>
  <c r="H32" i="3"/>
  <c r="J34" i="3"/>
  <c r="P63" i="3" s="1"/>
  <c r="F34" i="3"/>
  <c r="I32" i="3"/>
  <c r="G32" i="3"/>
  <c r="I34" i="3"/>
  <c r="G34" i="3"/>
  <c r="J23" i="3"/>
  <c r="E63" i="3" s="1"/>
  <c r="F23" i="3"/>
  <c r="H23" i="3"/>
  <c r="H3" i="32" s="1"/>
  <c r="I23" i="3"/>
  <c r="G23" i="3"/>
  <c r="AH191" i="1"/>
  <c r="AH194" i="1"/>
  <c r="AO194" i="1" s="1"/>
  <c r="AH196" i="1"/>
  <c r="CI196" i="1" s="1"/>
  <c r="AH198" i="1"/>
  <c r="AO198" i="1" s="1"/>
  <c r="AK249" i="1"/>
  <c r="AK234" i="1"/>
  <c r="AH123" i="1"/>
  <c r="AO123" i="1" s="1"/>
  <c r="AO134" i="1" s="1"/>
  <c r="AH354" i="1"/>
  <c r="AH356" i="1"/>
  <c r="AO356" i="1" s="1"/>
  <c r="AH358" i="1"/>
  <c r="AO358" i="1" s="1"/>
  <c r="AH360" i="1"/>
  <c r="AO360" i="1" s="1"/>
  <c r="AH345" i="1"/>
  <c r="AO345" i="1" s="1"/>
  <c r="AH355" i="1"/>
  <c r="AO355" i="1" s="1"/>
  <c r="AH357" i="1"/>
  <c r="AO357" i="1" s="1"/>
  <c r="AH359" i="1"/>
  <c r="AO359" i="1" s="1"/>
  <c r="AH361" i="1"/>
  <c r="AO361" i="1" s="1"/>
  <c r="AF181" i="1"/>
  <c r="CG181" i="1" s="1"/>
  <c r="AD123" i="1"/>
  <c r="AD183" i="1"/>
  <c r="AD188" i="1"/>
  <c r="CE188" i="1" s="1"/>
  <c r="AD190" i="1"/>
  <c r="CE190" i="1" s="1"/>
  <c r="AD191" i="1"/>
  <c r="CE191" i="1" s="1"/>
  <c r="AD193" i="1"/>
  <c r="AD194" i="1"/>
  <c r="CE194" i="1" s="1"/>
  <c r="AD195" i="1"/>
  <c r="CE195" i="1" s="1"/>
  <c r="AD196" i="1"/>
  <c r="CE196" i="1" s="1"/>
  <c r="AD197" i="1"/>
  <c r="CE197" i="1" s="1"/>
  <c r="AD198" i="1"/>
  <c r="CE198" i="1" s="1"/>
  <c r="AD199" i="1"/>
  <c r="CE199" i="1" s="1"/>
  <c r="AD200" i="1"/>
  <c r="CE200" i="1" s="1"/>
  <c r="AD345" i="1"/>
  <c r="AD354" i="1"/>
  <c r="AD355" i="1"/>
  <c r="AD356" i="1"/>
  <c r="AD357" i="1"/>
  <c r="AD358" i="1"/>
  <c r="AD359" i="1"/>
  <c r="AD360" i="1"/>
  <c r="AD361" i="1"/>
  <c r="AD187" i="1"/>
  <c r="CE187" i="1" s="1"/>
  <c r="AD189" i="1"/>
  <c r="CE189" i="1" s="1"/>
  <c r="CI194" i="1"/>
  <c r="CI200" i="1"/>
  <c r="AO200" i="1"/>
  <c r="U43" i="1"/>
  <c r="Y43" i="1"/>
  <c r="K79" i="4"/>
  <c r="I33" i="3"/>
  <c r="G33" i="3"/>
  <c r="J33" i="3"/>
  <c r="O63" i="3" s="1"/>
  <c r="H33" i="3"/>
  <c r="F33" i="3"/>
  <c r="F13" i="32" s="1"/>
  <c r="H36" i="3"/>
  <c r="H16" i="32" s="1"/>
  <c r="D25" i="3"/>
  <c r="J36" i="3"/>
  <c r="R63" i="3" s="1"/>
  <c r="F36" i="3"/>
  <c r="I36" i="3"/>
  <c r="G36" i="3"/>
  <c r="I24" i="3"/>
  <c r="J24" i="3"/>
  <c r="H24" i="3"/>
  <c r="AI178" i="1"/>
  <c r="Y205" i="1"/>
  <c r="BZ205" i="1" s="1"/>
  <c r="U346" i="1"/>
  <c r="AN365" i="1"/>
  <c r="Y346" i="1"/>
  <c r="Y216" i="1"/>
  <c r="BZ216" i="1" s="1"/>
  <c r="Y424" i="1"/>
  <c r="Y398" i="1"/>
  <c r="Y224" i="1"/>
  <c r="AN86" i="1"/>
  <c r="K297" i="4"/>
  <c r="K19" i="4"/>
  <c r="K88" i="4"/>
  <c r="U216" i="1"/>
  <c r="BV216" i="1" s="1"/>
  <c r="U398" i="1"/>
  <c r="U205" i="1"/>
  <c r="BV205" i="1" s="1"/>
  <c r="U224" i="1"/>
  <c r="U424" i="1"/>
  <c r="AE398" i="1"/>
  <c r="AE424" i="1"/>
  <c r="AE224" i="1"/>
  <c r="CF224" i="1" s="1"/>
  <c r="AE205" i="1"/>
  <c r="CF205" i="1" s="1"/>
  <c r="AE346" i="1"/>
  <c r="CG182" i="1"/>
  <c r="Z123" i="1"/>
  <c r="Z426" i="1"/>
  <c r="Z184" i="1"/>
  <c r="CA184" i="1" s="1"/>
  <c r="Z185" i="1"/>
  <c r="CA185" i="1" s="1"/>
  <c r="Z186" i="1"/>
  <c r="CA186" i="1" s="1"/>
  <c r="Z187" i="1"/>
  <c r="CA187" i="1" s="1"/>
  <c r="Z188" i="1"/>
  <c r="CA188" i="1" s="1"/>
  <c r="Z189" i="1"/>
  <c r="CA189" i="1" s="1"/>
  <c r="Z190" i="1"/>
  <c r="CA190" i="1" s="1"/>
  <c r="Z191" i="1"/>
  <c r="CA191" i="1" s="1"/>
  <c r="Z193" i="1"/>
  <c r="Z194" i="1"/>
  <c r="CA194" i="1" s="1"/>
  <c r="Z195" i="1"/>
  <c r="CA195" i="1" s="1"/>
  <c r="Z196" i="1"/>
  <c r="CA196" i="1" s="1"/>
  <c r="Z197" i="1"/>
  <c r="CA197" i="1" s="1"/>
  <c r="Z198" i="1"/>
  <c r="CA198" i="1" s="1"/>
  <c r="Z199" i="1"/>
  <c r="CA199" i="1" s="1"/>
  <c r="Z200" i="1"/>
  <c r="CA200" i="1" s="1"/>
  <c r="Z345" i="1"/>
  <c r="Z354" i="1"/>
  <c r="Z355" i="1"/>
  <c r="Z356" i="1"/>
  <c r="Z357" i="1"/>
  <c r="Z358" i="1"/>
  <c r="Z359" i="1"/>
  <c r="Z360" i="1"/>
  <c r="Z361" i="1"/>
  <c r="Z183" i="1"/>
  <c r="AF123" i="1"/>
  <c r="AF184" i="1"/>
  <c r="CG184" i="1" s="1"/>
  <c r="AF185" i="1"/>
  <c r="CG185" i="1" s="1"/>
  <c r="AF186" i="1"/>
  <c r="CG186" i="1" s="1"/>
  <c r="AF187" i="1"/>
  <c r="CG187" i="1" s="1"/>
  <c r="AF188" i="1"/>
  <c r="CG188" i="1" s="1"/>
  <c r="AF189" i="1"/>
  <c r="CG189" i="1" s="1"/>
  <c r="AF190" i="1"/>
  <c r="CG190" i="1" s="1"/>
  <c r="AF191" i="1"/>
  <c r="CG191" i="1" s="1"/>
  <c r="AF193" i="1"/>
  <c r="AF194" i="1"/>
  <c r="CG194" i="1" s="1"/>
  <c r="AF195" i="1"/>
  <c r="CG195" i="1" s="1"/>
  <c r="AF196" i="1"/>
  <c r="CG196" i="1" s="1"/>
  <c r="AF197" i="1"/>
  <c r="CG197" i="1" s="1"/>
  <c r="AF198" i="1"/>
  <c r="CG198" i="1" s="1"/>
  <c r="AF199" i="1"/>
  <c r="CG199" i="1" s="1"/>
  <c r="AF200" i="1"/>
  <c r="CG200" i="1" s="1"/>
  <c r="AF345" i="1"/>
  <c r="AF354" i="1"/>
  <c r="AF355" i="1"/>
  <c r="AF356" i="1"/>
  <c r="AF357" i="1"/>
  <c r="AF358" i="1"/>
  <c r="AF359" i="1"/>
  <c r="AF360" i="1"/>
  <c r="AF361" i="1"/>
  <c r="AF426" i="1"/>
  <c r="AF183" i="1"/>
  <c r="CG183" i="1" s="1"/>
  <c r="AB123" i="1"/>
  <c r="AB181" i="1"/>
  <c r="AB182" i="1"/>
  <c r="CC182" i="1" s="1"/>
  <c r="AB426" i="1"/>
  <c r="AB183" i="1"/>
  <c r="CC183" i="1" s="1"/>
  <c r="AB184" i="1"/>
  <c r="CC184" i="1" s="1"/>
  <c r="AB185" i="1"/>
  <c r="CC185" i="1" s="1"/>
  <c r="AB186" i="1"/>
  <c r="CC186" i="1" s="1"/>
  <c r="AB187" i="1"/>
  <c r="CC187" i="1" s="1"/>
  <c r="AB188" i="1"/>
  <c r="CC188" i="1" s="1"/>
  <c r="AB189" i="1"/>
  <c r="CC189" i="1" s="1"/>
  <c r="AB190" i="1"/>
  <c r="CC190" i="1" s="1"/>
  <c r="AB191" i="1"/>
  <c r="CC191" i="1" s="1"/>
  <c r="AB193" i="1"/>
  <c r="AB194" i="1"/>
  <c r="CC194" i="1" s="1"/>
  <c r="AB195" i="1"/>
  <c r="CC195" i="1" s="1"/>
  <c r="AB196" i="1"/>
  <c r="CC196" i="1" s="1"/>
  <c r="AB197" i="1"/>
  <c r="CC197" i="1" s="1"/>
  <c r="AB198" i="1"/>
  <c r="CC198" i="1" s="1"/>
  <c r="AB199" i="1"/>
  <c r="CC199" i="1" s="1"/>
  <c r="AB200" i="1"/>
  <c r="CC200" i="1" s="1"/>
  <c r="AB345" i="1"/>
  <c r="AB354" i="1"/>
  <c r="AB355" i="1"/>
  <c r="AB356" i="1"/>
  <c r="AB357" i="1"/>
  <c r="AB358" i="1"/>
  <c r="AB359" i="1"/>
  <c r="AB360" i="1"/>
  <c r="AB361" i="1"/>
  <c r="AG123" i="1"/>
  <c r="AG181" i="1"/>
  <c r="AG182" i="1"/>
  <c r="CH182" i="1" s="1"/>
  <c r="AG426" i="1"/>
  <c r="AG183" i="1"/>
  <c r="CH183" i="1" s="1"/>
  <c r="AG184" i="1"/>
  <c r="CH184" i="1" s="1"/>
  <c r="AG185" i="1"/>
  <c r="CH185" i="1" s="1"/>
  <c r="AG186" i="1"/>
  <c r="CH186" i="1" s="1"/>
  <c r="AG187" i="1"/>
  <c r="CH187" i="1" s="1"/>
  <c r="AG188" i="1"/>
  <c r="CH188" i="1" s="1"/>
  <c r="AG189" i="1"/>
  <c r="CH189" i="1" s="1"/>
  <c r="AG190" i="1"/>
  <c r="CH190" i="1" s="1"/>
  <c r="AG191" i="1"/>
  <c r="CH191" i="1" s="1"/>
  <c r="AG193" i="1"/>
  <c r="AG194" i="1"/>
  <c r="CH194" i="1" s="1"/>
  <c r="AG195" i="1"/>
  <c r="CH195" i="1" s="1"/>
  <c r="AG196" i="1"/>
  <c r="CH196" i="1" s="1"/>
  <c r="AG197" i="1"/>
  <c r="CH197" i="1" s="1"/>
  <c r="AG198" i="1"/>
  <c r="CH198" i="1" s="1"/>
  <c r="AG199" i="1"/>
  <c r="CH199" i="1" s="1"/>
  <c r="AG200" i="1"/>
  <c r="CH200" i="1" s="1"/>
  <c r="AG345" i="1"/>
  <c r="AG354" i="1"/>
  <c r="AG355" i="1"/>
  <c r="AG356" i="1"/>
  <c r="AG357" i="1"/>
  <c r="AG358" i="1"/>
  <c r="AG359" i="1"/>
  <c r="AG360" i="1"/>
  <c r="AG361" i="1"/>
  <c r="V123" i="1"/>
  <c r="V181" i="1"/>
  <c r="V182" i="1"/>
  <c r="BW182" i="1" s="1"/>
  <c r="V426" i="1"/>
  <c r="V183" i="1"/>
  <c r="BW183" i="1" s="1"/>
  <c r="V184" i="1"/>
  <c r="BW184" i="1" s="1"/>
  <c r="V185" i="1"/>
  <c r="BW185" i="1" s="1"/>
  <c r="V186" i="1"/>
  <c r="BW186" i="1" s="1"/>
  <c r="V187" i="1"/>
  <c r="BW187" i="1" s="1"/>
  <c r="V188" i="1"/>
  <c r="BW188" i="1" s="1"/>
  <c r="V189" i="1"/>
  <c r="BW189" i="1" s="1"/>
  <c r="V190" i="1"/>
  <c r="BW190" i="1" s="1"/>
  <c r="V191" i="1"/>
  <c r="BW191" i="1" s="1"/>
  <c r="V193" i="1"/>
  <c r="V194" i="1"/>
  <c r="BW194" i="1" s="1"/>
  <c r="V195" i="1"/>
  <c r="BW195" i="1" s="1"/>
  <c r="V196" i="1"/>
  <c r="BW196" i="1" s="1"/>
  <c r="V197" i="1"/>
  <c r="BW197" i="1" s="1"/>
  <c r="V198" i="1"/>
  <c r="BW198" i="1" s="1"/>
  <c r="V199" i="1"/>
  <c r="BW199" i="1" s="1"/>
  <c r="V200" i="1"/>
  <c r="BW200" i="1" s="1"/>
  <c r="V345" i="1"/>
  <c r="V354" i="1"/>
  <c r="V355" i="1"/>
  <c r="V356" i="1"/>
  <c r="V357" i="1"/>
  <c r="V358" i="1"/>
  <c r="V359" i="1"/>
  <c r="V360" i="1"/>
  <c r="V361" i="1"/>
  <c r="AE181" i="1"/>
  <c r="AE182" i="1"/>
  <c r="CF182" i="1" s="1"/>
  <c r="AE123" i="1"/>
  <c r="AE426" i="1"/>
  <c r="AE183" i="1"/>
  <c r="CF183" i="1" s="1"/>
  <c r="AE184" i="1"/>
  <c r="CF184" i="1" s="1"/>
  <c r="AE185" i="1"/>
  <c r="CF185" i="1" s="1"/>
  <c r="AE186" i="1"/>
  <c r="CF186" i="1" s="1"/>
  <c r="AE187" i="1"/>
  <c r="CF187" i="1" s="1"/>
  <c r="AE188" i="1"/>
  <c r="CF188" i="1" s="1"/>
  <c r="AE189" i="1"/>
  <c r="CF189" i="1" s="1"/>
  <c r="AE190" i="1"/>
  <c r="CF190" i="1" s="1"/>
  <c r="AE191" i="1"/>
  <c r="CF191" i="1" s="1"/>
  <c r="AE193" i="1"/>
  <c r="AE194" i="1"/>
  <c r="CF194" i="1" s="1"/>
  <c r="AE195" i="1"/>
  <c r="CF195" i="1" s="1"/>
  <c r="AE196" i="1"/>
  <c r="CF196" i="1" s="1"/>
  <c r="AE197" i="1"/>
  <c r="CF197" i="1" s="1"/>
  <c r="AE198" i="1"/>
  <c r="CF198" i="1" s="1"/>
  <c r="AE199" i="1"/>
  <c r="CF199" i="1" s="1"/>
  <c r="AE200" i="1"/>
  <c r="CF200" i="1" s="1"/>
  <c r="AE345" i="1"/>
  <c r="AE354" i="1"/>
  <c r="AE355" i="1"/>
  <c r="AE356" i="1"/>
  <c r="AE357" i="1"/>
  <c r="AE358" i="1"/>
  <c r="AE359" i="1"/>
  <c r="AE360" i="1"/>
  <c r="AE361" i="1"/>
  <c r="AK24" i="1"/>
  <c r="E148" i="1"/>
  <c r="W123" i="1"/>
  <c r="W426" i="1"/>
  <c r="W181" i="1"/>
  <c r="W184" i="1"/>
  <c r="BX184" i="1" s="1"/>
  <c r="W186" i="1"/>
  <c r="W188" i="1"/>
  <c r="BX188" i="1" s="1"/>
  <c r="W190" i="1"/>
  <c r="BX190" i="1" s="1"/>
  <c r="W193" i="1"/>
  <c r="W195" i="1"/>
  <c r="W197" i="1"/>
  <c r="BX197" i="1" s="1"/>
  <c r="W199" i="1"/>
  <c r="BX199" i="1" s="1"/>
  <c r="W354" i="1"/>
  <c r="W356" i="1"/>
  <c r="W358" i="1"/>
  <c r="W360" i="1"/>
  <c r="W182" i="1"/>
  <c r="BX182" i="1" s="1"/>
  <c r="W183" i="1"/>
  <c r="W185" i="1"/>
  <c r="BX185" i="1" s="1"/>
  <c r="W187" i="1"/>
  <c r="W189" i="1"/>
  <c r="BX189" i="1" s="1"/>
  <c r="W191" i="1"/>
  <c r="BX191" i="1" s="1"/>
  <c r="W194" i="1"/>
  <c r="BX194" i="1" s="1"/>
  <c r="W196" i="1"/>
  <c r="W198" i="1"/>
  <c r="BX198" i="1" s="1"/>
  <c r="W200" i="1"/>
  <c r="W345" i="1"/>
  <c r="W355" i="1"/>
  <c r="W357" i="1"/>
  <c r="W359" i="1"/>
  <c r="W361" i="1"/>
  <c r="AE43" i="1"/>
  <c r="K416" i="4"/>
  <c r="K307" i="4"/>
  <c r="K227" i="4"/>
  <c r="K207" i="4"/>
  <c r="G24" i="3"/>
  <c r="G30" i="5"/>
  <c r="F30" i="5"/>
  <c r="L30" i="5"/>
  <c r="U123" i="1"/>
  <c r="U182" i="1"/>
  <c r="BV182" i="1" s="1"/>
  <c r="U184" i="1"/>
  <c r="BV184" i="1" s="1"/>
  <c r="U186" i="1"/>
  <c r="BV186" i="1" s="1"/>
  <c r="U188" i="1"/>
  <c r="BV188" i="1" s="1"/>
  <c r="U190" i="1"/>
  <c r="BV190" i="1" s="1"/>
  <c r="U193" i="1"/>
  <c r="U195" i="1"/>
  <c r="BV195" i="1" s="1"/>
  <c r="U197" i="1"/>
  <c r="BV197" i="1" s="1"/>
  <c r="U199" i="1"/>
  <c r="BV199" i="1" s="1"/>
  <c r="U345" i="1"/>
  <c r="U355" i="1"/>
  <c r="U357" i="1"/>
  <c r="U359" i="1"/>
  <c r="U361" i="1"/>
  <c r="U426" i="1"/>
  <c r="U181" i="1"/>
  <c r="U183" i="1"/>
  <c r="BV183" i="1" s="1"/>
  <c r="U185" i="1"/>
  <c r="BV185" i="1" s="1"/>
  <c r="U187" i="1"/>
  <c r="BV187" i="1" s="1"/>
  <c r="U189" i="1"/>
  <c r="BV189" i="1" s="1"/>
  <c r="U191" i="1"/>
  <c r="BV191" i="1" s="1"/>
  <c r="U194" i="1"/>
  <c r="BV194" i="1" s="1"/>
  <c r="U196" i="1"/>
  <c r="BV196" i="1" s="1"/>
  <c r="U198" i="1"/>
  <c r="BV198" i="1" s="1"/>
  <c r="U200" i="1"/>
  <c r="BV200" i="1" s="1"/>
  <c r="U354" i="1"/>
  <c r="U356" i="1"/>
  <c r="U358" i="1"/>
  <c r="U360" i="1"/>
  <c r="AA426" i="1"/>
  <c r="AA181" i="1"/>
  <c r="AA183" i="1"/>
  <c r="CB183" i="1" s="1"/>
  <c r="AA185" i="1"/>
  <c r="CB185" i="1" s="1"/>
  <c r="AA187" i="1"/>
  <c r="CB187" i="1" s="1"/>
  <c r="AA189" i="1"/>
  <c r="CB189" i="1" s="1"/>
  <c r="AA191" i="1"/>
  <c r="CB191" i="1" s="1"/>
  <c r="AA194" i="1"/>
  <c r="CB194" i="1" s="1"/>
  <c r="AA196" i="1"/>
  <c r="CB196" i="1" s="1"/>
  <c r="AA198" i="1"/>
  <c r="CB198" i="1" s="1"/>
  <c r="AA200" i="1"/>
  <c r="CB200" i="1" s="1"/>
  <c r="AA354" i="1"/>
  <c r="AA356" i="1"/>
  <c r="AA358" i="1"/>
  <c r="AA360" i="1"/>
  <c r="AA123" i="1"/>
  <c r="AA182" i="1"/>
  <c r="CB182" i="1" s="1"/>
  <c r="AA184" i="1"/>
  <c r="CB184" i="1" s="1"/>
  <c r="AA186" i="1"/>
  <c r="CB186" i="1" s="1"/>
  <c r="AA188" i="1"/>
  <c r="CB188" i="1" s="1"/>
  <c r="AA190" i="1"/>
  <c r="CB190" i="1" s="1"/>
  <c r="AA193" i="1"/>
  <c r="AA195" i="1"/>
  <c r="CB195" i="1" s="1"/>
  <c r="AA197" i="1"/>
  <c r="CB197" i="1" s="1"/>
  <c r="AA199" i="1"/>
  <c r="CB199" i="1" s="1"/>
  <c r="AA345" i="1"/>
  <c r="AA355" i="1"/>
  <c r="AA357" i="1"/>
  <c r="AA359" i="1"/>
  <c r="AA361" i="1"/>
  <c r="AN71" i="1"/>
  <c r="Y426" i="1"/>
  <c r="Y181" i="1"/>
  <c r="Y183" i="1"/>
  <c r="BZ183" i="1" s="1"/>
  <c r="Y185" i="1"/>
  <c r="BZ185" i="1" s="1"/>
  <c r="Y187" i="1"/>
  <c r="BZ187" i="1" s="1"/>
  <c r="Y189" i="1"/>
  <c r="BZ189" i="1" s="1"/>
  <c r="Y191" i="1"/>
  <c r="BZ191" i="1" s="1"/>
  <c r="Y194" i="1"/>
  <c r="BZ194" i="1" s="1"/>
  <c r="Y196" i="1"/>
  <c r="BZ196" i="1" s="1"/>
  <c r="Y198" i="1"/>
  <c r="BZ198" i="1" s="1"/>
  <c r="Y200" i="1"/>
  <c r="BZ200" i="1" s="1"/>
  <c r="Y354" i="1"/>
  <c r="Y356" i="1"/>
  <c r="Y358" i="1"/>
  <c r="Y360" i="1"/>
  <c r="Y123" i="1"/>
  <c r="Y182" i="1"/>
  <c r="BZ182" i="1" s="1"/>
  <c r="Y184" i="1"/>
  <c r="Y186" i="1"/>
  <c r="BZ186" i="1" s="1"/>
  <c r="Y188" i="1"/>
  <c r="BZ188" i="1" s="1"/>
  <c r="Y190" i="1"/>
  <c r="BZ190" i="1" s="1"/>
  <c r="Y193" i="1"/>
  <c r="Y195" i="1"/>
  <c r="BZ195" i="1" s="1"/>
  <c r="Y197" i="1"/>
  <c r="Y199" i="1"/>
  <c r="BZ199" i="1" s="1"/>
  <c r="Y345" i="1"/>
  <c r="Y355" i="1"/>
  <c r="Y357" i="1"/>
  <c r="Y359" i="1"/>
  <c r="Y361" i="1"/>
  <c r="AC43" i="1"/>
  <c r="AC426" i="1"/>
  <c r="AC181" i="1"/>
  <c r="AC183" i="1"/>
  <c r="AC185" i="1"/>
  <c r="AC187" i="1"/>
  <c r="AC189" i="1"/>
  <c r="AC191" i="1"/>
  <c r="AC194" i="1"/>
  <c r="AC196" i="1"/>
  <c r="AC198" i="1"/>
  <c r="AC200" i="1"/>
  <c r="AC354" i="1"/>
  <c r="AC356" i="1"/>
  <c r="AC358" i="1"/>
  <c r="AC360" i="1"/>
  <c r="AC123" i="1"/>
  <c r="AC182" i="1"/>
  <c r="AC184" i="1"/>
  <c r="AC186" i="1"/>
  <c r="AC188" i="1"/>
  <c r="AC190" i="1"/>
  <c r="AC193" i="1"/>
  <c r="AC195" i="1"/>
  <c r="AC197" i="1"/>
  <c r="AC199" i="1"/>
  <c r="AC345" i="1"/>
  <c r="AC355" i="1"/>
  <c r="AC357" i="1"/>
  <c r="AC359" i="1"/>
  <c r="AC361" i="1"/>
  <c r="M60" i="3"/>
  <c r="D31" i="3"/>
  <c r="H27" i="3"/>
  <c r="AK63" i="1"/>
  <c r="K213" i="4"/>
  <c r="K25" i="4"/>
  <c r="J27" i="3"/>
  <c r="I63" i="3" s="1"/>
  <c r="F27" i="3"/>
  <c r="I27" i="3"/>
  <c r="I62" i="3" s="1"/>
  <c r="G27" i="3"/>
  <c r="D29" i="3"/>
  <c r="D45" i="5"/>
  <c r="I45" i="5"/>
  <c r="M45" i="5"/>
  <c r="E45" i="5"/>
  <c r="M44" i="5"/>
  <c r="D44" i="5"/>
  <c r="I44" i="5"/>
  <c r="BU184" i="1"/>
  <c r="BU188" i="1"/>
  <c r="BU197" i="1"/>
  <c r="BU183" i="1"/>
  <c r="BU187" i="1"/>
  <c r="BU191" i="1"/>
  <c r="BU196" i="1"/>
  <c r="BU200" i="1"/>
  <c r="H60" i="3"/>
  <c r="D26" i="3"/>
  <c r="L60" i="3"/>
  <c r="D30" i="3"/>
  <c r="R182" i="1"/>
  <c r="R184" i="1"/>
  <c r="R186" i="1"/>
  <c r="R188" i="1"/>
  <c r="R190" i="1"/>
  <c r="R193" i="1"/>
  <c r="R195" i="1"/>
  <c r="R197" i="1"/>
  <c r="R199" i="1"/>
  <c r="R345" i="1"/>
  <c r="R355" i="1"/>
  <c r="R357" i="1"/>
  <c r="R359" i="1"/>
  <c r="R361" i="1"/>
  <c r="R123" i="1"/>
  <c r="R426" i="1"/>
  <c r="R181" i="1"/>
  <c r="R183" i="1"/>
  <c r="R185" i="1"/>
  <c r="R187" i="1"/>
  <c r="R189" i="1"/>
  <c r="R191" i="1"/>
  <c r="R194" i="1"/>
  <c r="R196" i="1"/>
  <c r="R198" i="1"/>
  <c r="R200" i="1"/>
  <c r="R354" i="1"/>
  <c r="R356" i="1"/>
  <c r="R358" i="1"/>
  <c r="R360" i="1"/>
  <c r="AI24" i="1"/>
  <c r="X182" i="1"/>
  <c r="X184" i="1"/>
  <c r="X186" i="1"/>
  <c r="X188" i="1"/>
  <c r="X190" i="1"/>
  <c r="X193" i="1"/>
  <c r="X195" i="1"/>
  <c r="X197" i="1"/>
  <c r="X199" i="1"/>
  <c r="X345" i="1"/>
  <c r="X355" i="1"/>
  <c r="X357" i="1"/>
  <c r="X359" i="1"/>
  <c r="X361" i="1"/>
  <c r="X123" i="1"/>
  <c r="X426" i="1"/>
  <c r="X181" i="1"/>
  <c r="X183" i="1"/>
  <c r="X185" i="1"/>
  <c r="X187" i="1"/>
  <c r="X189" i="1"/>
  <c r="X191" i="1"/>
  <c r="X194" i="1"/>
  <c r="X196" i="1"/>
  <c r="X198" i="1"/>
  <c r="X200" i="1"/>
  <c r="X354" i="1"/>
  <c r="X356" i="1"/>
  <c r="X358" i="1"/>
  <c r="X360" i="1"/>
  <c r="T59" i="3"/>
  <c r="D38" i="3"/>
  <c r="C46" i="5"/>
  <c r="H46" i="5" s="1"/>
  <c r="K45" i="5"/>
  <c r="K87" i="4"/>
  <c r="G44" i="5"/>
  <c r="E44" i="5"/>
  <c r="F44" i="5"/>
  <c r="J44" i="5"/>
  <c r="N44" i="5"/>
  <c r="H44" i="5"/>
  <c r="L44" i="5"/>
  <c r="F45" i="5"/>
  <c r="J45" i="5"/>
  <c r="N45" i="5"/>
  <c r="H45" i="5"/>
  <c r="L45" i="5"/>
  <c r="X75" i="1"/>
  <c r="X366" i="1"/>
  <c r="AI71" i="1"/>
  <c r="S424" i="1"/>
  <c r="S216" i="1"/>
  <c r="S224" i="1"/>
  <c r="BT224" i="1" s="1"/>
  <c r="S205" i="1"/>
  <c r="S346" i="1"/>
  <c r="S398" i="1"/>
  <c r="V424" i="1"/>
  <c r="V216" i="1"/>
  <c r="V224" i="1"/>
  <c r="BW224" i="1" s="1"/>
  <c r="V205" i="1"/>
  <c r="V346" i="1"/>
  <c r="V398" i="1"/>
  <c r="Z424" i="1"/>
  <c r="Z216" i="1"/>
  <c r="Z224" i="1"/>
  <c r="CA224" i="1" s="1"/>
  <c r="Z205" i="1"/>
  <c r="Z346" i="1"/>
  <c r="Z398" i="1"/>
  <c r="AB424" i="1"/>
  <c r="AB205" i="1"/>
  <c r="AB216" i="1"/>
  <c r="AB224" i="1"/>
  <c r="AB346" i="1"/>
  <c r="AB398" i="1"/>
  <c r="AD424" i="1"/>
  <c r="AD205" i="1"/>
  <c r="AD216" i="1"/>
  <c r="AD224" i="1"/>
  <c r="CE224" i="1" s="1"/>
  <c r="AD346" i="1"/>
  <c r="AD398" i="1"/>
  <c r="AF424" i="1"/>
  <c r="AF205" i="1"/>
  <c r="AF216" i="1"/>
  <c r="AF224" i="1"/>
  <c r="CG224" i="1" s="1"/>
  <c r="AF346" i="1"/>
  <c r="AF398" i="1"/>
  <c r="AH424" i="1"/>
  <c r="AH205" i="1"/>
  <c r="AH216" i="1"/>
  <c r="AH224" i="1"/>
  <c r="AH346" i="1"/>
  <c r="AH398" i="1"/>
  <c r="AO398" i="1" s="1"/>
  <c r="AA41" i="1"/>
  <c r="AA109" i="1" s="1"/>
  <c r="AA74" i="1"/>
  <c r="AA365" i="1"/>
  <c r="X74" i="1"/>
  <c r="X41" i="1"/>
  <c r="X109" i="1" s="1"/>
  <c r="X365" i="1"/>
  <c r="K526" i="4"/>
  <c r="K508" i="4"/>
  <c r="K509" i="4"/>
  <c r="K492" i="4"/>
  <c r="K493" i="4"/>
  <c r="K466" i="4"/>
  <c r="K448" i="4"/>
  <c r="K449" i="4"/>
  <c r="K348" i="4"/>
  <c r="K376" i="4"/>
  <c r="K349" i="4"/>
  <c r="K332" i="4"/>
  <c r="K333" i="4"/>
  <c r="K352" i="4"/>
  <c r="K322" i="4"/>
  <c r="K301" i="4"/>
  <c r="K300" i="4"/>
  <c r="K339" i="4"/>
  <c r="K369" i="4"/>
  <c r="K272" i="4"/>
  <c r="K287" i="4"/>
  <c r="K247" i="4"/>
  <c r="B504" i="4"/>
  <c r="K231" i="4"/>
  <c r="K237" i="4"/>
  <c r="B481" i="4"/>
  <c r="K217" i="4"/>
  <c r="K211" i="4"/>
  <c r="B451" i="4"/>
  <c r="K201" i="4"/>
  <c r="K195" i="4"/>
  <c r="B421" i="4"/>
  <c r="K170" i="4"/>
  <c r="B375" i="4"/>
  <c r="K154" i="4"/>
  <c r="B344" i="4"/>
  <c r="K137" i="4"/>
  <c r="B328" i="4"/>
  <c r="K121" i="4"/>
  <c r="B303" i="4"/>
  <c r="K513" i="4"/>
  <c r="K483" i="4"/>
  <c r="K391" i="4"/>
  <c r="K384" i="4"/>
  <c r="K377" i="4"/>
  <c r="K360" i="4"/>
  <c r="K353" i="4"/>
  <c r="K527" i="4"/>
  <c r="K520" i="4"/>
  <c r="K506" i="4"/>
  <c r="K497" i="4"/>
  <c r="K490" i="4"/>
  <c r="K476" i="4"/>
  <c r="K346" i="4"/>
  <c r="K486" i="4"/>
  <c r="K485" i="4"/>
  <c r="K440" i="4"/>
  <c r="K187" i="4"/>
  <c r="K505" i="4"/>
  <c r="K475" i="4"/>
  <c r="K436" i="4"/>
  <c r="K409" i="4"/>
  <c r="K445" i="4"/>
  <c r="K410" i="4"/>
  <c r="K394" i="4"/>
  <c r="K393" i="4"/>
  <c r="K341" i="4"/>
  <c r="K342" i="4"/>
  <c r="K326" i="4"/>
  <c r="K325" i="4"/>
  <c r="K309" i="4"/>
  <c r="K359" i="4"/>
  <c r="K329" i="4"/>
  <c r="K310" i="4"/>
  <c r="K345" i="4"/>
  <c r="K315" i="4"/>
  <c r="K289" i="4"/>
  <c r="K290" i="4"/>
  <c r="K370" i="4"/>
  <c r="K340" i="4"/>
  <c r="K248" i="4"/>
  <c r="K254" i="4"/>
  <c r="B511" i="4"/>
  <c r="K238" i="4"/>
  <c r="K232" i="4"/>
  <c r="B488" i="4"/>
  <c r="K218" i="4"/>
  <c r="K212" i="4"/>
  <c r="B458" i="4"/>
  <c r="K196" i="4"/>
  <c r="K220" i="4"/>
  <c r="K171" i="4"/>
  <c r="B382" i="4"/>
  <c r="K155" i="4"/>
  <c r="B351" i="4"/>
  <c r="K134" i="4"/>
  <c r="K129" i="4"/>
  <c r="K118" i="4"/>
  <c r="K125" i="4"/>
  <c r="K113" i="4"/>
  <c r="B275" i="4"/>
  <c r="K80" i="4"/>
  <c r="K98" i="4"/>
  <c r="K74" i="4"/>
  <c r="K73" i="4"/>
  <c r="K58" i="4"/>
  <c r="K77" i="4"/>
  <c r="K75" i="4"/>
  <c r="K92" i="4"/>
  <c r="K63" i="4"/>
  <c r="O58" i="3"/>
  <c r="P58" i="3"/>
  <c r="R58" i="3"/>
  <c r="I58" i="3"/>
  <c r="K498" i="4"/>
  <c r="K439" i="4"/>
  <c r="K435" i="4"/>
  <c r="K93" i="4"/>
  <c r="K530" i="4"/>
  <c r="K499" i="4"/>
  <c r="K470" i="4"/>
  <c r="K424" i="4"/>
  <c r="K407" i="4"/>
  <c r="K298" i="4"/>
  <c r="K190" i="4"/>
  <c r="K175" i="4"/>
  <c r="K115" i="4"/>
  <c r="K83" i="4"/>
  <c r="K95" i="4"/>
  <c r="AI136" i="1"/>
  <c r="AB87" i="1"/>
  <c r="AB89" i="1" s="1"/>
  <c r="AN74" i="1"/>
  <c r="AH87" i="1"/>
  <c r="AH89" i="1" s="1"/>
  <c r="AO74" i="1"/>
  <c r="AO87" i="1" s="1"/>
  <c r="AA86" i="1"/>
  <c r="AA377" i="1"/>
  <c r="AK31" i="1"/>
  <c r="X86" i="1"/>
  <c r="X377" i="1"/>
  <c r="K522" i="4"/>
  <c r="K523" i="4"/>
  <c r="K496" i="4"/>
  <c r="K478" i="4"/>
  <c r="K479" i="4"/>
  <c r="K462" i="4"/>
  <c r="K463" i="4"/>
  <c r="K512" i="4"/>
  <c r="K482" i="4"/>
  <c r="K418" i="4"/>
  <c r="K452" i="4"/>
  <c r="K419" i="4"/>
  <c r="K387" i="4"/>
  <c r="K386" i="4"/>
  <c r="K372" i="4"/>
  <c r="K373" i="4"/>
  <c r="K363" i="4"/>
  <c r="K390" i="4"/>
  <c r="K362" i="4"/>
  <c r="K319" i="4"/>
  <c r="K318" i="4"/>
  <c r="K280" i="4"/>
  <c r="K281" i="4"/>
  <c r="K255" i="4"/>
  <c r="K249" i="4"/>
  <c r="B518" i="4"/>
  <c r="K233" i="4"/>
  <c r="K257" i="4"/>
  <c r="K193" i="4"/>
  <c r="B403" i="4"/>
  <c r="K172" i="4"/>
  <c r="B389" i="4"/>
  <c r="K156" i="4"/>
  <c r="B358" i="4"/>
  <c r="K135" i="4"/>
  <c r="B314" i="4"/>
  <c r="K119" i="4"/>
  <c r="B283" i="4"/>
  <c r="K101" i="4"/>
  <c r="K100" i="4"/>
  <c r="K521" i="4"/>
  <c r="K507" i="4"/>
  <c r="K491" i="4"/>
  <c r="K477" i="4"/>
  <c r="K392" i="4"/>
  <c r="K378" i="4"/>
  <c r="K361" i="4"/>
  <c r="K347" i="4"/>
  <c r="K99" i="4"/>
  <c r="K514" i="4"/>
  <c r="K484" i="4"/>
  <c r="K385" i="4"/>
  <c r="K354" i="4"/>
  <c r="K453" i="4"/>
  <c r="K446" i="4"/>
  <c r="K330" i="4"/>
  <c r="K467" i="4"/>
  <c r="K460" i="4"/>
  <c r="K323" i="4"/>
  <c r="K316" i="4"/>
  <c r="K50" i="4"/>
  <c r="K288" i="4"/>
  <c r="K454" i="4"/>
  <c r="K417" i="4"/>
  <c r="K324" i="4"/>
  <c r="K317" i="4"/>
  <c r="K299" i="4"/>
  <c r="K461" i="4"/>
  <c r="K447" i="4"/>
  <c r="K426" i="4"/>
  <c r="K408" i="4"/>
  <c r="K331" i="4"/>
  <c r="K308" i="4"/>
  <c r="K78" i="4"/>
  <c r="K82" i="4"/>
  <c r="A64" i="3"/>
  <c r="A58" i="3"/>
  <c r="A88" i="3"/>
  <c r="A83" i="3"/>
  <c r="A85" i="3"/>
  <c r="A87" i="3"/>
  <c r="A90" i="3"/>
  <c r="A92" i="3"/>
  <c r="A94" i="3"/>
  <c r="A106" i="3"/>
  <c r="A108" i="3"/>
  <c r="A110" i="3"/>
  <c r="A112" i="3"/>
  <c r="A114" i="3"/>
  <c r="A67" i="3"/>
  <c r="A8" i="3"/>
  <c r="A10" i="3"/>
  <c r="A12" i="3"/>
  <c r="A14" i="3"/>
  <c r="A16" i="3"/>
  <c r="A18" i="3"/>
  <c r="A20" i="3"/>
  <c r="A22" i="3"/>
  <c r="A24" i="3"/>
  <c r="A26" i="3"/>
  <c r="A28" i="3"/>
  <c r="A30" i="3"/>
  <c r="A32" i="3"/>
  <c r="A34" i="3"/>
  <c r="A36" i="3"/>
  <c r="A38" i="3"/>
  <c r="A40" i="3"/>
  <c r="A42" i="3"/>
  <c r="K178" i="4" s="1"/>
  <c r="A44" i="3"/>
  <c r="A46" i="3"/>
  <c r="A48" i="3"/>
  <c r="A50" i="3"/>
  <c r="A52" i="3"/>
  <c r="A54" i="3"/>
  <c r="A56" i="3"/>
  <c r="A59" i="3"/>
  <c r="A61" i="3"/>
  <c r="A63" i="3"/>
  <c r="A66" i="3"/>
  <c r="A6" i="3"/>
  <c r="A96" i="3"/>
  <c r="A97" i="3"/>
  <c r="A98" i="3"/>
  <c r="A99" i="3"/>
  <c r="A100" i="3"/>
  <c r="A101" i="3"/>
  <c r="A102" i="3"/>
  <c r="A103" i="3"/>
  <c r="A104" i="3"/>
  <c r="A105" i="3"/>
  <c r="A82" i="3"/>
  <c r="A84" i="3"/>
  <c r="A86" i="3"/>
  <c r="A89" i="3"/>
  <c r="A91" i="3"/>
  <c r="A93" i="3"/>
  <c r="A95" i="3"/>
  <c r="A107" i="3"/>
  <c r="A109" i="3"/>
  <c r="A111" i="3"/>
  <c r="A113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7" i="3"/>
  <c r="A9" i="3"/>
  <c r="A11" i="3"/>
  <c r="A13" i="3"/>
  <c r="A15" i="3"/>
  <c r="A17" i="3"/>
  <c r="A19" i="3"/>
  <c r="A21" i="3"/>
  <c r="A23" i="3"/>
  <c r="A25" i="3"/>
  <c r="A27" i="3"/>
  <c r="A29" i="3"/>
  <c r="A31" i="3"/>
  <c r="A33" i="3"/>
  <c r="A35" i="3"/>
  <c r="A37" i="3"/>
  <c r="A39" i="3"/>
  <c r="A41" i="3"/>
  <c r="K177" i="4" s="1"/>
  <c r="A43" i="3"/>
  <c r="K179" i="4" s="1"/>
  <c r="A45" i="3"/>
  <c r="A47" i="3"/>
  <c r="A49" i="3"/>
  <c r="A51" i="3"/>
  <c r="A53" i="3"/>
  <c r="A55" i="3"/>
  <c r="A57" i="3"/>
  <c r="A60" i="3"/>
  <c r="A62" i="3"/>
  <c r="A65" i="3"/>
  <c r="A68" i="3"/>
  <c r="A3" i="3"/>
  <c r="A5" i="3"/>
  <c r="A4" i="3"/>
  <c r="A2" i="3"/>
  <c r="K516" i="4"/>
  <c r="K515" i="4"/>
  <c r="K456" i="4"/>
  <c r="K455" i="4"/>
  <c r="K519" i="4"/>
  <c r="K489" i="4"/>
  <c r="K459" i="4"/>
  <c r="K428" i="4"/>
  <c r="K427" i="4"/>
  <c r="K406" i="4"/>
  <c r="K434" i="4"/>
  <c r="K380" i="4"/>
  <c r="K379" i="4"/>
  <c r="K165" i="4"/>
  <c r="K371" i="4"/>
  <c r="K356" i="4"/>
  <c r="K383" i="4"/>
  <c r="K355" i="4"/>
  <c r="K338" i="4"/>
  <c r="K149" i="4"/>
  <c r="K114" i="4"/>
  <c r="K279" i="4"/>
  <c r="K368" i="4"/>
  <c r="K130" i="4"/>
  <c r="K230" i="4"/>
  <c r="B474" i="4"/>
  <c r="K210" i="4"/>
  <c r="B444" i="4"/>
  <c r="K194" i="4"/>
  <c r="K200" i="4"/>
  <c r="B412" i="4"/>
  <c r="K166" i="4"/>
  <c r="K173" i="4"/>
  <c r="K169" i="4"/>
  <c r="K164" i="4"/>
  <c r="B367" i="4"/>
  <c r="K157" i="4"/>
  <c r="K150" i="4"/>
  <c r="K153" i="4"/>
  <c r="B337" i="4"/>
  <c r="K148" i="4"/>
  <c r="K136" i="4"/>
  <c r="B321" i="4"/>
  <c r="K140" i="4"/>
  <c r="K122" i="4"/>
  <c r="K120" i="4"/>
  <c r="B292" i="4"/>
  <c r="K96" i="4"/>
  <c r="K70" i="4"/>
  <c r="K71" i="4"/>
  <c r="K69" i="4"/>
  <c r="K86" i="4"/>
  <c r="K131" i="4"/>
  <c r="K528" i="4"/>
  <c r="K468" i="4"/>
  <c r="K437" i="4"/>
  <c r="K138" i="4"/>
  <c r="K529" i="4"/>
  <c r="K500" i="4"/>
  <c r="K469" i="4"/>
  <c r="K438" i="4"/>
  <c r="K425" i="4"/>
  <c r="K306" i="4"/>
  <c r="K286" i="4"/>
  <c r="K250" i="4"/>
  <c r="K244" i="4"/>
  <c r="K97" i="4"/>
  <c r="E4" i="32" l="1"/>
  <c r="J5" i="32"/>
  <c r="T116" i="1"/>
  <c r="J58" i="3"/>
  <c r="BB374" i="1" s="1"/>
  <c r="E8" i="32"/>
  <c r="I61" i="3"/>
  <c r="H7" i="32"/>
  <c r="I60" i="3"/>
  <c r="G7" i="32"/>
  <c r="I7" i="32"/>
  <c r="I59" i="3"/>
  <c r="F7" i="32"/>
  <c r="O61" i="3"/>
  <c r="H13" i="32"/>
  <c r="P60" i="3"/>
  <c r="G14" i="32"/>
  <c r="R60" i="3"/>
  <c r="G16" i="32"/>
  <c r="I14" i="32"/>
  <c r="N59" i="3"/>
  <c r="F12" i="32"/>
  <c r="R62" i="3"/>
  <c r="I16" i="32"/>
  <c r="O60" i="3"/>
  <c r="G13" i="32"/>
  <c r="N60" i="3"/>
  <c r="G12" i="32"/>
  <c r="R59" i="3"/>
  <c r="F16" i="32"/>
  <c r="O62" i="3"/>
  <c r="I13" i="32"/>
  <c r="N62" i="3"/>
  <c r="I12" i="32"/>
  <c r="P59" i="3"/>
  <c r="F14" i="32"/>
  <c r="N61" i="3"/>
  <c r="H12" i="32"/>
  <c r="N58" i="3"/>
  <c r="E12" i="32"/>
  <c r="F61" i="3"/>
  <c r="H4" i="32"/>
  <c r="E59" i="3"/>
  <c r="F3" i="32"/>
  <c r="F59" i="3"/>
  <c r="F4" i="32"/>
  <c r="F60" i="3"/>
  <c r="G4" i="32"/>
  <c r="F62" i="3"/>
  <c r="I4" i="32"/>
  <c r="D61" i="3"/>
  <c r="H2" i="32"/>
  <c r="D60" i="3"/>
  <c r="G2" i="32"/>
  <c r="J2" i="32" s="1"/>
  <c r="E60" i="3"/>
  <c r="G3" i="32"/>
  <c r="D62" i="3"/>
  <c r="I2" i="32"/>
  <c r="E62" i="3"/>
  <c r="I3" i="32"/>
  <c r="J3" i="32" s="1"/>
  <c r="D58" i="3"/>
  <c r="D22" i="3"/>
  <c r="G28" i="3"/>
  <c r="I28" i="3"/>
  <c r="F28" i="3"/>
  <c r="H28" i="3"/>
  <c r="J28" i="3"/>
  <c r="J63" i="3" s="1"/>
  <c r="BG19" i="1" s="1"/>
  <c r="CI183" i="1"/>
  <c r="CI186" i="1"/>
  <c r="AG116" i="1"/>
  <c r="S116" i="1"/>
  <c r="AC116" i="1"/>
  <c r="AE116" i="1"/>
  <c r="U27" i="3"/>
  <c r="X27" i="3"/>
  <c r="W27" i="3"/>
  <c r="V27" i="3"/>
  <c r="T27" i="3"/>
  <c r="D32" i="3"/>
  <c r="AO181" i="1"/>
  <c r="U116" i="1"/>
  <c r="AF116" i="1"/>
  <c r="AO187" i="1"/>
  <c r="Y116" i="1"/>
  <c r="Z116" i="1"/>
  <c r="AD116" i="1"/>
  <c r="V116" i="1"/>
  <c r="AH116" i="1"/>
  <c r="AB116" i="1"/>
  <c r="AG225" i="1"/>
  <c r="AG214" i="1" s="1"/>
  <c r="AA10" i="1"/>
  <c r="X10" i="1"/>
  <c r="CI184" i="1"/>
  <c r="E30" i="5"/>
  <c r="N30" i="5"/>
  <c r="K30" i="5"/>
  <c r="AL178" i="1"/>
  <c r="AK175" i="1"/>
  <c r="J30" i="5"/>
  <c r="I30" i="5"/>
  <c r="H30" i="5"/>
  <c r="CL175" i="1"/>
  <c r="D30" i="5"/>
  <c r="M30" i="5"/>
  <c r="CI188" i="1"/>
  <c r="AO185" i="1"/>
  <c r="S362" i="1"/>
  <c r="S192" i="1"/>
  <c r="S201" i="1"/>
  <c r="CI182" i="1"/>
  <c r="AO401" i="1"/>
  <c r="AH107" i="1"/>
  <c r="AH110" i="1" s="1"/>
  <c r="D27" i="3"/>
  <c r="CI189" i="1"/>
  <c r="CI198" i="1"/>
  <c r="E130" i="1"/>
  <c r="AN378" i="1"/>
  <c r="AN360" i="1"/>
  <c r="AM123" i="1"/>
  <c r="AM134" i="1" s="1"/>
  <c r="AC225" i="1"/>
  <c r="AM359" i="1"/>
  <c r="AM358" i="1"/>
  <c r="AH201" i="1"/>
  <c r="AE225" i="1"/>
  <c r="AE214" i="1" s="1"/>
  <c r="AN355" i="1"/>
  <c r="AM355" i="1"/>
  <c r="AN359" i="1"/>
  <c r="AN356" i="1"/>
  <c r="BU198" i="1"/>
  <c r="BU194" i="1"/>
  <c r="BU189" i="1"/>
  <c r="BU185" i="1"/>
  <c r="BU199" i="1"/>
  <c r="BU195" i="1"/>
  <c r="BU190" i="1"/>
  <c r="BU186" i="1"/>
  <c r="BU182" i="1"/>
  <c r="BZ197" i="1"/>
  <c r="BZ184" i="1"/>
  <c r="BX200" i="1"/>
  <c r="BX196" i="1"/>
  <c r="BX187" i="1"/>
  <c r="BX183" i="1"/>
  <c r="BX195" i="1"/>
  <c r="BX186" i="1"/>
  <c r="AH192" i="1"/>
  <c r="CI191" i="1"/>
  <c r="AO191" i="1"/>
  <c r="E61" i="3"/>
  <c r="D23" i="3"/>
  <c r="P61" i="3"/>
  <c r="D34" i="3"/>
  <c r="AO190" i="1"/>
  <c r="CI190" i="1"/>
  <c r="CI193" i="1"/>
  <c r="AO193" i="1"/>
  <c r="AO196" i="1"/>
  <c r="AO197" i="1"/>
  <c r="CI197" i="1"/>
  <c r="AO199" i="1"/>
  <c r="CI199" i="1"/>
  <c r="AO195" i="1"/>
  <c r="CI195" i="1"/>
  <c r="AN361" i="1"/>
  <c r="AN357" i="1"/>
  <c r="AN345" i="1"/>
  <c r="AO354" i="1"/>
  <c r="AO362" i="1" s="1"/>
  <c r="AH362" i="1"/>
  <c r="AM360" i="1"/>
  <c r="AM356" i="1"/>
  <c r="AM361" i="1"/>
  <c r="AM357" i="1"/>
  <c r="AM345" i="1"/>
  <c r="AN123" i="1"/>
  <c r="AN134" i="1" s="1"/>
  <c r="AN358" i="1"/>
  <c r="AD362" i="1"/>
  <c r="CE193" i="1"/>
  <c r="AD201" i="1"/>
  <c r="CE183" i="1"/>
  <c r="AD192" i="1"/>
  <c r="R61" i="3"/>
  <c r="D36" i="3"/>
  <c r="O59" i="3"/>
  <c r="D33" i="3"/>
  <c r="F63" i="3"/>
  <c r="AY30" i="1" s="1"/>
  <c r="D24" i="3"/>
  <c r="E145" i="1"/>
  <c r="AK71" i="1"/>
  <c r="BZ224" i="1"/>
  <c r="Y225" i="1"/>
  <c r="AN87" i="1"/>
  <c r="BV224" i="1"/>
  <c r="U225" i="1"/>
  <c r="CA193" i="1"/>
  <c r="Z201" i="1"/>
  <c r="AF362" i="1"/>
  <c r="AF201" i="1"/>
  <c r="CG193" i="1"/>
  <c r="CA183" i="1"/>
  <c r="Z192" i="1"/>
  <c r="Z362" i="1"/>
  <c r="AF192" i="1"/>
  <c r="CF181" i="1"/>
  <c r="AE192" i="1"/>
  <c r="AE362" i="1"/>
  <c r="V362" i="1"/>
  <c r="AG362" i="1"/>
  <c r="AB362" i="1"/>
  <c r="AE201" i="1"/>
  <c r="CF193" i="1"/>
  <c r="V201" i="1"/>
  <c r="BW193" i="1"/>
  <c r="BW181" i="1"/>
  <c r="V192" i="1"/>
  <c r="AG201" i="1"/>
  <c r="CH193" i="1"/>
  <c r="CH181" i="1"/>
  <c r="AG192" i="1"/>
  <c r="AB201" i="1"/>
  <c r="CC193" i="1"/>
  <c r="CC181" i="1"/>
  <c r="AB192" i="1"/>
  <c r="BX193" i="1"/>
  <c r="W201" i="1"/>
  <c r="W362" i="1"/>
  <c r="W192" i="1"/>
  <c r="BX181" i="1"/>
  <c r="CD199" i="1"/>
  <c r="AN199" i="1"/>
  <c r="CD195" i="1"/>
  <c r="AN195" i="1"/>
  <c r="CD190" i="1"/>
  <c r="AN190" i="1"/>
  <c r="CD186" i="1"/>
  <c r="AN186" i="1"/>
  <c r="CD182" i="1"/>
  <c r="AN182" i="1"/>
  <c r="CD200" i="1"/>
  <c r="AN200" i="1"/>
  <c r="CD196" i="1"/>
  <c r="AN196" i="1"/>
  <c r="CD191" i="1"/>
  <c r="AN191" i="1"/>
  <c r="CD187" i="1"/>
  <c r="AN187" i="1"/>
  <c r="CD183" i="1"/>
  <c r="AN183" i="1"/>
  <c r="Y201" i="1"/>
  <c r="BZ193" i="1"/>
  <c r="BZ181" i="1"/>
  <c r="Y192" i="1"/>
  <c r="BV181" i="1"/>
  <c r="U192" i="1"/>
  <c r="U201" i="1"/>
  <c r="BV193" i="1"/>
  <c r="Y362" i="1"/>
  <c r="U362" i="1"/>
  <c r="CD197" i="1"/>
  <c r="AN197" i="1"/>
  <c r="AC201" i="1"/>
  <c r="CD193" i="1"/>
  <c r="AN193" i="1"/>
  <c r="CD188" i="1"/>
  <c r="AN188" i="1"/>
  <c r="CD184" i="1"/>
  <c r="AN184" i="1"/>
  <c r="AN354" i="1"/>
  <c r="AC362" i="1"/>
  <c r="CD198" i="1"/>
  <c r="AN198" i="1"/>
  <c r="CD194" i="1"/>
  <c r="AN194" i="1"/>
  <c r="CD189" i="1"/>
  <c r="AN189" i="1"/>
  <c r="CD185" i="1"/>
  <c r="AN185" i="1"/>
  <c r="CD181" i="1"/>
  <c r="AN181" i="1"/>
  <c r="AC192" i="1"/>
  <c r="AA201" i="1"/>
  <c r="CB193" i="1"/>
  <c r="CB181" i="1"/>
  <c r="AA192" i="1"/>
  <c r="AA362" i="1"/>
  <c r="I46" i="5"/>
  <c r="I28" i="5" s="1"/>
  <c r="G46" i="5"/>
  <c r="G28" i="5" s="1"/>
  <c r="J46" i="5"/>
  <c r="J28" i="5" s="1"/>
  <c r="D46" i="5"/>
  <c r="D28" i="5" s="1"/>
  <c r="N46" i="5"/>
  <c r="N28" i="5" s="1"/>
  <c r="F46" i="5"/>
  <c r="F28" i="5" s="1"/>
  <c r="AM354" i="1"/>
  <c r="X362" i="1"/>
  <c r="BY198" i="1"/>
  <c r="AM198" i="1"/>
  <c r="BY194" i="1"/>
  <c r="AM194" i="1"/>
  <c r="BY189" i="1"/>
  <c r="AM189" i="1"/>
  <c r="BY185" i="1"/>
  <c r="AM185" i="1"/>
  <c r="BY181" i="1"/>
  <c r="AM181" i="1"/>
  <c r="X192" i="1"/>
  <c r="BY199" i="1"/>
  <c r="AM199" i="1"/>
  <c r="BY195" i="1"/>
  <c r="AM195" i="1"/>
  <c r="BY190" i="1"/>
  <c r="AM190" i="1"/>
  <c r="BY186" i="1"/>
  <c r="AM186" i="1"/>
  <c r="AM182" i="1"/>
  <c r="BY182" i="1"/>
  <c r="AI360" i="1"/>
  <c r="AL360" i="1"/>
  <c r="AI356" i="1"/>
  <c r="AL356" i="1"/>
  <c r="BS200" i="1"/>
  <c r="AI200" i="1"/>
  <c r="AL200" i="1"/>
  <c r="BS196" i="1"/>
  <c r="AI196" i="1"/>
  <c r="AL196" i="1"/>
  <c r="BS191" i="1"/>
  <c r="AI191" i="1"/>
  <c r="AL191" i="1"/>
  <c r="BS187" i="1"/>
  <c r="AI187" i="1"/>
  <c r="AL187" i="1"/>
  <c r="BS183" i="1"/>
  <c r="AI183" i="1"/>
  <c r="AL183" i="1"/>
  <c r="AI426" i="1"/>
  <c r="AI361" i="1"/>
  <c r="AL361" i="1"/>
  <c r="AI357" i="1"/>
  <c r="AL357" i="1"/>
  <c r="AI345" i="1"/>
  <c r="AL345" i="1"/>
  <c r="BS197" i="1"/>
  <c r="AI197" i="1"/>
  <c r="AL197" i="1"/>
  <c r="BS193" i="1"/>
  <c r="AI193" i="1"/>
  <c r="AL193" i="1"/>
  <c r="R201" i="1"/>
  <c r="BS188" i="1"/>
  <c r="AI188" i="1"/>
  <c r="AL188" i="1"/>
  <c r="BS184" i="1"/>
  <c r="AI184" i="1"/>
  <c r="AL184" i="1"/>
  <c r="BU181" i="1"/>
  <c r="BY200" i="1"/>
  <c r="AM200" i="1"/>
  <c r="BY196" i="1"/>
  <c r="AM196" i="1"/>
  <c r="BY191" i="1"/>
  <c r="AM191" i="1"/>
  <c r="BY187" i="1"/>
  <c r="AM187" i="1"/>
  <c r="BY183" i="1"/>
  <c r="AM183" i="1"/>
  <c r="BY197" i="1"/>
  <c r="AM197" i="1"/>
  <c r="X201" i="1"/>
  <c r="BY193" i="1"/>
  <c r="AM193" i="1"/>
  <c r="BY188" i="1"/>
  <c r="AM188" i="1"/>
  <c r="BY184" i="1"/>
  <c r="AM184" i="1"/>
  <c r="AI358" i="1"/>
  <c r="AL358" i="1"/>
  <c r="AI354" i="1"/>
  <c r="AL354" i="1"/>
  <c r="R362" i="1"/>
  <c r="BS198" i="1"/>
  <c r="AI198" i="1"/>
  <c r="AL198" i="1"/>
  <c r="BS194" i="1"/>
  <c r="AI194" i="1"/>
  <c r="AL194" i="1"/>
  <c r="BS189" i="1"/>
  <c r="AI189" i="1"/>
  <c r="AL189" i="1"/>
  <c r="BS185" i="1"/>
  <c r="AI185" i="1"/>
  <c r="AL185" i="1"/>
  <c r="BS181" i="1"/>
  <c r="AI181" i="1"/>
  <c r="AL181" i="1"/>
  <c r="R192" i="1"/>
  <c r="AI123" i="1"/>
  <c r="AL123" i="1"/>
  <c r="AI359" i="1"/>
  <c r="AL359" i="1"/>
  <c r="AI355" i="1"/>
  <c r="AL355" i="1"/>
  <c r="BS199" i="1"/>
  <c r="AI199" i="1"/>
  <c r="AL199" i="1"/>
  <c r="BS195" i="1"/>
  <c r="AI195" i="1"/>
  <c r="AL195" i="1"/>
  <c r="BS190" i="1"/>
  <c r="AI190" i="1"/>
  <c r="AL190" i="1"/>
  <c r="BS186" i="1"/>
  <c r="AI186" i="1"/>
  <c r="AL186" i="1"/>
  <c r="BS182" i="1"/>
  <c r="AI182" i="1"/>
  <c r="AL182" i="1"/>
  <c r="BU193" i="1"/>
  <c r="H28" i="5"/>
  <c r="K46" i="5"/>
  <c r="K28" i="5" s="1"/>
  <c r="C28" i="5"/>
  <c r="M46" i="5"/>
  <c r="M28" i="5" s="1"/>
  <c r="E46" i="5"/>
  <c r="E28" i="5" s="1"/>
  <c r="L46" i="5"/>
  <c r="L28" i="5" s="1"/>
  <c r="AA424" i="1"/>
  <c r="AA205" i="1"/>
  <c r="AA43" i="1"/>
  <c r="AA216" i="1"/>
  <c r="AA224" i="1"/>
  <c r="CB224" i="1" s="1"/>
  <c r="AA346" i="1"/>
  <c r="AA398" i="1"/>
  <c r="AO346" i="1"/>
  <c r="AH225" i="1"/>
  <c r="AO216" i="1"/>
  <c r="CI216" i="1"/>
  <c r="AO424" i="1"/>
  <c r="AF225" i="1"/>
  <c r="CG216" i="1"/>
  <c r="AD225" i="1"/>
  <c r="CE216" i="1"/>
  <c r="AN346" i="1"/>
  <c r="AB225" i="1"/>
  <c r="CC216" i="1"/>
  <c r="AN216" i="1"/>
  <c r="AN424" i="1"/>
  <c r="X378" i="1"/>
  <c r="X87" i="1"/>
  <c r="X89" i="1" s="1"/>
  <c r="AA378" i="1"/>
  <c r="P345" i="1"/>
  <c r="P423" i="1"/>
  <c r="P237" i="1"/>
  <c r="P193" i="1"/>
  <c r="P122" i="1"/>
  <c r="P74" i="1"/>
  <c r="P16" i="1"/>
  <c r="P27" i="1"/>
  <c r="P156" i="1"/>
  <c r="P245" i="1"/>
  <c r="P63" i="1"/>
  <c r="P181" i="1"/>
  <c r="P420" i="1"/>
  <c r="P411" i="1"/>
  <c r="P354" i="1"/>
  <c r="P216" i="1"/>
  <c r="P175" i="1"/>
  <c r="P205" i="1"/>
  <c r="P10" i="1"/>
  <c r="P119" i="1"/>
  <c r="P229" i="1"/>
  <c r="P365" i="1"/>
  <c r="AI77" i="1"/>
  <c r="AL77" i="1"/>
  <c r="AK77" i="1" s="1"/>
  <c r="X424" i="1"/>
  <c r="X205" i="1"/>
  <c r="X216" i="1"/>
  <c r="X346" i="1"/>
  <c r="X398" i="1"/>
  <c r="X224" i="1"/>
  <c r="BY224" i="1" s="1"/>
  <c r="X43" i="1"/>
  <c r="AO224" i="1"/>
  <c r="CI224" i="1"/>
  <c r="CI205" i="1"/>
  <c r="AO205" i="1"/>
  <c r="CG205" i="1"/>
  <c r="CE205" i="1"/>
  <c r="AN398" i="1"/>
  <c r="CC224" i="1"/>
  <c r="AN224" i="1"/>
  <c r="CC205" i="1"/>
  <c r="AN205" i="1"/>
  <c r="CA205" i="1"/>
  <c r="Z225" i="1"/>
  <c r="CA216" i="1"/>
  <c r="BW205" i="1"/>
  <c r="V225" i="1"/>
  <c r="BW216" i="1"/>
  <c r="BT205" i="1"/>
  <c r="S225" i="1"/>
  <c r="BT216" i="1"/>
  <c r="AA87" i="1"/>
  <c r="AA89" i="1" s="1"/>
  <c r="AT175" i="1" l="1"/>
  <c r="D276" i="4" s="1"/>
  <c r="E132" i="1"/>
  <c r="E135" i="1"/>
  <c r="AT222" i="1"/>
  <c r="BB17" i="1"/>
  <c r="BB175" i="1"/>
  <c r="D277" i="4" s="1"/>
  <c r="BB84" i="1"/>
  <c r="BB232" i="1"/>
  <c r="BB80" i="1"/>
  <c r="BB20" i="1"/>
  <c r="BB330" i="1"/>
  <c r="BB70" i="1"/>
  <c r="BB68" i="1"/>
  <c r="BB122" i="1"/>
  <c r="BB21" i="1"/>
  <c r="BB238" i="1"/>
  <c r="BB19" i="1"/>
  <c r="BB23" i="1"/>
  <c r="BB31" i="1"/>
  <c r="BB338" i="1"/>
  <c r="BB82" i="1"/>
  <c r="BB240" i="1"/>
  <c r="BB260" i="1"/>
  <c r="BB268" i="1"/>
  <c r="BB211" i="1"/>
  <c r="BB247" i="1"/>
  <c r="BB197" i="1"/>
  <c r="BB38" i="1"/>
  <c r="BB85" i="1"/>
  <c r="BB229" i="1"/>
  <c r="BB337" i="1"/>
  <c r="BB36" i="1"/>
  <c r="BB83" i="1"/>
  <c r="BB212" i="1"/>
  <c r="BB317" i="1"/>
  <c r="BB248" i="1"/>
  <c r="BB63" i="1"/>
  <c r="BB194" i="1"/>
  <c r="BB246" i="1"/>
  <c r="BB22" i="1"/>
  <c r="BB191" i="1"/>
  <c r="BB209" i="1"/>
  <c r="BB189" i="1"/>
  <c r="BB324" i="1"/>
  <c r="BB195" i="1"/>
  <c r="BB303" i="1"/>
  <c r="BB230" i="1"/>
  <c r="BB81" i="1"/>
  <c r="BB18" i="1"/>
  <c r="BB245" i="1"/>
  <c r="BB206" i="1"/>
  <c r="BB187" i="1"/>
  <c r="BB310" i="1"/>
  <c r="BB193" i="1"/>
  <c r="BB281" i="1"/>
  <c r="BB66" i="1"/>
  <c r="BB34" i="1"/>
  <c r="BB222" i="1"/>
  <c r="BB77" i="1"/>
  <c r="BB16" i="1"/>
  <c r="BB241" i="1"/>
  <c r="BB176" i="1"/>
  <c r="BB185" i="1"/>
  <c r="BB302" i="1"/>
  <c r="BB188" i="1"/>
  <c r="BB275" i="1"/>
  <c r="BB64" i="1"/>
  <c r="BB261" i="1"/>
  <c r="BB220" i="1"/>
  <c r="BB69" i="1"/>
  <c r="BB39" i="1"/>
  <c r="BB237" i="1"/>
  <c r="BB200" i="1"/>
  <c r="BB183" i="1"/>
  <c r="BB296" i="1"/>
  <c r="BB186" i="1"/>
  <c r="BB357" i="1"/>
  <c r="BB177" i="1"/>
  <c r="BB67" i="1"/>
  <c r="BB37" i="1"/>
  <c r="BB233" i="1"/>
  <c r="BB198" i="1"/>
  <c r="BB181" i="1"/>
  <c r="BB282" i="1"/>
  <c r="BB184" i="1"/>
  <c r="BB223" i="1"/>
  <c r="BB65" i="1"/>
  <c r="BB35" i="1"/>
  <c r="BB231" i="1"/>
  <c r="BB196" i="1"/>
  <c r="BB423" i="1"/>
  <c r="BB274" i="1"/>
  <c r="BB123" i="1"/>
  <c r="BB372" i="1"/>
  <c r="BB356" i="1"/>
  <c r="BB355" i="1"/>
  <c r="BB309" i="1"/>
  <c r="BB354" i="1"/>
  <c r="BB289" i="1"/>
  <c r="BB371" i="1"/>
  <c r="BB376" i="1"/>
  <c r="BB331" i="1"/>
  <c r="BB316" i="1"/>
  <c r="BB199" i="1"/>
  <c r="BB182" i="1"/>
  <c r="BB295" i="1"/>
  <c r="BB360" i="1"/>
  <c r="BB288" i="1"/>
  <c r="BB190" i="1"/>
  <c r="BB323" i="1"/>
  <c r="BB267" i="1"/>
  <c r="BB361" i="1"/>
  <c r="J7" i="32"/>
  <c r="AV356" i="1"/>
  <c r="AV191" i="1"/>
  <c r="AV64" i="1"/>
  <c r="AV231" i="1"/>
  <c r="AV77" i="1"/>
  <c r="AV17" i="1"/>
  <c r="AV177" i="1"/>
  <c r="AV374" i="1"/>
  <c r="AV423" i="1"/>
  <c r="AV31" i="1"/>
  <c r="BB358" i="1"/>
  <c r="BB359" i="1"/>
  <c r="BB349" i="1"/>
  <c r="BB420" i="1"/>
  <c r="BB30" i="1"/>
  <c r="BB375" i="1"/>
  <c r="BB345" i="1"/>
  <c r="BB368" i="1"/>
  <c r="BB373" i="1"/>
  <c r="J14" i="32"/>
  <c r="J13" i="32"/>
  <c r="J61" i="3"/>
  <c r="BE175" i="1" s="1"/>
  <c r="G277" i="4" s="1"/>
  <c r="G369" i="4" s="1"/>
  <c r="H8" i="32"/>
  <c r="J59" i="3"/>
  <c r="BC220" i="1" s="1"/>
  <c r="F8" i="32"/>
  <c r="J62" i="3"/>
  <c r="I8" i="32"/>
  <c r="J60" i="3"/>
  <c r="BD368" i="1" s="1"/>
  <c r="G8" i="32"/>
  <c r="AU231" i="1"/>
  <c r="AV184" i="1"/>
  <c r="AV248" i="1"/>
  <c r="AV247" i="1"/>
  <c r="AV190" i="1"/>
  <c r="AV316" i="1"/>
  <c r="AV275" i="1"/>
  <c r="AV85" i="1"/>
  <c r="AV211" i="1"/>
  <c r="AV176" i="1"/>
  <c r="AV310" i="1"/>
  <c r="AV206" i="1"/>
  <c r="AV230" i="1"/>
  <c r="AV67" i="1"/>
  <c r="AV30" i="1"/>
  <c r="AV200" i="1"/>
  <c r="AV21" i="1"/>
  <c r="AV288" i="1"/>
  <c r="AV182" i="1"/>
  <c r="AV360" i="1"/>
  <c r="AV302" i="1"/>
  <c r="AV196" i="1"/>
  <c r="AV186" i="1"/>
  <c r="AV261" i="1"/>
  <c r="AV223" i="1"/>
  <c r="AV19" i="1"/>
  <c r="AV296" i="1"/>
  <c r="AV193" i="1"/>
  <c r="AV209" i="1"/>
  <c r="AV358" i="1"/>
  <c r="AV268" i="1"/>
  <c r="AV82" i="1"/>
  <c r="AV337" i="1"/>
  <c r="AV194" i="1"/>
  <c r="AV372" i="1"/>
  <c r="AV355" i="1"/>
  <c r="AV281" i="1"/>
  <c r="AV66" i="1"/>
  <c r="AV23" i="1"/>
  <c r="AV238" i="1"/>
  <c r="AV241" i="1"/>
  <c r="AV267" i="1"/>
  <c r="AV245" i="1"/>
  <c r="AV354" i="1"/>
  <c r="AV274" i="1"/>
  <c r="AU182" i="1"/>
  <c r="AV357" i="1"/>
  <c r="AV330" i="1"/>
  <c r="AV195" i="1"/>
  <c r="AV212" i="1"/>
  <c r="AV181" i="1"/>
  <c r="AV338" i="1"/>
  <c r="AV295" i="1"/>
  <c r="AV199" i="1"/>
  <c r="AV68" i="1"/>
  <c r="AV222" i="1"/>
  <c r="AV34" i="1"/>
  <c r="AV189" i="1"/>
  <c r="AV65" i="1"/>
  <c r="AV16" i="1"/>
  <c r="AV371" i="1"/>
  <c r="AV188" i="1"/>
  <c r="AV22" i="1"/>
  <c r="AV375" i="1"/>
  <c r="AV373" i="1"/>
  <c r="AX274" i="1"/>
  <c r="AV359" i="1"/>
  <c r="AV175" i="1"/>
  <c r="F276" i="4" s="1"/>
  <c r="F368" i="4" s="1"/>
  <c r="AV317" i="1"/>
  <c r="AV220" i="1"/>
  <c r="AV361" i="1"/>
  <c r="AU198" i="1"/>
  <c r="AV123" i="1"/>
  <c r="AV303" i="1"/>
  <c r="AV70" i="1"/>
  <c r="AV232" i="1"/>
  <c r="AV36" i="1"/>
  <c r="AV198" i="1"/>
  <c r="AV69" i="1"/>
  <c r="AV20" i="1"/>
  <c r="AV183" i="1"/>
  <c r="AV323" i="1"/>
  <c r="AV233" i="1"/>
  <c r="AV81" i="1"/>
  <c r="AV246" i="1"/>
  <c r="AV38" i="1"/>
  <c r="AV289" i="1"/>
  <c r="AV80" i="1"/>
  <c r="AV35" i="1"/>
  <c r="AV420" i="1"/>
  <c r="AV18" i="1"/>
  <c r="AV185" i="1"/>
  <c r="AV63" i="1"/>
  <c r="AV349" i="1"/>
  <c r="AV282" i="1"/>
  <c r="AV229" i="1"/>
  <c r="AV187" i="1"/>
  <c r="AV331" i="1"/>
  <c r="AV240" i="1"/>
  <c r="AV83" i="1"/>
  <c r="AV260" i="1"/>
  <c r="AV122" i="1"/>
  <c r="AV309" i="1"/>
  <c r="AV84" i="1"/>
  <c r="AV39" i="1"/>
  <c r="AV237" i="1"/>
  <c r="AV324" i="1"/>
  <c r="AV197" i="1"/>
  <c r="AV37" i="1"/>
  <c r="AV345" i="1"/>
  <c r="AV376" i="1"/>
  <c r="AU229" i="1"/>
  <c r="AX30" i="1"/>
  <c r="AU70" i="1"/>
  <c r="AV368" i="1"/>
  <c r="AX81" i="1"/>
  <c r="AX23" i="1"/>
  <c r="AU82" i="1"/>
  <c r="AX37" i="1"/>
  <c r="AX206" i="1"/>
  <c r="AU237" i="1"/>
  <c r="AU359" i="1"/>
  <c r="AU288" i="1"/>
  <c r="AX237" i="1"/>
  <c r="AU368" i="1"/>
  <c r="AU375" i="1"/>
  <c r="AU324" i="1"/>
  <c r="AX233" i="1"/>
  <c r="AX275" i="1"/>
  <c r="AX183" i="1"/>
  <c r="AX34" i="1"/>
  <c r="AU374" i="1"/>
  <c r="AU212" i="1"/>
  <c r="AU423" i="1"/>
  <c r="AX323" i="1"/>
  <c r="AX67" i="1"/>
  <c r="AU199" i="1"/>
  <c r="AU196" i="1"/>
  <c r="AU323" i="1"/>
  <c r="AX181" i="1"/>
  <c r="AX36" i="1"/>
  <c r="AU345" i="1"/>
  <c r="AU34" i="1"/>
  <c r="AX39" i="1"/>
  <c r="AX241" i="1"/>
  <c r="AX83" i="1"/>
  <c r="AX240" i="1"/>
  <c r="AX331" i="1"/>
  <c r="AX185" i="1"/>
  <c r="AX196" i="1"/>
  <c r="AX63" i="1"/>
  <c r="AX21" i="1"/>
  <c r="AX356" i="1"/>
  <c r="AU361" i="1"/>
  <c r="AX69" i="1"/>
  <c r="AX38" i="1"/>
  <c r="AX289" i="1"/>
  <c r="AU355" i="1"/>
  <c r="AU188" i="1"/>
  <c r="AU338" i="1"/>
  <c r="AU220" i="1"/>
  <c r="AU309" i="1"/>
  <c r="AU316" i="1"/>
  <c r="AU223" i="1"/>
  <c r="AU303" i="1"/>
  <c r="AU22" i="1"/>
  <c r="AU67" i="1"/>
  <c r="AU281" i="1"/>
  <c r="AU371" i="1"/>
  <c r="AU331" i="1"/>
  <c r="AX35" i="1"/>
  <c r="AX230" i="1"/>
  <c r="AX70" i="1"/>
  <c r="AX229" i="1"/>
  <c r="AX303" i="1"/>
  <c r="AX423" i="1"/>
  <c r="AX317" i="1"/>
  <c r="AX82" i="1"/>
  <c r="AX122" i="1"/>
  <c r="AX373" i="1"/>
  <c r="AX19" i="1"/>
  <c r="AX260" i="1"/>
  <c r="AU194" i="1"/>
  <c r="AX374" i="1"/>
  <c r="AU356" i="1"/>
  <c r="AW373" i="1"/>
  <c r="AX359" i="1"/>
  <c r="AU30" i="1"/>
  <c r="AU31" i="1"/>
  <c r="AU245" i="1"/>
  <c r="AU248" i="1"/>
  <c r="AU420" i="1"/>
  <c r="AU240" i="1"/>
  <c r="AU232" i="1"/>
  <c r="AU275" i="1"/>
  <c r="AU38" i="1"/>
  <c r="AU175" i="1"/>
  <c r="E276" i="4" s="1"/>
  <c r="E338" i="4" s="1"/>
  <c r="AX354" i="1"/>
  <c r="AU247" i="1"/>
  <c r="AU21" i="1"/>
  <c r="AX22" i="1"/>
  <c r="AX220" i="1"/>
  <c r="AX68" i="1"/>
  <c r="AX199" i="1"/>
  <c r="AX295" i="1"/>
  <c r="AX324" i="1"/>
  <c r="AX337" i="1"/>
  <c r="AX223" i="1"/>
  <c r="AX361" i="1"/>
  <c r="AX222" i="1"/>
  <c r="AX358" i="1"/>
  <c r="AX84" i="1"/>
  <c r="AU186" i="1"/>
  <c r="AU354" i="1"/>
  <c r="AU358" i="1"/>
  <c r="AU357" i="1"/>
  <c r="AU123" i="1"/>
  <c r="AU268" i="1"/>
  <c r="AU16" i="1"/>
  <c r="AU65" i="1"/>
  <c r="AU372" i="1"/>
  <c r="AU261" i="1"/>
  <c r="AU246" i="1"/>
  <c r="AU310" i="1"/>
  <c r="AU211" i="1"/>
  <c r="AU274" i="1"/>
  <c r="AU37" i="1"/>
  <c r="AU206" i="1"/>
  <c r="AU77" i="1"/>
  <c r="AX20" i="1"/>
  <c r="AX209" i="1"/>
  <c r="AX66" i="1"/>
  <c r="AX195" i="1"/>
  <c r="AX268" i="1"/>
  <c r="AX316" i="1"/>
  <c r="AX310" i="1"/>
  <c r="AX188" i="1"/>
  <c r="AX212" i="1"/>
  <c r="AX349" i="1"/>
  <c r="AX193" i="1"/>
  <c r="AX282" i="1"/>
  <c r="AX80" i="1"/>
  <c r="AX288" i="1"/>
  <c r="AX302" i="1"/>
  <c r="AU181" i="1"/>
  <c r="AU197" i="1"/>
  <c r="AU184" i="1"/>
  <c r="AU187" i="1"/>
  <c r="AU193" i="1"/>
  <c r="AX368" i="1"/>
  <c r="AU20" i="1"/>
  <c r="AU69" i="1"/>
  <c r="AU376" i="1"/>
  <c r="AU19" i="1"/>
  <c r="AU64" i="1"/>
  <c r="AU330" i="1"/>
  <c r="AU209" i="1"/>
  <c r="AU317" i="1"/>
  <c r="AU17" i="1"/>
  <c r="AU81" i="1"/>
  <c r="AX77" i="1"/>
  <c r="AX18" i="1"/>
  <c r="AX176" i="1"/>
  <c r="AX64" i="1"/>
  <c r="AX190" i="1"/>
  <c r="AX198" i="1"/>
  <c r="AX296" i="1"/>
  <c r="AX330" i="1"/>
  <c r="AX197" i="1"/>
  <c r="AX232" i="1"/>
  <c r="AX345" i="1"/>
  <c r="AX191" i="1"/>
  <c r="AX31" i="1"/>
  <c r="AX65" i="1"/>
  <c r="AX267" i="1"/>
  <c r="AX175" i="1"/>
  <c r="H276" i="4" s="1"/>
  <c r="H368" i="4" s="1"/>
  <c r="AU190" i="1"/>
  <c r="AU200" i="1"/>
  <c r="AU183" i="1"/>
  <c r="AX355" i="1"/>
  <c r="AU36" i="1"/>
  <c r="AU80" i="1"/>
  <c r="AU349" i="1"/>
  <c r="AU23" i="1"/>
  <c r="AU68" i="1"/>
  <c r="AU177" i="1"/>
  <c r="AU230" i="1"/>
  <c r="AU337" i="1"/>
  <c r="AU260" i="1"/>
  <c r="AU233" i="1"/>
  <c r="AU66" i="1"/>
  <c r="AX16" i="1"/>
  <c r="AX211" i="1"/>
  <c r="AX261" i="1"/>
  <c r="AX186" i="1"/>
  <c r="AX194" i="1"/>
  <c r="AX281" i="1"/>
  <c r="AX123" i="1"/>
  <c r="AX231" i="1"/>
  <c r="AX246" i="1"/>
  <c r="AX338" i="1"/>
  <c r="AX357" i="1"/>
  <c r="AX238" i="1"/>
  <c r="AX371" i="1"/>
  <c r="AU189" i="1"/>
  <c r="AX200" i="1"/>
  <c r="AU191" i="1"/>
  <c r="AU360" i="1"/>
  <c r="AU185" i="1"/>
  <c r="AU122" i="1"/>
  <c r="AU84" i="1"/>
  <c r="AU267" i="1"/>
  <c r="AU35" i="1"/>
  <c r="AU83" i="1"/>
  <c r="AU238" i="1"/>
  <c r="AU241" i="1"/>
  <c r="AX375" i="1"/>
  <c r="AU85" i="1"/>
  <c r="AU222" i="1"/>
  <c r="AX248" i="1"/>
  <c r="AX85" i="1"/>
  <c r="AX247" i="1"/>
  <c r="AX182" i="1"/>
  <c r="AX189" i="1"/>
  <c r="AX187" i="1"/>
  <c r="AX245" i="1"/>
  <c r="AX17" i="1"/>
  <c r="AX372" i="1"/>
  <c r="AX309" i="1"/>
  <c r="AX376" i="1"/>
  <c r="AX177" i="1"/>
  <c r="AX420" i="1"/>
  <c r="AU195" i="1"/>
  <c r="AX360" i="1"/>
  <c r="AX184" i="1"/>
  <c r="AU302" i="1"/>
  <c r="AU176" i="1"/>
  <c r="AU289" i="1"/>
  <c r="AU296" i="1"/>
  <c r="AU39" i="1"/>
  <c r="AU282" i="1"/>
  <c r="AU18" i="1"/>
  <c r="AU63" i="1"/>
  <c r="AU373" i="1"/>
  <c r="AU295" i="1"/>
  <c r="J12" i="32"/>
  <c r="J16" i="32"/>
  <c r="J4" i="32"/>
  <c r="AT196" i="1"/>
  <c r="AT31" i="1"/>
  <c r="AT376" i="1"/>
  <c r="AT80" i="1"/>
  <c r="AT18" i="1"/>
  <c r="AT359" i="1"/>
  <c r="AT177" i="1"/>
  <c r="AT36" i="1"/>
  <c r="AT20" i="1"/>
  <c r="AT198" i="1"/>
  <c r="AT338" i="1"/>
  <c r="AT247" i="1"/>
  <c r="AT223" i="1"/>
  <c r="AT232" i="1"/>
  <c r="AT19" i="1"/>
  <c r="AT37" i="1"/>
  <c r="AT190" i="1"/>
  <c r="AT38" i="1"/>
  <c r="AT248" i="1"/>
  <c r="AT81" i="1"/>
  <c r="AT317" i="1"/>
  <c r="AT274" i="1"/>
  <c r="AT282" i="1"/>
  <c r="AT296" i="1"/>
  <c r="AT183" i="1"/>
  <c r="AT200" i="1"/>
  <c r="AT323" i="1"/>
  <c r="AT188" i="1"/>
  <c r="AT231" i="1"/>
  <c r="AT65" i="1"/>
  <c r="AT82" i="1"/>
  <c r="AT371" i="1"/>
  <c r="AT356" i="1"/>
  <c r="AT211" i="1"/>
  <c r="AT122" i="1"/>
  <c r="AT230" i="1"/>
  <c r="AT241" i="1"/>
  <c r="AT209" i="1"/>
  <c r="AT195" i="1"/>
  <c r="AT349" i="1"/>
  <c r="AT289" i="1"/>
  <c r="AT64" i="1"/>
  <c r="AT206" i="1"/>
  <c r="AT246" i="1"/>
  <c r="AT21" i="1"/>
  <c r="AT39" i="1"/>
  <c r="AT182" i="1"/>
  <c r="AT34" i="1"/>
  <c r="AT237" i="1"/>
  <c r="AT66" i="1"/>
  <c r="AT275" i="1"/>
  <c r="AT345" i="1"/>
  <c r="AT358" i="1"/>
  <c r="AT316" i="1"/>
  <c r="AT187" i="1"/>
  <c r="AT268" i="1"/>
  <c r="AT331" i="1"/>
  <c r="AT193" i="1"/>
  <c r="AT238" i="1"/>
  <c r="AT67" i="1"/>
  <c r="AT84" i="1"/>
  <c r="AT420" i="1"/>
  <c r="AT375" i="1"/>
  <c r="AT360" i="1"/>
  <c r="AT77" i="1"/>
  <c r="AT16" i="1"/>
  <c r="AT261" i="1"/>
  <c r="AT85" i="1"/>
  <c r="AT229" i="1"/>
  <c r="AT70" i="1"/>
  <c r="AT368" i="1"/>
  <c r="AT361" i="1"/>
  <c r="AT181" i="1"/>
  <c r="AT373" i="1"/>
  <c r="AT309" i="1"/>
  <c r="AT68" i="1"/>
  <c r="AT212" i="1"/>
  <c r="AT260" i="1"/>
  <c r="AT23" i="1"/>
  <c r="AT354" i="1"/>
  <c r="AT194" i="1"/>
  <c r="AT185" i="1"/>
  <c r="AT22" i="1"/>
  <c r="AT220" i="1"/>
  <c r="AT240" i="1"/>
  <c r="AT189" i="1"/>
  <c r="AT374" i="1"/>
  <c r="AT324" i="1"/>
  <c r="AT191" i="1"/>
  <c r="AT295" i="1"/>
  <c r="AT123" i="1"/>
  <c r="AT372" i="1"/>
  <c r="AT355" i="1"/>
  <c r="AT69" i="1"/>
  <c r="AT197" i="1"/>
  <c r="AT423" i="1"/>
  <c r="AT330" i="1"/>
  <c r="AT83" i="1"/>
  <c r="AT30" i="1"/>
  <c r="AT288" i="1"/>
  <c r="AT63" i="1"/>
  <c r="AT184" i="1"/>
  <c r="AT281" i="1"/>
  <c r="AT186" i="1"/>
  <c r="AT35" i="1"/>
  <c r="AT233" i="1"/>
  <c r="AT337" i="1"/>
  <c r="AT310" i="1"/>
  <c r="AT267" i="1"/>
  <c r="AT245" i="1"/>
  <c r="AT303" i="1"/>
  <c r="AT357" i="1"/>
  <c r="AT176" i="1"/>
  <c r="AT199" i="1"/>
  <c r="AT17" i="1"/>
  <c r="AT302" i="1"/>
  <c r="BG184" i="1"/>
  <c r="BG85" i="1"/>
  <c r="BG68" i="1"/>
  <c r="BG288" i="1"/>
  <c r="BG374" i="1"/>
  <c r="BG63" i="1"/>
  <c r="BG182" i="1"/>
  <c r="BG281" i="1"/>
  <c r="BG177" i="1"/>
  <c r="BG39" i="1"/>
  <c r="BG199" i="1"/>
  <c r="BG223" i="1"/>
  <c r="BG194" i="1"/>
  <c r="BG245" i="1"/>
  <c r="BG229" i="1"/>
  <c r="BG423" i="1"/>
  <c r="BG289" i="1"/>
  <c r="BG238" i="1"/>
  <c r="BG247" i="1"/>
  <c r="BG295" i="1"/>
  <c r="BG354" i="1"/>
  <c r="BG18" i="1"/>
  <c r="BG70" i="1"/>
  <c r="BG67" i="1"/>
  <c r="BG231" i="1"/>
  <c r="BG186" i="1"/>
  <c r="BG198" i="1"/>
  <c r="BG296" i="1"/>
  <c r="BG371" i="1"/>
  <c r="BG183" i="1"/>
  <c r="BG65" i="1"/>
  <c r="BG282" i="1"/>
  <c r="BG36" i="1"/>
  <c r="BG309" i="1"/>
  <c r="BG349" i="1"/>
  <c r="BG191" i="1"/>
  <c r="BG84" i="1"/>
  <c r="BG69" i="1"/>
  <c r="BG302" i="1"/>
  <c r="BG83" i="1"/>
  <c r="BG31" i="1"/>
  <c r="BG16" i="1"/>
  <c r="BG220" i="1"/>
  <c r="BG122" i="1"/>
  <c r="BG34" i="1"/>
  <c r="BG21" i="1"/>
  <c r="BG237" i="1"/>
  <c r="BG206" i="1"/>
  <c r="BG190" i="1"/>
  <c r="BG323" i="1"/>
  <c r="BG267" i="1"/>
  <c r="BG185" i="1"/>
  <c r="BG316" i="1"/>
  <c r="BG372" i="1"/>
  <c r="BG375" i="1"/>
  <c r="BG355" i="1"/>
  <c r="BG268" i="1"/>
  <c r="BG233" i="1"/>
  <c r="BG37" i="1"/>
  <c r="BG360" i="1"/>
  <c r="BG193" i="1"/>
  <c r="BG361" i="1"/>
  <c r="BG337" i="1"/>
  <c r="BG240" i="1"/>
  <c r="BG80" i="1"/>
  <c r="BG260" i="1"/>
  <c r="BG310" i="1"/>
  <c r="BG373" i="1"/>
  <c r="BG356" i="1"/>
  <c r="BG368" i="1"/>
  <c r="BG176" i="1"/>
  <c r="BG248" i="1"/>
  <c r="BG246" i="1"/>
  <c r="BG82" i="1"/>
  <c r="BG17" i="1"/>
  <c r="BG303" i="1"/>
  <c r="BG181" i="1"/>
  <c r="BG358" i="1"/>
  <c r="BG420" i="1"/>
  <c r="BG338" i="1"/>
  <c r="BG196" i="1"/>
  <c r="BG197" i="1"/>
  <c r="BG66" i="1"/>
  <c r="BG222" i="1"/>
  <c r="BG274" i="1"/>
  <c r="BG175" i="1"/>
  <c r="I277" i="4" s="1"/>
  <c r="I369" i="4" s="1"/>
  <c r="BG35" i="1"/>
  <c r="BG20" i="1"/>
  <c r="BG230" i="1"/>
  <c r="BG211" i="1"/>
  <c r="BG38" i="1"/>
  <c r="BG64" i="1"/>
  <c r="BG241" i="1"/>
  <c r="BG212" i="1"/>
  <c r="BG195" i="1"/>
  <c r="BG331" i="1"/>
  <c r="BG275" i="1"/>
  <c r="BG189" i="1"/>
  <c r="BG324" i="1"/>
  <c r="BG376" i="1"/>
  <c r="BG345" i="1"/>
  <c r="BG359" i="1"/>
  <c r="BG188" i="1"/>
  <c r="BG22" i="1"/>
  <c r="BG123" i="1"/>
  <c r="BG187" i="1"/>
  <c r="BG200" i="1"/>
  <c r="BG357" i="1"/>
  <c r="BG77" i="1"/>
  <c r="BG232" i="1"/>
  <c r="BG261" i="1"/>
  <c r="BG23" i="1"/>
  <c r="BG209" i="1"/>
  <c r="BG330" i="1"/>
  <c r="BG30" i="1"/>
  <c r="BG317" i="1"/>
  <c r="AW345" i="1"/>
  <c r="BG81" i="1"/>
  <c r="D28" i="3"/>
  <c r="AG213" i="1"/>
  <c r="AG215" i="1" s="1"/>
  <c r="AG226" i="1" s="1"/>
  <c r="AY77" i="1"/>
  <c r="AW268" i="1"/>
  <c r="S27" i="3"/>
  <c r="X116" i="1"/>
  <c r="AA116" i="1"/>
  <c r="S202" i="1"/>
  <c r="AW77" i="1"/>
  <c r="AW374" i="1"/>
  <c r="AW31" i="1"/>
  <c r="AW23" i="1"/>
  <c r="AW357" i="1"/>
  <c r="AW358" i="1"/>
  <c r="AW64" i="1"/>
  <c r="AW123" i="1"/>
  <c r="AO107" i="1"/>
  <c r="AO110" i="1" s="1"/>
  <c r="AK178" i="1"/>
  <c r="AW67" i="1"/>
  <c r="AE213" i="1"/>
  <c r="AE215" i="1" s="1"/>
  <c r="AE226" i="1" s="1"/>
  <c r="AW190" i="1"/>
  <c r="AW223" i="1"/>
  <c r="AW82" i="1"/>
  <c r="AW38" i="1"/>
  <c r="AW196" i="1"/>
  <c r="AW337" i="1"/>
  <c r="AW288" i="1"/>
  <c r="AW20" i="1"/>
  <c r="AW209" i="1"/>
  <c r="AW229" i="1"/>
  <c r="AW197" i="1"/>
  <c r="AW241" i="1"/>
  <c r="AW261" i="1"/>
  <c r="AW310" i="1"/>
  <c r="AN401" i="1"/>
  <c r="AK358" i="1"/>
  <c r="AK360" i="1"/>
  <c r="AW360" i="1"/>
  <c r="AW361" i="1"/>
  <c r="AW303" i="1"/>
  <c r="AW199" i="1"/>
  <c r="AW181" i="1"/>
  <c r="AW231" i="1"/>
  <c r="AW212" i="1"/>
  <c r="AW68" i="1"/>
  <c r="AW80" i="1"/>
  <c r="AW65" i="1"/>
  <c r="AW237" i="1"/>
  <c r="AW176" i="1"/>
  <c r="AW36" i="1"/>
  <c r="AW21" i="1"/>
  <c r="AW247" i="1"/>
  <c r="AW191" i="1"/>
  <c r="AW338" i="1"/>
  <c r="AW302" i="1"/>
  <c r="AW193" i="1"/>
  <c r="AW289" i="1"/>
  <c r="AW182" i="1"/>
  <c r="AW316" i="1"/>
  <c r="AW198" i="1"/>
  <c r="AW16" i="1"/>
  <c r="AW39" i="1"/>
  <c r="AW246" i="1"/>
  <c r="AW83" i="1"/>
  <c r="AW84" i="1"/>
  <c r="AW69" i="1"/>
  <c r="AW248" i="1"/>
  <c r="AW220" i="1"/>
  <c r="AW122" i="1"/>
  <c r="AW17" i="1"/>
  <c r="AW233" i="1"/>
  <c r="AW200" i="1"/>
  <c r="AW183" i="1"/>
  <c r="AW274" i="1"/>
  <c r="AW184" i="1"/>
  <c r="AW309" i="1"/>
  <c r="AW275" i="1"/>
  <c r="AW354" i="1"/>
  <c r="AW323" i="1"/>
  <c r="AW296" i="1"/>
  <c r="AW189" i="1"/>
  <c r="AW245" i="1"/>
  <c r="AW35" i="1"/>
  <c r="AW232" i="1"/>
  <c r="AW175" i="1"/>
  <c r="G276" i="4" s="1"/>
  <c r="G338" i="4" s="1"/>
  <c r="AW63" i="1"/>
  <c r="AW230" i="1"/>
  <c r="AW211" i="1"/>
  <c r="AW34" i="1"/>
  <c r="AW19" i="1"/>
  <c r="AW240" i="1"/>
  <c r="AW187" i="1"/>
  <c r="AW330" i="1"/>
  <c r="AW188" i="1"/>
  <c r="AW317" i="1"/>
  <c r="AW359" i="1"/>
  <c r="AY368" i="1"/>
  <c r="AW30" i="1"/>
  <c r="AW368" i="1"/>
  <c r="AC213" i="1"/>
  <c r="AC214" i="1"/>
  <c r="AO201" i="1"/>
  <c r="AN362" i="1"/>
  <c r="AK345" i="1"/>
  <c r="AK361" i="1"/>
  <c r="AK357" i="1"/>
  <c r="AD202" i="1"/>
  <c r="AK359" i="1"/>
  <c r="AK356" i="1"/>
  <c r="AO192" i="1"/>
  <c r="AH202" i="1"/>
  <c r="AW295" i="1"/>
  <c r="AW331" i="1"/>
  <c r="AW423" i="1"/>
  <c r="AW22" i="1"/>
  <c r="AW37" i="1"/>
  <c r="AW206" i="1"/>
  <c r="AW66" i="1"/>
  <c r="AW81" i="1"/>
  <c r="AW267" i="1"/>
  <c r="AW324" i="1"/>
  <c r="AW177" i="1"/>
  <c r="AW18" i="1"/>
  <c r="AW260" i="1"/>
  <c r="AW85" i="1"/>
  <c r="AW349" i="1"/>
  <c r="AW282" i="1"/>
  <c r="AW238" i="1"/>
  <c r="AW222" i="1"/>
  <c r="AW371" i="1"/>
  <c r="AW420" i="1"/>
  <c r="AW281" i="1"/>
  <c r="AW376" i="1"/>
  <c r="AW185" i="1"/>
  <c r="AW70" i="1"/>
  <c r="AW372" i="1"/>
  <c r="AW375" i="1"/>
  <c r="AW355" i="1"/>
  <c r="AW356" i="1"/>
  <c r="AW186" i="1"/>
  <c r="AW194" i="1"/>
  <c r="AW195" i="1"/>
  <c r="AK185" i="1"/>
  <c r="AK199" i="1"/>
  <c r="AK184" i="1"/>
  <c r="AK195" i="1"/>
  <c r="AI362" i="1"/>
  <c r="AK200" i="1"/>
  <c r="AY274" i="1"/>
  <c r="AY289" i="1"/>
  <c r="AY309" i="1"/>
  <c r="AY317" i="1"/>
  <c r="AY337" i="1"/>
  <c r="AY357" i="1"/>
  <c r="AY281" i="1"/>
  <c r="AY376" i="1"/>
  <c r="AY360" i="1"/>
  <c r="AY31" i="1"/>
  <c r="AY184" i="1"/>
  <c r="AY188" i="1"/>
  <c r="AY193" i="1"/>
  <c r="AY197" i="1"/>
  <c r="AY267" i="1"/>
  <c r="AY288" i="1"/>
  <c r="AY296" i="1"/>
  <c r="AY316" i="1"/>
  <c r="AY324" i="1"/>
  <c r="AY423" i="1"/>
  <c r="AY181" i="1"/>
  <c r="AY185" i="1"/>
  <c r="AY189" i="1"/>
  <c r="AY194" i="1"/>
  <c r="AY198" i="1"/>
  <c r="AY177" i="1"/>
  <c r="AY231" i="1"/>
  <c r="AY238" i="1"/>
  <c r="AY245" i="1"/>
  <c r="AY16" i="1"/>
  <c r="AY20" i="1"/>
  <c r="AY37" i="1"/>
  <c r="AY63" i="1"/>
  <c r="AY67" i="1"/>
  <c r="AY83" i="1"/>
  <c r="AY223" i="1"/>
  <c r="AY206" i="1"/>
  <c r="AY212" i="1"/>
  <c r="AY222" i="1"/>
  <c r="AY232" i="1"/>
  <c r="AY246" i="1"/>
  <c r="AY260" i="1"/>
  <c r="AY17" i="1"/>
  <c r="AY21" i="1"/>
  <c r="AY34" i="1"/>
  <c r="AY38" i="1"/>
  <c r="AY66" i="1"/>
  <c r="AY70" i="1"/>
  <c r="AY80" i="1"/>
  <c r="AY84" i="1"/>
  <c r="AY282" i="1"/>
  <c r="AY303" i="1"/>
  <c r="AY323" i="1"/>
  <c r="AY361" i="1"/>
  <c r="AY372" i="1"/>
  <c r="AY345" i="1"/>
  <c r="AY186" i="1"/>
  <c r="AY195" i="1"/>
  <c r="AY302" i="1"/>
  <c r="AY338" i="1"/>
  <c r="AY183" i="1"/>
  <c r="AY191" i="1"/>
  <c r="AY200" i="1"/>
  <c r="AY233" i="1"/>
  <c r="AY247" i="1"/>
  <c r="AY18" i="1"/>
  <c r="AY35" i="1"/>
  <c r="AY65" i="1"/>
  <c r="AY81" i="1"/>
  <c r="AY176" i="1"/>
  <c r="AY220" i="1"/>
  <c r="AY237" i="1"/>
  <c r="AY248" i="1"/>
  <c r="AY19" i="1"/>
  <c r="AY64" i="1"/>
  <c r="AY122" i="1"/>
  <c r="AY175" i="1"/>
  <c r="AY375" i="1"/>
  <c r="AY355" i="1"/>
  <c r="AY268" i="1"/>
  <c r="AY354" i="1"/>
  <c r="AY371" i="1"/>
  <c r="AY349" i="1"/>
  <c r="AY295" i="1"/>
  <c r="AY331" i="1"/>
  <c r="AY373" i="1"/>
  <c r="AY420" i="1"/>
  <c r="AY356" i="1"/>
  <c r="AY182" i="1"/>
  <c r="AY190" i="1"/>
  <c r="AY199" i="1"/>
  <c r="AY310" i="1"/>
  <c r="AY330" i="1"/>
  <c r="AY123" i="1"/>
  <c r="AY187" i="1"/>
  <c r="AY196" i="1"/>
  <c r="AY229" i="1"/>
  <c r="AY240" i="1"/>
  <c r="AY261" i="1"/>
  <c r="AY22" i="1"/>
  <c r="AY39" i="1"/>
  <c r="AY69" i="1"/>
  <c r="AY85" i="1"/>
  <c r="AY211" i="1"/>
  <c r="AY209" i="1"/>
  <c r="AY230" i="1"/>
  <c r="AY241" i="1"/>
  <c r="AY23" i="1"/>
  <c r="AY36" i="1"/>
  <c r="AY68" i="1"/>
  <c r="AY82" i="1"/>
  <c r="AY359" i="1"/>
  <c r="AY275" i="1"/>
  <c r="AY374" i="1"/>
  <c r="AY358" i="1"/>
  <c r="R202" i="1"/>
  <c r="Y213" i="1"/>
  <c r="Y214" i="1"/>
  <c r="U213" i="1"/>
  <c r="U214" i="1"/>
  <c r="AK196" i="1"/>
  <c r="AF202" i="1"/>
  <c r="Z202" i="1"/>
  <c r="AB202" i="1"/>
  <c r="AG202" i="1"/>
  <c r="V202" i="1"/>
  <c r="AK189" i="1"/>
  <c r="AK188" i="1"/>
  <c r="AC202" i="1"/>
  <c r="U202" i="1"/>
  <c r="Y202" i="1"/>
  <c r="AE202" i="1"/>
  <c r="W202" i="1"/>
  <c r="AA202" i="1"/>
  <c r="AN192" i="1"/>
  <c r="AN201" i="1"/>
  <c r="CL182" i="1"/>
  <c r="CL190" i="1"/>
  <c r="CL199" i="1"/>
  <c r="AL192" i="1"/>
  <c r="AK181" i="1"/>
  <c r="CL181" i="1"/>
  <c r="CL189" i="1"/>
  <c r="CL198" i="1"/>
  <c r="AI192" i="1"/>
  <c r="CL184" i="1"/>
  <c r="CL197" i="1"/>
  <c r="CL187" i="1"/>
  <c r="CL196" i="1"/>
  <c r="AK354" i="1"/>
  <c r="AM362" i="1"/>
  <c r="AM201" i="1"/>
  <c r="AI201" i="1"/>
  <c r="AK197" i="1"/>
  <c r="AK187" i="1"/>
  <c r="AK186" i="1"/>
  <c r="AK190" i="1"/>
  <c r="X202" i="1"/>
  <c r="CL186" i="1"/>
  <c r="CL195" i="1"/>
  <c r="AL362" i="1"/>
  <c r="AK355" i="1"/>
  <c r="AL134" i="1"/>
  <c r="AK123" i="1"/>
  <c r="AK134" i="1" s="1"/>
  <c r="CL185" i="1"/>
  <c r="CL194" i="1"/>
  <c r="CL188" i="1"/>
  <c r="AK193" i="1"/>
  <c r="AL201" i="1"/>
  <c r="CL193" i="1"/>
  <c r="CL183" i="1"/>
  <c r="CL191" i="1"/>
  <c r="CL200" i="1"/>
  <c r="AK183" i="1"/>
  <c r="AK191" i="1"/>
  <c r="AK182" i="1"/>
  <c r="AM192" i="1"/>
  <c r="AK194" i="1"/>
  <c r="AK198" i="1"/>
  <c r="V214" i="1"/>
  <c r="V213" i="1"/>
  <c r="X225" i="1"/>
  <c r="BY216" i="1"/>
  <c r="BY205" i="1"/>
  <c r="AH214" i="1"/>
  <c r="AO214" i="1" s="1"/>
  <c r="AH213" i="1"/>
  <c r="AA225" i="1"/>
  <c r="CB216" i="1"/>
  <c r="S214" i="1"/>
  <c r="S213" i="1"/>
  <c r="Z214" i="1"/>
  <c r="Z213" i="1"/>
  <c r="AB214" i="1"/>
  <c r="AB213" i="1"/>
  <c r="AD214" i="1"/>
  <c r="AD213" i="1"/>
  <c r="AF214" i="1"/>
  <c r="AF213" i="1"/>
  <c r="CB205" i="1"/>
  <c r="AN225" i="1"/>
  <c r="AO225" i="1"/>
  <c r="D368" i="4" l="1"/>
  <c r="E139" i="1"/>
  <c r="E149" i="1"/>
  <c r="E152" i="1" s="1"/>
  <c r="BF30" i="1"/>
  <c r="BB249" i="1"/>
  <c r="BB178" i="1"/>
  <c r="BB71" i="1"/>
  <c r="BB234" i="1"/>
  <c r="BB134" i="1"/>
  <c r="BB201" i="1"/>
  <c r="BB24" i="1"/>
  <c r="BF123" i="1"/>
  <c r="BF185" i="1"/>
  <c r="BF211" i="1"/>
  <c r="BF354" i="1"/>
  <c r="BF189" i="1"/>
  <c r="BF375" i="1"/>
  <c r="BF238" i="1"/>
  <c r="BF22" i="1"/>
  <c r="BF181" i="1"/>
  <c r="BF184" i="1"/>
  <c r="BF274" i="1"/>
  <c r="BF66" i="1"/>
  <c r="BF18" i="1"/>
  <c r="BF310" i="1"/>
  <c r="BF423" i="1"/>
  <c r="BF282" i="1"/>
  <c r="BF17" i="1"/>
  <c r="BF360" i="1"/>
  <c r="BF345" i="1"/>
  <c r="BF288" i="1"/>
  <c r="BF21" i="1"/>
  <c r="BF317" i="1"/>
  <c r="BF373" i="1"/>
  <c r="BF338" i="1"/>
  <c r="BF358" i="1"/>
  <c r="BF303" i="1"/>
  <c r="BF70" i="1"/>
  <c r="BF183" i="1"/>
  <c r="BF281" i="1"/>
  <c r="BF233" i="1"/>
  <c r="BF200" i="1"/>
  <c r="BF231" i="1"/>
  <c r="BF198" i="1"/>
  <c r="BF36" i="1"/>
  <c r="BF295" i="1"/>
  <c r="BF20" i="1"/>
  <c r="BF261" i="1"/>
  <c r="BF34" i="1"/>
  <c r="BF187" i="1"/>
  <c r="BF190" i="1"/>
  <c r="BF260" i="1"/>
  <c r="BF355" i="1"/>
  <c r="BF206" i="1"/>
  <c r="BF82" i="1"/>
  <c r="BB192" i="1"/>
  <c r="BF337" i="1"/>
  <c r="BF302" i="1"/>
  <c r="BF230" i="1"/>
  <c r="BF186" i="1"/>
  <c r="BF376" i="1"/>
  <c r="BF309" i="1"/>
  <c r="BF38" i="1"/>
  <c r="BF296" i="1"/>
  <c r="BF248" i="1"/>
  <c r="BF177" i="1"/>
  <c r="BF229" i="1"/>
  <c r="BF420" i="1"/>
  <c r="BF69" i="1"/>
  <c r="BF80" i="1"/>
  <c r="BF324" i="1"/>
  <c r="BF330" i="1"/>
  <c r="BF247" i="1"/>
  <c r="BF67" i="1"/>
  <c r="BF374" i="1"/>
  <c r="BF83" i="1"/>
  <c r="BF191" i="1"/>
  <c r="BF223" i="1"/>
  <c r="BF323" i="1"/>
  <c r="BF212" i="1"/>
  <c r="BF175" i="1"/>
  <c r="H277" i="4" s="1"/>
  <c r="H369" i="4" s="1"/>
  <c r="BF316" i="1"/>
  <c r="BF372" i="1"/>
  <c r="BF220" i="1"/>
  <c r="BF85" i="1"/>
  <c r="BF196" i="1"/>
  <c r="BF39" i="1"/>
  <c r="BF240" i="1"/>
  <c r="BF37" i="1"/>
  <c r="BF349" i="1"/>
  <c r="BF188" i="1"/>
  <c r="BF237" i="1"/>
  <c r="BF77" i="1"/>
  <c r="BF267" i="1"/>
  <c r="BF84" i="1"/>
  <c r="BF19" i="1"/>
  <c r="BF195" i="1"/>
  <c r="BF35" i="1"/>
  <c r="BF199" i="1"/>
  <c r="BF176" i="1"/>
  <c r="BF193" i="1"/>
  <c r="BF68" i="1"/>
  <c r="BF65" i="1"/>
  <c r="BF356" i="1"/>
  <c r="BF289" i="1"/>
  <c r="BF246" i="1"/>
  <c r="BF331" i="1"/>
  <c r="BF23" i="1"/>
  <c r="BF371" i="1"/>
  <c r="BF182" i="1"/>
  <c r="BF31" i="1"/>
  <c r="BF359" i="1"/>
  <c r="BF209" i="1"/>
  <c r="BF361" i="1"/>
  <c r="BF241" i="1"/>
  <c r="BF16" i="1"/>
  <c r="BF197" i="1"/>
  <c r="BF122" i="1"/>
  <c r="BF194" i="1"/>
  <c r="BF368" i="1"/>
  <c r="BF232" i="1"/>
  <c r="BF222" i="1"/>
  <c r="BF245" i="1"/>
  <c r="BF268" i="1"/>
  <c r="BF81" i="1"/>
  <c r="BF275" i="1"/>
  <c r="BF63" i="1"/>
  <c r="BF64" i="1"/>
  <c r="BF357" i="1"/>
  <c r="BD281" i="1"/>
  <c r="BE64" i="1"/>
  <c r="BE223" i="1"/>
  <c r="BE85" i="1"/>
  <c r="BE330" i="1"/>
  <c r="BE233" i="1"/>
  <c r="BE68" i="1"/>
  <c r="BE324" i="1"/>
  <c r="BE303" i="1"/>
  <c r="BE35" i="1"/>
  <c r="BE197" i="1"/>
  <c r="BE240" i="1"/>
  <c r="BE83" i="1"/>
  <c r="BE246" i="1"/>
  <c r="BE70" i="1"/>
  <c r="BE248" i="1"/>
  <c r="BE19" i="1"/>
  <c r="BE337" i="1"/>
  <c r="BE232" i="1"/>
  <c r="BE77" i="1"/>
  <c r="BE323" i="1"/>
  <c r="BE373" i="1"/>
  <c r="BE361" i="1"/>
  <c r="BE268" i="1"/>
  <c r="BE186" i="1"/>
  <c r="BE374" i="1"/>
  <c r="BE310" i="1"/>
  <c r="BE22" i="1"/>
  <c r="G339" i="4"/>
  <c r="BE241" i="1"/>
  <c r="BE358" i="1"/>
  <c r="BE176" i="1"/>
  <c r="BE372" i="1"/>
  <c r="BE82" i="1"/>
  <c r="BE356" i="1"/>
  <c r="BE37" i="1"/>
  <c r="BE212" i="1"/>
  <c r="BE84" i="1"/>
  <c r="BE261" i="1"/>
  <c r="BE220" i="1"/>
  <c r="BE349" i="1"/>
  <c r="BE245" i="1"/>
  <c r="BE231" i="1"/>
  <c r="BE177" i="1"/>
  <c r="BE63" i="1"/>
  <c r="BE302" i="1"/>
  <c r="BE211" i="1"/>
  <c r="BE194" i="1"/>
  <c r="BE355" i="1"/>
  <c r="BE183" i="1"/>
  <c r="BE238" i="1"/>
  <c r="BE420" i="1"/>
  <c r="BE67" i="1"/>
  <c r="BE282" i="1"/>
  <c r="BE36" i="1"/>
  <c r="BE80" i="1"/>
  <c r="BE18" i="1"/>
  <c r="BE222" i="1"/>
  <c r="BE267" i="1"/>
  <c r="BE195" i="1"/>
  <c r="BE123" i="1"/>
  <c r="BE230" i="1"/>
  <c r="BE368" i="1"/>
  <c r="BE20" i="1"/>
  <c r="BE200" i="1"/>
  <c r="BE38" i="1"/>
  <c r="BE357" i="1"/>
  <c r="BE30" i="1"/>
  <c r="BE191" i="1"/>
  <c r="BE288" i="1"/>
  <c r="BE295" i="1"/>
  <c r="BE376" i="1"/>
  <c r="BE185" i="1"/>
  <c r="BE359" i="1"/>
  <c r="BE81" i="1"/>
  <c r="BE196" i="1"/>
  <c r="BE34" i="1"/>
  <c r="BE198" i="1"/>
  <c r="BE66" i="1"/>
  <c r="BE317" i="1"/>
  <c r="BE69" i="1"/>
  <c r="BE247" i="1"/>
  <c r="BE338" i="1"/>
  <c r="BE275" i="1"/>
  <c r="BE184" i="1"/>
  <c r="BE354" i="1"/>
  <c r="BE16" i="1"/>
  <c r="BE423" i="1"/>
  <c r="BE189" i="1"/>
  <c r="BE296" i="1"/>
  <c r="BE122" i="1"/>
  <c r="BE309" i="1"/>
  <c r="BE65" i="1"/>
  <c r="BE316" i="1"/>
  <c r="BE190" i="1"/>
  <c r="BE193" i="1"/>
  <c r="BE182" i="1"/>
  <c r="BE289" i="1"/>
  <c r="BE39" i="1"/>
  <c r="BE229" i="1"/>
  <c r="BE23" i="1"/>
  <c r="BE360" i="1"/>
  <c r="BE274" i="1"/>
  <c r="BE187" i="1"/>
  <c r="BE331" i="1"/>
  <c r="BE206" i="1"/>
  <c r="BE188" i="1"/>
  <c r="BE345" i="1"/>
  <c r="BE31" i="1"/>
  <c r="BE371" i="1"/>
  <c r="BE209" i="1"/>
  <c r="BE375" i="1"/>
  <c r="BE260" i="1"/>
  <c r="BE181" i="1"/>
  <c r="BE21" i="1"/>
  <c r="BE237" i="1"/>
  <c r="BE281" i="1"/>
  <c r="BE17" i="1"/>
  <c r="BE199" i="1"/>
  <c r="BC30" i="1"/>
  <c r="BC200" i="1"/>
  <c r="BC122" i="1"/>
  <c r="BC80" i="1"/>
  <c r="BC21" i="1"/>
  <c r="BC373" i="1"/>
  <c r="BC183" i="1"/>
  <c r="BC354" i="1"/>
  <c r="BC196" i="1"/>
  <c r="BC261" i="1"/>
  <c r="BC375" i="1"/>
  <c r="BC247" i="1"/>
  <c r="BC197" i="1"/>
  <c r="BC19" i="1"/>
  <c r="BC359" i="1"/>
  <c r="BC16" i="1"/>
  <c r="BC223" i="1"/>
  <c r="BC195" i="1"/>
  <c r="BC316" i="1"/>
  <c r="BC69" i="1"/>
  <c r="BC212" i="1"/>
  <c r="BC274" i="1"/>
  <c r="BC190" i="1"/>
  <c r="BC420" i="1"/>
  <c r="BC268" i="1"/>
  <c r="BC356" i="1"/>
  <c r="BC68" i="1"/>
  <c r="BC309" i="1"/>
  <c r="BC288" i="1"/>
  <c r="BC177" i="1"/>
  <c r="BC22" i="1"/>
  <c r="BC289" i="1"/>
  <c r="BC345" i="1"/>
  <c r="BC241" i="1"/>
  <c r="BC371" i="1"/>
  <c r="BC245" i="1"/>
  <c r="BC355" i="1"/>
  <c r="BC81" i="1"/>
  <c r="BC361" i="1"/>
  <c r="BC66" i="1"/>
  <c r="BC310" i="1"/>
  <c r="BC181" i="1"/>
  <c r="BC222" i="1"/>
  <c r="BC64" i="1"/>
  <c r="BC368" i="1"/>
  <c r="BC423" i="1"/>
  <c r="BC240" i="1"/>
  <c r="BC338" i="1"/>
  <c r="BC84" i="1"/>
  <c r="BC376" i="1"/>
  <c r="BC39" i="1"/>
  <c r="BC374" i="1"/>
  <c r="BC296" i="1"/>
  <c r="BC65" i="1"/>
  <c r="BC372" i="1"/>
  <c r="BC20" i="1"/>
  <c r="BC303" i="1"/>
  <c r="BC82" i="1"/>
  <c r="BC282" i="1"/>
  <c r="BC267" i="1"/>
  <c r="BC238" i="1"/>
  <c r="BC357" i="1"/>
  <c r="BC194" i="1"/>
  <c r="BC36" i="1"/>
  <c r="BC302" i="1"/>
  <c r="BC188" i="1"/>
  <c r="BC324" i="1"/>
  <c r="BC70" i="1"/>
  <c r="BC209" i="1"/>
  <c r="BC198" i="1"/>
  <c r="BC17" i="1"/>
  <c r="BC185" i="1"/>
  <c r="BC248" i="1"/>
  <c r="BC77" i="1"/>
  <c r="BC184" i="1"/>
  <c r="BC237" i="1"/>
  <c r="BC176" i="1"/>
  <c r="BC191" i="1"/>
  <c r="BC295" i="1"/>
  <c r="BC67" i="1"/>
  <c r="BC317" i="1"/>
  <c r="BC189" i="1"/>
  <c r="BC232" i="1"/>
  <c r="BC330" i="1"/>
  <c r="BC186" i="1"/>
  <c r="BC230" i="1"/>
  <c r="BC323" i="1"/>
  <c r="BC83" i="1"/>
  <c r="BC358" i="1"/>
  <c r="BC349" i="1"/>
  <c r="BC187" i="1"/>
  <c r="BC182" i="1"/>
  <c r="BC175" i="1"/>
  <c r="E277" i="4" s="1"/>
  <c r="E369" i="4" s="1"/>
  <c r="BC246" i="1"/>
  <c r="BC193" i="1"/>
  <c r="BC275" i="1"/>
  <c r="BC63" i="1"/>
  <c r="BC233" i="1"/>
  <c r="BC231" i="1"/>
  <c r="BC260" i="1"/>
  <c r="BC206" i="1"/>
  <c r="BC281" i="1"/>
  <c r="BC337" i="1"/>
  <c r="BC31" i="1"/>
  <c r="BC211" i="1"/>
  <c r="BC37" i="1"/>
  <c r="BC360" i="1"/>
  <c r="BC199" i="1"/>
  <c r="BC38" i="1"/>
  <c r="BC123" i="1"/>
  <c r="BC331" i="1"/>
  <c r="BC85" i="1"/>
  <c r="BC229" i="1"/>
  <c r="BC23" i="1"/>
  <c r="BC35" i="1"/>
  <c r="BC34" i="1"/>
  <c r="BC18" i="1"/>
  <c r="BB362" i="1"/>
  <c r="BD66" i="1"/>
  <c r="BD22" i="1"/>
  <c r="BD229" i="1"/>
  <c r="BD372" i="1"/>
  <c r="BD260" i="1"/>
  <c r="BD245" i="1"/>
  <c r="BD84" i="1"/>
  <c r="BD175" i="1"/>
  <c r="F277" i="4" s="1"/>
  <c r="F369" i="4" s="1"/>
  <c r="BD211" i="1"/>
  <c r="BD222" i="1"/>
  <c r="BD420" i="1"/>
  <c r="BD36" i="1"/>
  <c r="BD268" i="1"/>
  <c r="BD238" i="1"/>
  <c r="BD241" i="1"/>
  <c r="BD82" i="1"/>
  <c r="BD68" i="1"/>
  <c r="BD310" i="1"/>
  <c r="BD21" i="1"/>
  <c r="BD20" i="1"/>
  <c r="BD83" i="1"/>
  <c r="BD309" i="1"/>
  <c r="BD295" i="1"/>
  <c r="BD355" i="1"/>
  <c r="BD199" i="1"/>
  <c r="BD356" i="1"/>
  <c r="BD233" i="1"/>
  <c r="BD323" i="1"/>
  <c r="BD37" i="1"/>
  <c r="BD240" i="1"/>
  <c r="BD184" i="1"/>
  <c r="BD122" i="1"/>
  <c r="BD65" i="1"/>
  <c r="BD360" i="1"/>
  <c r="BD185" i="1"/>
  <c r="BD31" i="1"/>
  <c r="BD371" i="1"/>
  <c r="BD261" i="1"/>
  <c r="BD349" i="1"/>
  <c r="BD212" i="1"/>
  <c r="BD354" i="1"/>
  <c r="BD223" i="1"/>
  <c r="BD209" i="1"/>
  <c r="BD177" i="1"/>
  <c r="BD289" i="1"/>
  <c r="BD296" i="1"/>
  <c r="BD237" i="1"/>
  <c r="BD16" i="1"/>
  <c r="BD195" i="1"/>
  <c r="BD231" i="1"/>
  <c r="BD345" i="1"/>
  <c r="BD35" i="1"/>
  <c r="BD64" i="1"/>
  <c r="BD220" i="1"/>
  <c r="BD197" i="1"/>
  <c r="BD39" i="1"/>
  <c r="BD182" i="1"/>
  <c r="BD423" i="1"/>
  <c r="BD18" i="1"/>
  <c r="BD358" i="1"/>
  <c r="BD19" i="1"/>
  <c r="BD191" i="1"/>
  <c r="BD303" i="1"/>
  <c r="BD275" i="1"/>
  <c r="BD187" i="1"/>
  <c r="BD206" i="1"/>
  <c r="BD69" i="1"/>
  <c r="BD246" i="1"/>
  <c r="BD181" i="1"/>
  <c r="BD359" i="1"/>
  <c r="J8" i="32"/>
  <c r="BD77" i="1"/>
  <c r="BD176" i="1"/>
  <c r="BD186" i="1"/>
  <c r="BD247" i="1"/>
  <c r="BD23" i="1"/>
  <c r="BD282" i="1"/>
  <c r="BD189" i="1"/>
  <c r="BD80" i="1"/>
  <c r="BD330" i="1"/>
  <c r="BD267" i="1"/>
  <c r="BD338" i="1"/>
  <c r="BD196" i="1"/>
  <c r="BD232" i="1"/>
  <c r="BD373" i="1"/>
  <c r="BD198" i="1"/>
  <c r="BD85" i="1"/>
  <c r="BD374" i="1"/>
  <c r="BD200" i="1"/>
  <c r="BD67" i="1"/>
  <c r="BD317" i="1"/>
  <c r="BD63" i="1"/>
  <c r="BD17" i="1"/>
  <c r="BD274" i="1"/>
  <c r="BD230" i="1"/>
  <c r="BD193" i="1"/>
  <c r="BD337" i="1"/>
  <c r="BD302" i="1"/>
  <c r="BD81" i="1"/>
  <c r="BD70" i="1"/>
  <c r="E368" i="4"/>
  <c r="BD190" i="1"/>
  <c r="BD361" i="1"/>
  <c r="BD357" i="1"/>
  <c r="BD183" i="1"/>
  <c r="BD288" i="1"/>
  <c r="BD375" i="1"/>
  <c r="BD38" i="1"/>
  <c r="BD248" i="1"/>
  <c r="BD188" i="1"/>
  <c r="BD194" i="1"/>
  <c r="BD376" i="1"/>
  <c r="BD34" i="1"/>
  <c r="BD30" i="1"/>
  <c r="BD331" i="1"/>
  <c r="BD324" i="1"/>
  <c r="BD123" i="1"/>
  <c r="BD316" i="1"/>
  <c r="H338" i="4"/>
  <c r="AV249" i="1"/>
  <c r="AX178" i="1"/>
  <c r="AV201" i="1"/>
  <c r="AV71" i="1"/>
  <c r="AV192" i="1"/>
  <c r="AV234" i="1"/>
  <c r="AV134" i="1"/>
  <c r="AV362" i="1"/>
  <c r="AV24" i="1"/>
  <c r="F338" i="4"/>
  <c r="AV178" i="1"/>
  <c r="AU249" i="1"/>
  <c r="AX234" i="1"/>
  <c r="AX71" i="1"/>
  <c r="AX201" i="1"/>
  <c r="AU192" i="1"/>
  <c r="AX192" i="1"/>
  <c r="AU234" i="1"/>
  <c r="AU24" i="1"/>
  <c r="AX249" i="1"/>
  <c r="AX362" i="1"/>
  <c r="AU178" i="1"/>
  <c r="AX24" i="1"/>
  <c r="AU362" i="1"/>
  <c r="AU201" i="1"/>
  <c r="AU71" i="1"/>
  <c r="AX134" i="1"/>
  <c r="AU134" i="1"/>
  <c r="AS30" i="1"/>
  <c r="AT192" i="1"/>
  <c r="AT362" i="1"/>
  <c r="AT201" i="1"/>
  <c r="AT178" i="1"/>
  <c r="AT71" i="1"/>
  <c r="AT24" i="1"/>
  <c r="AT249" i="1"/>
  <c r="AT234" i="1"/>
  <c r="AT134" i="1"/>
  <c r="AS373" i="1"/>
  <c r="D338" i="4"/>
  <c r="BG249" i="1"/>
  <c r="BG24" i="1"/>
  <c r="BG234" i="1"/>
  <c r="BG178" i="1"/>
  <c r="BG362" i="1"/>
  <c r="BG71" i="1"/>
  <c r="BG134" i="1"/>
  <c r="BG192" i="1"/>
  <c r="BG201" i="1"/>
  <c r="AS345" i="1"/>
  <c r="AS330" i="1"/>
  <c r="AS64" i="1"/>
  <c r="AS31" i="1"/>
  <c r="AS196" i="1"/>
  <c r="AS67" i="1"/>
  <c r="AS20" i="1"/>
  <c r="AS23" i="1"/>
  <c r="AS268" i="1"/>
  <c r="AS35" i="1"/>
  <c r="AS323" i="1"/>
  <c r="AS34" i="1"/>
  <c r="AS77" i="1"/>
  <c r="AS358" i="1"/>
  <c r="AS247" i="1"/>
  <c r="AS302" i="1"/>
  <c r="AS212" i="1"/>
  <c r="AS317" i="1"/>
  <c r="AG251" i="1"/>
  <c r="AG252" i="1" s="1"/>
  <c r="AS184" i="1"/>
  <c r="AS84" i="1"/>
  <c r="AS122" i="1"/>
  <c r="AS123" i="1"/>
  <c r="AS310" i="1"/>
  <c r="AS368" i="1"/>
  <c r="AS357" i="1"/>
  <c r="AS374" i="1"/>
  <c r="AS309" i="1"/>
  <c r="AS190" i="1"/>
  <c r="AS187" i="1"/>
  <c r="AS200" i="1"/>
  <c r="AS199" i="1"/>
  <c r="AS68" i="1"/>
  <c r="AS182" i="1"/>
  <c r="AS19" i="1"/>
  <c r="AS176" i="1"/>
  <c r="AS361" i="1"/>
  <c r="AS296" i="1"/>
  <c r="AS337" i="1"/>
  <c r="AS209" i="1"/>
  <c r="AS39" i="1"/>
  <c r="AS232" i="1"/>
  <c r="AS223" i="1"/>
  <c r="AS69" i="1"/>
  <c r="AS183" i="1"/>
  <c r="AS360" i="1"/>
  <c r="AS261" i="1"/>
  <c r="AE251" i="1"/>
  <c r="AE252" i="1" s="1"/>
  <c r="AS82" i="1"/>
  <c r="AS241" i="1"/>
  <c r="AS246" i="1"/>
  <c r="AS231" i="1"/>
  <c r="AS316" i="1"/>
  <c r="AS288" i="1"/>
  <c r="G368" i="4"/>
  <c r="AS38" i="1"/>
  <c r="AS21" i="1"/>
  <c r="AS83" i="1"/>
  <c r="AS197" i="1"/>
  <c r="AS303" i="1"/>
  <c r="AS338" i="1"/>
  <c r="AS198" i="1"/>
  <c r="AS274" i="1"/>
  <c r="AS211" i="1"/>
  <c r="AS220" i="1"/>
  <c r="AS65" i="1"/>
  <c r="AS233" i="1"/>
  <c r="AS188" i="1"/>
  <c r="AS289" i="1"/>
  <c r="AW178" i="1"/>
  <c r="AW234" i="1"/>
  <c r="AW249" i="1"/>
  <c r="AS275" i="1"/>
  <c r="AS36" i="1"/>
  <c r="AS230" i="1"/>
  <c r="AS240" i="1"/>
  <c r="AS248" i="1"/>
  <c r="AS80" i="1"/>
  <c r="AS191" i="1"/>
  <c r="AS17" i="1"/>
  <c r="AS189" i="1"/>
  <c r="AS359" i="1"/>
  <c r="I339" i="4"/>
  <c r="AC215" i="1"/>
  <c r="AC226" i="1" s="1"/>
  <c r="AC251" i="1" s="1"/>
  <c r="AC252" i="1" s="1"/>
  <c r="AO202" i="1"/>
  <c r="AS238" i="1"/>
  <c r="AS324" i="1"/>
  <c r="AS355" i="1"/>
  <c r="AS185" i="1"/>
  <c r="AS372" i="1"/>
  <c r="AS267" i="1"/>
  <c r="AS371" i="1"/>
  <c r="AS18" i="1"/>
  <c r="AS37" i="1"/>
  <c r="AS194" i="1"/>
  <c r="AS423" i="1"/>
  <c r="AS85" i="1"/>
  <c r="AS195" i="1"/>
  <c r="AS376" i="1"/>
  <c r="AS260" i="1"/>
  <c r="AS356" i="1"/>
  <c r="AS81" i="1"/>
  <c r="AS281" i="1"/>
  <c r="AS331" i="1"/>
  <c r="AS349" i="1"/>
  <c r="AS70" i="1"/>
  <c r="AS375" i="1"/>
  <c r="AS186" i="1"/>
  <c r="AS66" i="1"/>
  <c r="AS206" i="1"/>
  <c r="AS22" i="1"/>
  <c r="AS282" i="1"/>
  <c r="AS222" i="1"/>
  <c r="AS177" i="1"/>
  <c r="AS420" i="1"/>
  <c r="AS295" i="1"/>
  <c r="AW71" i="1"/>
  <c r="AW201" i="1"/>
  <c r="AW362" i="1"/>
  <c r="AW192" i="1"/>
  <c r="AW134" i="1"/>
  <c r="AW24" i="1"/>
  <c r="AY178" i="1"/>
  <c r="AS175" i="1"/>
  <c r="I276" i="4"/>
  <c r="AS229" i="1"/>
  <c r="AY234" i="1"/>
  <c r="AY362" i="1"/>
  <c r="AS354" i="1"/>
  <c r="AS237" i="1"/>
  <c r="AY71" i="1"/>
  <c r="AS63" i="1"/>
  <c r="AY134" i="1"/>
  <c r="AS16" i="1"/>
  <c r="AY24" i="1"/>
  <c r="AS245" i="1"/>
  <c r="AY249" i="1"/>
  <c r="AS181" i="1"/>
  <c r="AY192" i="1"/>
  <c r="AS193" i="1"/>
  <c r="AY201" i="1"/>
  <c r="Y215" i="1"/>
  <c r="Y226" i="1" s="1"/>
  <c r="Y251" i="1" s="1"/>
  <c r="Y252" i="1" s="1"/>
  <c r="U215" i="1"/>
  <c r="U226" i="1" s="1"/>
  <c r="U251" i="1" s="1"/>
  <c r="U252" i="1" s="1"/>
  <c r="AN202" i="1"/>
  <c r="AK201" i="1"/>
  <c r="AM202" i="1"/>
  <c r="AK362" i="1"/>
  <c r="AK192" i="1"/>
  <c r="AF215" i="1"/>
  <c r="AF226" i="1" s="1"/>
  <c r="AF251" i="1" s="1"/>
  <c r="AF252" i="1" s="1"/>
  <c r="AD215" i="1"/>
  <c r="AD226" i="1" s="1"/>
  <c r="AD251" i="1" s="1"/>
  <c r="AD252" i="1" s="1"/>
  <c r="AI202" i="1"/>
  <c r="AL202" i="1"/>
  <c r="AN214" i="1"/>
  <c r="D339" i="4"/>
  <c r="D369" i="4"/>
  <c r="AA213" i="1"/>
  <c r="AA214" i="1"/>
  <c r="AN213" i="1"/>
  <c r="AB215" i="1"/>
  <c r="AB226" i="1" s="1"/>
  <c r="AB251" i="1" s="1"/>
  <c r="AO213" i="1"/>
  <c r="AO215" i="1" s="1"/>
  <c r="AO226" i="1" s="1"/>
  <c r="AH215" i="1"/>
  <c r="AH226" i="1" s="1"/>
  <c r="AH251" i="1" s="1"/>
  <c r="X213" i="1"/>
  <c r="X214" i="1"/>
  <c r="Z215" i="1"/>
  <c r="Z226" i="1" s="1"/>
  <c r="Z251" i="1" s="1"/>
  <c r="S215" i="1"/>
  <c r="S226" i="1" s="1"/>
  <c r="S251" i="1" s="1"/>
  <c r="V215" i="1"/>
  <c r="V226" i="1" s="1"/>
  <c r="V251" i="1" s="1"/>
  <c r="BB202" i="1" l="1"/>
  <c r="BF234" i="1"/>
  <c r="BF249" i="1"/>
  <c r="H339" i="4"/>
  <c r="BF24" i="1"/>
  <c r="BF362" i="1"/>
  <c r="BF178" i="1"/>
  <c r="BF192" i="1"/>
  <c r="BA64" i="1"/>
  <c r="BA230" i="1"/>
  <c r="BA309" i="1"/>
  <c r="BF134" i="1"/>
  <c r="BA223" i="1"/>
  <c r="BF201" i="1"/>
  <c r="BF71" i="1"/>
  <c r="BA281" i="1"/>
  <c r="BA368" i="1"/>
  <c r="BA324" i="1"/>
  <c r="BA186" i="1"/>
  <c r="BA288" i="1"/>
  <c r="BA302" i="1"/>
  <c r="BA16" i="1"/>
  <c r="BA66" i="1"/>
  <c r="BE178" i="1"/>
  <c r="BA375" i="1"/>
  <c r="BA20" i="1"/>
  <c r="BA36" i="1"/>
  <c r="BA67" i="1"/>
  <c r="BA85" i="1"/>
  <c r="BA220" i="1"/>
  <c r="BA31" i="1"/>
  <c r="BA83" i="1"/>
  <c r="BE71" i="1"/>
  <c r="BA268" i="1"/>
  <c r="BE134" i="1"/>
  <c r="BA185" i="1"/>
  <c r="BA200" i="1"/>
  <c r="BA261" i="1"/>
  <c r="BE192" i="1"/>
  <c r="BA69" i="1"/>
  <c r="BE201" i="1"/>
  <c r="BA35" i="1"/>
  <c r="BA232" i="1"/>
  <c r="BE234" i="1"/>
  <c r="BE362" i="1"/>
  <c r="BE249" i="1"/>
  <c r="BA196" i="1"/>
  <c r="BA30" i="1"/>
  <c r="BA420" i="1"/>
  <c r="BA374" i="1"/>
  <c r="BA330" i="1"/>
  <c r="BA275" i="1"/>
  <c r="BA197" i="1"/>
  <c r="BA237" i="1"/>
  <c r="BA282" i="1"/>
  <c r="BA289" i="1"/>
  <c r="BA245" i="1"/>
  <c r="BA247" i="1"/>
  <c r="BE24" i="1"/>
  <c r="BA338" i="1"/>
  <c r="BA206" i="1"/>
  <c r="BA21" i="1"/>
  <c r="BA187" i="1"/>
  <c r="BA39" i="1"/>
  <c r="BA122" i="1"/>
  <c r="BA68" i="1"/>
  <c r="BA80" i="1"/>
  <c r="BA316" i="1"/>
  <c r="BA296" i="1"/>
  <c r="BA22" i="1"/>
  <c r="BA194" i="1"/>
  <c r="BA361" i="1"/>
  <c r="BC178" i="1"/>
  <c r="BA70" i="1"/>
  <c r="BA34" i="1"/>
  <c r="BA267" i="1"/>
  <c r="BA182" i="1"/>
  <c r="BA199" i="1"/>
  <c r="BA260" i="1"/>
  <c r="BA357" i="1"/>
  <c r="BA323" i="1"/>
  <c r="BA183" i="1"/>
  <c r="BA38" i="1"/>
  <c r="BA18" i="1"/>
  <c r="BA209" i="1"/>
  <c r="BA212" i="1"/>
  <c r="BA355" i="1"/>
  <c r="BA373" i="1"/>
  <c r="BA238" i="1"/>
  <c r="BA177" i="1"/>
  <c r="BA331" i="1"/>
  <c r="BA81" i="1"/>
  <c r="BA372" i="1"/>
  <c r="BC24" i="1"/>
  <c r="BC362" i="1"/>
  <c r="BC201" i="1"/>
  <c r="BA423" i="1"/>
  <c r="BA337" i="1"/>
  <c r="BA354" i="1"/>
  <c r="BA65" i="1"/>
  <c r="BA190" i="1"/>
  <c r="BA274" i="1"/>
  <c r="BA198" i="1"/>
  <c r="BA359" i="1"/>
  <c r="BA191" i="1"/>
  <c r="BA240" i="1"/>
  <c r="BA295" i="1"/>
  <c r="BA123" i="1"/>
  <c r="BA17" i="1"/>
  <c r="BA19" i="1"/>
  <c r="BA231" i="1"/>
  <c r="BA360" i="1"/>
  <c r="BA356" i="1"/>
  <c r="BC71" i="1"/>
  <c r="BA195" i="1"/>
  <c r="BA222" i="1"/>
  <c r="BA376" i="1"/>
  <c r="BA371" i="1"/>
  <c r="BA358" i="1"/>
  <c r="BC249" i="1"/>
  <c r="BA345" i="1"/>
  <c r="BA317" i="1"/>
  <c r="BC134" i="1"/>
  <c r="BA233" i="1"/>
  <c r="BC192" i="1"/>
  <c r="BA229" i="1"/>
  <c r="BA63" i="1"/>
  <c r="BC234" i="1"/>
  <c r="BA310" i="1"/>
  <c r="BA77" i="1"/>
  <c r="BA211" i="1"/>
  <c r="BA303" i="1"/>
  <c r="BA349" i="1"/>
  <c r="BA82" i="1"/>
  <c r="BA188" i="1"/>
  <c r="BA189" i="1"/>
  <c r="BA241" i="1"/>
  <c r="BA84" i="1"/>
  <c r="BA248" i="1"/>
  <c r="BA181" i="1"/>
  <c r="BA37" i="1"/>
  <c r="BA23" i="1"/>
  <c r="BA246" i="1"/>
  <c r="BD192" i="1"/>
  <c r="BA175" i="1"/>
  <c r="BD249" i="1"/>
  <c r="BA184" i="1"/>
  <c r="F339" i="4"/>
  <c r="BD178" i="1"/>
  <c r="BD201" i="1"/>
  <c r="BA176" i="1"/>
  <c r="BD24" i="1"/>
  <c r="BD134" i="1"/>
  <c r="BD71" i="1"/>
  <c r="BD234" i="1"/>
  <c r="BA193" i="1"/>
  <c r="BD362" i="1"/>
  <c r="AV202" i="1"/>
  <c r="AU202" i="1"/>
  <c r="AX202" i="1"/>
  <c r="AT202" i="1"/>
  <c r="BG202" i="1"/>
  <c r="C277" i="4"/>
  <c r="E339" i="4"/>
  <c r="C369" i="4"/>
  <c r="AO251" i="1"/>
  <c r="AK202" i="1"/>
  <c r="AS134" i="1"/>
  <c r="AW202" i="1"/>
  <c r="AS178" i="1"/>
  <c r="AS201" i="1"/>
  <c r="AS71" i="1"/>
  <c r="AS362" i="1"/>
  <c r="AS192" i="1"/>
  <c r="AS249" i="1"/>
  <c r="AS24" i="1"/>
  <c r="I368" i="4"/>
  <c r="I338" i="4"/>
  <c r="C338" i="4" s="1"/>
  <c r="C276" i="4"/>
  <c r="AY202" i="1"/>
  <c r="AS234" i="1"/>
  <c r="AN215" i="1"/>
  <c r="AN226" i="1" s="1"/>
  <c r="AN251" i="1" s="1"/>
  <c r="X215" i="1"/>
  <c r="X226" i="1" s="1"/>
  <c r="X251" i="1" s="1"/>
  <c r="X252" i="1" s="1"/>
  <c r="AA215" i="1"/>
  <c r="AA226" i="1" s="1"/>
  <c r="AA251" i="1" s="1"/>
  <c r="AA252" i="1" s="1"/>
  <c r="V252" i="1"/>
  <c r="Z252" i="1"/>
  <c r="S252" i="1"/>
  <c r="AH252" i="1"/>
  <c r="AB252" i="1"/>
  <c r="BF202" i="1" l="1"/>
  <c r="BE202" i="1"/>
  <c r="C339" i="4"/>
  <c r="BA362" i="1"/>
  <c r="BC202" i="1"/>
  <c r="BA134" i="1"/>
  <c r="BA192" i="1"/>
  <c r="BA234" i="1"/>
  <c r="BA71" i="1"/>
  <c r="BA178" i="1"/>
  <c r="BA249" i="1"/>
  <c r="BA24" i="1"/>
  <c r="BD202" i="1"/>
  <c r="BA201" i="1"/>
  <c r="AS202" i="1"/>
  <c r="C368" i="4"/>
  <c r="AO292" i="1"/>
  <c r="BA202" i="1" l="1"/>
  <c r="T182" i="7"/>
  <c r="T242" i="7"/>
  <c r="T64" i="7"/>
  <c r="T362" i="7"/>
  <c r="T302" i="7"/>
  <c r="T123" i="7"/>
  <c r="M123" i="7" l="1"/>
  <c r="M182" i="7"/>
  <c r="M362" i="7"/>
  <c r="M64" i="7"/>
  <c r="M242" i="7"/>
  <c r="M302" i="7"/>
  <c r="N302" i="7" l="1"/>
  <c r="N64" i="7"/>
  <c r="N362" i="7"/>
  <c r="N242" i="7"/>
  <c r="N182" i="7"/>
  <c r="N123" i="7"/>
  <c r="O123" i="7" l="1"/>
  <c r="O182" i="7"/>
  <c r="O64" i="7"/>
  <c r="O242" i="7"/>
  <c r="O362" i="7"/>
  <c r="O302" i="7"/>
  <c r="P242" i="7" l="1"/>
  <c r="P123" i="7"/>
  <c r="P302" i="7"/>
  <c r="P64" i="7"/>
  <c r="P362" i="7"/>
  <c r="P182" i="7"/>
  <c r="Q123" i="7" l="1"/>
  <c r="Q64" i="7"/>
  <c r="Q242" i="7"/>
  <c r="Q302" i="7"/>
  <c r="Q182" i="7"/>
  <c r="Q362" i="7"/>
  <c r="R123" i="7" l="1"/>
  <c r="R182" i="7"/>
  <c r="R64" i="7"/>
  <c r="R362" i="7"/>
  <c r="R242" i="7"/>
  <c r="R302" i="7"/>
  <c r="S242" i="7" l="1"/>
  <c r="S362" i="7"/>
  <c r="S182" i="7"/>
  <c r="S123" i="7"/>
  <c r="S64" i="7"/>
  <c r="S302" i="7"/>
  <c r="V302" i="7" l="1"/>
  <c r="V362" i="7"/>
  <c r="V242" i="7"/>
  <c r="V64" i="7"/>
  <c r="V123" i="7"/>
  <c r="V182" i="7"/>
  <c r="E58" i="4" l="1"/>
  <c r="G58" i="4" l="1"/>
  <c r="F22" i="35" s="1"/>
  <c r="H58" i="4" l="1"/>
  <c r="G22" i="35" s="1"/>
  <c r="D58" i="4" l="1"/>
  <c r="C22" i="35" s="1"/>
  <c r="H22" i="35" s="1"/>
  <c r="F58" i="4" l="1"/>
  <c r="C56" i="4"/>
  <c r="C58" i="4" l="1"/>
  <c r="C79" i="4" s="1"/>
  <c r="C73" i="4" l="1"/>
  <c r="C75" i="4"/>
  <c r="C74" i="4"/>
  <c r="C98" i="4" l="1"/>
  <c r="C101" i="4" s="1"/>
  <c r="C95" i="4"/>
  <c r="D17" i="3" l="1"/>
  <c r="J35" i="3" s="1"/>
  <c r="Q63" i="3" s="1"/>
  <c r="N401" i="1" s="1"/>
  <c r="F35" i="3" l="1"/>
  <c r="G35" i="3"/>
  <c r="E35" i="3"/>
  <c r="BO233" i="1"/>
  <c r="BO76" i="1"/>
  <c r="N372" i="1"/>
  <c r="BO209" i="1"/>
  <c r="BO275" i="1"/>
  <c r="BO36" i="1"/>
  <c r="CR183" i="1"/>
  <c r="BO189" i="1"/>
  <c r="N38" i="1"/>
  <c r="BO199" i="1"/>
  <c r="N39" i="1"/>
  <c r="CR330" i="1"/>
  <c r="CR261" i="1"/>
  <c r="BO222" i="1"/>
  <c r="BO187" i="1"/>
  <c r="BO370" i="1"/>
  <c r="N68" i="1"/>
  <c r="BO274" i="1"/>
  <c r="BO289" i="1"/>
  <c r="N200" i="1"/>
  <c r="N274" i="1"/>
  <c r="BO213" i="1"/>
  <c r="CR177" i="1"/>
  <c r="BO122" i="1"/>
  <c r="BO367" i="1"/>
  <c r="BO338" i="1"/>
  <c r="BO196" i="1"/>
  <c r="BO376" i="1"/>
  <c r="CR246" i="1"/>
  <c r="BO22" i="1"/>
  <c r="CR190" i="1"/>
  <c r="CR206" i="1"/>
  <c r="N223" i="1"/>
  <c r="N34" i="1"/>
  <c r="CR176" i="1"/>
  <c r="BO374" i="1"/>
  <c r="N358" i="1"/>
  <c r="N349" i="1"/>
  <c r="BO69" i="1"/>
  <c r="BO184" i="1"/>
  <c r="BO191" i="1"/>
  <c r="CR232" i="1"/>
  <c r="N206" i="1"/>
  <c r="CR274" i="1"/>
  <c r="N197" i="1"/>
  <c r="CR310" i="1"/>
  <c r="N185" i="1"/>
  <c r="BO241" i="1"/>
  <c r="BO32" i="1"/>
  <c r="N30" i="1"/>
  <c r="N238" i="1"/>
  <c r="N302" i="1"/>
  <c r="N303" i="1"/>
  <c r="CR199" i="1"/>
  <c r="CR288" i="1"/>
  <c r="BO310" i="1"/>
  <c r="N360" i="1"/>
  <c r="BO360" i="1"/>
  <c r="BO221" i="1"/>
  <c r="BO28" i="1"/>
  <c r="N22" i="1"/>
  <c r="BO331" i="1"/>
  <c r="BO37" i="1"/>
  <c r="BO366" i="1"/>
  <c r="N330" i="1"/>
  <c r="BO195" i="1"/>
  <c r="BO288" i="1"/>
  <c r="N247" i="1"/>
  <c r="CR281" i="1"/>
  <c r="CR189" i="1"/>
  <c r="N337" i="1"/>
  <c r="CR220" i="1"/>
  <c r="N187" i="1"/>
  <c r="N355" i="1"/>
  <c r="CR260" i="1"/>
  <c r="N65" i="1"/>
  <c r="BO85" i="1"/>
  <c r="N220" i="1"/>
  <c r="CR295" i="1"/>
  <c r="CR188" i="1"/>
  <c r="BO296" i="1"/>
  <c r="BO346" i="1"/>
  <c r="CR303" i="1"/>
  <c r="BO223" i="1"/>
  <c r="BO230" i="1"/>
  <c r="BO64" i="1"/>
  <c r="BO183" i="1"/>
  <c r="N267" i="1"/>
  <c r="BO207" i="1"/>
  <c r="BO330" i="1"/>
  <c r="N361" i="1"/>
  <c r="N230" i="1"/>
  <c r="N317" i="1"/>
  <c r="CR233" i="1"/>
  <c r="N288" i="1"/>
  <c r="BO323" i="1"/>
  <c r="BO211" i="1"/>
  <c r="CR212" i="1"/>
  <c r="N23" i="1"/>
  <c r="N191" i="1"/>
  <c r="BO371" i="1"/>
  <c r="CR302" i="1"/>
  <c r="CR184" i="1"/>
  <c r="N268" i="1"/>
  <c r="N69" i="1"/>
  <c r="BO239" i="1"/>
  <c r="N122" i="1"/>
  <c r="BO18" i="1"/>
  <c r="N233" i="1"/>
  <c r="CR222" i="1"/>
  <c r="N67" i="1"/>
  <c r="CR194" i="1"/>
  <c r="N18" i="1"/>
  <c r="CR238" i="1"/>
  <c r="N246" i="1"/>
  <c r="N231" i="1"/>
  <c r="BO309" i="1"/>
  <c r="BO260" i="1"/>
  <c r="BO190" i="1"/>
  <c r="N194" i="1"/>
  <c r="BO372" i="1"/>
  <c r="BO75" i="1"/>
  <c r="N281" i="1"/>
  <c r="CR248" i="1"/>
  <c r="BO68" i="1"/>
  <c r="BO30" i="1"/>
  <c r="BO281" i="1"/>
  <c r="BO357" i="1"/>
  <c r="BO214" i="1"/>
  <c r="BO182" i="1"/>
  <c r="BO82" i="1"/>
  <c r="N77" i="1"/>
  <c r="N189" i="1"/>
  <c r="BO20" i="1"/>
  <c r="BO219" i="1"/>
  <c r="CR223" i="1"/>
  <c r="BO369" i="1"/>
  <c r="CR231" i="1"/>
  <c r="N196" i="1"/>
  <c r="BO317" i="1"/>
  <c r="BO359" i="1"/>
  <c r="BO123" i="1"/>
  <c r="BO194" i="1"/>
  <c r="BO302" i="1"/>
  <c r="BO188" i="1"/>
  <c r="BO358" i="1"/>
  <c r="BO17" i="1"/>
  <c r="BO79" i="1"/>
  <c r="BO208" i="1"/>
  <c r="N212" i="1"/>
  <c r="BO31" i="1"/>
  <c r="N240" i="1"/>
  <c r="N83" i="1"/>
  <c r="BO424" i="1"/>
  <c r="N35" i="1"/>
  <c r="N374" i="1"/>
  <c r="N188" i="1"/>
  <c r="BO65" i="1"/>
  <c r="N323" i="1"/>
  <c r="BO261" i="1"/>
  <c r="CR197" i="1"/>
  <c r="BO377" i="1"/>
  <c r="BO398" i="1"/>
  <c r="BO295" i="1"/>
  <c r="BO232" i="1"/>
  <c r="N338" i="1"/>
  <c r="BO83" i="1"/>
  <c r="CR211" i="1"/>
  <c r="CR198" i="1"/>
  <c r="CR182" i="1"/>
  <c r="N177" i="1"/>
  <c r="CR247" i="1"/>
  <c r="N376" i="1"/>
  <c r="BO238" i="1"/>
  <c r="N295" i="1"/>
  <c r="BO197" i="1"/>
  <c r="CR191" i="1"/>
  <c r="BO86" i="1"/>
  <c r="N36" i="1"/>
  <c r="BO368" i="1"/>
  <c r="BO401" i="1"/>
  <c r="CR317" i="1"/>
  <c r="N371" i="1"/>
  <c r="BO220" i="1"/>
  <c r="N260" i="1"/>
  <c r="BO246" i="1"/>
  <c r="N359" i="1"/>
  <c r="BO361" i="1"/>
  <c r="BO200" i="1"/>
  <c r="N195" i="1"/>
  <c r="BO80" i="1"/>
  <c r="CR268" i="1"/>
  <c r="BO177" i="1"/>
  <c r="BO324" i="1"/>
  <c r="BO23" i="1"/>
  <c r="CR289" i="1"/>
  <c r="N199" i="1"/>
  <c r="N37" i="1"/>
  <c r="BO316" i="1"/>
  <c r="CR241" i="1"/>
  <c r="BO268" i="1"/>
  <c r="BO375" i="1"/>
  <c r="BO217" i="1"/>
  <c r="CR200" i="1"/>
  <c r="N80" i="1"/>
  <c r="N275" i="1"/>
  <c r="BO38" i="1"/>
  <c r="N20" i="1"/>
  <c r="BO33" i="1"/>
  <c r="N357" i="1"/>
  <c r="N356" i="1"/>
  <c r="N222" i="1"/>
  <c r="BO185" i="1"/>
  <c r="BO355" i="1"/>
  <c r="BO224" i="1"/>
  <c r="BO337" i="1"/>
  <c r="BO349" i="1"/>
  <c r="BO240" i="1"/>
  <c r="BO34" i="1"/>
  <c r="BO267" i="1"/>
  <c r="N241" i="1"/>
  <c r="CR282" i="1"/>
  <c r="N248" i="1"/>
  <c r="N66" i="1"/>
  <c r="BO29" i="1"/>
  <c r="CR316" i="1"/>
  <c r="BO212" i="1"/>
  <c r="N85" i="1"/>
  <c r="BO356" i="1"/>
  <c r="BO218" i="1"/>
  <c r="BO70" i="1"/>
  <c r="CR230" i="1"/>
  <c r="N331" i="1"/>
  <c r="N84" i="1"/>
  <c r="N64" i="1"/>
  <c r="N261" i="1"/>
  <c r="N19" i="1"/>
  <c r="BO186" i="1"/>
  <c r="N82" i="1"/>
  <c r="BO78" i="1"/>
  <c r="BO77" i="1"/>
  <c r="CR324" i="1"/>
  <c r="BO247" i="1"/>
  <c r="N176" i="1"/>
  <c r="N368" i="1"/>
  <c r="BO206" i="1"/>
  <c r="CR196" i="1"/>
  <c r="N296" i="1"/>
  <c r="CR195" i="1"/>
  <c r="N309" i="1"/>
  <c r="CR296" i="1"/>
  <c r="BO248" i="1"/>
  <c r="CR275" i="1"/>
  <c r="BO84" i="1"/>
  <c r="BO35" i="1"/>
  <c r="N81" i="1"/>
  <c r="CR187" i="1"/>
  <c r="N186" i="1"/>
  <c r="CR309" i="1"/>
  <c r="BO81" i="1"/>
  <c r="CR323" i="1"/>
  <c r="N184" i="1"/>
  <c r="BO303" i="1"/>
  <c r="N324" i="1"/>
  <c r="CR209" i="1"/>
  <c r="BO198" i="1"/>
  <c r="CR185" i="1"/>
  <c r="N373" i="1"/>
  <c r="BO66" i="1"/>
  <c r="BO231" i="1"/>
  <c r="N209" i="1"/>
  <c r="CR337" i="1"/>
  <c r="CR331" i="1"/>
  <c r="CR338" i="1"/>
  <c r="N183" i="1"/>
  <c r="BO136" i="1"/>
  <c r="BO150" i="1" s="1"/>
  <c r="BO216" i="1"/>
  <c r="BO39" i="1"/>
  <c r="N310" i="1"/>
  <c r="CR240" i="1"/>
  <c r="N316" i="1"/>
  <c r="BO282" i="1"/>
  <c r="N289" i="1"/>
  <c r="BO210" i="1"/>
  <c r="N182" i="1"/>
  <c r="CR186" i="1"/>
  <c r="N123" i="1"/>
  <c r="N21" i="1"/>
  <c r="N375" i="1"/>
  <c r="N31" i="1"/>
  <c r="BO176" i="1"/>
  <c r="BO67" i="1"/>
  <c r="BO40" i="1"/>
  <c r="BO373" i="1"/>
  <c r="CR267" i="1"/>
  <c r="N282" i="1"/>
  <c r="N211" i="1"/>
  <c r="N198" i="1"/>
  <c r="N17" i="1"/>
  <c r="N190" i="1"/>
  <c r="BO19" i="1"/>
  <c r="BO21" i="1"/>
  <c r="N229" i="1"/>
  <c r="N245" i="1"/>
  <c r="N423" i="1"/>
  <c r="N237" i="1"/>
  <c r="BO27" i="1"/>
  <c r="CR181" i="1"/>
  <c r="CR245" i="1"/>
  <c r="BO423" i="1"/>
  <c r="BO345" i="1"/>
  <c r="BO193" i="1"/>
  <c r="N193" i="1"/>
  <c r="BO74" i="1"/>
  <c r="BO205" i="1"/>
  <c r="BO365" i="1"/>
  <c r="CR193" i="1"/>
  <c r="BO245" i="1"/>
  <c r="N354" i="1"/>
  <c r="CR229" i="1"/>
  <c r="N63" i="1"/>
  <c r="BO181" i="1"/>
  <c r="BO16" i="1"/>
  <c r="N70" i="1"/>
  <c r="N232" i="1"/>
  <c r="CR237" i="1"/>
  <c r="BO229" i="1"/>
  <c r="BO237" i="1"/>
  <c r="BO354" i="1"/>
  <c r="N345" i="1"/>
  <c r="N16" i="1"/>
  <c r="BO420" i="1"/>
  <c r="N420" i="1"/>
  <c r="CR175" i="1"/>
  <c r="N181" i="1"/>
  <c r="BO63" i="1"/>
  <c r="N175" i="1"/>
  <c r="BO175" i="1"/>
  <c r="I35" i="3"/>
  <c r="H35" i="3"/>
  <c r="Q62" i="3" l="1"/>
  <c r="M420" i="1" s="1"/>
  <c r="I15" i="32"/>
  <c r="Q61" i="3"/>
  <c r="H15" i="32"/>
  <c r="Q58" i="3"/>
  <c r="I16" i="1" s="1"/>
  <c r="E15" i="32"/>
  <c r="Q60" i="3"/>
  <c r="G15" i="32"/>
  <c r="Q59" i="3"/>
  <c r="F15" i="32"/>
  <c r="BK136" i="1"/>
  <c r="BK150" i="1" s="1"/>
  <c r="BL136" i="1"/>
  <c r="BL150" i="1" s="1"/>
  <c r="CR178" i="1"/>
  <c r="BO362" i="1"/>
  <c r="CR192" i="1"/>
  <c r="CR201" i="1"/>
  <c r="N249" i="1"/>
  <c r="I34" i="4" s="1"/>
  <c r="BO71" i="1"/>
  <c r="BO201" i="1"/>
  <c r="CR234" i="1"/>
  <c r="N201" i="1"/>
  <c r="BO378" i="1"/>
  <c r="BO225" i="1"/>
  <c r="BO242" i="1"/>
  <c r="BO192" i="1"/>
  <c r="CR249" i="1"/>
  <c r="BO41" i="1"/>
  <c r="BN136" i="1"/>
  <c r="BN150" i="1" s="1"/>
  <c r="N134" i="1"/>
  <c r="N24" i="1"/>
  <c r="N192" i="1"/>
  <c r="BO24" i="1"/>
  <c r="BO134" i="1"/>
  <c r="I294" i="4"/>
  <c r="N234" i="1"/>
  <c r="I32" i="4" s="1"/>
  <c r="D35" i="3"/>
  <c r="BO249" i="1"/>
  <c r="BO87" i="1"/>
  <c r="BM136" i="1"/>
  <c r="BM150" i="1" s="1"/>
  <c r="BO178" i="1"/>
  <c r="I24" i="4"/>
  <c r="I91" i="4"/>
  <c r="N71" i="1"/>
  <c r="N362" i="1"/>
  <c r="BO215" i="1"/>
  <c r="I278" i="4"/>
  <c r="N178" i="1"/>
  <c r="BO234" i="1"/>
  <c r="BL376" i="1" l="1"/>
  <c r="K401" i="1"/>
  <c r="I420" i="1"/>
  <c r="E4" i="31" s="1"/>
  <c r="E9" i="31" s="1"/>
  <c r="C12" i="35" s="1"/>
  <c r="C24" i="35" s="1"/>
  <c r="I401" i="1"/>
  <c r="L233" i="1"/>
  <c r="H75" i="31" s="1"/>
  <c r="L401" i="1"/>
  <c r="J356" i="1"/>
  <c r="F107" i="31" s="1"/>
  <c r="J401" i="1"/>
  <c r="M81" i="1"/>
  <c r="M401" i="1"/>
  <c r="M423" i="1"/>
  <c r="I10" i="31" s="1"/>
  <c r="CP268" i="1"/>
  <c r="BM372" i="1"/>
  <c r="BM77" i="1"/>
  <c r="CP245" i="1"/>
  <c r="BM23" i="1"/>
  <c r="BM74" i="1"/>
  <c r="L122" i="1"/>
  <c r="L211" i="1"/>
  <c r="H55" i="31" s="1"/>
  <c r="BM211" i="1"/>
  <c r="L194" i="1"/>
  <c r="H39" i="31" s="1"/>
  <c r="BM34" i="1"/>
  <c r="G5" i="6" s="1"/>
  <c r="L70" i="1"/>
  <c r="H206" i="31" s="1"/>
  <c r="BM338" i="1"/>
  <c r="CP186" i="1"/>
  <c r="BM175" i="1"/>
  <c r="BM230" i="1"/>
  <c r="G25" i="6" s="1"/>
  <c r="L197" i="1"/>
  <c r="H42" i="31" s="1"/>
  <c r="CP175" i="1"/>
  <c r="BM310" i="1"/>
  <c r="BM200" i="1"/>
  <c r="L423" i="1"/>
  <c r="H10" i="31" s="1"/>
  <c r="L345" i="1"/>
  <c r="CP296" i="1"/>
  <c r="L317" i="1"/>
  <c r="BM69" i="1"/>
  <c r="BM354" i="1"/>
  <c r="BM229" i="1"/>
  <c r="BM337" i="1"/>
  <c r="CP230" i="1"/>
  <c r="BM359" i="1"/>
  <c r="CP237" i="1"/>
  <c r="L31" i="1"/>
  <c r="L354" i="1"/>
  <c r="H105" i="31" s="1"/>
  <c r="BM423" i="1"/>
  <c r="BM86" i="1"/>
  <c r="CP323" i="1"/>
  <c r="BM268" i="1"/>
  <c r="L181" i="1"/>
  <c r="H26" i="31" s="1"/>
  <c r="BM365" i="1"/>
  <c r="L206" i="1"/>
  <c r="H49" i="31" s="1"/>
  <c r="L368" i="1"/>
  <c r="H117" i="31" s="1"/>
  <c r="L21" i="1"/>
  <c r="H168" i="31" s="1"/>
  <c r="L274" i="1"/>
  <c r="L330" i="1"/>
  <c r="BM420" i="1"/>
  <c r="BM181" i="1"/>
  <c r="L245" i="1"/>
  <c r="H82" i="31" s="1"/>
  <c r="BM216" i="1"/>
  <c r="L232" i="1"/>
  <c r="H74" i="31" s="1"/>
  <c r="L36" i="1"/>
  <c r="H179" i="31" s="1"/>
  <c r="L34" i="1"/>
  <c r="H177" i="31" s="1"/>
  <c r="BM32" i="1"/>
  <c r="L349" i="1"/>
  <c r="BM64" i="1"/>
  <c r="BM241" i="1"/>
  <c r="BM224" i="1"/>
  <c r="L65" i="1"/>
  <c r="H201" i="31" s="1"/>
  <c r="CP185" i="1"/>
  <c r="BM19" i="1"/>
  <c r="L63" i="1"/>
  <c r="H199" i="31" s="1"/>
  <c r="BM63" i="1"/>
  <c r="BM16" i="1"/>
  <c r="CP193" i="1"/>
  <c r="BM35" i="1"/>
  <c r="BM368" i="1"/>
  <c r="L289" i="1"/>
  <c r="BM239" i="1"/>
  <c r="L183" i="1"/>
  <c r="H28" i="31" s="1"/>
  <c r="L356" i="1"/>
  <c r="H107" i="31" s="1"/>
  <c r="L81" i="1"/>
  <c r="H214" i="31" s="1"/>
  <c r="BM176" i="1"/>
  <c r="BM85" i="1"/>
  <c r="BM346" i="1"/>
  <c r="L16" i="1"/>
  <c r="H163" i="31" s="1"/>
  <c r="CP181" i="1"/>
  <c r="L193" i="1"/>
  <c r="H38" i="31" s="1"/>
  <c r="L229" i="1"/>
  <c r="H71" i="31" s="1"/>
  <c r="L237" i="1"/>
  <c r="H77" i="31" s="1"/>
  <c r="BM207" i="1"/>
  <c r="L209" i="1"/>
  <c r="H53" i="31" s="1"/>
  <c r="BM375" i="1"/>
  <c r="L17" i="1"/>
  <c r="H164" i="31" s="1"/>
  <c r="BM361" i="1"/>
  <c r="CP191" i="1"/>
  <c r="CP183" i="1"/>
  <c r="BM190" i="1"/>
  <c r="BM182" i="1"/>
  <c r="L420" i="1"/>
  <c r="H5" i="31" s="1"/>
  <c r="H9" i="31" s="1"/>
  <c r="F12" i="35" s="1"/>
  <c r="BM237" i="1"/>
  <c r="BM371" i="1"/>
  <c r="G21" i="6" s="1"/>
  <c r="BM193" i="1"/>
  <c r="BM80" i="1"/>
  <c r="G6" i="6" s="1"/>
  <c r="L187" i="1"/>
  <c r="H32" i="31" s="1"/>
  <c r="CP261" i="1"/>
  <c r="L196" i="1"/>
  <c r="H41" i="31" s="1"/>
  <c r="L231" i="1"/>
  <c r="H73" i="31" s="1"/>
  <c r="L303" i="1"/>
  <c r="L372" i="1"/>
  <c r="H121" i="31" s="1"/>
  <c r="L39" i="1"/>
  <c r="H182" i="31" s="1"/>
  <c r="BM83" i="1"/>
  <c r="L176" i="1"/>
  <c r="H22" i="31" s="1"/>
  <c r="L175" i="1"/>
  <c r="H18" i="31" s="1"/>
  <c r="H20" i="31" s="1"/>
  <c r="BM205" i="1"/>
  <c r="BM345" i="1"/>
  <c r="CP229" i="1"/>
  <c r="BM245" i="1"/>
  <c r="BM231" i="1"/>
  <c r="G26" i="6" s="1"/>
  <c r="L220" i="1"/>
  <c r="H64" i="31" s="1"/>
  <c r="CP295" i="1"/>
  <c r="CP246" i="1"/>
  <c r="BM17" i="1"/>
  <c r="L30" i="1"/>
  <c r="BM76" i="1"/>
  <c r="BM195" i="1"/>
  <c r="BM36" i="1"/>
  <c r="L37" i="1"/>
  <c r="H180" i="31" s="1"/>
  <c r="L355" i="1"/>
  <c r="H106" i="31" s="1"/>
  <c r="BM240" i="1"/>
  <c r="BM295" i="1"/>
  <c r="BM122" i="1"/>
  <c r="L316" i="1"/>
  <c r="L296" i="1"/>
  <c r="L123" i="1"/>
  <c r="H243" i="31" s="1"/>
  <c r="L260" i="1"/>
  <c r="L200" i="1"/>
  <c r="H45" i="31" s="1"/>
  <c r="CP197" i="1"/>
  <c r="L359" i="1"/>
  <c r="H110" i="31" s="1"/>
  <c r="BM217" i="1"/>
  <c r="L22" i="1"/>
  <c r="H169" i="31" s="1"/>
  <c r="BM212" i="1"/>
  <c r="CP189" i="1"/>
  <c r="L77" i="1"/>
  <c r="CP248" i="1"/>
  <c r="BM186" i="1"/>
  <c r="CP177" i="1"/>
  <c r="BM302" i="1"/>
  <c r="BM398" i="1"/>
  <c r="BM68" i="1"/>
  <c r="CP223" i="1"/>
  <c r="L360" i="1"/>
  <c r="H111" i="31" s="1"/>
  <c r="BM267" i="1"/>
  <c r="CP289" i="1"/>
  <c r="CP196" i="1"/>
  <c r="L19" i="1"/>
  <c r="H166" i="31" s="1"/>
  <c r="L18" i="1"/>
  <c r="H165" i="31" s="1"/>
  <c r="BM20" i="1"/>
  <c r="BM210" i="1"/>
  <c r="L184" i="1"/>
  <c r="H29" i="31" s="1"/>
  <c r="CP310" i="1"/>
  <c r="L82" i="1"/>
  <c r="H215" i="31" s="1"/>
  <c r="BM82" i="1"/>
  <c r="BM324" i="1"/>
  <c r="BM281" i="1"/>
  <c r="BM360" i="1"/>
  <c r="CP176" i="1"/>
  <c r="BM66" i="1"/>
  <c r="CP190" i="1"/>
  <c r="BM316" i="1"/>
  <c r="BM28" i="1"/>
  <c r="BM81" i="1"/>
  <c r="BM206" i="1"/>
  <c r="BM222" i="1"/>
  <c r="G23" i="6" s="1"/>
  <c r="BM187" i="1"/>
  <c r="CP317" i="1"/>
  <c r="L222" i="1"/>
  <c r="H66" i="31" s="1"/>
  <c r="L358" i="1"/>
  <c r="H109" i="31" s="1"/>
  <c r="L84" i="1"/>
  <c r="H217" i="31" s="1"/>
  <c r="L69" i="1"/>
  <c r="H205" i="31" s="1"/>
  <c r="L199" i="1"/>
  <c r="H44" i="31" s="1"/>
  <c r="BM274" i="1"/>
  <c r="CP231" i="1"/>
  <c r="M229" i="1"/>
  <c r="I71" i="31" s="1"/>
  <c r="M358" i="1"/>
  <c r="I109" i="31" s="1"/>
  <c r="CQ310" i="1"/>
  <c r="BN219" i="1"/>
  <c r="CP303" i="1"/>
  <c r="BM289" i="1"/>
  <c r="BM358" i="1"/>
  <c r="L85" i="1"/>
  <c r="H218" i="31" s="1"/>
  <c r="L374" i="1"/>
  <c r="H123" i="31" s="1"/>
  <c r="BM357" i="1"/>
  <c r="CP222" i="1"/>
  <c r="L182" i="1"/>
  <c r="H27" i="31" s="1"/>
  <c r="CP211" i="1"/>
  <c r="L230" i="1"/>
  <c r="H72" i="31" s="1"/>
  <c r="BM40" i="1"/>
  <c r="BM223" i="1"/>
  <c r="G24" i="6" s="1"/>
  <c r="CP184" i="1"/>
  <c r="L248" i="1"/>
  <c r="H85" i="31" s="1"/>
  <c r="L268" i="1"/>
  <c r="I5" i="31"/>
  <c r="I9" i="31" s="1"/>
  <c r="G12" i="35" s="1"/>
  <c r="G24" i="35" s="1"/>
  <c r="M176" i="1"/>
  <c r="I22" i="31" s="1"/>
  <c r="BN34" i="1"/>
  <c r="H5" i="6" s="1"/>
  <c r="M191" i="1"/>
  <c r="I36" i="31" s="1"/>
  <c r="BN372" i="1"/>
  <c r="M240" i="1"/>
  <c r="I79" i="31" s="1"/>
  <c r="CQ338" i="1"/>
  <c r="L38" i="1"/>
  <c r="H181" i="31" s="1"/>
  <c r="L35" i="1"/>
  <c r="H178" i="31" s="1"/>
  <c r="L198" i="1"/>
  <c r="H43" i="31" s="1"/>
  <c r="CP199" i="1"/>
  <c r="BM366" i="1"/>
  <c r="BM39" i="1"/>
  <c r="CP281" i="1"/>
  <c r="BM317" i="1"/>
  <c r="BM79" i="1"/>
  <c r="BM196" i="1"/>
  <c r="BM233" i="1"/>
  <c r="L373" i="1"/>
  <c r="H122" i="31" s="1"/>
  <c r="BM261" i="1"/>
  <c r="BM356" i="1"/>
  <c r="BM30" i="1"/>
  <c r="BM309" i="1"/>
  <c r="BM188" i="1"/>
  <c r="BM370" i="1"/>
  <c r="L185" i="1"/>
  <c r="H30" i="31" s="1"/>
  <c r="BM67" i="1"/>
  <c r="BM219" i="1"/>
  <c r="BM247" i="1"/>
  <c r="L240" i="1"/>
  <c r="H79" i="31" s="1"/>
  <c r="BM198" i="1"/>
  <c r="BM376" i="1"/>
  <c r="CP338" i="1"/>
  <c r="L238" i="1"/>
  <c r="H78" i="31" s="1"/>
  <c r="CP316" i="1"/>
  <c r="L189" i="1"/>
  <c r="H34" i="31" s="1"/>
  <c r="BM221" i="1"/>
  <c r="CP187" i="1"/>
  <c r="L23" i="1"/>
  <c r="H170" i="31" s="1"/>
  <c r="L246" i="1"/>
  <c r="H83" i="31" s="1"/>
  <c r="BM65" i="1"/>
  <c r="L247" i="1"/>
  <c r="H84" i="31" s="1"/>
  <c r="CP182" i="1"/>
  <c r="BM177" i="1"/>
  <c r="BM75" i="1"/>
  <c r="L376" i="1"/>
  <c r="H125" i="31" s="1"/>
  <c r="BM349" i="1"/>
  <c r="L241" i="1"/>
  <c r="H80" i="31" s="1"/>
  <c r="CP233" i="1"/>
  <c r="CP275" i="1"/>
  <c r="L310" i="1"/>
  <c r="L323" i="1"/>
  <c r="CP331" i="1"/>
  <c r="BM373" i="1"/>
  <c r="L331" i="1"/>
  <c r="BM183" i="1"/>
  <c r="L80" i="1"/>
  <c r="H213" i="31" s="1"/>
  <c r="BM260" i="1"/>
  <c r="L281" i="1"/>
  <c r="L64" i="1"/>
  <c r="H200" i="31" s="1"/>
  <c r="BM248" i="1"/>
  <c r="BM401" i="1"/>
  <c r="L68" i="1"/>
  <c r="H204" i="31" s="1"/>
  <c r="BM123" i="1"/>
  <c r="BM296" i="1"/>
  <c r="L191" i="1"/>
  <c r="H36" i="31" s="1"/>
  <c r="BM185" i="1"/>
  <c r="CP209" i="1"/>
  <c r="CP324" i="1"/>
  <c r="BM184" i="1"/>
  <c r="L195" i="1"/>
  <c r="H40" i="31" s="1"/>
  <c r="BM37" i="1"/>
  <c r="BM288" i="1"/>
  <c r="L267" i="1"/>
  <c r="BM238" i="1"/>
  <c r="BM369" i="1"/>
  <c r="L66" i="1"/>
  <c r="H202" i="31" s="1"/>
  <c r="L375" i="1"/>
  <c r="H124" i="31" s="1"/>
  <c r="L371" i="1"/>
  <c r="H120" i="31" s="1"/>
  <c r="BM367" i="1"/>
  <c r="L186" i="1"/>
  <c r="H31" i="31" s="1"/>
  <c r="CP238" i="1"/>
  <c r="BM218" i="1"/>
  <c r="L261" i="1"/>
  <c r="L337" i="1"/>
  <c r="L295" i="1"/>
  <c r="BM209" i="1"/>
  <c r="CP274" i="1"/>
  <c r="BM377" i="1"/>
  <c r="BM374" i="1"/>
  <c r="BM197" i="1"/>
  <c r="BM199" i="1"/>
  <c r="BM70" i="1"/>
  <c r="L20" i="1"/>
  <c r="H167" i="31" s="1"/>
  <c r="L83" i="1"/>
  <c r="H216" i="31" s="1"/>
  <c r="BM29" i="1"/>
  <c r="L338" i="1"/>
  <c r="BM194" i="1"/>
  <c r="BM213" i="1"/>
  <c r="BM282" i="1"/>
  <c r="BM208" i="1"/>
  <c r="CP288" i="1"/>
  <c r="CP241" i="1"/>
  <c r="L288" i="1"/>
  <c r="BM331" i="1"/>
  <c r="CP282" i="1"/>
  <c r="BM303" i="1"/>
  <c r="L212" i="1"/>
  <c r="H56" i="31" s="1"/>
  <c r="CP220" i="1"/>
  <c r="L282" i="1"/>
  <c r="CP260" i="1"/>
  <c r="BM246" i="1"/>
  <c r="BM220" i="1"/>
  <c r="BM31" i="1"/>
  <c r="M354" i="1"/>
  <c r="I105" i="31" s="1"/>
  <c r="BN295" i="1"/>
  <c r="M316" i="1"/>
  <c r="BN31" i="1"/>
  <c r="M63" i="1"/>
  <c r="I199" i="31" s="1"/>
  <c r="BN345" i="1"/>
  <c r="BN210" i="1"/>
  <c r="M22" i="1"/>
  <c r="I169" i="31" s="1"/>
  <c r="BN20" i="1"/>
  <c r="M181" i="1"/>
  <c r="I26" i="31" s="1"/>
  <c r="M245" i="1"/>
  <c r="I82" i="31" s="1"/>
  <c r="I214" i="31"/>
  <c r="BN32" i="1"/>
  <c r="BN36" i="1"/>
  <c r="CQ230" i="1"/>
  <c r="CQ175" i="1"/>
  <c r="BN63" i="1"/>
  <c r="M84" i="1"/>
  <c r="I217" i="31" s="1"/>
  <c r="BN240" i="1"/>
  <c r="M188" i="1"/>
  <c r="I33" i="31" s="1"/>
  <c r="BN38" i="1"/>
  <c r="BN420" i="1"/>
  <c r="CQ229" i="1"/>
  <c r="BN376" i="1"/>
  <c r="CQ302" i="1"/>
  <c r="M122" i="1"/>
  <c r="BJ74" i="1"/>
  <c r="BN354" i="1"/>
  <c r="BN27" i="1"/>
  <c r="CQ182" i="1"/>
  <c r="BN195" i="1"/>
  <c r="M324" i="1"/>
  <c r="BM275" i="1"/>
  <c r="L188" i="1"/>
  <c r="H33" i="31" s="1"/>
  <c r="CP232" i="1"/>
  <c r="CP194" i="1"/>
  <c r="CP267" i="1"/>
  <c r="BM355" i="1"/>
  <c r="BM33" i="1"/>
  <c r="CP337" i="1"/>
  <c r="BM424" i="1"/>
  <c r="BM18" i="1"/>
  <c r="BM38" i="1"/>
  <c r="CP198" i="1"/>
  <c r="CP195" i="1"/>
  <c r="CP309" i="1"/>
  <c r="BM323" i="1"/>
  <c r="L67" i="1"/>
  <c r="H203" i="31" s="1"/>
  <c r="CP206" i="1"/>
  <c r="BM27" i="1"/>
  <c r="L177" i="1"/>
  <c r="H23" i="31" s="1"/>
  <c r="L275" i="1"/>
  <c r="L361" i="1"/>
  <c r="H112" i="31" s="1"/>
  <c r="L223" i="1"/>
  <c r="H67" i="31" s="1"/>
  <c r="CP302" i="1"/>
  <c r="BM189" i="1"/>
  <c r="L324" i="1"/>
  <c r="CP240" i="1"/>
  <c r="BN289" i="1"/>
  <c r="M175" i="1"/>
  <c r="I18" i="31" s="1"/>
  <c r="I20" i="31" s="1"/>
  <c r="M70" i="1"/>
  <c r="I206" i="31" s="1"/>
  <c r="BN205" i="1"/>
  <c r="BN245" i="1"/>
  <c r="BN220" i="1"/>
  <c r="M303" i="1"/>
  <c r="BN21" i="1"/>
  <c r="CQ185" i="1"/>
  <c r="M309" i="1"/>
  <c r="BN86" i="1"/>
  <c r="M355" i="1"/>
  <c r="I106" i="31" s="1"/>
  <c r="BN175" i="1"/>
  <c r="BN16" i="1"/>
  <c r="M193" i="1"/>
  <c r="I38" i="31" s="1"/>
  <c r="BN230" i="1"/>
  <c r="H25" i="6" s="1"/>
  <c r="CQ211" i="1"/>
  <c r="BN359" i="1"/>
  <c r="CQ189" i="1"/>
  <c r="CQ330" i="1"/>
  <c r="CQ288" i="1"/>
  <c r="M211" i="1"/>
  <c r="I55" i="31" s="1"/>
  <c r="BN223" i="1"/>
  <c r="H24" i="6" s="1"/>
  <c r="M16" i="1"/>
  <c r="I163" i="31" s="1"/>
  <c r="BN371" i="1"/>
  <c r="H21" i="6" s="1"/>
  <c r="BN216" i="1"/>
  <c r="BN231" i="1"/>
  <c r="H26" i="6" s="1"/>
  <c r="BN370" i="1"/>
  <c r="CQ268" i="1"/>
  <c r="M238" i="1"/>
  <c r="I78" i="31" s="1"/>
  <c r="BN122" i="1"/>
  <c r="M189" i="1"/>
  <c r="I34" i="31" s="1"/>
  <c r="CQ220" i="1"/>
  <c r="BN229" i="1"/>
  <c r="BN35" i="1"/>
  <c r="M232" i="1"/>
  <c r="I74" i="31" s="1"/>
  <c r="CQ193" i="1"/>
  <c r="BN198" i="1"/>
  <c r="CQ194" i="1"/>
  <c r="BN76" i="1"/>
  <c r="CQ200" i="1"/>
  <c r="BN357" i="1"/>
  <c r="CQ232" i="1"/>
  <c r="BN83" i="1"/>
  <c r="BM330" i="1"/>
  <c r="BM232" i="1"/>
  <c r="BM22" i="1"/>
  <c r="L302" i="1"/>
  <c r="L190" i="1"/>
  <c r="H35" i="31" s="1"/>
  <c r="CP200" i="1"/>
  <c r="BM84" i="1"/>
  <c r="CP247" i="1"/>
  <c r="BM78" i="1"/>
  <c r="L357" i="1"/>
  <c r="H108" i="31" s="1"/>
  <c r="BM21" i="1"/>
  <c r="CP330" i="1"/>
  <c r="BM214" i="1"/>
  <c r="CP212" i="1"/>
  <c r="CP188" i="1"/>
  <c r="BM191" i="1"/>
  <c r="L309" i="1"/>
  <c r="BJ261" i="1"/>
  <c r="CQ237" i="1"/>
  <c r="M345" i="1"/>
  <c r="BN237" i="1"/>
  <c r="BN74" i="1"/>
  <c r="CQ245" i="1"/>
  <c r="CQ241" i="1"/>
  <c r="BN358" i="1"/>
  <c r="BN374" i="1"/>
  <c r="M195" i="1"/>
  <c r="I40" i="31" s="1"/>
  <c r="BN323" i="1"/>
  <c r="BN369" i="1"/>
  <c r="CQ296" i="1"/>
  <c r="CQ309" i="1"/>
  <c r="BN189" i="1"/>
  <c r="BN212" i="1"/>
  <c r="BN398" i="1"/>
  <c r="BN373" i="1"/>
  <c r="BN213" i="1"/>
  <c r="M376" i="1"/>
  <c r="I125" i="31" s="1"/>
  <c r="M20" i="1"/>
  <c r="I167" i="31" s="1"/>
  <c r="BN248" i="1"/>
  <c r="CQ196" i="1"/>
  <c r="BN23" i="1"/>
  <c r="BN224" i="1"/>
  <c r="BN338" i="1"/>
  <c r="BN377" i="1"/>
  <c r="BN79" i="1"/>
  <c r="BN368" i="1"/>
  <c r="CQ275" i="1"/>
  <c r="BN401" i="1"/>
  <c r="I81" i="1"/>
  <c r="E214" i="31" s="1"/>
  <c r="BJ17" i="1"/>
  <c r="CQ181" i="1"/>
  <c r="BN423" i="1"/>
  <c r="BN193" i="1"/>
  <c r="BN37" i="1"/>
  <c r="BN75" i="1"/>
  <c r="BN267" i="1"/>
  <c r="CQ295" i="1"/>
  <c r="CQ282" i="1"/>
  <c r="M82" i="1"/>
  <c r="I215" i="31" s="1"/>
  <c r="M275" i="1"/>
  <c r="CQ316" i="1"/>
  <c r="M194" i="1"/>
  <c r="I39" i="31" s="1"/>
  <c r="M21" i="1"/>
  <c r="I168" i="31" s="1"/>
  <c r="BN191" i="1"/>
  <c r="BN238" i="1"/>
  <c r="M220" i="1"/>
  <c r="I64" i="31" s="1"/>
  <c r="BN181" i="1"/>
  <c r="M237" i="1"/>
  <c r="I77" i="31" s="1"/>
  <c r="CQ261" i="1"/>
  <c r="BN196" i="1"/>
  <c r="BN67" i="1"/>
  <c r="M296" i="1"/>
  <c r="M282" i="1"/>
  <c r="BN218" i="1"/>
  <c r="M373" i="1"/>
  <c r="I122" i="31" s="1"/>
  <c r="M337" i="1"/>
  <c r="BN186" i="1"/>
  <c r="BN197" i="1"/>
  <c r="BN68" i="1"/>
  <c r="M231" i="1"/>
  <c r="I73" i="31" s="1"/>
  <c r="BN187" i="1"/>
  <c r="BJ373" i="1"/>
  <c r="I83" i="1"/>
  <c r="E216" i="31" s="1"/>
  <c r="BJ295" i="1"/>
  <c r="BJ239" i="1"/>
  <c r="CM240" i="1"/>
  <c r="BJ220" i="1"/>
  <c r="CM331" i="1"/>
  <c r="BJ39" i="1"/>
  <c r="BJ211" i="1"/>
  <c r="BN22" i="1"/>
  <c r="BN366" i="1"/>
  <c r="BN316" i="1"/>
  <c r="M36" i="1"/>
  <c r="I179" i="31" s="1"/>
  <c r="BN64" i="1"/>
  <c r="M241" i="1"/>
  <c r="I80" i="31" s="1"/>
  <c r="CQ186" i="1"/>
  <c r="CQ260" i="1"/>
  <c r="M184" i="1"/>
  <c r="I29" i="31" s="1"/>
  <c r="I371" i="1"/>
  <c r="E120" i="31" s="1"/>
  <c r="BJ245" i="1"/>
  <c r="I194" i="1"/>
  <c r="E39" i="31" s="1"/>
  <c r="I69" i="1"/>
  <c r="E205" i="31" s="1"/>
  <c r="I197" i="1"/>
  <c r="E42" i="31" s="1"/>
  <c r="BJ330" i="1"/>
  <c r="I295" i="1"/>
  <c r="CM310" i="1"/>
  <c r="CM289" i="1"/>
  <c r="M186" i="1"/>
  <c r="I31" i="31" s="1"/>
  <c r="BN331" i="1"/>
  <c r="M289" i="1"/>
  <c r="BN324" i="1"/>
  <c r="BN288" i="1"/>
  <c r="M197" i="1"/>
  <c r="I42" i="31" s="1"/>
  <c r="BN39" i="1"/>
  <c r="M223" i="1"/>
  <c r="I67" i="31" s="1"/>
  <c r="CQ187" i="1"/>
  <c r="BN365" i="1"/>
  <c r="M268" i="1"/>
  <c r="BN66" i="1"/>
  <c r="BJ183" i="1"/>
  <c r="BJ303" i="1"/>
  <c r="I30" i="1"/>
  <c r="I211" i="1"/>
  <c r="E55" i="31" s="1"/>
  <c r="I22" i="1"/>
  <c r="E169" i="31" s="1"/>
  <c r="I357" i="1"/>
  <c r="E108" i="31" s="1"/>
  <c r="CM209" i="1"/>
  <c r="CM260" i="1"/>
  <c r="CQ188" i="1"/>
  <c r="M37" i="1"/>
  <c r="I180" i="31" s="1"/>
  <c r="BN355" i="1"/>
  <c r="BN206" i="1"/>
  <c r="M206" i="1"/>
  <c r="I49" i="31" s="1"/>
  <c r="CQ317" i="1"/>
  <c r="M17" i="1"/>
  <c r="I164" i="31" s="1"/>
  <c r="CQ274" i="1"/>
  <c r="BN233" i="1"/>
  <c r="M31" i="1"/>
  <c r="M19" i="1"/>
  <c r="I166" i="31" s="1"/>
  <c r="I345" i="1"/>
  <c r="BJ345" i="1"/>
  <c r="BJ37" i="1"/>
  <c r="I212" i="1"/>
  <c r="E56" i="31" s="1"/>
  <c r="BJ194" i="1"/>
  <c r="BJ376" i="1"/>
  <c r="I35" i="1"/>
  <c r="E178" i="31" s="1"/>
  <c r="CM281" i="1"/>
  <c r="BN361" i="1"/>
  <c r="BN85" i="1"/>
  <c r="BN310" i="1"/>
  <c r="CQ212" i="1"/>
  <c r="BN69" i="1"/>
  <c r="M34" i="1"/>
  <c r="I177" i="31" s="1"/>
  <c r="BN77" i="1"/>
  <c r="BJ81" i="1"/>
  <c r="BJ197" i="1"/>
  <c r="BJ31" i="1"/>
  <c r="I34" i="1"/>
  <c r="E177" i="31" s="1"/>
  <c r="I68" i="1"/>
  <c r="E204" i="31" s="1"/>
  <c r="BJ30" i="1"/>
  <c r="BJ199" i="1"/>
  <c r="CM282" i="1"/>
  <c r="BJ35" i="1"/>
  <c r="BJ267" i="1"/>
  <c r="BJ248" i="1"/>
  <c r="I317" i="1"/>
  <c r="BJ208" i="1"/>
  <c r="BJ316" i="1"/>
  <c r="CM197" i="1"/>
  <c r="CM241" i="1"/>
  <c r="M85" i="1"/>
  <c r="I218" i="31" s="1"/>
  <c r="M330" i="1"/>
  <c r="BN309" i="1"/>
  <c r="CQ190" i="1"/>
  <c r="BN209" i="1"/>
  <c r="CQ199" i="1"/>
  <c r="BN40" i="1"/>
  <c r="BN317" i="1"/>
  <c r="BN211" i="1"/>
  <c r="BN337" i="1"/>
  <c r="BN177" i="1"/>
  <c r="M356" i="1"/>
  <c r="I107" i="31" s="1"/>
  <c r="M246" i="1"/>
  <c r="I83" i="31" s="1"/>
  <c r="BJ229" i="1"/>
  <c r="BJ193" i="1"/>
  <c r="BJ323" i="1"/>
  <c r="BJ83" i="1"/>
  <c r="BJ377" i="1"/>
  <c r="BJ359" i="1"/>
  <c r="CM188" i="1"/>
  <c r="CM288" i="1"/>
  <c r="M359" i="1"/>
  <c r="I110" i="31" s="1"/>
  <c r="M196" i="1"/>
  <c r="I41" i="31" s="1"/>
  <c r="M64" i="1"/>
  <c r="I200" i="31" s="1"/>
  <c r="M77" i="1"/>
  <c r="BN185" i="1"/>
  <c r="BN78" i="1"/>
  <c r="M199" i="1"/>
  <c r="I44" i="31" s="1"/>
  <c r="BN217" i="1"/>
  <c r="BN303" i="1"/>
  <c r="M323" i="1"/>
  <c r="M317" i="1"/>
  <c r="M80" i="1"/>
  <c r="I213" i="31" s="1"/>
  <c r="BN346" i="1"/>
  <c r="CQ267" i="1"/>
  <c r="M67" i="1"/>
  <c r="I203" i="31" s="1"/>
  <c r="M302" i="1"/>
  <c r="BN222" i="1"/>
  <c r="H23" i="6" s="1"/>
  <c r="M295" i="1"/>
  <c r="BN183" i="1"/>
  <c r="M222" i="1"/>
  <c r="I66" i="31" s="1"/>
  <c r="CQ197" i="1"/>
  <c r="BN188" i="1"/>
  <c r="M209" i="1"/>
  <c r="I53" i="31" s="1"/>
  <c r="CQ248" i="1"/>
  <c r="M371" i="1"/>
  <c r="I120" i="31" s="1"/>
  <c r="CQ195" i="1"/>
  <c r="M310" i="1"/>
  <c r="CQ337" i="1"/>
  <c r="BN356" i="1"/>
  <c r="CQ238" i="1"/>
  <c r="BN123" i="1"/>
  <c r="BN81" i="1"/>
  <c r="M288" i="1"/>
  <c r="BN302" i="1"/>
  <c r="BN241" i="1"/>
  <c r="BN176" i="1"/>
  <c r="M267" i="1"/>
  <c r="BN208" i="1"/>
  <c r="M374" i="1"/>
  <c r="I123" i="31" s="1"/>
  <c r="M260" i="1"/>
  <c r="BN349" i="1"/>
  <c r="BN199" i="1"/>
  <c r="BN80" i="1"/>
  <c r="H6" i="6" s="1"/>
  <c r="BN375" i="1"/>
  <c r="CQ177" i="1"/>
  <c r="BN19" i="1"/>
  <c r="CQ183" i="1"/>
  <c r="M190" i="1"/>
  <c r="I35" i="31" s="1"/>
  <c r="BN424" i="1"/>
  <c r="CM175" i="1"/>
  <c r="BJ317" i="1"/>
  <c r="BJ181" i="1"/>
  <c r="BJ217" i="1"/>
  <c r="I184" i="1"/>
  <c r="E29" i="31" s="1"/>
  <c r="I189" i="1"/>
  <c r="E34" i="31" s="1"/>
  <c r="BJ75" i="1"/>
  <c r="I375" i="1"/>
  <c r="E124" i="31" s="1"/>
  <c r="BJ22" i="1"/>
  <c r="BJ184" i="1"/>
  <c r="I21" i="1"/>
  <c r="E168" i="31" s="1"/>
  <c r="BJ186" i="1"/>
  <c r="BJ176" i="1"/>
  <c r="BJ247" i="1"/>
  <c r="I187" i="1"/>
  <c r="E32" i="31" s="1"/>
  <c r="BJ374" i="1"/>
  <c r="CM248" i="1"/>
  <c r="CM247" i="1"/>
  <c r="CM223" i="1"/>
  <c r="CM222" i="1"/>
  <c r="I245" i="1"/>
  <c r="E82" i="31" s="1"/>
  <c r="I373" i="1"/>
  <c r="E122" i="31" s="1"/>
  <c r="BJ365" i="1"/>
  <c r="BJ357" i="1"/>
  <c r="I282" i="1"/>
  <c r="I65" i="1"/>
  <c r="E201" i="31" s="1"/>
  <c r="I309" i="1"/>
  <c r="I359" i="1"/>
  <c r="E110" i="31" s="1"/>
  <c r="I233" i="1"/>
  <c r="E75" i="31" s="1"/>
  <c r="BJ349" i="1"/>
  <c r="BJ238" i="1"/>
  <c r="BJ219" i="1"/>
  <c r="BJ40" i="1"/>
  <c r="BJ182" i="1"/>
  <c r="I376" i="1"/>
  <c r="E125" i="31" s="1"/>
  <c r="I39" i="1"/>
  <c r="E182" i="31" s="1"/>
  <c r="I17" i="1"/>
  <c r="E164" i="31" s="1"/>
  <c r="CM199" i="1"/>
  <c r="CM194" i="1"/>
  <c r="CM268" i="1"/>
  <c r="CM196" i="1"/>
  <c r="CM181" i="1"/>
  <c r="BJ246" i="1"/>
  <c r="BJ222" i="1"/>
  <c r="D23" i="6" s="1"/>
  <c r="I274" i="1"/>
  <c r="BJ241" i="1"/>
  <c r="BJ196" i="1"/>
  <c r="I231" i="1"/>
  <c r="E73" i="31" s="1"/>
  <c r="I200" i="1"/>
  <c r="E45" i="31" s="1"/>
  <c r="I338" i="1"/>
  <c r="BJ324" i="1"/>
  <c r="BJ346" i="1"/>
  <c r="BJ185" i="1"/>
  <c r="BJ310" i="1"/>
  <c r="I220" i="1"/>
  <c r="E64" i="31" s="1"/>
  <c r="I188" i="1"/>
  <c r="E33" i="31" s="1"/>
  <c r="BJ275" i="1"/>
  <c r="BJ29" i="1"/>
  <c r="CM323" i="1"/>
  <c r="CM212" i="1"/>
  <c r="CM274" i="1"/>
  <c r="CM233" i="1"/>
  <c r="BJ354" i="1"/>
  <c r="I77" i="1"/>
  <c r="BJ370" i="1"/>
  <c r="BJ331" i="1"/>
  <c r="BJ233" i="1"/>
  <c r="I122" i="1"/>
  <c r="BJ212" i="1"/>
  <c r="BJ18" i="1"/>
  <c r="BJ78" i="1"/>
  <c r="BJ355" i="1"/>
  <c r="I288" i="1"/>
  <c r="I368" i="1"/>
  <c r="E117" i="31" s="1"/>
  <c r="BJ337" i="1"/>
  <c r="I316" i="1"/>
  <c r="I296" i="1"/>
  <c r="BJ214" i="1"/>
  <c r="BJ209" i="1"/>
  <c r="CM185" i="1"/>
  <c r="CM337" i="1"/>
  <c r="CM206" i="1"/>
  <c r="CM220" i="1"/>
  <c r="E163" i="31"/>
  <c r="I237" i="1"/>
  <c r="E77" i="31" s="1"/>
  <c r="BJ274" i="1"/>
  <c r="BJ224" i="1"/>
  <c r="I246" i="1"/>
  <c r="E83" i="31" s="1"/>
  <c r="BJ230" i="1"/>
  <c r="D25" i="6" s="1"/>
  <c r="I423" i="1"/>
  <c r="E10" i="31" s="1"/>
  <c r="BJ231" i="1"/>
  <c r="D26" i="6" s="1"/>
  <c r="I358" i="1"/>
  <c r="E109" i="31" s="1"/>
  <c r="BJ177" i="1"/>
  <c r="I18" i="1"/>
  <c r="E165" i="31" s="1"/>
  <c r="I80" i="1"/>
  <c r="E213" i="31" s="1"/>
  <c r="BJ19" i="1"/>
  <c r="BJ189" i="1"/>
  <c r="BJ207" i="1"/>
  <c r="BJ191" i="1"/>
  <c r="BJ77" i="1"/>
  <c r="BJ218" i="1"/>
  <c r="I183" i="1"/>
  <c r="E28" i="31" s="1"/>
  <c r="CM261" i="1"/>
  <c r="CM324" i="1"/>
  <c r="M38" i="1"/>
  <c r="I181" i="31" s="1"/>
  <c r="BN221" i="1"/>
  <c r="BN29" i="1"/>
  <c r="BN190" i="1"/>
  <c r="BN65" i="1"/>
  <c r="BN275" i="1"/>
  <c r="M247" i="1"/>
  <c r="I84" i="31" s="1"/>
  <c r="M360" i="1"/>
  <c r="I111" i="31" s="1"/>
  <c r="BN246" i="1"/>
  <c r="M200" i="1"/>
  <c r="I45" i="31" s="1"/>
  <c r="CQ289" i="1"/>
  <c r="BN33" i="1"/>
  <c r="BN200" i="1"/>
  <c r="BN82" i="1"/>
  <c r="BN182" i="1"/>
  <c r="M18" i="1"/>
  <c r="I165" i="31" s="1"/>
  <c r="M261" i="1"/>
  <c r="M182" i="1"/>
  <c r="I27" i="31" s="1"/>
  <c r="BN330" i="1"/>
  <c r="CQ240" i="1"/>
  <c r="CQ324" i="1"/>
  <c r="M177" i="1"/>
  <c r="I23" i="31" s="1"/>
  <c r="M185" i="1"/>
  <c r="I30" i="31" s="1"/>
  <c r="BN247" i="1"/>
  <c r="M183" i="1"/>
  <c r="I28" i="31" s="1"/>
  <c r="CQ223" i="1"/>
  <c r="M30" i="1"/>
  <c r="M281" i="1"/>
  <c r="BN367" i="1"/>
  <c r="CQ233" i="1"/>
  <c r="CQ246" i="1"/>
  <c r="CQ209" i="1"/>
  <c r="BN296" i="1"/>
  <c r="M248" i="1"/>
  <c r="I85" i="31" s="1"/>
  <c r="CQ303" i="1"/>
  <c r="M331" i="1"/>
  <c r="M68" i="1"/>
  <c r="I204" i="31" s="1"/>
  <c r="M123" i="1"/>
  <c r="I243" i="31" s="1"/>
  <c r="M39" i="1"/>
  <c r="I182" i="31" s="1"/>
  <c r="M69" i="1"/>
  <c r="I205" i="31" s="1"/>
  <c r="M187" i="1"/>
  <c r="I32" i="31" s="1"/>
  <c r="CQ281" i="1"/>
  <c r="M66" i="1"/>
  <c r="I202" i="31" s="1"/>
  <c r="BN30" i="1"/>
  <c r="M375" i="1"/>
  <c r="I124" i="31" s="1"/>
  <c r="BN84" i="1"/>
  <c r="CQ323" i="1"/>
  <c r="BN268" i="1"/>
  <c r="BN28" i="1"/>
  <c r="BN232" i="1"/>
  <c r="BN239" i="1"/>
  <c r="M198" i="1"/>
  <c r="I43" i="31" s="1"/>
  <c r="CQ176" i="1"/>
  <c r="M23" i="1"/>
  <c r="I170" i="31" s="1"/>
  <c r="M230" i="1"/>
  <c r="I72" i="31" s="1"/>
  <c r="M372" i="1"/>
  <c r="I121" i="31" s="1"/>
  <c r="BN360" i="1"/>
  <c r="CQ247" i="1"/>
  <c r="M35" i="1"/>
  <c r="I178" i="31" s="1"/>
  <c r="M65" i="1"/>
  <c r="I201" i="31" s="1"/>
  <c r="BN282" i="1"/>
  <c r="BN260" i="1"/>
  <c r="BN70" i="1"/>
  <c r="M338" i="1"/>
  <c r="BN261" i="1"/>
  <c r="CQ198" i="1"/>
  <c r="M274" i="1"/>
  <c r="M349" i="1"/>
  <c r="M368" i="1"/>
  <c r="I117" i="31" s="1"/>
  <c r="BN17" i="1"/>
  <c r="BN194" i="1"/>
  <c r="CQ222" i="1"/>
  <c r="BN184" i="1"/>
  <c r="BN274" i="1"/>
  <c r="BN207" i="1"/>
  <c r="BJ205" i="1"/>
  <c r="BJ420" i="1"/>
  <c r="I70" i="1"/>
  <c r="E206" i="31" s="1"/>
  <c r="I223" i="1"/>
  <c r="E67" i="31" s="1"/>
  <c r="I361" i="1"/>
  <c r="E112" i="31" s="1"/>
  <c r="BJ80" i="1"/>
  <c r="D6" i="6" s="1"/>
  <c r="BJ206" i="1"/>
  <c r="I182" i="1"/>
  <c r="E27" i="31" s="1"/>
  <c r="BJ223" i="1"/>
  <c r="D24" i="6" s="1"/>
  <c r="BJ188" i="1"/>
  <c r="BJ195" i="1"/>
  <c r="I374" i="1"/>
  <c r="E123" i="31" s="1"/>
  <c r="BJ369" i="1"/>
  <c r="BJ122" i="1"/>
  <c r="BJ401" i="1"/>
  <c r="I206" i="1"/>
  <c r="E49" i="31" s="1"/>
  <c r="I281" i="1"/>
  <c r="BJ65" i="1"/>
  <c r="BJ69" i="1"/>
  <c r="I241" i="1"/>
  <c r="E80" i="31" s="1"/>
  <c r="BJ64" i="1"/>
  <c r="I191" i="1"/>
  <c r="E36" i="31" s="1"/>
  <c r="I31" i="1"/>
  <c r="I36" i="1"/>
  <c r="E179" i="31" s="1"/>
  <c r="BJ190" i="1"/>
  <c r="BJ232" i="1"/>
  <c r="BJ213" i="1"/>
  <c r="BJ424" i="1"/>
  <c r="I185" i="1"/>
  <c r="E30" i="31" s="1"/>
  <c r="I123" i="1"/>
  <c r="E243" i="31" s="1"/>
  <c r="BJ82" i="1"/>
  <c r="BJ289" i="1"/>
  <c r="BJ368" i="1"/>
  <c r="BJ356" i="1"/>
  <c r="CM317" i="1"/>
  <c r="CM187" i="1"/>
  <c r="CM195" i="1"/>
  <c r="CM191" i="1"/>
  <c r="CM182" i="1"/>
  <c r="CM176" i="1"/>
  <c r="CM230" i="1"/>
  <c r="CM275" i="1"/>
  <c r="BJ175" i="1"/>
  <c r="BJ16" i="1"/>
  <c r="CM237" i="1"/>
  <c r="BJ366" i="1"/>
  <c r="I331" i="1"/>
  <c r="BJ371" i="1"/>
  <c r="D21" i="6" s="1"/>
  <c r="I84" i="1"/>
  <c r="E217" i="31" s="1"/>
  <c r="BJ84" i="1"/>
  <c r="BJ79" i="1"/>
  <c r="I310" i="1"/>
  <c r="I209" i="1"/>
  <c r="E53" i="31" s="1"/>
  <c r="BJ28" i="1"/>
  <c r="BJ63" i="1"/>
  <c r="I324" i="1"/>
  <c r="BJ282" i="1"/>
  <c r="BJ33" i="1"/>
  <c r="I330" i="1"/>
  <c r="BJ36" i="1"/>
  <c r="BJ76" i="1"/>
  <c r="I260" i="1"/>
  <c r="BJ423" i="1"/>
  <c r="BJ367" i="1"/>
  <c r="BJ66" i="1"/>
  <c r="I199" i="1"/>
  <c r="E44" i="31" s="1"/>
  <c r="BJ38" i="1"/>
  <c r="I238" i="1"/>
  <c r="E78" i="31" s="1"/>
  <c r="BJ221" i="1"/>
  <c r="BJ288" i="1"/>
  <c r="I247" i="1"/>
  <c r="E84" i="31" s="1"/>
  <c r="I230" i="1"/>
  <c r="E72" i="31" s="1"/>
  <c r="CM245" i="1"/>
  <c r="I275" i="1"/>
  <c r="I20" i="1"/>
  <c r="E167" i="31" s="1"/>
  <c r="I186" i="1"/>
  <c r="E31" i="31" s="1"/>
  <c r="I360" i="1"/>
  <c r="E111" i="31" s="1"/>
  <c r="CM238" i="1"/>
  <c r="CM302" i="1"/>
  <c r="CM296" i="1"/>
  <c r="CM232" i="1"/>
  <c r="CM184" i="1"/>
  <c r="CM211" i="1"/>
  <c r="CM231" i="1"/>
  <c r="I181" i="1"/>
  <c r="E26" i="31" s="1"/>
  <c r="BJ27" i="1"/>
  <c r="I354" i="1"/>
  <c r="E105" i="31" s="1"/>
  <c r="BJ70" i="1"/>
  <c r="I176" i="1"/>
  <c r="E22" i="31" s="1"/>
  <c r="CM193" i="1"/>
  <c r="I303" i="1"/>
  <c r="BJ302" i="1"/>
  <c r="I23" i="1"/>
  <c r="E170" i="31" s="1"/>
  <c r="BJ240" i="1"/>
  <c r="BJ237" i="1"/>
  <c r="BJ200" i="1"/>
  <c r="I229" i="1"/>
  <c r="E71" i="31" s="1"/>
  <c r="BJ198" i="1"/>
  <c r="BJ32" i="1"/>
  <c r="BJ85" i="1"/>
  <c r="I261" i="1"/>
  <c r="BJ23" i="1"/>
  <c r="BJ260" i="1"/>
  <c r="I190" i="1"/>
  <c r="E35" i="31" s="1"/>
  <c r="CM229" i="1"/>
  <c r="I289" i="1"/>
  <c r="BJ187" i="1"/>
  <c r="I66" i="1"/>
  <c r="E202" i="31" s="1"/>
  <c r="BJ361" i="1"/>
  <c r="I64" i="1"/>
  <c r="E200" i="31" s="1"/>
  <c r="I248" i="1"/>
  <c r="E85" i="31" s="1"/>
  <c r="I323" i="1"/>
  <c r="BJ338" i="1"/>
  <c r="BJ375" i="1"/>
  <c r="BJ309" i="1"/>
  <c r="I195" i="1"/>
  <c r="E40" i="31" s="1"/>
  <c r="I222" i="1"/>
  <c r="E66" i="31" s="1"/>
  <c r="I372" i="1"/>
  <c r="E121" i="31" s="1"/>
  <c r="BJ67" i="1"/>
  <c r="CM183" i="1"/>
  <c r="CM295" i="1"/>
  <c r="CM267" i="1"/>
  <c r="CM200" i="1"/>
  <c r="CM177" i="1"/>
  <c r="CM186" i="1"/>
  <c r="CM198" i="1"/>
  <c r="I175" i="1"/>
  <c r="I63" i="1"/>
  <c r="E199" i="31" s="1"/>
  <c r="BJ372" i="1"/>
  <c r="BJ86" i="1"/>
  <c r="BJ210" i="1"/>
  <c r="BJ216" i="1"/>
  <c r="I196" i="1"/>
  <c r="E41" i="31" s="1"/>
  <c r="I38" i="1"/>
  <c r="E181" i="31" s="1"/>
  <c r="BJ358" i="1"/>
  <c r="I349" i="1"/>
  <c r="I232" i="1"/>
  <c r="E74" i="31" s="1"/>
  <c r="BJ21" i="1"/>
  <c r="I193" i="1"/>
  <c r="E38" i="31" s="1"/>
  <c r="I356" i="1"/>
  <c r="E107" i="31" s="1"/>
  <c r="I240" i="1"/>
  <c r="E79" i="31" s="1"/>
  <c r="BJ123" i="1"/>
  <c r="I355" i="1"/>
  <c r="E106" i="31" s="1"/>
  <c r="I85" i="1"/>
  <c r="E218" i="31" s="1"/>
  <c r="I337" i="1"/>
  <c r="BJ398" i="1"/>
  <c r="I177" i="1"/>
  <c r="E23" i="31" s="1"/>
  <c r="I37" i="1"/>
  <c r="E180" i="31" s="1"/>
  <c r="I302" i="1"/>
  <c r="BJ360" i="1"/>
  <c r="I198" i="1"/>
  <c r="E43" i="31" s="1"/>
  <c r="I19" i="1"/>
  <c r="E166" i="31" s="1"/>
  <c r="BJ268" i="1"/>
  <c r="I268" i="1"/>
  <c r="I67" i="1"/>
  <c r="E203" i="31" s="1"/>
  <c r="BJ296" i="1"/>
  <c r="BJ281" i="1"/>
  <c r="I82" i="1"/>
  <c r="E215" i="31" s="1"/>
  <c r="I267" i="1"/>
  <c r="BJ68" i="1"/>
  <c r="BJ20" i="1"/>
  <c r="CM189" i="1"/>
  <c r="CM330" i="1"/>
  <c r="CM309" i="1"/>
  <c r="CM190" i="1"/>
  <c r="CM303" i="1"/>
  <c r="CM316" i="1"/>
  <c r="CM338" i="1"/>
  <c r="J36" i="1"/>
  <c r="F179" i="31" s="1"/>
  <c r="J81" i="1"/>
  <c r="F214" i="31" s="1"/>
  <c r="CN338" i="1"/>
  <c r="J368" i="1"/>
  <c r="F117" i="31" s="1"/>
  <c r="CN295" i="1"/>
  <c r="BK200" i="1"/>
  <c r="CN190" i="1"/>
  <c r="J122" i="1"/>
  <c r="J316" i="1"/>
  <c r="CN296" i="1"/>
  <c r="J64" i="1"/>
  <c r="F200" i="31" s="1"/>
  <c r="BK275" i="1"/>
  <c r="BK303" i="1"/>
  <c r="BK17" i="1"/>
  <c r="J349" i="1"/>
  <c r="BK83" i="1"/>
  <c r="J67" i="1"/>
  <c r="F203" i="31" s="1"/>
  <c r="BK214" i="1"/>
  <c r="J361" i="1"/>
  <c r="F112" i="31" s="1"/>
  <c r="J198" i="1"/>
  <c r="F43" i="31" s="1"/>
  <c r="J261" i="1"/>
  <c r="BK35" i="1"/>
  <c r="CN212" i="1"/>
  <c r="BK221" i="1"/>
  <c r="BK223" i="1"/>
  <c r="E24" i="6" s="1"/>
  <c r="J232" i="1"/>
  <c r="F74" i="31" s="1"/>
  <c r="BK191" i="1"/>
  <c r="J16" i="1"/>
  <c r="F163" i="31" s="1"/>
  <c r="BK176" i="1"/>
  <c r="CN193" i="1"/>
  <c r="CN177" i="1"/>
  <c r="J199" i="1"/>
  <c r="F44" i="31" s="1"/>
  <c r="BK302" i="1"/>
  <c r="BK240" i="1"/>
  <c r="M357" i="1"/>
  <c r="I108" i="31" s="1"/>
  <c r="M83" i="1"/>
  <c r="I216" i="31" s="1"/>
  <c r="CQ206" i="1"/>
  <c r="CN230" i="1"/>
  <c r="BK123" i="1"/>
  <c r="BK19" i="1"/>
  <c r="J360" i="1"/>
  <c r="F111" i="31" s="1"/>
  <c r="BK230" i="1"/>
  <c r="E25" i="6" s="1"/>
  <c r="BK195" i="1"/>
  <c r="CN220" i="1"/>
  <c r="BK316" i="1"/>
  <c r="J212" i="1"/>
  <c r="F56" i="31" s="1"/>
  <c r="J229" i="1"/>
  <c r="F71" i="31" s="1"/>
  <c r="J175" i="1"/>
  <c r="F18" i="31" s="1"/>
  <c r="F20" i="31" s="1"/>
  <c r="BK368" i="1"/>
  <c r="BK367" i="1"/>
  <c r="CN302" i="1"/>
  <c r="CN241" i="1"/>
  <c r="J337" i="1"/>
  <c r="BK68" i="1"/>
  <c r="J195" i="1"/>
  <c r="F40" i="31" s="1"/>
  <c r="BK67" i="1"/>
  <c r="J31" i="1"/>
  <c r="BK337" i="1"/>
  <c r="BK357" i="1"/>
  <c r="J69" i="1"/>
  <c r="F205" i="31" s="1"/>
  <c r="BK423" i="1"/>
  <c r="CN274" i="1"/>
  <c r="CN267" i="1"/>
  <c r="BN281" i="1"/>
  <c r="CQ184" i="1"/>
  <c r="CQ331" i="1"/>
  <c r="CQ191" i="1"/>
  <c r="BN214" i="1"/>
  <c r="BK36" i="1"/>
  <c r="CN316" i="1"/>
  <c r="J281" i="1"/>
  <c r="J310" i="1"/>
  <c r="J191" i="1"/>
  <c r="F36" i="31" s="1"/>
  <c r="J38" i="1"/>
  <c r="F181" i="31" s="1"/>
  <c r="CN194" i="1"/>
  <c r="J82" i="1"/>
  <c r="F215" i="31" s="1"/>
  <c r="J18" i="1"/>
  <c r="F165" i="31" s="1"/>
  <c r="J70" i="1"/>
  <c r="F206" i="31" s="1"/>
  <c r="BK370" i="1"/>
  <c r="BK358" i="1"/>
  <c r="J184" i="1"/>
  <c r="F29" i="31" s="1"/>
  <c r="CN303" i="1"/>
  <c r="J231" i="1"/>
  <c r="F73" i="31" s="1"/>
  <c r="BK32" i="1"/>
  <c r="BK70" i="1"/>
  <c r="BK289" i="1"/>
  <c r="BK37" i="1"/>
  <c r="J196" i="1"/>
  <c r="F41" i="31" s="1"/>
  <c r="CN237" i="1"/>
  <c r="J357" i="1"/>
  <c r="F108" i="31" s="1"/>
  <c r="M233" i="1"/>
  <c r="I75" i="31" s="1"/>
  <c r="BN18" i="1"/>
  <c r="CQ231" i="1"/>
  <c r="M212" i="1"/>
  <c r="I56" i="31" s="1"/>
  <c r="M361" i="1"/>
  <c r="I112" i="31" s="1"/>
  <c r="BK190" i="1"/>
  <c r="BK122" i="1"/>
  <c r="CN248" i="1"/>
  <c r="BK310" i="1"/>
  <c r="BK69" i="1"/>
  <c r="J330" i="1"/>
  <c r="J324" i="1"/>
  <c r="BK338" i="1"/>
  <c r="CN206" i="1"/>
  <c r="BK231" i="1"/>
  <c r="E26" i="6" s="1"/>
  <c r="BK63" i="1"/>
  <c r="J296" i="1"/>
  <c r="BK18" i="1"/>
  <c r="BK212" i="1"/>
  <c r="BK31" i="1"/>
  <c r="J187" i="1"/>
  <c r="F32" i="31" s="1"/>
  <c r="BK77" i="1"/>
  <c r="CN268" i="1"/>
  <c r="CN246" i="1"/>
  <c r="BK309" i="1"/>
  <c r="J77" i="1"/>
  <c r="CN223" i="1"/>
  <c r="BK75" i="1"/>
  <c r="J176" i="1"/>
  <c r="F22" i="31" s="1"/>
  <c r="BK208" i="1"/>
  <c r="BK296" i="1"/>
  <c r="BK184" i="1"/>
  <c r="CN181" i="1"/>
  <c r="J371" i="1"/>
  <c r="F120" i="31" s="1"/>
  <c r="CN184" i="1"/>
  <c r="BK82" i="1"/>
  <c r="BK360" i="1"/>
  <c r="J323" i="1"/>
  <c r="BK317" i="1"/>
  <c r="J268" i="1"/>
  <c r="J222" i="1"/>
  <c r="F66" i="31" s="1"/>
  <c r="CN310" i="1"/>
  <c r="CN337" i="1"/>
  <c r="J193" i="1"/>
  <c r="F38" i="31" s="1"/>
  <c r="J230" i="1"/>
  <c r="F72" i="31" s="1"/>
  <c r="BK188" i="1"/>
  <c r="BK34" i="1"/>
  <c r="E5" i="6" s="1"/>
  <c r="J359" i="1"/>
  <c r="F110" i="31" s="1"/>
  <c r="BK361" i="1"/>
  <c r="BK373" i="1"/>
  <c r="BK86" i="1"/>
  <c r="BK369" i="1"/>
  <c r="CN186" i="1"/>
  <c r="CN209" i="1"/>
  <c r="BK78" i="1"/>
  <c r="BK29" i="1"/>
  <c r="BK30" i="1"/>
  <c r="J197" i="1"/>
  <c r="F42" i="31" s="1"/>
  <c r="CN233" i="1"/>
  <c r="BK219" i="1"/>
  <c r="BK177" i="1"/>
  <c r="J206" i="1"/>
  <c r="F49" i="31" s="1"/>
  <c r="BK372" i="1"/>
  <c r="CN288" i="1"/>
  <c r="BK199" i="1"/>
  <c r="BK197" i="1"/>
  <c r="BK359" i="1"/>
  <c r="BK345" i="1"/>
  <c r="BK40" i="1"/>
  <c r="BK376" i="1"/>
  <c r="BK218" i="1"/>
  <c r="BK355" i="1"/>
  <c r="CN187" i="1"/>
  <c r="CN196" i="1"/>
  <c r="BK20" i="1"/>
  <c r="BK22" i="1"/>
  <c r="BK210" i="1"/>
  <c r="CN232" i="1"/>
  <c r="BK330" i="1"/>
  <c r="BK233" i="1"/>
  <c r="BK39" i="1"/>
  <c r="J238" i="1"/>
  <c r="F78" i="31" s="1"/>
  <c r="J345" i="1"/>
  <c r="CN323" i="1"/>
  <c r="BK268" i="1"/>
  <c r="BK224" i="1"/>
  <c r="BK206" i="1"/>
  <c r="BK205" i="1"/>
  <c r="J245" i="1"/>
  <c r="F82" i="31" s="1"/>
  <c r="BK260" i="1"/>
  <c r="CN222" i="1"/>
  <c r="CN275" i="1"/>
  <c r="BK33" i="1"/>
  <c r="J373" i="1"/>
  <c r="F122" i="31" s="1"/>
  <c r="J189" i="1"/>
  <c r="F34" i="31" s="1"/>
  <c r="CN331" i="1"/>
  <c r="BK239" i="1"/>
  <c r="BK216" i="1"/>
  <c r="J186" i="1"/>
  <c r="F31" i="31" s="1"/>
  <c r="BK281" i="1"/>
  <c r="J288" i="1"/>
  <c r="J63" i="1"/>
  <c r="F199" i="31" s="1"/>
  <c r="CN182" i="1"/>
  <c r="J372" i="1"/>
  <c r="F121" i="31" s="1"/>
  <c r="CN188" i="1"/>
  <c r="BK401" i="1"/>
  <c r="CN317" i="1"/>
  <c r="BK420" i="1"/>
  <c r="BK274" i="1"/>
  <c r="BK247" i="1"/>
  <c r="BK74" i="1"/>
  <c r="J309" i="1"/>
  <c r="J289" i="1"/>
  <c r="J241" i="1"/>
  <c r="F80" i="31" s="1"/>
  <c r="BK241" i="1"/>
  <c r="CN211" i="1"/>
  <c r="CN324" i="1"/>
  <c r="BK398" i="1"/>
  <c r="J30" i="1"/>
  <c r="BK76" i="1"/>
  <c r="BK64" i="1"/>
  <c r="CN261" i="1"/>
  <c r="J188" i="1"/>
  <c r="F33" i="31" s="1"/>
  <c r="BK222" i="1"/>
  <c r="E23" i="6" s="1"/>
  <c r="J354" i="1"/>
  <c r="F105" i="31" s="1"/>
  <c r="J22" i="1"/>
  <c r="F169" i="31" s="1"/>
  <c r="J282" i="1"/>
  <c r="BK220" i="1"/>
  <c r="CN309" i="1"/>
  <c r="J233" i="1"/>
  <c r="F75" i="31" s="1"/>
  <c r="J181" i="1"/>
  <c r="F26" i="31" s="1"/>
  <c r="J37" i="1"/>
  <c r="F180" i="31" s="1"/>
  <c r="CN247" i="1"/>
  <c r="BK16" i="1"/>
  <c r="CN183" i="1"/>
  <c r="BK232" i="1"/>
  <c r="J17" i="1"/>
  <c r="F164" i="31" s="1"/>
  <c r="J20" i="1"/>
  <c r="F167" i="31" s="1"/>
  <c r="J338" i="1"/>
  <c r="CN189" i="1"/>
  <c r="BK207" i="1"/>
  <c r="J247" i="1"/>
  <c r="F84" i="31" s="1"/>
  <c r="BK324" i="1"/>
  <c r="J295" i="1"/>
  <c r="CN185" i="1"/>
  <c r="BK217" i="1"/>
  <c r="J248" i="1"/>
  <c r="F85" i="31" s="1"/>
  <c r="CN289" i="1"/>
  <c r="BK81" i="1"/>
  <c r="BK245" i="1"/>
  <c r="J246" i="1"/>
  <c r="F83" i="31" s="1"/>
  <c r="J35" i="1"/>
  <c r="F178" i="31" s="1"/>
  <c r="BK85" i="1"/>
  <c r="J200" i="1"/>
  <c r="F45" i="31" s="1"/>
  <c r="BK365" i="1"/>
  <c r="BK375" i="1"/>
  <c r="J185" i="1"/>
  <c r="F30" i="31" s="1"/>
  <c r="J303" i="1"/>
  <c r="J358" i="1"/>
  <c r="F109" i="31" s="1"/>
  <c r="BK187" i="1"/>
  <c r="J66" i="1"/>
  <c r="F202" i="31" s="1"/>
  <c r="BK189" i="1"/>
  <c r="CN199" i="1"/>
  <c r="BK374" i="1"/>
  <c r="BK246" i="1"/>
  <c r="BK346" i="1"/>
  <c r="J275" i="1"/>
  <c r="J211" i="1"/>
  <c r="F55" i="31" s="1"/>
  <c r="BK267" i="1"/>
  <c r="BK229" i="1"/>
  <c r="J420" i="1"/>
  <c r="F5" i="31" s="1"/>
  <c r="F9" i="31" s="1"/>
  <c r="D12" i="35" s="1"/>
  <c r="D24" i="35" s="1"/>
  <c r="CN238" i="1"/>
  <c r="J267" i="1"/>
  <c r="BK331" i="1"/>
  <c r="CN330" i="1"/>
  <c r="BK193" i="1"/>
  <c r="J302" i="1"/>
  <c r="J375" i="1"/>
  <c r="F124" i="31" s="1"/>
  <c r="CN198" i="1"/>
  <c r="BK248" i="1"/>
  <c r="BK211" i="1"/>
  <c r="J21" i="1"/>
  <c r="F168" i="31" s="1"/>
  <c r="BK366" i="1"/>
  <c r="J223" i="1"/>
  <c r="F67" i="31" s="1"/>
  <c r="CN200" i="1"/>
  <c r="J23" i="1"/>
  <c r="F170" i="31" s="1"/>
  <c r="BK28" i="1"/>
  <c r="BK185" i="1"/>
  <c r="CN195" i="1"/>
  <c r="J183" i="1"/>
  <c r="F28" i="31" s="1"/>
  <c r="J423" i="1"/>
  <c r="F10" i="31" s="1"/>
  <c r="BK175" i="1"/>
  <c r="J85" i="1"/>
  <c r="F218" i="31" s="1"/>
  <c r="J68" i="1"/>
  <c r="F204" i="31" s="1"/>
  <c r="BK238" i="1"/>
  <c r="J240" i="1"/>
  <c r="F79" i="31" s="1"/>
  <c r="J237" i="1"/>
  <c r="F77" i="31" s="1"/>
  <c r="CN176" i="1"/>
  <c r="BK288" i="1"/>
  <c r="BK282" i="1"/>
  <c r="J274" i="1"/>
  <c r="BK371" i="1"/>
  <c r="E21" i="6" s="1"/>
  <c r="BK66" i="1"/>
  <c r="J83" i="1"/>
  <c r="F216" i="31" s="1"/>
  <c r="J123" i="1"/>
  <c r="F243" i="31" s="1"/>
  <c r="CN175" i="1"/>
  <c r="BK23" i="1"/>
  <c r="J84" i="1"/>
  <c r="F217" i="31" s="1"/>
  <c r="J355" i="1"/>
  <c r="F106" i="31" s="1"/>
  <c r="BK196" i="1"/>
  <c r="BK65" i="1"/>
  <c r="J220" i="1"/>
  <c r="F64" i="31" s="1"/>
  <c r="BK194" i="1"/>
  <c r="BK213" i="1"/>
  <c r="CN229" i="1"/>
  <c r="BK209" i="1"/>
  <c r="BK38" i="1"/>
  <c r="J374" i="1"/>
  <c r="F123" i="31" s="1"/>
  <c r="J260" i="1"/>
  <c r="CN260" i="1"/>
  <c r="BK181" i="1"/>
  <c r="BK424" i="1"/>
  <c r="J331" i="1"/>
  <c r="BK295" i="1"/>
  <c r="J376" i="1"/>
  <c r="F125" i="31" s="1"/>
  <c r="BK323" i="1"/>
  <c r="BK261" i="1"/>
  <c r="CN231" i="1"/>
  <c r="BK79" i="1"/>
  <c r="BL74" i="1"/>
  <c r="BK21" i="1"/>
  <c r="CN281" i="1"/>
  <c r="K191" i="1"/>
  <c r="G36" i="31" s="1"/>
  <c r="CN240" i="1"/>
  <c r="BK377" i="1"/>
  <c r="K37" i="1"/>
  <c r="G180" i="31" s="1"/>
  <c r="BK186" i="1"/>
  <c r="J39" i="1"/>
  <c r="F182" i="31" s="1"/>
  <c r="K371" i="1"/>
  <c r="G120" i="31" s="1"/>
  <c r="BK349" i="1"/>
  <c r="BK354" i="1"/>
  <c r="CN197" i="1"/>
  <c r="BK84" i="1"/>
  <c r="J34" i="1"/>
  <c r="F177" i="31" s="1"/>
  <c r="J80" i="1"/>
  <c r="F213" i="31" s="1"/>
  <c r="J317" i="1"/>
  <c r="BL200" i="1"/>
  <c r="BK198" i="1"/>
  <c r="BK237" i="1"/>
  <c r="J182" i="1"/>
  <c r="F27" i="31" s="1"/>
  <c r="K337" i="1"/>
  <c r="BL81" i="1"/>
  <c r="CO317" i="1"/>
  <c r="BL282" i="1"/>
  <c r="J194" i="1"/>
  <c r="F39" i="31" s="1"/>
  <c r="CO324" i="1"/>
  <c r="BL232" i="1"/>
  <c r="K80" i="1"/>
  <c r="G213" i="31" s="1"/>
  <c r="BL22" i="1"/>
  <c r="K82" i="1"/>
  <c r="G215" i="31" s="1"/>
  <c r="BL214" i="1"/>
  <c r="J177" i="1"/>
  <c r="F23" i="31" s="1"/>
  <c r="BL323" i="1"/>
  <c r="K423" i="1"/>
  <c r="G10" i="31" s="1"/>
  <c r="BL196" i="1"/>
  <c r="BL84" i="1"/>
  <c r="CO198" i="1"/>
  <c r="BL37" i="1"/>
  <c r="BL330" i="1"/>
  <c r="BL17" i="1"/>
  <c r="CO296" i="1"/>
  <c r="CO274" i="1"/>
  <c r="K19" i="1"/>
  <c r="G166" i="31" s="1"/>
  <c r="J65" i="1"/>
  <c r="F201" i="31" s="1"/>
  <c r="K338" i="1"/>
  <c r="BL32" i="1"/>
  <c r="CO245" i="1"/>
  <c r="CO240" i="1"/>
  <c r="J190" i="1"/>
  <c r="F35" i="31" s="1"/>
  <c r="CN282" i="1"/>
  <c r="K31" i="1"/>
  <c r="CO191" i="1"/>
  <c r="K16" i="1"/>
  <c r="G163" i="31" s="1"/>
  <c r="BL18" i="1"/>
  <c r="BK80" i="1"/>
  <c r="E6" i="6" s="1"/>
  <c r="K295" i="1"/>
  <c r="K275" i="1"/>
  <c r="K39" i="1"/>
  <c r="G182" i="31" s="1"/>
  <c r="K196" i="1"/>
  <c r="G41" i="31" s="1"/>
  <c r="K375" i="1"/>
  <c r="G124" i="31" s="1"/>
  <c r="CM246" i="1"/>
  <c r="BJ34" i="1"/>
  <c r="D5" i="6" s="1"/>
  <c r="BL188" i="1"/>
  <c r="BK183" i="1"/>
  <c r="J209" i="1"/>
  <c r="F53" i="31" s="1"/>
  <c r="BK182" i="1"/>
  <c r="CN191" i="1"/>
  <c r="BL356" i="1"/>
  <c r="BK356" i="1"/>
  <c r="J19" i="1"/>
  <c r="F166" i="31" s="1"/>
  <c r="CN245" i="1"/>
  <c r="BL177" i="1"/>
  <c r="BL64" i="1"/>
  <c r="K240" i="1"/>
  <c r="G79" i="31" s="1"/>
  <c r="K247" i="1"/>
  <c r="G84" i="31" s="1"/>
  <c r="BL78" i="1"/>
  <c r="K361" i="1"/>
  <c r="G112" i="31" s="1"/>
  <c r="CO233" i="1"/>
  <c r="CO177" i="1"/>
  <c r="BL288" i="1"/>
  <c r="CO186" i="1"/>
  <c r="K232" i="1"/>
  <c r="G74" i="31" s="1"/>
  <c r="K175" i="1"/>
  <c r="G18" i="31" s="1"/>
  <c r="G20" i="31" s="1"/>
  <c r="CO189" i="1"/>
  <c r="BL241" i="1"/>
  <c r="BL373" i="1"/>
  <c r="K324" i="1"/>
  <c r="K309" i="1"/>
  <c r="BL65" i="1"/>
  <c r="K289" i="1"/>
  <c r="BL210" i="1"/>
  <c r="BL423" i="1"/>
  <c r="BL34" i="1"/>
  <c r="F5" i="6" s="1"/>
  <c r="K355" i="1"/>
  <c r="G106" i="31" s="1"/>
  <c r="CO176" i="1"/>
  <c r="CO209" i="1"/>
  <c r="BL302" i="1"/>
  <c r="BL122" i="1"/>
  <c r="BL303" i="1"/>
  <c r="CO184" i="1"/>
  <c r="BL86" i="1"/>
  <c r="CO196" i="1"/>
  <c r="BL181" i="1"/>
  <c r="CO303" i="1"/>
  <c r="BL187" i="1"/>
  <c r="BL275" i="1"/>
  <c r="BL267" i="1"/>
  <c r="K358" i="1"/>
  <c r="G109" i="31" s="1"/>
  <c r="CO223" i="1"/>
  <c r="BL248" i="1"/>
  <c r="K212" i="1"/>
  <c r="G56" i="31" s="1"/>
  <c r="CO268" i="1"/>
  <c r="CO316" i="1"/>
  <c r="K368" i="1"/>
  <c r="G117" i="31" s="1"/>
  <c r="BL346" i="1"/>
  <c r="BL238" i="1"/>
  <c r="CO260" i="1"/>
  <c r="K330" i="1"/>
  <c r="BL309" i="1"/>
  <c r="CO275" i="1"/>
  <c r="BL219" i="1"/>
  <c r="K345" i="1"/>
  <c r="K233" i="1"/>
  <c r="G75" i="31" s="1"/>
  <c r="CO295" i="1"/>
  <c r="BL67" i="1"/>
  <c r="K30" i="1"/>
  <c r="K35" i="1"/>
  <c r="G178" i="31" s="1"/>
  <c r="K206" i="1"/>
  <c r="G49" i="31" s="1"/>
  <c r="K22" i="1"/>
  <c r="G169" i="31" s="1"/>
  <c r="K316" i="1"/>
  <c r="BL35" i="1"/>
  <c r="K181" i="1"/>
  <c r="G26" i="31" s="1"/>
  <c r="K331" i="1"/>
  <c r="BL211" i="1"/>
  <c r="BL195" i="1"/>
  <c r="K220" i="1"/>
  <c r="G64" i="31" s="1"/>
  <c r="CO230" i="1"/>
  <c r="CO323" i="1"/>
  <c r="BL375" i="1"/>
  <c r="BL40" i="1"/>
  <c r="CO309" i="1"/>
  <c r="BL245" i="1"/>
  <c r="BL261" i="1"/>
  <c r="CO289" i="1"/>
  <c r="BL27" i="1"/>
  <c r="CO195" i="1"/>
  <c r="BL21" i="1"/>
  <c r="BL316" i="1"/>
  <c r="K360" i="1"/>
  <c r="G111" i="31" s="1"/>
  <c r="BL369" i="1"/>
  <c r="CO302" i="1"/>
  <c r="K237" i="1"/>
  <c r="G77" i="31" s="1"/>
  <c r="K260" i="1"/>
  <c r="CO310" i="1"/>
  <c r="CO175" i="1"/>
  <c r="BL183" i="1"/>
  <c r="K194" i="1"/>
  <c r="G39" i="31" s="1"/>
  <c r="CO188" i="1"/>
  <c r="BL338" i="1"/>
  <c r="BL85" i="1"/>
  <c r="K65" i="1"/>
  <c r="G201" i="31" s="1"/>
  <c r="K67" i="1"/>
  <c r="G203" i="31" s="1"/>
  <c r="BL233" i="1"/>
  <c r="BL30" i="1"/>
  <c r="BL189" i="1"/>
  <c r="BL222" i="1"/>
  <c r="F23" i="6" s="1"/>
  <c r="BL237" i="1"/>
  <c r="BL207" i="1"/>
  <c r="K182" i="1"/>
  <c r="G27" i="31" s="1"/>
  <c r="K66" i="1"/>
  <c r="G202" i="31" s="1"/>
  <c r="BL377" i="1"/>
  <c r="CO212" i="1"/>
  <c r="BL213" i="1"/>
  <c r="K187" i="1"/>
  <c r="G32" i="31" s="1"/>
  <c r="BL274" i="1"/>
  <c r="K317" i="1"/>
  <c r="BL205" i="1"/>
  <c r="BL23" i="1"/>
  <c r="CO267" i="1"/>
  <c r="K267" i="1"/>
  <c r="K310" i="1"/>
  <c r="K349" i="1"/>
  <c r="K372" i="1"/>
  <c r="G121" i="31" s="1"/>
  <c r="K186" i="1"/>
  <c r="G31" i="31" s="1"/>
  <c r="K85" i="1"/>
  <c r="G218" i="31" s="1"/>
  <c r="BL33" i="1"/>
  <c r="CO187" i="1"/>
  <c r="K229" i="1"/>
  <c r="G71" i="31" s="1"/>
  <c r="BL69" i="1"/>
  <c r="BL31" i="1"/>
  <c r="CO229" i="1"/>
  <c r="BL367" i="1"/>
  <c r="CO282" i="1"/>
  <c r="K261" i="1"/>
  <c r="BL218" i="1"/>
  <c r="CO182" i="1"/>
  <c r="BL184" i="1"/>
  <c r="K420" i="1"/>
  <c r="G5" i="31" s="1"/>
  <c r="G9" i="31" s="1"/>
  <c r="K222" i="1"/>
  <c r="G66" i="31" s="1"/>
  <c r="K356" i="1"/>
  <c r="G107" i="31" s="1"/>
  <c r="K190" i="1"/>
  <c r="G35" i="31" s="1"/>
  <c r="CO330" i="1"/>
  <c r="K69" i="1"/>
  <c r="G205" i="31" s="1"/>
  <c r="BL70" i="1"/>
  <c r="BL360" i="1"/>
  <c r="BL191" i="1"/>
  <c r="BL358" i="1"/>
  <c r="CO190" i="1"/>
  <c r="BL355" i="1"/>
  <c r="BL36" i="1"/>
  <c r="BL345" i="1"/>
  <c r="CO206" i="1"/>
  <c r="BL209" i="1"/>
  <c r="K211" i="1"/>
  <c r="G55" i="31" s="1"/>
  <c r="CO222" i="1"/>
  <c r="K189" i="1"/>
  <c r="G34" i="31" s="1"/>
  <c r="BL186" i="1"/>
  <c r="BL317" i="1"/>
  <c r="BL240" i="1"/>
  <c r="BL223" i="1"/>
  <c r="F24" i="6" s="1"/>
  <c r="CO237" i="1"/>
  <c r="BL194" i="1"/>
  <c r="BL370" i="1"/>
  <c r="BL28" i="1"/>
  <c r="K17" i="1"/>
  <c r="G164" i="31" s="1"/>
  <c r="K21" i="1"/>
  <c r="G168" i="31" s="1"/>
  <c r="K199" i="1"/>
  <c r="G44" i="31" s="1"/>
  <c r="BL212" i="1"/>
  <c r="BL217" i="1"/>
  <c r="CO194" i="1"/>
  <c r="CO331" i="1"/>
  <c r="CO181" i="1"/>
  <c r="BL374" i="1"/>
  <c r="K376" i="1"/>
  <c r="G125" i="31" s="1"/>
  <c r="K63" i="1"/>
  <c r="G199" i="31" s="1"/>
  <c r="BL190" i="1"/>
  <c r="BL424" i="1"/>
  <c r="BL229" i="1"/>
  <c r="CO232" i="1"/>
  <c r="BL63" i="1"/>
  <c r="BL82" i="1"/>
  <c r="K248" i="1"/>
  <c r="G85" i="31" s="1"/>
  <c r="BL176" i="1"/>
  <c r="K177" i="1"/>
  <c r="G23" i="31" s="1"/>
  <c r="BL20" i="1"/>
  <c r="BL221" i="1"/>
  <c r="K195" i="1"/>
  <c r="G40" i="31" s="1"/>
  <c r="BL289" i="1"/>
  <c r="K282" i="1"/>
  <c r="K197" i="1"/>
  <c r="G42" i="31" s="1"/>
  <c r="CO338" i="1"/>
  <c r="BL216" i="1"/>
  <c r="K245" i="1"/>
  <c r="G82" i="31" s="1"/>
  <c r="K122" i="1"/>
  <c r="BL123" i="1"/>
  <c r="K198" i="1"/>
  <c r="G43" i="31" s="1"/>
  <c r="K84" i="1"/>
  <c r="G217" i="31" s="1"/>
  <c r="BL39" i="1"/>
  <c r="CO211" i="1"/>
  <c r="CO200" i="1"/>
  <c r="BL401" i="1"/>
  <c r="BL80" i="1"/>
  <c r="F6" i="6" s="1"/>
  <c r="CO193" i="1"/>
  <c r="K36" i="1"/>
  <c r="G179" i="31" s="1"/>
  <c r="K176" i="1"/>
  <c r="G22" i="31" s="1"/>
  <c r="BL357" i="1"/>
  <c r="BL268" i="1"/>
  <c r="K200" i="1"/>
  <c r="G45" i="31" s="1"/>
  <c r="CO183" i="1"/>
  <c r="K238" i="1"/>
  <c r="G78" i="31" s="1"/>
  <c r="BL199" i="1"/>
  <c r="CO185" i="1"/>
  <c r="BL371" i="1"/>
  <c r="F21" i="6" s="1"/>
  <c r="BL206" i="1"/>
  <c r="K77" i="1"/>
  <c r="CO231" i="1"/>
  <c r="K223" i="1"/>
  <c r="G67" i="31" s="1"/>
  <c r="BL16" i="1"/>
  <c r="BL76" i="1"/>
  <c r="BL75" i="1"/>
  <c r="BL38" i="1"/>
  <c r="BL19" i="1"/>
  <c r="K23" i="1"/>
  <c r="G170" i="31" s="1"/>
  <c r="BL239" i="1"/>
  <c r="CO247" i="1"/>
  <c r="K296" i="1"/>
  <c r="K34" i="1"/>
  <c r="G177" i="31" s="1"/>
  <c r="BL337" i="1"/>
  <c r="K281" i="1"/>
  <c r="BL77" i="1"/>
  <c r="K183" i="1"/>
  <c r="G28" i="31" s="1"/>
  <c r="BL368" i="1"/>
  <c r="BL193" i="1"/>
  <c r="BL354" i="1"/>
  <c r="CO337" i="1"/>
  <c r="K359" i="1"/>
  <c r="G110" i="31" s="1"/>
  <c r="CO220" i="1"/>
  <c r="BL68" i="1"/>
  <c r="BL29" i="1"/>
  <c r="BL310" i="1"/>
  <c r="K184" i="1"/>
  <c r="G29" i="31" s="1"/>
  <c r="K209" i="1"/>
  <c r="G53" i="31" s="1"/>
  <c r="BL231" i="1"/>
  <c r="F26" i="6" s="1"/>
  <c r="K354" i="1"/>
  <c r="G105" i="31" s="1"/>
  <c r="K241" i="1"/>
  <c r="G80" i="31" s="1"/>
  <c r="CO248" i="1"/>
  <c r="CO281" i="1"/>
  <c r="K68" i="1"/>
  <c r="G204" i="31" s="1"/>
  <c r="K288" i="1"/>
  <c r="CO261" i="1"/>
  <c r="BL224" i="1"/>
  <c r="K18" i="1"/>
  <c r="G165" i="31" s="1"/>
  <c r="BL66" i="1"/>
  <c r="BL365" i="1"/>
  <c r="K230" i="1"/>
  <c r="G72" i="31" s="1"/>
  <c r="K123" i="1"/>
  <c r="G243" i="31" s="1"/>
  <c r="K20" i="1"/>
  <c r="G167" i="31" s="1"/>
  <c r="CO197" i="1"/>
  <c r="K302" i="1"/>
  <c r="BL175" i="1"/>
  <c r="K246" i="1"/>
  <c r="G83" i="31" s="1"/>
  <c r="K185" i="1"/>
  <c r="G30" i="31" s="1"/>
  <c r="BL295" i="1"/>
  <c r="BL281" i="1"/>
  <c r="BL208" i="1"/>
  <c r="K188" i="1"/>
  <c r="G33" i="31" s="1"/>
  <c r="K373" i="1"/>
  <c r="G122" i="31" s="1"/>
  <c r="CO199" i="1"/>
  <c r="BL260" i="1"/>
  <c r="BL185" i="1"/>
  <c r="BL349" i="1"/>
  <c r="BL359" i="1"/>
  <c r="BL296" i="1"/>
  <c r="K193" i="1"/>
  <c r="G38" i="31" s="1"/>
  <c r="BL420" i="1"/>
  <c r="K81" i="1"/>
  <c r="G214" i="31" s="1"/>
  <c r="CO238" i="1"/>
  <c r="K303" i="1"/>
  <c r="BL220" i="1"/>
  <c r="K231" i="1"/>
  <c r="G73" i="31" s="1"/>
  <c r="BL398" i="1"/>
  <c r="BL331" i="1"/>
  <c r="BL79" i="1"/>
  <c r="BL230" i="1"/>
  <c r="F25" i="6" s="1"/>
  <c r="K70" i="1"/>
  <c r="G206" i="31" s="1"/>
  <c r="K38" i="1"/>
  <c r="G181" i="31" s="1"/>
  <c r="BL366" i="1"/>
  <c r="BL324" i="1"/>
  <c r="K323" i="1"/>
  <c r="K268" i="1"/>
  <c r="BL197" i="1"/>
  <c r="BL83" i="1"/>
  <c r="K83" i="1"/>
  <c r="G216" i="31" s="1"/>
  <c r="K274" i="1"/>
  <c r="BL372" i="1"/>
  <c r="BL198" i="1"/>
  <c r="BL246" i="1"/>
  <c r="K374" i="1"/>
  <c r="G123" i="31" s="1"/>
  <c r="K357" i="1"/>
  <c r="G108" i="31" s="1"/>
  <c r="K64" i="1"/>
  <c r="G200" i="31" s="1"/>
  <c r="CO288" i="1"/>
  <c r="CO246" i="1"/>
  <c r="BL361" i="1"/>
  <c r="CO241" i="1"/>
  <c r="BL182" i="1"/>
  <c r="J15" i="32"/>
  <c r="BL247" i="1"/>
  <c r="J4" i="31"/>
  <c r="BK27" i="1"/>
  <c r="BO226" i="1"/>
  <c r="N202" i="1"/>
  <c r="I30" i="4" s="1"/>
  <c r="CR202" i="1"/>
  <c r="BO202" i="1"/>
  <c r="I13" i="4"/>
  <c r="BJ136" i="1"/>
  <c r="I340" i="4"/>
  <c r="I370" i="4"/>
  <c r="I371" i="4" s="1"/>
  <c r="I279" i="4"/>
  <c r="I40" i="4"/>
  <c r="I29" i="4"/>
  <c r="I92" i="4"/>
  <c r="I93" i="4" s="1"/>
  <c r="I63" i="4"/>
  <c r="D24" i="4"/>
  <c r="I6" i="4"/>
  <c r="H10" i="6" l="1"/>
  <c r="H10" i="38"/>
  <c r="H9" i="6"/>
  <c r="H9" i="38"/>
  <c r="H11" i="38" s="1"/>
  <c r="F22" i="6"/>
  <c r="F33" i="38"/>
  <c r="F9" i="6"/>
  <c r="F9" i="38"/>
  <c r="H22" i="6"/>
  <c r="H27" i="6" s="1"/>
  <c r="H29" i="6" s="1"/>
  <c r="H33" i="38"/>
  <c r="E22" i="6"/>
  <c r="E27" i="6" s="1"/>
  <c r="E29" i="6" s="1"/>
  <c r="E33" i="38"/>
  <c r="D22" i="6"/>
  <c r="C22" i="6" s="1"/>
  <c r="J22" i="6" s="1"/>
  <c r="D33" i="38"/>
  <c r="E171" i="31"/>
  <c r="G22" i="6"/>
  <c r="G27" i="6" s="1"/>
  <c r="G29" i="6" s="1"/>
  <c r="G33" i="38"/>
  <c r="D9" i="6"/>
  <c r="D9" i="38"/>
  <c r="D10" i="6"/>
  <c r="D10" i="38"/>
  <c r="C10" i="38" s="1"/>
  <c r="J10" i="38" s="1"/>
  <c r="E10" i="6"/>
  <c r="E10" i="38"/>
  <c r="E18" i="31"/>
  <c r="E20" i="31" s="1"/>
  <c r="E113" i="31"/>
  <c r="G10" i="6"/>
  <c r="G10" i="38"/>
  <c r="G9" i="6"/>
  <c r="G11" i="6" s="1"/>
  <c r="G9" i="38"/>
  <c r="G11" i="38" s="1"/>
  <c r="F10" i="6"/>
  <c r="F10" i="38"/>
  <c r="E9" i="6"/>
  <c r="E9" i="38"/>
  <c r="E11" i="38" s="1"/>
  <c r="H11" i="6"/>
  <c r="E12" i="35"/>
  <c r="H401" i="1"/>
  <c r="BM178" i="1"/>
  <c r="G24" i="4"/>
  <c r="G63" i="4" s="1"/>
  <c r="F24" i="35"/>
  <c r="I24" i="31"/>
  <c r="I25" i="31" s="1"/>
  <c r="CP178" i="1"/>
  <c r="G7" i="6"/>
  <c r="H24" i="31"/>
  <c r="H25" i="31" s="1"/>
  <c r="CP249" i="1"/>
  <c r="H76" i="31"/>
  <c r="BM234" i="1"/>
  <c r="BM242" i="1"/>
  <c r="H7" i="6"/>
  <c r="H13" i="6" s="1"/>
  <c r="H16" i="6" s="1"/>
  <c r="L234" i="1"/>
  <c r="G32" i="4" s="1"/>
  <c r="BM24" i="1"/>
  <c r="G278" i="4"/>
  <c r="G340" i="4" s="1"/>
  <c r="BM225" i="1"/>
  <c r="H37" i="31"/>
  <c r="CP234" i="1"/>
  <c r="BM71" i="1"/>
  <c r="H24" i="4"/>
  <c r="H63" i="4" s="1"/>
  <c r="L178" i="1"/>
  <c r="G29" i="4" s="1"/>
  <c r="BM362" i="1"/>
  <c r="BM41" i="1"/>
  <c r="H81" i="31"/>
  <c r="H86" i="31"/>
  <c r="L24" i="1"/>
  <c r="G6" i="4" s="1"/>
  <c r="CP192" i="1"/>
  <c r="H46" i="31"/>
  <c r="L249" i="1"/>
  <c r="G34" i="4" s="1"/>
  <c r="BM378" i="1"/>
  <c r="BM249" i="1"/>
  <c r="BM134" i="1"/>
  <c r="G91" i="4"/>
  <c r="H171" i="31"/>
  <c r="BM201" i="1"/>
  <c r="CP201" i="1"/>
  <c r="BM215" i="1"/>
  <c r="H113" i="31"/>
  <c r="H207" i="31"/>
  <c r="L201" i="1"/>
  <c r="BM87" i="1"/>
  <c r="G294" i="4"/>
  <c r="L71" i="1"/>
  <c r="G13" i="4" s="1"/>
  <c r="L134" i="1"/>
  <c r="BM192" i="1"/>
  <c r="L192" i="1"/>
  <c r="BN178" i="1"/>
  <c r="L362" i="1"/>
  <c r="G40" i="4" s="1"/>
  <c r="I81" i="31"/>
  <c r="BI376" i="1"/>
  <c r="BN234" i="1"/>
  <c r="BN362" i="1"/>
  <c r="BJ234" i="1"/>
  <c r="BN242" i="1"/>
  <c r="BN71" i="1"/>
  <c r="BJ249" i="1"/>
  <c r="CQ178" i="1"/>
  <c r="BI190" i="1"/>
  <c r="BN215" i="1"/>
  <c r="M201" i="1"/>
  <c r="M71" i="1"/>
  <c r="H13" i="4" s="1"/>
  <c r="CQ201" i="1"/>
  <c r="BI316" i="1"/>
  <c r="BN201" i="1"/>
  <c r="BI22" i="1"/>
  <c r="BI195" i="1"/>
  <c r="BN87" i="1"/>
  <c r="M24" i="1"/>
  <c r="H6" i="4" s="1"/>
  <c r="BI17" i="1"/>
  <c r="M178" i="1"/>
  <c r="H29" i="4" s="1"/>
  <c r="BN24" i="1"/>
  <c r="BI240" i="1"/>
  <c r="BJ178" i="1"/>
  <c r="J214" i="31"/>
  <c r="H309" i="1"/>
  <c r="BN378" i="1"/>
  <c r="H268" i="1"/>
  <c r="I207" i="31"/>
  <c r="I171" i="31"/>
  <c r="BN225" i="1"/>
  <c r="J85" i="31"/>
  <c r="BN41" i="1"/>
  <c r="J36" i="31"/>
  <c r="J28" i="31"/>
  <c r="H77" i="1"/>
  <c r="J42" i="31"/>
  <c r="J120" i="31"/>
  <c r="J167" i="31"/>
  <c r="BN249" i="1"/>
  <c r="CQ192" i="1"/>
  <c r="E24" i="31"/>
  <c r="BI245" i="1"/>
  <c r="BN134" i="1"/>
  <c r="I46" i="31"/>
  <c r="BJ24" i="1"/>
  <c r="CQ249" i="1"/>
  <c r="I37" i="31"/>
  <c r="BN192" i="1"/>
  <c r="I86" i="31"/>
  <c r="CM201" i="1"/>
  <c r="CM234" i="1"/>
  <c r="BJ192" i="1"/>
  <c r="M134" i="1"/>
  <c r="H278" i="4"/>
  <c r="H370" i="4" s="1"/>
  <c r="H371" i="4" s="1"/>
  <c r="M249" i="1"/>
  <c r="H34" i="4" s="1"/>
  <c r="J73" i="31"/>
  <c r="BI368" i="1"/>
  <c r="BI184" i="1"/>
  <c r="H371" i="1"/>
  <c r="J67" i="31"/>
  <c r="BI19" i="1"/>
  <c r="BI357" i="1"/>
  <c r="BI233" i="1"/>
  <c r="BI21" i="1"/>
  <c r="CM249" i="1"/>
  <c r="J163" i="31"/>
  <c r="H337" i="1"/>
  <c r="E207" i="31"/>
  <c r="BI193" i="1"/>
  <c r="J55" i="31"/>
  <c r="BJ41" i="1"/>
  <c r="BI260" i="1"/>
  <c r="BI66" i="1"/>
  <c r="CQ234" i="1"/>
  <c r="M192" i="1"/>
  <c r="BI220" i="1"/>
  <c r="BI29" i="1"/>
  <c r="J165" i="31"/>
  <c r="J110" i="31"/>
  <c r="BI355" i="1"/>
  <c r="BI205" i="1"/>
  <c r="J117" i="31"/>
  <c r="BI275" i="1"/>
  <c r="J74" i="31"/>
  <c r="BI232" i="1"/>
  <c r="J200" i="31"/>
  <c r="J107" i="31"/>
  <c r="I76" i="31"/>
  <c r="E81" i="31"/>
  <c r="H91" i="4"/>
  <c r="J121" i="31"/>
  <c r="BJ225" i="1"/>
  <c r="BI36" i="1"/>
  <c r="J78" i="31"/>
  <c r="M234" i="1"/>
  <c r="H32" i="4" s="1"/>
  <c r="H261" i="1"/>
  <c r="J75" i="31"/>
  <c r="BI303" i="1"/>
  <c r="H294" i="4"/>
  <c r="J53" i="31"/>
  <c r="H296" i="1"/>
  <c r="J66" i="31"/>
  <c r="J111" i="31"/>
  <c r="H356" i="1"/>
  <c r="BI200" i="1"/>
  <c r="E46" i="31"/>
  <c r="E47" i="31" s="1"/>
  <c r="BJ362" i="1"/>
  <c r="BJ242" i="1"/>
  <c r="E86" i="31"/>
  <c r="BJ71" i="1"/>
  <c r="CM192" i="1"/>
  <c r="BJ87" i="1"/>
  <c r="BJ215" i="1"/>
  <c r="BJ201" i="1"/>
  <c r="H35" i="1"/>
  <c r="BI401" i="1"/>
  <c r="D278" i="4"/>
  <c r="D340" i="4" s="1"/>
  <c r="I178" i="1"/>
  <c r="D29" i="4" s="1"/>
  <c r="I362" i="1"/>
  <c r="D40" i="4" s="1"/>
  <c r="BI423" i="1"/>
  <c r="BJ134" i="1"/>
  <c r="E76" i="31"/>
  <c r="BJ378" i="1"/>
  <c r="D91" i="4"/>
  <c r="D92" i="4" s="1"/>
  <c r="D93" i="4" s="1"/>
  <c r="D130" i="4" s="1"/>
  <c r="CM178" i="1"/>
  <c r="E37" i="31"/>
  <c r="J43" i="31"/>
  <c r="BI63" i="1"/>
  <c r="I249" i="1"/>
  <c r="D34" i="4" s="1"/>
  <c r="I201" i="1"/>
  <c r="D294" i="4"/>
  <c r="I192" i="1"/>
  <c r="BI27" i="1"/>
  <c r="BI38" i="1"/>
  <c r="J35" i="31"/>
  <c r="BI367" i="1"/>
  <c r="I234" i="1"/>
  <c r="D32" i="4" s="1"/>
  <c r="J179" i="31"/>
  <c r="I24" i="1"/>
  <c r="D6" i="4" s="1"/>
  <c r="I134" i="1"/>
  <c r="I71" i="1"/>
  <c r="D13" i="4" s="1"/>
  <c r="BI70" i="1"/>
  <c r="H338" i="1"/>
  <c r="J45" i="31"/>
  <c r="BI216" i="1"/>
  <c r="BI217" i="1"/>
  <c r="BI69" i="1"/>
  <c r="BI373" i="1"/>
  <c r="BI18" i="1"/>
  <c r="E11" i="6"/>
  <c r="I113" i="31"/>
  <c r="J124" i="31"/>
  <c r="BI76" i="1"/>
  <c r="BI187" i="1"/>
  <c r="J178" i="31"/>
  <c r="H295" i="1"/>
  <c r="BI282" i="1"/>
  <c r="H281" i="1"/>
  <c r="J216" i="31"/>
  <c r="BI289" i="1"/>
  <c r="J27" i="31"/>
  <c r="J201" i="31"/>
  <c r="H345" i="1"/>
  <c r="BI310" i="1"/>
  <c r="J39" i="31"/>
  <c r="H331" i="1"/>
  <c r="BI214" i="1"/>
  <c r="BI323" i="1"/>
  <c r="H368" i="1"/>
  <c r="BI28" i="1"/>
  <c r="J31" i="31"/>
  <c r="J123" i="31"/>
  <c r="H375" i="1"/>
  <c r="E24" i="4"/>
  <c r="E63" i="4" s="1"/>
  <c r="H349" i="1"/>
  <c r="BI309" i="1"/>
  <c r="J33" i="31"/>
  <c r="BI359" i="1"/>
  <c r="BI20" i="1"/>
  <c r="H330" i="1"/>
  <c r="BI212" i="1"/>
  <c r="CN178" i="1"/>
  <c r="BI365" i="1"/>
  <c r="BI68" i="1"/>
  <c r="BI176" i="1"/>
  <c r="J205" i="31"/>
  <c r="BI32" i="1"/>
  <c r="J215" i="31"/>
  <c r="J44" i="31"/>
  <c r="BK178" i="1"/>
  <c r="BI83" i="1"/>
  <c r="H122" i="1"/>
  <c r="BI221" i="1"/>
  <c r="J22" i="31"/>
  <c r="J203" i="31"/>
  <c r="H316" i="1"/>
  <c r="H197" i="1"/>
  <c r="BI302" i="1"/>
  <c r="J41" i="31"/>
  <c r="BI358" i="1"/>
  <c r="BI338" i="1"/>
  <c r="BI177" i="1"/>
  <c r="J32" i="31"/>
  <c r="M362" i="1"/>
  <c r="H40" i="4" s="1"/>
  <c r="BI360" i="1"/>
  <c r="H310" i="1"/>
  <c r="F24" i="31"/>
  <c r="F25" i="31" s="1"/>
  <c r="J72" i="31"/>
  <c r="BI67" i="1"/>
  <c r="J112" i="31"/>
  <c r="BI296" i="1"/>
  <c r="BI191" i="1"/>
  <c r="BK234" i="1"/>
  <c r="J181" i="31"/>
  <c r="BI317" i="1"/>
  <c r="BI337" i="1"/>
  <c r="BI122" i="1"/>
  <c r="H324" i="1"/>
  <c r="J234" i="1"/>
  <c r="E32" i="4" s="1"/>
  <c r="BI37" i="1"/>
  <c r="BI75" i="1"/>
  <c r="BI82" i="1"/>
  <c r="BI123" i="1"/>
  <c r="J40" i="31"/>
  <c r="F76" i="31"/>
  <c r="J38" i="31"/>
  <c r="BI370" i="1"/>
  <c r="BI31" i="1"/>
  <c r="J56" i="31"/>
  <c r="E7" i="6"/>
  <c r="BI77" i="1"/>
  <c r="H31" i="1"/>
  <c r="H323" i="1"/>
  <c r="BI208" i="1"/>
  <c r="J29" i="31"/>
  <c r="H289" i="1"/>
  <c r="J164" i="31"/>
  <c r="H245" i="1"/>
  <c r="H302" i="1"/>
  <c r="BI199" i="1"/>
  <c r="BI85" i="1"/>
  <c r="BI64" i="1"/>
  <c r="BI196" i="1"/>
  <c r="BK242" i="1"/>
  <c r="BI182" i="1"/>
  <c r="J82" i="31"/>
  <c r="H17" i="1"/>
  <c r="BI198" i="1"/>
  <c r="BI239" i="1"/>
  <c r="BI209" i="1"/>
  <c r="H275" i="1"/>
  <c r="BI361" i="1"/>
  <c r="BI349" i="1"/>
  <c r="BI295" i="1"/>
  <c r="J26" i="31"/>
  <c r="BI86" i="1"/>
  <c r="BI241" i="1"/>
  <c r="F171" i="31"/>
  <c r="J213" i="31"/>
  <c r="BI188" i="1"/>
  <c r="H274" i="1"/>
  <c r="BI39" i="1"/>
  <c r="BI238" i="1"/>
  <c r="F86" i="31"/>
  <c r="BI330" i="1"/>
  <c r="H303" i="1"/>
  <c r="J199" i="31"/>
  <c r="BI223" i="1"/>
  <c r="H80" i="1"/>
  <c r="J122" i="31"/>
  <c r="BI224" i="1"/>
  <c r="J49" i="31"/>
  <c r="BI79" i="1"/>
  <c r="BI331" i="1"/>
  <c r="BI16" i="1"/>
  <c r="BI398" i="1"/>
  <c r="BI369" i="1"/>
  <c r="J168" i="31"/>
  <c r="BI346" i="1"/>
  <c r="J84" i="31"/>
  <c r="BI186" i="1"/>
  <c r="J169" i="31"/>
  <c r="BI194" i="1"/>
  <c r="BI78" i="1"/>
  <c r="J180" i="31"/>
  <c r="BI219" i="1"/>
  <c r="BI424" i="1"/>
  <c r="BI213" i="1"/>
  <c r="BK24" i="1"/>
  <c r="BI324" i="1"/>
  <c r="H30" i="1"/>
  <c r="H355" i="1"/>
  <c r="J178" i="1"/>
  <c r="E29" i="4" s="1"/>
  <c r="H194" i="1"/>
  <c r="E91" i="4"/>
  <c r="BI206" i="1"/>
  <c r="BI218" i="1"/>
  <c r="J109" i="31"/>
  <c r="CN249" i="1"/>
  <c r="E278" i="4"/>
  <c r="E370" i="4" s="1"/>
  <c r="E371" i="4" s="1"/>
  <c r="J249" i="1"/>
  <c r="E34" i="4" s="1"/>
  <c r="H282" i="1"/>
  <c r="BI23" i="1"/>
  <c r="H360" i="1"/>
  <c r="H68" i="1"/>
  <c r="H231" i="1"/>
  <c r="J34" i="31"/>
  <c r="J106" i="31"/>
  <c r="BI189" i="1"/>
  <c r="F46" i="31"/>
  <c r="BI74" i="1"/>
  <c r="H200" i="1"/>
  <c r="BI345" i="1"/>
  <c r="H317" i="1"/>
  <c r="F207" i="31"/>
  <c r="BI366" i="1"/>
  <c r="BI33" i="1"/>
  <c r="BI35" i="1"/>
  <c r="H195" i="1"/>
  <c r="J71" i="1"/>
  <c r="E13" i="4" s="1"/>
  <c r="BI374" i="1"/>
  <c r="H260" i="1"/>
  <c r="BI210" i="1"/>
  <c r="H199" i="1"/>
  <c r="H82" i="1"/>
  <c r="H63" i="1"/>
  <c r="J192" i="1"/>
  <c r="J201" i="1"/>
  <c r="BI288" i="1"/>
  <c r="H358" i="1"/>
  <c r="BI229" i="1"/>
  <c r="H186" i="1"/>
  <c r="H191" i="1"/>
  <c r="J204" i="31"/>
  <c r="H38" i="1"/>
  <c r="J170" i="31"/>
  <c r="BI268" i="1"/>
  <c r="BI40" i="1"/>
  <c r="H189" i="1"/>
  <c r="H206" i="1"/>
  <c r="BI354" i="1"/>
  <c r="BI237" i="1"/>
  <c r="BI181" i="1"/>
  <c r="J217" i="31"/>
  <c r="J202" i="31"/>
  <c r="BI267" i="1"/>
  <c r="J218" i="31"/>
  <c r="CN234" i="1"/>
  <c r="BK134" i="1"/>
  <c r="J64" i="31"/>
  <c r="J77" i="31"/>
  <c r="CN201" i="1"/>
  <c r="BK249" i="1"/>
  <c r="F37" i="31"/>
  <c r="BI207" i="1"/>
  <c r="F113" i="31"/>
  <c r="BI274" i="1"/>
  <c r="BK362" i="1"/>
  <c r="J79" i="31"/>
  <c r="BI185" i="1"/>
  <c r="BI248" i="1"/>
  <c r="BI375" i="1"/>
  <c r="BI281" i="1"/>
  <c r="BI356" i="1"/>
  <c r="F81" i="31"/>
  <c r="BI420" i="1"/>
  <c r="H123" i="1"/>
  <c r="BI261" i="1"/>
  <c r="CN192" i="1"/>
  <c r="J105" i="31"/>
  <c r="BI65" i="1"/>
  <c r="BI246" i="1"/>
  <c r="H288" i="1"/>
  <c r="BI211" i="1"/>
  <c r="H237" i="1"/>
  <c r="J134" i="1"/>
  <c r="H176" i="1"/>
  <c r="H198" i="1"/>
  <c r="H185" i="1"/>
  <c r="BK225" i="1"/>
  <c r="BK71" i="1"/>
  <c r="J243" i="31"/>
  <c r="H247" i="1"/>
  <c r="H220" i="1"/>
  <c r="BK215" i="1"/>
  <c r="H267" i="1"/>
  <c r="E294" i="4"/>
  <c r="J30" i="31"/>
  <c r="J362" i="1"/>
  <c r="E40" i="4" s="1"/>
  <c r="H188" i="1"/>
  <c r="J10" i="31"/>
  <c r="BK201" i="1"/>
  <c r="J125" i="31"/>
  <c r="BK378" i="1"/>
  <c r="BI84" i="1"/>
  <c r="J182" i="31"/>
  <c r="H85" i="1"/>
  <c r="H190" i="1"/>
  <c r="H16" i="1"/>
  <c r="H240" i="1"/>
  <c r="H182" i="1"/>
  <c r="H22" i="1"/>
  <c r="H232" i="1"/>
  <c r="H65" i="1"/>
  <c r="H36" i="1"/>
  <c r="BI371" i="1"/>
  <c r="H372" i="1"/>
  <c r="H230" i="1"/>
  <c r="H21" i="1"/>
  <c r="H233" i="1"/>
  <c r="H209" i="1"/>
  <c r="H84" i="1"/>
  <c r="BI377" i="1"/>
  <c r="F11" i="6"/>
  <c r="H248" i="1"/>
  <c r="H37" i="1"/>
  <c r="H183" i="1"/>
  <c r="C10" i="6"/>
  <c r="J10" i="6" s="1"/>
  <c r="BI372" i="1"/>
  <c r="C5" i="6"/>
  <c r="H66" i="1"/>
  <c r="BI81" i="1"/>
  <c r="J177" i="31"/>
  <c r="H23" i="1"/>
  <c r="H193" i="1"/>
  <c r="BI80" i="1"/>
  <c r="F91" i="4"/>
  <c r="BK192" i="1"/>
  <c r="H374" i="1"/>
  <c r="H67" i="1"/>
  <c r="H211" i="1"/>
  <c r="H212" i="1"/>
  <c r="F24" i="4"/>
  <c r="F63" i="4" s="1"/>
  <c r="C23" i="6"/>
  <c r="J23" i="6" s="1"/>
  <c r="H423" i="1"/>
  <c r="CO178" i="1"/>
  <c r="H223" i="1"/>
  <c r="H420" i="1"/>
  <c r="C24" i="4" s="1"/>
  <c r="H187" i="1"/>
  <c r="BI222" i="1"/>
  <c r="H39" i="1"/>
  <c r="K249" i="1"/>
  <c r="F34" i="4" s="1"/>
  <c r="BL24" i="1"/>
  <c r="CO201" i="1"/>
  <c r="BL178" i="1"/>
  <c r="H376" i="1"/>
  <c r="H69" i="1"/>
  <c r="H83" i="1"/>
  <c r="H175" i="1"/>
  <c r="BK87" i="1"/>
  <c r="J18" i="31"/>
  <c r="J20" i="31" s="1"/>
  <c r="CO249" i="1"/>
  <c r="J166" i="31"/>
  <c r="J24" i="1"/>
  <c r="E6" i="4" s="1"/>
  <c r="H184" i="1"/>
  <c r="H19" i="1"/>
  <c r="C6" i="6"/>
  <c r="J6" i="6" s="1"/>
  <c r="G46" i="31"/>
  <c r="H238" i="1"/>
  <c r="H222" i="1"/>
  <c r="H20" i="1"/>
  <c r="G81" i="31"/>
  <c r="H196" i="1"/>
  <c r="K201" i="1"/>
  <c r="BL249" i="1"/>
  <c r="H18" i="1"/>
  <c r="H354" i="1"/>
  <c r="K24" i="1"/>
  <c r="F6" i="4" s="1"/>
  <c r="BI230" i="1"/>
  <c r="BI175" i="1"/>
  <c r="G37" i="31"/>
  <c r="G24" i="31"/>
  <c r="G25" i="31" s="1"/>
  <c r="H359" i="1"/>
  <c r="H64" i="1"/>
  <c r="G171" i="31"/>
  <c r="G207" i="31"/>
  <c r="G86" i="31"/>
  <c r="BL71" i="1"/>
  <c r="H81" i="1"/>
  <c r="G113" i="31"/>
  <c r="BL201" i="1"/>
  <c r="C25" i="6"/>
  <c r="J25" i="6" s="1"/>
  <c r="BI231" i="1"/>
  <c r="BI197" i="1"/>
  <c r="BI247" i="1"/>
  <c r="C26" i="6"/>
  <c r="J26" i="6" s="1"/>
  <c r="BL87" i="1"/>
  <c r="H373" i="1"/>
  <c r="J206" i="31"/>
  <c r="J83" i="31"/>
  <c r="BL215" i="1"/>
  <c r="H34" i="1"/>
  <c r="BL362" i="1"/>
  <c r="CO234" i="1"/>
  <c r="BL378" i="1"/>
  <c r="CO192" i="1"/>
  <c r="G76" i="31"/>
  <c r="BL41" i="1"/>
  <c r="BL192" i="1"/>
  <c r="F7" i="6"/>
  <c r="J108" i="31"/>
  <c r="F27" i="6"/>
  <c r="F29" i="6" s="1"/>
  <c r="C24" i="6"/>
  <c r="J24" i="6" s="1"/>
  <c r="BI183" i="1"/>
  <c r="K234" i="1"/>
  <c r="F32" i="4" s="1"/>
  <c r="BK41" i="1"/>
  <c r="J71" i="31"/>
  <c r="BI30" i="1"/>
  <c r="BI34" i="1"/>
  <c r="J80" i="31"/>
  <c r="K134" i="1"/>
  <c r="K362" i="1"/>
  <c r="F40" i="4" s="1"/>
  <c r="K192" i="1"/>
  <c r="H229" i="1"/>
  <c r="BL134" i="1"/>
  <c r="H70" i="1"/>
  <c r="H181" i="1"/>
  <c r="BL225" i="1"/>
  <c r="J23" i="31"/>
  <c r="H361" i="1"/>
  <c r="H357" i="1"/>
  <c r="BL234" i="1"/>
  <c r="H177" i="1"/>
  <c r="BL242" i="1"/>
  <c r="H241" i="1"/>
  <c r="F294" i="4"/>
  <c r="F278" i="4"/>
  <c r="F370" i="4" s="1"/>
  <c r="F371" i="4" s="1"/>
  <c r="H246" i="1"/>
  <c r="K178" i="1"/>
  <c r="F29" i="4" s="1"/>
  <c r="K71" i="1"/>
  <c r="F13" i="4" s="1"/>
  <c r="J5" i="31"/>
  <c r="J9" i="31" s="1"/>
  <c r="D63" i="4"/>
  <c r="BO251" i="1"/>
  <c r="I130" i="4"/>
  <c r="I114" i="4"/>
  <c r="I280" i="4"/>
  <c r="I281" i="4" s="1"/>
  <c r="I109" i="4" s="1"/>
  <c r="C21" i="6"/>
  <c r="D11" i="6"/>
  <c r="C9" i="6"/>
  <c r="BJ150" i="1"/>
  <c r="BI136" i="1"/>
  <c r="BI150" i="1" s="1"/>
  <c r="C33" i="38" l="1"/>
  <c r="C35" i="38" s="1"/>
  <c r="C38" i="38" s="1"/>
  <c r="F11" i="38"/>
  <c r="D27" i="6"/>
  <c r="D29" i="6" s="1"/>
  <c r="E25" i="31"/>
  <c r="D11" i="38"/>
  <c r="C9" i="38"/>
  <c r="H12" i="35"/>
  <c r="E24" i="35"/>
  <c r="G13" i="6"/>
  <c r="G16" i="6" s="1"/>
  <c r="G92" i="4"/>
  <c r="G93" i="4" s="1"/>
  <c r="G114" i="4" s="1"/>
  <c r="BM202" i="1"/>
  <c r="G279" i="4"/>
  <c r="G370" i="4"/>
  <c r="G371" i="4" s="1"/>
  <c r="BM226" i="1"/>
  <c r="H47" i="31"/>
  <c r="H92" i="4"/>
  <c r="H93" i="4" s="1"/>
  <c r="H130" i="4" s="1"/>
  <c r="CP202" i="1"/>
  <c r="L202" i="1"/>
  <c r="G30" i="4" s="1"/>
  <c r="M202" i="1"/>
  <c r="H30" i="4" s="1"/>
  <c r="BN226" i="1"/>
  <c r="CQ202" i="1"/>
  <c r="BN202" i="1"/>
  <c r="BJ202" i="1"/>
  <c r="I47" i="31"/>
  <c r="BJ226" i="1"/>
  <c r="CM202" i="1"/>
  <c r="H340" i="4"/>
  <c r="D279" i="4"/>
  <c r="D280" i="4" s="1"/>
  <c r="D281" i="4" s="1"/>
  <c r="D109" i="4" s="1"/>
  <c r="H279" i="4"/>
  <c r="CO202" i="1"/>
  <c r="J24" i="31"/>
  <c r="J25" i="31" s="1"/>
  <c r="D370" i="4"/>
  <c r="I202" i="1"/>
  <c r="D30" i="4" s="1"/>
  <c r="E13" i="6"/>
  <c r="E16" i="6" s="1"/>
  <c r="BR178" i="1"/>
  <c r="BW178" i="1" s="1"/>
  <c r="J202" i="1"/>
  <c r="E30" i="4" s="1"/>
  <c r="F13" i="6"/>
  <c r="F15" i="6" s="1"/>
  <c r="E92" i="4"/>
  <c r="E93" i="4" s="1"/>
  <c r="E114" i="4" s="1"/>
  <c r="J76" i="31"/>
  <c r="J46" i="31"/>
  <c r="BR201" i="1"/>
  <c r="G47" i="31"/>
  <c r="BL202" i="1"/>
  <c r="BI215" i="1"/>
  <c r="J86" i="31"/>
  <c r="CN202" i="1"/>
  <c r="J37" i="31"/>
  <c r="BI242" i="1"/>
  <c r="J171" i="31"/>
  <c r="F47" i="31"/>
  <c r="J207" i="31"/>
  <c r="BR249" i="1"/>
  <c r="BI24" i="1"/>
  <c r="E340" i="4"/>
  <c r="E279" i="4"/>
  <c r="C91" i="4"/>
  <c r="C92" i="4" s="1"/>
  <c r="C93" i="4" s="1"/>
  <c r="BI134" i="1"/>
  <c r="C294" i="4"/>
  <c r="C11" i="6"/>
  <c r="BR234" i="1"/>
  <c r="J113" i="31"/>
  <c r="F92" i="4"/>
  <c r="F93" i="4" s="1"/>
  <c r="F114" i="4" s="1"/>
  <c r="BR192" i="1"/>
  <c r="BZ192" i="1" s="1"/>
  <c r="BK226" i="1"/>
  <c r="BI362" i="1"/>
  <c r="J81" i="31"/>
  <c r="BI71" i="1"/>
  <c r="BK202" i="1"/>
  <c r="BI192" i="1"/>
  <c r="H362" i="1"/>
  <c r="C40" i="4" s="1"/>
  <c r="H201" i="1"/>
  <c r="H249" i="1"/>
  <c r="C34" i="4" s="1"/>
  <c r="D7" i="6"/>
  <c r="D13" i="6" s="1"/>
  <c r="H178" i="1"/>
  <c r="C29" i="4" s="1"/>
  <c r="H134" i="1"/>
  <c r="K202" i="1"/>
  <c r="F30" i="4" s="1"/>
  <c r="BI378" i="1"/>
  <c r="BI87" i="1"/>
  <c r="BI178" i="1"/>
  <c r="H234" i="1"/>
  <c r="C32" i="4" s="1"/>
  <c r="BI249" i="1"/>
  <c r="BI234" i="1"/>
  <c r="H192" i="1"/>
  <c r="BI201" i="1"/>
  <c r="BL226" i="1"/>
  <c r="H71" i="1"/>
  <c r="C13" i="4" s="1"/>
  <c r="H24" i="1"/>
  <c r="C6" i="4" s="1"/>
  <c r="BI225" i="1"/>
  <c r="C278" i="4"/>
  <c r="C279" i="4" s="1"/>
  <c r="F340" i="4"/>
  <c r="BI41" i="1"/>
  <c r="F279" i="4"/>
  <c r="H15" i="6"/>
  <c r="H18" i="6" s="1"/>
  <c r="H31" i="6" s="1"/>
  <c r="H35" i="6" s="1"/>
  <c r="F118" i="4"/>
  <c r="C63" i="4"/>
  <c r="D75" i="4" s="1"/>
  <c r="J9" i="6"/>
  <c r="J21" i="6"/>
  <c r="C27" i="6"/>
  <c r="C29" i="6" s="1"/>
  <c r="J5" i="6"/>
  <c r="C7" i="6"/>
  <c r="I125" i="4"/>
  <c r="D114" i="4"/>
  <c r="J9" i="38" l="1"/>
  <c r="C11" i="38"/>
  <c r="D15" i="6"/>
  <c r="D16" i="6"/>
  <c r="H24" i="35"/>
  <c r="E15" i="6"/>
  <c r="G15" i="6"/>
  <c r="G18" i="6" s="1"/>
  <c r="G31" i="6" s="1"/>
  <c r="G35" i="6" s="1"/>
  <c r="G130" i="4"/>
  <c r="G280" i="4"/>
  <c r="G281" i="4" s="1"/>
  <c r="G109" i="4" s="1"/>
  <c r="G125" i="4" s="1"/>
  <c r="BM251" i="1"/>
  <c r="C370" i="4"/>
  <c r="C371" i="4" s="1"/>
  <c r="H114" i="4"/>
  <c r="C114" i="4" s="1"/>
  <c r="H280" i="4"/>
  <c r="H281" i="4" s="1"/>
  <c r="H109" i="4" s="1"/>
  <c r="H125" i="4" s="1"/>
  <c r="BJ251" i="1"/>
  <c r="D371" i="4"/>
  <c r="BN251" i="1"/>
  <c r="CI178" i="1"/>
  <c r="BZ178" i="1"/>
  <c r="BL251" i="1"/>
  <c r="CB178" i="1"/>
  <c r="BS178" i="1"/>
  <c r="CH178" i="1"/>
  <c r="BT178" i="1"/>
  <c r="BU178" i="1"/>
  <c r="CG178" i="1"/>
  <c r="CA178" i="1"/>
  <c r="BV178" i="1"/>
  <c r="CD178" i="1"/>
  <c r="CF178" i="1"/>
  <c r="CE178" i="1"/>
  <c r="CC178" i="1"/>
  <c r="BX178" i="1"/>
  <c r="BY178" i="1"/>
  <c r="F16" i="6"/>
  <c r="F18" i="6" s="1"/>
  <c r="F31" i="6" s="1"/>
  <c r="F35" i="6" s="1"/>
  <c r="E280" i="4"/>
  <c r="E281" i="4" s="1"/>
  <c r="E109" i="4" s="1"/>
  <c r="E125" i="4" s="1"/>
  <c r="E130" i="4"/>
  <c r="BZ202" i="1"/>
  <c r="J47" i="31"/>
  <c r="BI226" i="1"/>
  <c r="CB192" i="1"/>
  <c r="CB202" i="1" s="1"/>
  <c r="CE192" i="1"/>
  <c r="CE202" i="1" s="1"/>
  <c r="BX192" i="1"/>
  <c r="BX202" i="1" s="1"/>
  <c r="BR202" i="1"/>
  <c r="CD192" i="1"/>
  <c r="CD202" i="1" s="1"/>
  <c r="C340" i="4"/>
  <c r="F130" i="4"/>
  <c r="F280" i="4"/>
  <c r="F281" i="4" s="1"/>
  <c r="F109" i="4" s="1"/>
  <c r="F125" i="4" s="1"/>
  <c r="BI202" i="1"/>
  <c r="BK251" i="1"/>
  <c r="BT192" i="1"/>
  <c r="BT202" i="1" s="1"/>
  <c r="BU192" i="1"/>
  <c r="BU202" i="1" s="1"/>
  <c r="BY192" i="1"/>
  <c r="BY202" i="1" s="1"/>
  <c r="BV192" i="1"/>
  <c r="BV202" i="1" s="1"/>
  <c r="CF192" i="1"/>
  <c r="CF202" i="1" s="1"/>
  <c r="CG192" i="1"/>
  <c r="CG202" i="1" s="1"/>
  <c r="CC192" i="1"/>
  <c r="CC202" i="1" s="1"/>
  <c r="CA192" i="1"/>
  <c r="CA202" i="1" s="1"/>
  <c r="CH192" i="1"/>
  <c r="CH202" i="1" s="1"/>
  <c r="CI192" i="1"/>
  <c r="CI202" i="1" s="1"/>
  <c r="BS192" i="1"/>
  <c r="BS202" i="1" s="1"/>
  <c r="BW192" i="1"/>
  <c r="BW202" i="1" s="1"/>
  <c r="H202" i="1"/>
  <c r="C30" i="4" s="1"/>
  <c r="D18" i="6"/>
  <c r="C13" i="6"/>
  <c r="C15" i="6" s="1"/>
  <c r="G75" i="4"/>
  <c r="H73" i="4"/>
  <c r="H75" i="4"/>
  <c r="G71" i="4"/>
  <c r="G73" i="4"/>
  <c r="G70" i="4"/>
  <c r="H70" i="4"/>
  <c r="H69" i="4"/>
  <c r="D71" i="4"/>
  <c r="H71" i="4"/>
  <c r="G69" i="4"/>
  <c r="G74" i="4"/>
  <c r="H74" i="4"/>
  <c r="D69" i="4"/>
  <c r="D70" i="4"/>
  <c r="D118" i="4"/>
  <c r="D125" i="4"/>
  <c r="F134" i="4"/>
  <c r="C96" i="4"/>
  <c r="C97" i="4" s="1"/>
  <c r="E73" i="4"/>
  <c r="E70" i="4"/>
  <c r="I71" i="4"/>
  <c r="F75" i="4"/>
  <c r="E74" i="4"/>
  <c r="E71" i="4"/>
  <c r="I70" i="4"/>
  <c r="I69" i="4"/>
  <c r="F74" i="4"/>
  <c r="F69" i="4"/>
  <c r="E75" i="4"/>
  <c r="I74" i="4"/>
  <c r="I75" i="4"/>
  <c r="F70" i="4"/>
  <c r="F73" i="4"/>
  <c r="E69" i="4"/>
  <c r="I73" i="4"/>
  <c r="F71" i="4"/>
  <c r="D73" i="4"/>
  <c r="D74" i="4"/>
  <c r="E18" i="6" l="1"/>
  <c r="E31" i="6" s="1"/>
  <c r="E35" i="6" s="1"/>
  <c r="C130" i="4"/>
  <c r="G118" i="4"/>
  <c r="H118" i="4"/>
  <c r="D372" i="4"/>
  <c r="D373" i="4" s="1"/>
  <c r="D160" i="4" s="1"/>
  <c r="CL178" i="1"/>
  <c r="E134" i="4"/>
  <c r="E118" i="4"/>
  <c r="C16" i="6"/>
  <c r="C18" i="6" s="1"/>
  <c r="C31" i="6" s="1"/>
  <c r="C35" i="6" s="1"/>
  <c r="BI251" i="1"/>
  <c r="CL202" i="1"/>
  <c r="C280" i="4"/>
  <c r="C281" i="4" s="1"/>
  <c r="C109" i="4"/>
  <c r="C118" i="4" s="1"/>
  <c r="CL192" i="1"/>
  <c r="D31" i="6"/>
  <c r="D35" i="6" s="1"/>
  <c r="G95" i="4"/>
  <c r="G96" i="4" s="1"/>
  <c r="G97" i="4" s="1"/>
  <c r="G341" i="4" s="1"/>
  <c r="G342" i="4" s="1"/>
  <c r="G144" i="4" s="1"/>
  <c r="H95" i="4"/>
  <c r="H96" i="4" s="1"/>
  <c r="H97" i="4" s="1"/>
  <c r="H149" i="4" s="1"/>
  <c r="D95" i="4"/>
  <c r="D96" i="4" s="1"/>
  <c r="D97" i="4" s="1"/>
  <c r="D341" i="4" s="1"/>
  <c r="F95" i="4"/>
  <c r="F96" i="4" s="1"/>
  <c r="F97" i="4" s="1"/>
  <c r="F341" i="4" s="1"/>
  <c r="F342" i="4" s="1"/>
  <c r="F144" i="4" s="1"/>
  <c r="G134" i="4"/>
  <c r="D134" i="4"/>
  <c r="C125" i="4"/>
  <c r="H165" i="4"/>
  <c r="F165" i="4"/>
  <c r="I165" i="4"/>
  <c r="G165" i="4"/>
  <c r="E165" i="4"/>
  <c r="D165" i="4"/>
  <c r="I372" i="4"/>
  <c r="I373" i="4" s="1"/>
  <c r="I160" i="4" s="1"/>
  <c r="E372" i="4"/>
  <c r="E373" i="4" s="1"/>
  <c r="E160" i="4" s="1"/>
  <c r="F372" i="4"/>
  <c r="F373" i="4" s="1"/>
  <c r="F160" i="4" s="1"/>
  <c r="H372" i="4"/>
  <c r="H373" i="4" s="1"/>
  <c r="H160" i="4" s="1"/>
  <c r="G372" i="4"/>
  <c r="G373" i="4" s="1"/>
  <c r="G160" i="4" s="1"/>
  <c r="H134" i="4"/>
  <c r="E95" i="4"/>
  <c r="E96" i="4" s="1"/>
  <c r="E97" i="4" s="1"/>
  <c r="I95" i="4"/>
  <c r="I96" i="4" s="1"/>
  <c r="I97" i="4" s="1"/>
  <c r="G149" i="4" l="1"/>
  <c r="G153" i="4" s="1"/>
  <c r="H341" i="4"/>
  <c r="H342" i="4" s="1"/>
  <c r="H144" i="4" s="1"/>
  <c r="H153" i="4" s="1"/>
  <c r="D149" i="4"/>
  <c r="F149" i="4"/>
  <c r="F153" i="4" s="1"/>
  <c r="D342" i="4"/>
  <c r="D144" i="4" s="1"/>
  <c r="D169" i="4"/>
  <c r="C160" i="4"/>
  <c r="I149" i="4"/>
  <c r="I341" i="4"/>
  <c r="I342" i="4" s="1"/>
  <c r="I144" i="4" s="1"/>
  <c r="H169" i="4"/>
  <c r="C165" i="4"/>
  <c r="G169" i="4"/>
  <c r="C134" i="4"/>
  <c r="E169" i="4"/>
  <c r="E149" i="4"/>
  <c r="E341" i="4"/>
  <c r="E342" i="4" s="1"/>
  <c r="E144" i="4" s="1"/>
  <c r="F169" i="4"/>
  <c r="C372" i="4"/>
  <c r="C373" i="4" s="1"/>
  <c r="C149" i="4" l="1"/>
  <c r="C169" i="4"/>
  <c r="C341" i="4"/>
  <c r="C342" i="4" s="1"/>
  <c r="E153" i="4"/>
  <c r="D153" i="4"/>
  <c r="C144" i="4"/>
  <c r="C153" i="4" l="1"/>
  <c r="AO10" i="1" l="1"/>
  <c r="BK10" i="1"/>
  <c r="BO10" i="1"/>
  <c r="BM10" i="1"/>
  <c r="BU258" i="1" l="1"/>
  <c r="BT258" i="1"/>
  <c r="BZ258" i="1"/>
  <c r="BW258" i="1"/>
  <c r="CE258" i="1"/>
  <c r="BV258" i="1"/>
  <c r="CC258" i="1"/>
  <c r="CD258" i="1"/>
  <c r="CI279" i="1"/>
  <c r="CF258" i="1"/>
  <c r="CA258" i="1"/>
  <c r="CB258" i="1"/>
  <c r="CG258" i="1"/>
  <c r="BX258" i="1"/>
  <c r="CH279" i="1"/>
  <c r="BY258" i="1"/>
  <c r="CH258" i="1"/>
  <c r="BL10" i="1"/>
  <c r="AN10" i="1"/>
  <c r="BN10" i="1"/>
  <c r="BO109" i="1"/>
  <c r="BO135" i="1" s="1"/>
  <c r="BL109" i="1"/>
  <c r="BK109" i="1"/>
  <c r="BK135" i="1" s="1"/>
  <c r="BM109" i="1"/>
  <c r="BM135" i="1" s="1"/>
  <c r="BJ109" i="1"/>
  <c r="BN109" i="1"/>
  <c r="BJ10" i="1"/>
  <c r="AO135" i="1"/>
  <c r="BW286" i="1" l="1"/>
  <c r="BT293" i="1"/>
  <c r="BU307" i="1"/>
  <c r="BT314" i="1"/>
  <c r="BU335" i="1"/>
  <c r="BT286" i="1"/>
  <c r="BU279" i="1"/>
  <c r="BT279" i="1"/>
  <c r="BU293" i="1"/>
  <c r="BT300" i="1"/>
  <c r="BT328" i="1"/>
  <c r="BU272" i="1"/>
  <c r="BU321" i="1"/>
  <c r="BU265" i="1"/>
  <c r="BT265" i="1"/>
  <c r="BT307" i="1"/>
  <c r="BT335" i="1"/>
  <c r="BU314" i="1"/>
  <c r="BX279" i="1"/>
  <c r="BT272" i="1"/>
  <c r="BT321" i="1"/>
  <c r="BU286" i="1"/>
  <c r="BU300" i="1"/>
  <c r="BU328" i="1"/>
  <c r="BY314" i="1"/>
  <c r="BY293" i="1"/>
  <c r="BY265" i="1"/>
  <c r="BW293" i="1"/>
  <c r="BY286" i="1"/>
  <c r="BY300" i="1"/>
  <c r="BY328" i="1"/>
  <c r="BZ300" i="1"/>
  <c r="BY272" i="1"/>
  <c r="BY321" i="1"/>
  <c r="CF335" i="1"/>
  <c r="BY279" i="1"/>
  <c r="BY307" i="1"/>
  <c r="BY335" i="1"/>
  <c r="BV279" i="1"/>
  <c r="BZ293" i="1"/>
  <c r="CF300" i="1"/>
  <c r="CH335" i="1"/>
  <c r="CA272" i="1"/>
  <c r="BV286" i="1"/>
  <c r="BV328" i="1"/>
  <c r="BZ279" i="1"/>
  <c r="BZ335" i="1"/>
  <c r="CF279" i="1"/>
  <c r="BW314" i="1"/>
  <c r="CH307" i="1"/>
  <c r="BV335" i="1"/>
  <c r="CF265" i="1"/>
  <c r="CF307" i="1"/>
  <c r="BV293" i="1"/>
  <c r="BV300" i="1"/>
  <c r="BZ307" i="1"/>
  <c r="AO279" i="1"/>
  <c r="CF328" i="1"/>
  <c r="CD314" i="1"/>
  <c r="BV307" i="1"/>
  <c r="BZ286" i="1"/>
  <c r="BZ328" i="1"/>
  <c r="CE300" i="1"/>
  <c r="CF272" i="1"/>
  <c r="CF321" i="1"/>
  <c r="CH328" i="1"/>
  <c r="CC307" i="1"/>
  <c r="BV314" i="1"/>
  <c r="BZ314" i="1"/>
  <c r="CE265" i="1"/>
  <c r="CE307" i="1"/>
  <c r="CF314" i="1"/>
  <c r="CF293" i="1"/>
  <c r="CF286" i="1"/>
  <c r="CH300" i="1"/>
  <c r="CC314" i="1"/>
  <c r="BV272" i="1"/>
  <c r="BV321" i="1"/>
  <c r="BV265" i="1"/>
  <c r="BZ272" i="1"/>
  <c r="BZ321" i="1"/>
  <c r="BZ265" i="1"/>
  <c r="CG279" i="1"/>
  <c r="CB265" i="1"/>
  <c r="CC293" i="1"/>
  <c r="CE328" i="1"/>
  <c r="CB307" i="1"/>
  <c r="CC279" i="1"/>
  <c r="CC335" i="1"/>
  <c r="CE279" i="1"/>
  <c r="CE335" i="1"/>
  <c r="BW272" i="1"/>
  <c r="BW321" i="1"/>
  <c r="BW265" i="1"/>
  <c r="BW279" i="1"/>
  <c r="BW307" i="1"/>
  <c r="BW335" i="1"/>
  <c r="BW300" i="1"/>
  <c r="BW328" i="1"/>
  <c r="CA321" i="1"/>
  <c r="CG314" i="1"/>
  <c r="CG335" i="1"/>
  <c r="BX335" i="1"/>
  <c r="CC272" i="1"/>
  <c r="CC321" i="1"/>
  <c r="CC265" i="1"/>
  <c r="CE272" i="1"/>
  <c r="CE321" i="1"/>
  <c r="AO300" i="1"/>
  <c r="BX300" i="1"/>
  <c r="CB300" i="1"/>
  <c r="CC286" i="1"/>
  <c r="CC300" i="1"/>
  <c r="CE314" i="1"/>
  <c r="CE293" i="1"/>
  <c r="CE286" i="1"/>
  <c r="CA293" i="1"/>
  <c r="CG307" i="1"/>
  <c r="BX265" i="1"/>
  <c r="BX307" i="1"/>
  <c r="CA265" i="1"/>
  <c r="CA279" i="1"/>
  <c r="CA307" i="1"/>
  <c r="CA335" i="1"/>
  <c r="CB328" i="1"/>
  <c r="CA314" i="1"/>
  <c r="CA286" i="1"/>
  <c r="AN258" i="1"/>
  <c r="BB258" i="1"/>
  <c r="CG293" i="1"/>
  <c r="BX328" i="1"/>
  <c r="CA300" i="1"/>
  <c r="CA328" i="1"/>
  <c r="CB279" i="1"/>
  <c r="CB335" i="1"/>
  <c r="CI321" i="1"/>
  <c r="BM258" i="1"/>
  <c r="BE258" i="1"/>
  <c r="CG286" i="1"/>
  <c r="CG300" i="1"/>
  <c r="CG328" i="1"/>
  <c r="BX314" i="1"/>
  <c r="CB314" i="1"/>
  <c r="CB293" i="1"/>
  <c r="CB286" i="1"/>
  <c r="CG272" i="1"/>
  <c r="CG321" i="1"/>
  <c r="CG265" i="1"/>
  <c r="CB272" i="1"/>
  <c r="CB321" i="1"/>
  <c r="AO265" i="1"/>
  <c r="AO272" i="1"/>
  <c r="AO307" i="1"/>
  <c r="BN258" i="1"/>
  <c r="BK258" i="1"/>
  <c r="BD258" i="1"/>
  <c r="CD272" i="1"/>
  <c r="CD321" i="1"/>
  <c r="CD265" i="1"/>
  <c r="CH272" i="1"/>
  <c r="BJ258" i="1"/>
  <c r="BL258" i="1"/>
  <c r="BG258" i="1"/>
  <c r="AM258" i="1"/>
  <c r="CD293" i="1"/>
  <c r="CD286" i="1"/>
  <c r="CD300" i="1"/>
  <c r="CD328" i="1"/>
  <c r="CH293" i="1"/>
  <c r="CH321" i="1"/>
  <c r="CH265" i="1"/>
  <c r="CH314" i="1"/>
  <c r="BO258" i="1"/>
  <c r="BF258" i="1"/>
  <c r="BC258" i="1"/>
  <c r="CD279" i="1"/>
  <c r="CD307" i="1"/>
  <c r="CD335" i="1"/>
  <c r="CH286" i="1"/>
  <c r="AL258" i="1"/>
  <c r="AT258" i="1"/>
  <c r="BS307" i="1"/>
  <c r="AW258" i="1"/>
  <c r="AU258" i="1"/>
  <c r="AY258" i="1"/>
  <c r="AX258" i="1"/>
  <c r="BS258" i="1"/>
  <c r="AV258" i="1"/>
  <c r="BS300" i="1"/>
  <c r="BS279" i="1"/>
  <c r="BS286" i="1"/>
  <c r="BS314" i="1"/>
  <c r="BS272" i="1"/>
  <c r="BN135" i="1"/>
  <c r="AO335" i="1"/>
  <c r="BS335" i="1"/>
  <c r="CC328" i="1"/>
  <c r="BJ135" i="1"/>
  <c r="BI10" i="1"/>
  <c r="BL135" i="1"/>
  <c r="BI109" i="1"/>
  <c r="AN135" i="1"/>
  <c r="AW293" i="1" l="1"/>
  <c r="BN335" i="1"/>
  <c r="BJ335" i="1"/>
  <c r="CI265" i="1"/>
  <c r="BL314" i="1"/>
  <c r="AO321" i="1"/>
  <c r="BG300" i="1"/>
  <c r="BE300" i="1"/>
  <c r="BF265" i="1"/>
  <c r="BB279" i="1"/>
  <c r="CI307" i="1"/>
  <c r="CR307" i="1" s="1"/>
  <c r="BF300" i="1"/>
  <c r="AY335" i="1"/>
  <c r="AN335" i="1"/>
  <c r="AX335" i="1"/>
  <c r="BC265" i="1"/>
  <c r="BB321" i="1"/>
  <c r="BN279" i="1"/>
  <c r="AT335" i="1"/>
  <c r="BD265" i="1"/>
  <c r="BF279" i="1"/>
  <c r="BC321" i="1"/>
  <c r="AM265" i="1"/>
  <c r="BO335" i="1"/>
  <c r="AW335" i="1"/>
  <c r="AM321" i="1"/>
  <c r="BG265" i="1"/>
  <c r="BF321" i="1"/>
  <c r="AU335" i="1"/>
  <c r="BE321" i="1"/>
  <c r="BM279" i="1"/>
  <c r="BG321" i="1"/>
  <c r="BM335" i="1"/>
  <c r="BK335" i="1"/>
  <c r="BB265" i="1"/>
  <c r="BD321" i="1"/>
  <c r="AM279" i="1"/>
  <c r="BE265" i="1"/>
  <c r="BN286" i="1"/>
  <c r="AV335" i="1"/>
  <c r="AL335" i="1"/>
  <c r="BL335" i="1"/>
  <c r="AL321" i="1"/>
  <c r="BF286" i="1"/>
  <c r="CO279" i="1"/>
  <c r="BI258" i="1"/>
  <c r="BE272" i="1"/>
  <c r="BC293" i="1"/>
  <c r="M335" i="1"/>
  <c r="BM307" i="1"/>
  <c r="AN279" i="1"/>
  <c r="BK307" i="1"/>
  <c r="CI300" i="1"/>
  <c r="CN300" i="1" s="1"/>
  <c r="BO279" i="1"/>
  <c r="BB307" i="1"/>
  <c r="AU265" i="1"/>
  <c r="BB328" i="1"/>
  <c r="J335" i="1"/>
  <c r="BB293" i="1"/>
  <c r="BF307" i="1"/>
  <c r="N335" i="1"/>
  <c r="BD279" i="1"/>
  <c r="BN314" i="1"/>
  <c r="BK286" i="1"/>
  <c r="BJ314" i="1"/>
  <c r="BC300" i="1"/>
  <c r="BC279" i="1"/>
  <c r="AN314" i="1"/>
  <c r="BG328" i="1"/>
  <c r="BM314" i="1"/>
  <c r="BK314" i="1"/>
  <c r="L335" i="1"/>
  <c r="BO314" i="1"/>
  <c r="BJ328" i="1"/>
  <c r="BB300" i="1"/>
  <c r="BD328" i="1"/>
  <c r="BL286" i="1"/>
  <c r="BD300" i="1"/>
  <c r="CI272" i="1"/>
  <c r="BA258" i="1"/>
  <c r="BG335" i="1"/>
  <c r="AM328" i="1"/>
  <c r="BC328" i="1"/>
  <c r="BO307" i="1"/>
  <c r="BG307" i="1"/>
  <c r="BJ286" i="1"/>
  <c r="BF335" i="1"/>
  <c r="AN265" i="1"/>
  <c r="BE307" i="1"/>
  <c r="BN328" i="1"/>
  <c r="BJ279" i="1"/>
  <c r="BB335" i="1"/>
  <c r="BN307" i="1"/>
  <c r="BG279" i="1"/>
  <c r="I335" i="1"/>
  <c r="BM300" i="1"/>
  <c r="AN328" i="1"/>
  <c r="BL279" i="1"/>
  <c r="BF272" i="1"/>
  <c r="BE328" i="1"/>
  <c r="AM300" i="1"/>
  <c r="BF328" i="1"/>
  <c r="BC307" i="1"/>
  <c r="BG293" i="1"/>
  <c r="BF314" i="1"/>
  <c r="BD335" i="1"/>
  <c r="BC335" i="1"/>
  <c r="K335" i="1"/>
  <c r="BE279" i="1"/>
  <c r="AN286" i="1"/>
  <c r="AM307" i="1"/>
  <c r="AI335" i="1"/>
  <c r="AM335" i="1"/>
  <c r="BL307" i="1"/>
  <c r="BD307" i="1"/>
  <c r="AN293" i="1"/>
  <c r="BM286" i="1"/>
  <c r="AN307" i="1"/>
  <c r="BB286" i="1"/>
  <c r="BE286" i="1"/>
  <c r="AM314" i="1"/>
  <c r="BE335" i="1"/>
  <c r="BE314" i="1"/>
  <c r="BX286" i="1"/>
  <c r="BD286" i="1"/>
  <c r="BC286" i="1"/>
  <c r="BJ307" i="1"/>
  <c r="BM265" i="1"/>
  <c r="BN321" i="1"/>
  <c r="BG272" i="1"/>
  <c r="AM293" i="1"/>
  <c r="BD293" i="1"/>
  <c r="BL321" i="1"/>
  <c r="BJ321" i="1"/>
  <c r="BB272" i="1"/>
  <c r="BJ272" i="1"/>
  <c r="BN300" i="1"/>
  <c r="BL328" i="1"/>
  <c r="BO286" i="1"/>
  <c r="BK279" i="1"/>
  <c r="AM272" i="1"/>
  <c r="BO321" i="1"/>
  <c r="BF293" i="1"/>
  <c r="BO328" i="1"/>
  <c r="BG286" i="1"/>
  <c r="AM286" i="1"/>
  <c r="BB314" i="1"/>
  <c r="BE293" i="1"/>
  <c r="BX293" i="1"/>
  <c r="BD272" i="1"/>
  <c r="BK272" i="1"/>
  <c r="BX272" i="1"/>
  <c r="BC272" i="1"/>
  <c r="BN272" i="1"/>
  <c r="BM272" i="1"/>
  <c r="BK300" i="1"/>
  <c r="BK328" i="1"/>
  <c r="BJ265" i="1"/>
  <c r="AN272" i="1"/>
  <c r="BL293" i="1"/>
  <c r="BO300" i="1"/>
  <c r="BC314" i="1"/>
  <c r="BO272" i="1"/>
  <c r="BL272" i="1"/>
  <c r="BG314" i="1"/>
  <c r="BM328" i="1"/>
  <c r="BD314" i="1"/>
  <c r="BO293" i="1"/>
  <c r="BM293" i="1"/>
  <c r="BK265" i="1"/>
  <c r="AN300" i="1"/>
  <c r="BO265" i="1"/>
  <c r="BK321" i="1"/>
  <c r="BJ293" i="1"/>
  <c r="BN265" i="1"/>
  <c r="BN293" i="1"/>
  <c r="AN321" i="1"/>
  <c r="BL265" i="1"/>
  <c r="BL300" i="1"/>
  <c r="BM321" i="1"/>
  <c r="BK293" i="1"/>
  <c r="BJ300" i="1"/>
  <c r="AV272" i="1"/>
  <c r="I321" i="1"/>
  <c r="K272" i="1"/>
  <c r="AT293" i="1"/>
  <c r="AV307" i="1"/>
  <c r="AV300" i="1"/>
  <c r="AU272" i="1"/>
  <c r="AT272" i="1"/>
  <c r="K307" i="1"/>
  <c r="CQ279" i="1"/>
  <c r="N293" i="1"/>
  <c r="AU307" i="1"/>
  <c r="CN279" i="1"/>
  <c r="AT279" i="1"/>
  <c r="AI265" i="1"/>
  <c r="CL279" i="1"/>
  <c r="K293" i="1"/>
  <c r="K279" i="1"/>
  <c r="I279" i="1"/>
  <c r="J279" i="1"/>
  <c r="K265" i="1"/>
  <c r="AT307" i="1"/>
  <c r="BS293" i="1"/>
  <c r="CP279" i="1"/>
  <c r="AW279" i="1"/>
  <c r="M293" i="1"/>
  <c r="N307" i="1"/>
  <c r="AY293" i="1"/>
  <c r="AV265" i="1"/>
  <c r="AW307" i="1"/>
  <c r="I293" i="1"/>
  <c r="M265" i="1"/>
  <c r="I307" i="1"/>
  <c r="AL307" i="1"/>
  <c r="AW314" i="1"/>
  <c r="AY286" i="1"/>
  <c r="AU293" i="1"/>
  <c r="AX293" i="1"/>
  <c r="AY307" i="1"/>
  <c r="L293" i="1"/>
  <c r="AV293" i="1"/>
  <c r="CR279" i="1"/>
  <c r="AW286" i="1"/>
  <c r="N279" i="1"/>
  <c r="AT265" i="1"/>
  <c r="L307" i="1"/>
  <c r="AI279" i="1"/>
  <c r="J293" i="1"/>
  <c r="AW265" i="1"/>
  <c r="J307" i="1"/>
  <c r="M279" i="1"/>
  <c r="AL293" i="1"/>
  <c r="AI307" i="1"/>
  <c r="AX307" i="1"/>
  <c r="M307" i="1"/>
  <c r="AI293" i="1"/>
  <c r="AX279" i="1"/>
  <c r="J321" i="1"/>
  <c r="I300" i="1"/>
  <c r="AU300" i="1"/>
  <c r="AS258" i="1"/>
  <c r="AT328" i="1"/>
  <c r="AL300" i="1"/>
  <c r="I272" i="1"/>
  <c r="AW272" i="1"/>
  <c r="AI300" i="1"/>
  <c r="BS328" i="1"/>
  <c r="M321" i="1"/>
  <c r="AV328" i="1"/>
  <c r="AU321" i="1"/>
  <c r="K321" i="1"/>
  <c r="AY321" i="1"/>
  <c r="N321" i="1"/>
  <c r="AU328" i="1"/>
  <c r="AL272" i="1"/>
  <c r="AW321" i="1"/>
  <c r="J300" i="1"/>
  <c r="AY272" i="1"/>
  <c r="AL328" i="1"/>
  <c r="AI321" i="1"/>
  <c r="L300" i="1"/>
  <c r="K300" i="1"/>
  <c r="AV321" i="1"/>
  <c r="M300" i="1"/>
  <c r="AT321" i="1"/>
  <c r="AX300" i="1"/>
  <c r="N300" i="1"/>
  <c r="AI272" i="1"/>
  <c r="AY328" i="1"/>
  <c r="AX328" i="1"/>
  <c r="BS321" i="1"/>
  <c r="L272" i="1"/>
  <c r="AW328" i="1"/>
  <c r="AX321" i="1"/>
  <c r="AT300" i="1"/>
  <c r="AX272" i="1"/>
  <c r="L321" i="1"/>
  <c r="AY300" i="1"/>
  <c r="AW300" i="1"/>
  <c r="J272" i="1"/>
  <c r="M272" i="1"/>
  <c r="N272" i="1"/>
  <c r="AL265" i="1"/>
  <c r="AU286" i="1"/>
  <c r="AV286" i="1"/>
  <c r="J265" i="1"/>
  <c r="AY265" i="1"/>
  <c r="AX286" i="1"/>
  <c r="AX265" i="1"/>
  <c r="AT286" i="1"/>
  <c r="BS265" i="1"/>
  <c r="L265" i="1"/>
  <c r="I265" i="1"/>
  <c r="N265" i="1"/>
  <c r="AL286" i="1"/>
  <c r="CM279" i="1"/>
  <c r="AU279" i="1"/>
  <c r="AY279" i="1"/>
  <c r="AX314" i="1"/>
  <c r="AU314" i="1"/>
  <c r="AV279" i="1"/>
  <c r="AL314" i="1"/>
  <c r="AL279" i="1"/>
  <c r="L279" i="1"/>
  <c r="AV314" i="1"/>
  <c r="AY314" i="1"/>
  <c r="AT314" i="1"/>
  <c r="BI135" i="1"/>
  <c r="AK321" i="1" l="1"/>
  <c r="CQ307" i="1"/>
  <c r="CO307" i="1"/>
  <c r="CP265" i="1"/>
  <c r="AK300" i="1"/>
  <c r="CP307" i="1"/>
  <c r="CN307" i="1"/>
  <c r="CM307" i="1"/>
  <c r="BA321" i="1"/>
  <c r="CL307" i="1"/>
  <c r="BI335" i="1"/>
  <c r="AS335" i="1"/>
  <c r="BA265" i="1"/>
  <c r="CQ272" i="1"/>
  <c r="BI272" i="1"/>
  <c r="AK335" i="1"/>
  <c r="BA328" i="1"/>
  <c r="CP300" i="1"/>
  <c r="AK279" i="1"/>
  <c r="CM300" i="1"/>
  <c r="CR293" i="1"/>
  <c r="BA279" i="1"/>
  <c r="H335" i="1"/>
  <c r="BI314" i="1"/>
  <c r="CO300" i="1"/>
  <c r="CR300" i="1"/>
  <c r="CQ300" i="1"/>
  <c r="CL300" i="1"/>
  <c r="BA335" i="1"/>
  <c r="BA300" i="1"/>
  <c r="BI307" i="1"/>
  <c r="BI286" i="1"/>
  <c r="BI279" i="1"/>
  <c r="BA286" i="1"/>
  <c r="BA307" i="1"/>
  <c r="AK265" i="1"/>
  <c r="AK272" i="1"/>
  <c r="AK307" i="1"/>
  <c r="BI321" i="1"/>
  <c r="BI265" i="1"/>
  <c r="BA314" i="1"/>
  <c r="BI293" i="1"/>
  <c r="BI328" i="1"/>
  <c r="AK293" i="1"/>
  <c r="BI300" i="1"/>
  <c r="BA272" i="1"/>
  <c r="BA293" i="1"/>
  <c r="CL272" i="1"/>
  <c r="CO272" i="1"/>
  <c r="CR272" i="1"/>
  <c r="CN272" i="1"/>
  <c r="CM272" i="1"/>
  <c r="CP272" i="1"/>
  <c r="CM293" i="1"/>
  <c r="CL265" i="1"/>
  <c r="H307" i="1"/>
  <c r="AS307" i="1"/>
  <c r="CO293" i="1"/>
  <c r="CN293" i="1"/>
  <c r="CP293" i="1"/>
  <c r="CR265" i="1"/>
  <c r="CQ293" i="1"/>
  <c r="CL293" i="1"/>
  <c r="CM265" i="1"/>
  <c r="CQ265" i="1"/>
  <c r="AS272" i="1"/>
  <c r="H293" i="1"/>
  <c r="AS293" i="1"/>
  <c r="AS328" i="1"/>
  <c r="H279" i="1"/>
  <c r="AS286" i="1"/>
  <c r="AS279" i="1"/>
  <c r="H265" i="1"/>
  <c r="H272" i="1"/>
  <c r="AS300" i="1"/>
  <c r="H321" i="1"/>
  <c r="AS321" i="1"/>
  <c r="H300" i="1"/>
  <c r="CO265" i="1"/>
  <c r="AS265" i="1"/>
  <c r="CN265" i="1"/>
  <c r="AS314" i="1"/>
  <c r="CI335" i="1" l="1"/>
  <c r="BX321" i="1"/>
  <c r="O68" i="23"/>
  <c r="Q68" i="23" s="1"/>
  <c r="E159" i="1"/>
  <c r="W32" i="1" s="1"/>
  <c r="R68" i="23" l="1"/>
  <c r="R67" i="23"/>
  <c r="CM321" i="1"/>
  <c r="CO321" i="1"/>
  <c r="CP321" i="1"/>
  <c r="CQ321" i="1"/>
  <c r="CR321" i="1"/>
  <c r="CL321" i="1"/>
  <c r="CN321" i="1"/>
  <c r="CP335" i="1"/>
  <c r="CN335" i="1"/>
  <c r="CQ335" i="1"/>
  <c r="CO335" i="1"/>
  <c r="CR335" i="1"/>
  <c r="CM335" i="1"/>
  <c r="CL335" i="1"/>
  <c r="W239" i="1"/>
  <c r="W33" i="1"/>
  <c r="AM32" i="1" l="1"/>
  <c r="BC32" i="1"/>
  <c r="BG32" i="1"/>
  <c r="BD32" i="1"/>
  <c r="W369" i="1"/>
  <c r="BE32" i="1"/>
  <c r="W208" i="1"/>
  <c r="W219" i="1"/>
  <c r="BF32" i="1"/>
  <c r="W78" i="1"/>
  <c r="BB32" i="1"/>
  <c r="BF136" i="1"/>
  <c r="BF150" i="1" s="1"/>
  <c r="BC136" i="1"/>
  <c r="BC150" i="1" s="1"/>
  <c r="BE136" i="1"/>
  <c r="BE150" i="1" s="1"/>
  <c r="BD136" i="1"/>
  <c r="BD150" i="1" s="1"/>
  <c r="AM136" i="1"/>
  <c r="AM150" i="1" s="1"/>
  <c r="BG136" i="1"/>
  <c r="BG150" i="1" s="1"/>
  <c r="BD33" i="1"/>
  <c r="BG33" i="1"/>
  <c r="AM33" i="1"/>
  <c r="BF33" i="1"/>
  <c r="BC33" i="1"/>
  <c r="BB33" i="1"/>
  <c r="W79" i="1"/>
  <c r="W210" i="1"/>
  <c r="W370" i="1"/>
  <c r="BE33" i="1"/>
  <c r="W221" i="1"/>
  <c r="E158" i="1"/>
  <c r="R32" i="1" s="1"/>
  <c r="W242" i="1"/>
  <c r="BC239" i="1"/>
  <c r="BC242" i="1" s="1"/>
  <c r="BX239" i="1"/>
  <c r="BX242" i="1" s="1"/>
  <c r="AM239" i="1"/>
  <c r="AM242" i="1" s="1"/>
  <c r="BD239" i="1"/>
  <c r="BD242" i="1" s="1"/>
  <c r="BF239" i="1"/>
  <c r="BF242" i="1" s="1"/>
  <c r="BE239" i="1"/>
  <c r="BE242" i="1" s="1"/>
  <c r="BG239" i="1"/>
  <c r="BG242" i="1" s="1"/>
  <c r="BB239" i="1"/>
  <c r="BA33" i="1" l="1"/>
  <c r="BE219" i="1"/>
  <c r="BC219" i="1"/>
  <c r="BG219" i="1"/>
  <c r="BX219" i="1"/>
  <c r="AM219" i="1"/>
  <c r="BD219" i="1"/>
  <c r="BF219" i="1"/>
  <c r="BB219" i="1"/>
  <c r="BC370" i="1"/>
  <c r="AM370" i="1"/>
  <c r="BD370" i="1"/>
  <c r="BF370" i="1"/>
  <c r="BE370" i="1"/>
  <c r="BB370" i="1"/>
  <c r="BG370" i="1"/>
  <c r="BA32" i="1"/>
  <c r="BE208" i="1"/>
  <c r="BC208" i="1"/>
  <c r="AM208" i="1"/>
  <c r="BG208" i="1"/>
  <c r="BX208" i="1"/>
  <c r="BD208" i="1"/>
  <c r="BF208" i="1"/>
  <c r="BB208" i="1"/>
  <c r="BB242" i="1"/>
  <c r="BA239" i="1"/>
  <c r="R239" i="1"/>
  <c r="R33" i="1"/>
  <c r="BF210" i="1"/>
  <c r="BE210" i="1"/>
  <c r="BC210" i="1"/>
  <c r="BX210" i="1"/>
  <c r="BD210" i="1"/>
  <c r="AM210" i="1"/>
  <c r="BG210" i="1"/>
  <c r="BB210" i="1"/>
  <c r="BB136" i="1"/>
  <c r="BF78" i="1"/>
  <c r="AM78" i="1"/>
  <c r="BD78" i="1"/>
  <c r="BC78" i="1"/>
  <c r="BG78" i="1"/>
  <c r="BE78" i="1"/>
  <c r="BB78" i="1"/>
  <c r="BG221" i="1"/>
  <c r="BC221" i="1"/>
  <c r="BX221" i="1"/>
  <c r="BF221" i="1"/>
  <c r="AM221" i="1"/>
  <c r="BE221" i="1"/>
  <c r="BD221" i="1"/>
  <c r="BB221" i="1"/>
  <c r="BE79" i="1"/>
  <c r="BD79" i="1"/>
  <c r="BC79" i="1"/>
  <c r="BG79" i="1"/>
  <c r="AM79" i="1"/>
  <c r="BF79" i="1"/>
  <c r="BB79" i="1"/>
  <c r="AM369" i="1"/>
  <c r="BG369" i="1"/>
  <c r="BD369" i="1"/>
  <c r="BF369" i="1"/>
  <c r="BE369" i="1"/>
  <c r="BC369" i="1"/>
  <c r="BB369" i="1"/>
  <c r="BA242" i="1" l="1"/>
  <c r="BA210" i="1"/>
  <c r="BA208" i="1"/>
  <c r="BA79" i="1"/>
  <c r="AV33" i="1"/>
  <c r="K33" i="1"/>
  <c r="G176" i="31" s="1"/>
  <c r="N33" i="1"/>
  <c r="AL33" i="1"/>
  <c r="AK33" i="1" s="1"/>
  <c r="AI33" i="1"/>
  <c r="L33" i="1"/>
  <c r="H176" i="31" s="1"/>
  <c r="M33" i="1"/>
  <c r="I176" i="31" s="1"/>
  <c r="AX33" i="1"/>
  <c r="J33" i="1"/>
  <c r="F176" i="31" s="1"/>
  <c r="AY33" i="1"/>
  <c r="AU33" i="1"/>
  <c r="AW33" i="1"/>
  <c r="R79" i="1"/>
  <c r="I33" i="1"/>
  <c r="E176" i="31" s="1"/>
  <c r="R210" i="1"/>
  <c r="AT33" i="1"/>
  <c r="R221" i="1"/>
  <c r="R370" i="1"/>
  <c r="BA370" i="1"/>
  <c r="BA369" i="1"/>
  <c r="M32" i="1"/>
  <c r="I175" i="31" s="1"/>
  <c r="L32" i="1"/>
  <c r="H175" i="31" s="1"/>
  <c r="AU32" i="1"/>
  <c r="AI32" i="1"/>
  <c r="J32" i="1"/>
  <c r="F175" i="31" s="1"/>
  <c r="K32" i="1"/>
  <c r="G175" i="31" s="1"/>
  <c r="AX32" i="1"/>
  <c r="AV32" i="1"/>
  <c r="AW32" i="1"/>
  <c r="AY32" i="1"/>
  <c r="R369" i="1"/>
  <c r="N32" i="1"/>
  <c r="R208" i="1"/>
  <c r="AL32" i="1"/>
  <c r="AK32" i="1" s="1"/>
  <c r="AT32" i="1"/>
  <c r="R78" i="1"/>
  <c r="R219" i="1"/>
  <c r="I32" i="1"/>
  <c r="E175" i="31" s="1"/>
  <c r="BB150" i="1"/>
  <c r="BA136" i="1"/>
  <c r="BA150" i="1" s="1"/>
  <c r="AW136" i="1"/>
  <c r="AW150" i="1" s="1"/>
  <c r="AY136" i="1"/>
  <c r="AY150" i="1" s="1"/>
  <c r="AV136" i="1"/>
  <c r="AV150" i="1" s="1"/>
  <c r="AU136" i="1"/>
  <c r="AU150" i="1" s="1"/>
  <c r="AX136" i="1"/>
  <c r="AX150" i="1" s="1"/>
  <c r="BA221" i="1"/>
  <c r="BA78" i="1"/>
  <c r="R242" i="1"/>
  <c r="AI242" i="1" s="1"/>
  <c r="AL239" i="1"/>
  <c r="AI239" i="1"/>
  <c r="N239" i="1"/>
  <c r="J239" i="1"/>
  <c r="BS239" i="1"/>
  <c r="K239" i="1"/>
  <c r="L239" i="1"/>
  <c r="AY239" i="1"/>
  <c r="AY242" i="1" s="1"/>
  <c r="AW239" i="1"/>
  <c r="AW242" i="1" s="1"/>
  <c r="AT239" i="1"/>
  <c r="AX239" i="1"/>
  <c r="AX242" i="1" s="1"/>
  <c r="M239" i="1"/>
  <c r="AV239" i="1"/>
  <c r="AV242" i="1" s="1"/>
  <c r="I239" i="1"/>
  <c r="AU239" i="1"/>
  <c r="AU242" i="1" s="1"/>
  <c r="BA219" i="1"/>
  <c r="J176" i="31" l="1"/>
  <c r="J175" i="31"/>
  <c r="H32" i="1"/>
  <c r="M242" i="1"/>
  <c r="H33" i="4" s="1"/>
  <c r="H295" i="4"/>
  <c r="E295" i="4"/>
  <c r="J242" i="1"/>
  <c r="E33" i="4" s="1"/>
  <c r="I136" i="1"/>
  <c r="I150" i="1" s="1"/>
  <c r="AU78" i="1"/>
  <c r="M78" i="1"/>
  <c r="I211" i="31" s="1"/>
  <c r="AL78" i="1"/>
  <c r="AK78" i="1" s="1"/>
  <c r="N78" i="1"/>
  <c r="AI78" i="1"/>
  <c r="AV78" i="1"/>
  <c r="J78" i="1"/>
  <c r="F211" i="31" s="1"/>
  <c r="AX78" i="1"/>
  <c r="AY78" i="1"/>
  <c r="AW78" i="1"/>
  <c r="K78" i="1"/>
  <c r="G211" i="31" s="1"/>
  <c r="I78" i="1"/>
  <c r="E211" i="31" s="1"/>
  <c r="AT78" i="1"/>
  <c r="L78" i="1"/>
  <c r="H211" i="31" s="1"/>
  <c r="AI210" i="1"/>
  <c r="K210" i="1"/>
  <c r="G54" i="31" s="1"/>
  <c r="L210" i="1"/>
  <c r="H54" i="31" s="1"/>
  <c r="J210" i="1"/>
  <c r="F54" i="31" s="1"/>
  <c r="N210" i="1"/>
  <c r="AX210" i="1"/>
  <c r="AU210" i="1"/>
  <c r="AY210" i="1"/>
  <c r="M210" i="1"/>
  <c r="I54" i="31" s="1"/>
  <c r="AW210" i="1"/>
  <c r="AV210" i="1"/>
  <c r="I210" i="1"/>
  <c r="E54" i="31" s="1"/>
  <c r="AL210" i="1"/>
  <c r="AK210" i="1" s="1"/>
  <c r="BS210" i="1"/>
  <c r="AT210" i="1"/>
  <c r="G295" i="4"/>
  <c r="L242" i="1"/>
  <c r="G33" i="4" s="1"/>
  <c r="I295" i="4"/>
  <c r="N242" i="1"/>
  <c r="I33" i="4" s="1"/>
  <c r="AT136" i="1"/>
  <c r="AS32" i="1"/>
  <c r="L369" i="1"/>
  <c r="H118" i="31" s="1"/>
  <c r="AU369" i="1"/>
  <c r="AX369" i="1"/>
  <c r="K369" i="1"/>
  <c r="G118" i="31" s="1"/>
  <c r="AI369" i="1"/>
  <c r="AW369" i="1"/>
  <c r="AV369" i="1"/>
  <c r="M369" i="1"/>
  <c r="I118" i="31" s="1"/>
  <c r="AY369" i="1"/>
  <c r="J369" i="1"/>
  <c r="F118" i="31" s="1"/>
  <c r="AT369" i="1"/>
  <c r="AL369" i="1"/>
  <c r="AK369" i="1" s="1"/>
  <c r="N369" i="1"/>
  <c r="I369" i="1"/>
  <c r="E118" i="31" s="1"/>
  <c r="AW370" i="1"/>
  <c r="AY370" i="1"/>
  <c r="AV370" i="1"/>
  <c r="AX370" i="1"/>
  <c r="M370" i="1"/>
  <c r="I119" i="31" s="1"/>
  <c r="L370" i="1"/>
  <c r="H119" i="31" s="1"/>
  <c r="AL370" i="1"/>
  <c r="AK370" i="1" s="1"/>
  <c r="K370" i="1"/>
  <c r="G119" i="31" s="1"/>
  <c r="N370" i="1"/>
  <c r="AU370" i="1"/>
  <c r="J370" i="1"/>
  <c r="F119" i="31" s="1"/>
  <c r="AI370" i="1"/>
  <c r="AT370" i="1"/>
  <c r="I370" i="1"/>
  <c r="E119" i="31" s="1"/>
  <c r="H33" i="1"/>
  <c r="I242" i="1"/>
  <c r="D33" i="4" s="1"/>
  <c r="D295" i="4"/>
  <c r="H239" i="1"/>
  <c r="AS239" i="1"/>
  <c r="AT242" i="1"/>
  <c r="K242" i="1"/>
  <c r="F33" i="4" s="1"/>
  <c r="F295" i="4"/>
  <c r="AX221" i="1"/>
  <c r="L221" i="1"/>
  <c r="H65" i="31" s="1"/>
  <c r="AI221" i="1"/>
  <c r="J221" i="1"/>
  <c r="F65" i="31" s="1"/>
  <c r="K221" i="1"/>
  <c r="G65" i="31" s="1"/>
  <c r="AU221" i="1"/>
  <c r="AL221" i="1"/>
  <c r="AK221" i="1" s="1"/>
  <c r="AY221" i="1"/>
  <c r="M221" i="1"/>
  <c r="I65" i="31" s="1"/>
  <c r="AV221" i="1"/>
  <c r="AW221" i="1"/>
  <c r="BS221" i="1"/>
  <c r="AT221" i="1"/>
  <c r="I221" i="1"/>
  <c r="E65" i="31" s="1"/>
  <c r="N221" i="1"/>
  <c r="K79" i="1"/>
  <c r="G212" i="31" s="1"/>
  <c r="L79" i="1"/>
  <c r="H212" i="31" s="1"/>
  <c r="J79" i="1"/>
  <c r="F212" i="31" s="1"/>
  <c r="AI79" i="1"/>
  <c r="N79" i="1"/>
  <c r="M79" i="1"/>
  <c r="I212" i="31" s="1"/>
  <c r="AX79" i="1"/>
  <c r="AU79" i="1"/>
  <c r="AW79" i="1"/>
  <c r="AV79" i="1"/>
  <c r="AL79" i="1"/>
  <c r="AK79" i="1" s="1"/>
  <c r="AY79" i="1"/>
  <c r="I79" i="1"/>
  <c r="E212" i="31" s="1"/>
  <c r="AT79" i="1"/>
  <c r="CL239" i="1"/>
  <c r="BS242" i="1"/>
  <c r="CL242" i="1" s="1"/>
  <c r="CQ239" i="1"/>
  <c r="CQ242" i="1" s="1"/>
  <c r="CO239" i="1"/>
  <c r="CO242" i="1" s="1"/>
  <c r="CP239" i="1"/>
  <c r="CP242" i="1" s="1"/>
  <c r="CN239" i="1"/>
  <c r="CN242" i="1" s="1"/>
  <c r="CR239" i="1"/>
  <c r="CR242" i="1" s="1"/>
  <c r="CM239" i="1"/>
  <c r="CM242" i="1" s="1"/>
  <c r="AL242" i="1"/>
  <c r="AK239" i="1"/>
  <c r="AK136" i="1"/>
  <c r="AK150" i="1" s="1"/>
  <c r="AL136" i="1"/>
  <c r="AL150" i="1" s="1"/>
  <c r="AI219" i="1"/>
  <c r="J219" i="1"/>
  <c r="F63" i="31" s="1"/>
  <c r="AW219" i="1"/>
  <c r="L219" i="1"/>
  <c r="H63" i="31" s="1"/>
  <c r="N219" i="1"/>
  <c r="K219" i="1"/>
  <c r="G63" i="31" s="1"/>
  <c r="AL219" i="1"/>
  <c r="AK219" i="1" s="1"/>
  <c r="AY219" i="1"/>
  <c r="AV219" i="1"/>
  <c r="AU219" i="1"/>
  <c r="AX219" i="1"/>
  <c r="AT219" i="1"/>
  <c r="M219" i="1"/>
  <c r="I63" i="31" s="1"/>
  <c r="BS219" i="1"/>
  <c r="I219" i="1"/>
  <c r="E63" i="31" s="1"/>
  <c r="K208" i="1"/>
  <c r="G52" i="31" s="1"/>
  <c r="AI208" i="1"/>
  <c r="L208" i="1"/>
  <c r="H52" i="31" s="1"/>
  <c r="N208" i="1"/>
  <c r="J208" i="1"/>
  <c r="F52" i="31" s="1"/>
  <c r="AU208" i="1"/>
  <c r="M208" i="1"/>
  <c r="I52" i="31" s="1"/>
  <c r="AX208" i="1"/>
  <c r="AL208" i="1"/>
  <c r="AK208" i="1" s="1"/>
  <c r="AW208" i="1"/>
  <c r="AT208" i="1"/>
  <c r="AV208" i="1"/>
  <c r="I208" i="1"/>
  <c r="E52" i="31" s="1"/>
  <c r="AY208" i="1"/>
  <c r="BS208" i="1"/>
  <c r="AS33" i="1"/>
  <c r="R40" i="1" l="1"/>
  <c r="AV40" i="1" s="1"/>
  <c r="I29" i="1"/>
  <c r="M29" i="1"/>
  <c r="J211" i="31"/>
  <c r="J212" i="31"/>
  <c r="J118" i="31"/>
  <c r="J119" i="31"/>
  <c r="J54" i="31"/>
  <c r="J52" i="31"/>
  <c r="J65" i="31"/>
  <c r="J63" i="31"/>
  <c r="AY29" i="1"/>
  <c r="R217" i="1"/>
  <c r="R28" i="1"/>
  <c r="R207" i="1"/>
  <c r="BS207" i="1" s="1"/>
  <c r="H219" i="1"/>
  <c r="R27" i="1"/>
  <c r="R365" i="1" s="1"/>
  <c r="R76" i="1"/>
  <c r="R218" i="1"/>
  <c r="BS218" i="1" s="1"/>
  <c r="AS369" i="1"/>
  <c r="R367" i="1"/>
  <c r="AL29" i="1"/>
  <c r="CP208" i="1"/>
  <c r="CN208" i="1"/>
  <c r="CQ208" i="1"/>
  <c r="CL208" i="1"/>
  <c r="CO208" i="1"/>
  <c r="CM208" i="1"/>
  <c r="CR208" i="1"/>
  <c r="BR242" i="1"/>
  <c r="BU217" i="1"/>
  <c r="BU218" i="1"/>
  <c r="BU207" i="1"/>
  <c r="H221" i="1"/>
  <c r="AS242" i="1"/>
  <c r="H208" i="1"/>
  <c r="AS219" i="1"/>
  <c r="AK242" i="1"/>
  <c r="H79" i="1"/>
  <c r="CO221" i="1"/>
  <c r="CL221" i="1"/>
  <c r="CM221" i="1"/>
  <c r="CN221" i="1"/>
  <c r="CP221" i="1"/>
  <c r="CQ221" i="1"/>
  <c r="CR221" i="1"/>
  <c r="C295" i="4"/>
  <c r="AS370" i="1"/>
  <c r="AI29" i="1"/>
  <c r="AX29" i="1"/>
  <c r="CP210" i="1"/>
  <c r="CO210" i="1"/>
  <c r="CQ210" i="1"/>
  <c r="CL210" i="1"/>
  <c r="CN210" i="1"/>
  <c r="CM210" i="1"/>
  <c r="CR210" i="1"/>
  <c r="H78" i="1"/>
  <c r="BE29" i="1"/>
  <c r="BF29" i="1"/>
  <c r="BD29" i="1"/>
  <c r="BC29" i="1"/>
  <c r="BG29" i="1"/>
  <c r="AM29" i="1"/>
  <c r="W207" i="1"/>
  <c r="W40" i="1"/>
  <c r="W217" i="1"/>
  <c r="W76" i="1"/>
  <c r="W28" i="1"/>
  <c r="W367" i="1"/>
  <c r="BB29" i="1"/>
  <c r="W27" i="1"/>
  <c r="W218" i="1"/>
  <c r="AS208" i="1"/>
  <c r="CM219" i="1"/>
  <c r="CQ219" i="1"/>
  <c r="CP219" i="1"/>
  <c r="CL219" i="1"/>
  <c r="CN219" i="1"/>
  <c r="CO219" i="1"/>
  <c r="CR219" i="1"/>
  <c r="K29" i="1"/>
  <c r="AT29" i="1"/>
  <c r="AV29" i="1"/>
  <c r="AW29" i="1"/>
  <c r="H210" i="1"/>
  <c r="AS79" i="1"/>
  <c r="AS221" i="1"/>
  <c r="H242" i="1"/>
  <c r="C33" i="4" s="1"/>
  <c r="H370" i="1"/>
  <c r="H369" i="1"/>
  <c r="AS136" i="1"/>
  <c r="AS150" i="1" s="1"/>
  <c r="AT150" i="1"/>
  <c r="J29" i="1"/>
  <c r="L29" i="1"/>
  <c r="N29" i="1"/>
  <c r="AU29" i="1"/>
  <c r="AS210" i="1"/>
  <c r="AS78" i="1"/>
  <c r="R86" i="1" l="1"/>
  <c r="R377" i="1"/>
  <c r="AX377" i="1" s="1"/>
  <c r="G174" i="31"/>
  <c r="H174" i="31"/>
  <c r="I174" i="31"/>
  <c r="F174" i="31"/>
  <c r="E174" i="31"/>
  <c r="AY28" i="1"/>
  <c r="AT40" i="1"/>
  <c r="AU76" i="1"/>
  <c r="AV28" i="1"/>
  <c r="AU40" i="1"/>
  <c r="AX28" i="1"/>
  <c r="R75" i="1"/>
  <c r="AU217" i="1"/>
  <c r="N40" i="1"/>
  <c r="M40" i="1"/>
  <c r="I183" i="31" s="1"/>
  <c r="AY367" i="1"/>
  <c r="AW76" i="1"/>
  <c r="J217" i="1"/>
  <c r="AY27" i="1"/>
  <c r="J207" i="1"/>
  <c r="F51" i="31" s="1"/>
  <c r="AW217" i="1"/>
  <c r="AT217" i="1"/>
  <c r="R74" i="1"/>
  <c r="AX367" i="1"/>
  <c r="AX76" i="1"/>
  <c r="AX217" i="1"/>
  <c r="M207" i="1"/>
  <c r="I51" i="31" s="1"/>
  <c r="BS217" i="1"/>
  <c r="AU207" i="1"/>
  <c r="AX27" i="1"/>
  <c r="AW28" i="1"/>
  <c r="AI207" i="1"/>
  <c r="AL76" i="1"/>
  <c r="AL367" i="1"/>
  <c r="I207" i="1"/>
  <c r="E51" i="31" s="1"/>
  <c r="AT76" i="1"/>
  <c r="AV367" i="1"/>
  <c r="AL40" i="1"/>
  <c r="K217" i="1"/>
  <c r="R41" i="1"/>
  <c r="R216" i="1" s="1"/>
  <c r="M28" i="1"/>
  <c r="I173" i="31" s="1"/>
  <c r="N207" i="1"/>
  <c r="R366" i="1"/>
  <c r="AV27" i="1"/>
  <c r="AI40" i="1"/>
  <c r="K40" i="1"/>
  <c r="G183" i="31" s="1"/>
  <c r="AY40" i="1"/>
  <c r="AX40" i="1"/>
  <c r="AI217" i="1"/>
  <c r="N27" i="1"/>
  <c r="I27" i="1"/>
  <c r="E172" i="31" s="1"/>
  <c r="AW27" i="1"/>
  <c r="AL28" i="1"/>
  <c r="AU28" i="1"/>
  <c r="J28" i="1"/>
  <c r="F173" i="31" s="1"/>
  <c r="AY76" i="1"/>
  <c r="AV76" i="1"/>
  <c r="AU367" i="1"/>
  <c r="AW367" i="1"/>
  <c r="K28" i="1"/>
  <c r="G173" i="31" s="1"/>
  <c r="I40" i="1"/>
  <c r="E183" i="31" s="1"/>
  <c r="AW40" i="1"/>
  <c r="I217" i="1"/>
  <c r="K27" i="1"/>
  <c r="G172" i="31" s="1"/>
  <c r="J27" i="1"/>
  <c r="F172" i="31" s="1"/>
  <c r="M27" i="1"/>
  <c r="AI76" i="1"/>
  <c r="AK29" i="1"/>
  <c r="N28" i="1"/>
  <c r="AT28" i="1"/>
  <c r="AT367" i="1"/>
  <c r="BC367" i="1"/>
  <c r="AM367" i="1"/>
  <c r="BF367" i="1"/>
  <c r="BG367" i="1"/>
  <c r="BE367" i="1"/>
  <c r="BD367" i="1"/>
  <c r="BB367" i="1"/>
  <c r="BF40" i="1"/>
  <c r="BG40" i="1"/>
  <c r="BC40" i="1"/>
  <c r="BD40" i="1"/>
  <c r="W86" i="1"/>
  <c r="BE40" i="1"/>
  <c r="W377" i="1"/>
  <c r="AM40" i="1"/>
  <c r="BB40" i="1"/>
  <c r="I76" i="1"/>
  <c r="E210" i="31" s="1"/>
  <c r="J76" i="1"/>
  <c r="F210" i="31" s="1"/>
  <c r="N367" i="1"/>
  <c r="K367" i="1"/>
  <c r="G116" i="31" s="1"/>
  <c r="I218" i="1"/>
  <c r="E61" i="31" s="1"/>
  <c r="AU218" i="1"/>
  <c r="J218" i="1"/>
  <c r="F61" i="31" s="1"/>
  <c r="AW218" i="1"/>
  <c r="H29" i="1"/>
  <c r="AS29" i="1"/>
  <c r="J40" i="1"/>
  <c r="F183" i="31" s="1"/>
  <c r="AL217" i="1"/>
  <c r="L217" i="1"/>
  <c r="AL207" i="1"/>
  <c r="AX207" i="1"/>
  <c r="AW207" i="1"/>
  <c r="AY207" i="1"/>
  <c r="AL27" i="1"/>
  <c r="AT27" i="1"/>
  <c r="BE218" i="1"/>
  <c r="BF218" i="1"/>
  <c r="BD218" i="1"/>
  <c r="BG218" i="1"/>
  <c r="BC218" i="1"/>
  <c r="AM218" i="1"/>
  <c r="BX218" i="1"/>
  <c r="CN218" i="1" s="1"/>
  <c r="BB218" i="1"/>
  <c r="AM28" i="1"/>
  <c r="BD28" i="1"/>
  <c r="BC28" i="1"/>
  <c r="BG28" i="1"/>
  <c r="BF28" i="1"/>
  <c r="BE28" i="1"/>
  <c r="W75" i="1"/>
  <c r="W366" i="1"/>
  <c r="BB28" i="1"/>
  <c r="BC207" i="1"/>
  <c r="BG207" i="1"/>
  <c r="BF207" i="1"/>
  <c r="BE207" i="1"/>
  <c r="AM207" i="1"/>
  <c r="BD207" i="1"/>
  <c r="BX207" i="1"/>
  <c r="CO207" i="1" s="1"/>
  <c r="BB207" i="1"/>
  <c r="I28" i="1"/>
  <c r="E173" i="31" s="1"/>
  <c r="M367" i="1"/>
  <c r="I116" i="31" s="1"/>
  <c r="AV86" i="1"/>
  <c r="AV218" i="1"/>
  <c r="AL218" i="1"/>
  <c r="M218" i="1"/>
  <c r="I61" i="31" s="1"/>
  <c r="N218" i="1"/>
  <c r="AM27" i="1"/>
  <c r="BC27" i="1"/>
  <c r="BD27" i="1"/>
  <c r="BE27" i="1"/>
  <c r="BF27" i="1"/>
  <c r="BB27" i="1"/>
  <c r="BG27" i="1"/>
  <c r="W74" i="1"/>
  <c r="W365" i="1"/>
  <c r="W41" i="1"/>
  <c r="W109" i="1" s="1"/>
  <c r="AM109" i="1" s="1"/>
  <c r="BD76" i="1"/>
  <c r="BG76" i="1"/>
  <c r="BE76" i="1"/>
  <c r="BC76" i="1"/>
  <c r="AM76" i="1"/>
  <c r="BF76" i="1"/>
  <c r="BB76" i="1"/>
  <c r="N76" i="1"/>
  <c r="L76" i="1"/>
  <c r="H210" i="31" s="1"/>
  <c r="I367" i="1"/>
  <c r="E116" i="31" s="1"/>
  <c r="AI367" i="1"/>
  <c r="AT218" i="1"/>
  <c r="AI218" i="1"/>
  <c r="K218" i="1"/>
  <c r="G61" i="31" s="1"/>
  <c r="AX218" i="1"/>
  <c r="L40" i="1"/>
  <c r="H183" i="31" s="1"/>
  <c r="N217" i="1"/>
  <c r="AV217" i="1"/>
  <c r="M217" i="1"/>
  <c r="AY217" i="1"/>
  <c r="AT207" i="1"/>
  <c r="L207" i="1"/>
  <c r="H51" i="31" s="1"/>
  <c r="K207" i="1"/>
  <c r="G51" i="31" s="1"/>
  <c r="AV207" i="1"/>
  <c r="L27" i="1"/>
  <c r="H172" i="31" s="1"/>
  <c r="AU27" i="1"/>
  <c r="AI27" i="1"/>
  <c r="BA29" i="1"/>
  <c r="BD217" i="1"/>
  <c r="BC217" i="1"/>
  <c r="BE217" i="1"/>
  <c r="BF217" i="1"/>
  <c r="AM217" i="1"/>
  <c r="BB217" i="1"/>
  <c r="BG217" i="1"/>
  <c r="BX217" i="1"/>
  <c r="AI28" i="1"/>
  <c r="L28" i="1"/>
  <c r="H173" i="31" s="1"/>
  <c r="M76" i="1"/>
  <c r="I210" i="31" s="1"/>
  <c r="K76" i="1"/>
  <c r="G210" i="31" s="1"/>
  <c r="L367" i="1"/>
  <c r="H116" i="31" s="1"/>
  <c r="J367" i="1"/>
  <c r="F116" i="31" s="1"/>
  <c r="AY218" i="1"/>
  <c r="L218" i="1"/>
  <c r="H61" i="31" s="1"/>
  <c r="E184" i="31" l="1"/>
  <c r="R378" i="1"/>
  <c r="J174" i="31"/>
  <c r="I172" i="31"/>
  <c r="I184" i="31" s="1"/>
  <c r="M41" i="1"/>
  <c r="BN42" i="1" s="1"/>
  <c r="G184" i="31"/>
  <c r="F184" i="31"/>
  <c r="J210" i="31"/>
  <c r="J173" i="31"/>
  <c r="H184" i="31"/>
  <c r="J183" i="31"/>
  <c r="J116" i="31"/>
  <c r="J61" i="31"/>
  <c r="J51" i="31"/>
  <c r="CL218" i="1"/>
  <c r="AY41" i="1"/>
  <c r="CM218" i="1"/>
  <c r="CM217" i="1"/>
  <c r="R109" i="1"/>
  <c r="CP218" i="1"/>
  <c r="R87" i="1"/>
  <c r="R89" i="1" s="1"/>
  <c r="AI86" i="1"/>
  <c r="AS28" i="1"/>
  <c r="AX41" i="1"/>
  <c r="AV41" i="1"/>
  <c r="I86" i="1"/>
  <c r="E219" i="31" s="1"/>
  <c r="I41" i="1"/>
  <c r="BJ42" i="1" s="1"/>
  <c r="AX74" i="1"/>
  <c r="AI74" i="1"/>
  <c r="AK76" i="1"/>
  <c r="AY366" i="1"/>
  <c r="AI75" i="1"/>
  <c r="N41" i="1"/>
  <c r="AY42" i="1" s="1"/>
  <c r="AT86" i="1"/>
  <c r="AK28" i="1"/>
  <c r="AL74" i="1"/>
  <c r="AK40" i="1"/>
  <c r="CR218" i="1"/>
  <c r="M75" i="1"/>
  <c r="I209" i="31" s="1"/>
  <c r="AT74" i="1"/>
  <c r="AU377" i="1"/>
  <c r="N365" i="1"/>
  <c r="L377" i="1"/>
  <c r="H126" i="31" s="1"/>
  <c r="AK367" i="1"/>
  <c r="CO218" i="1"/>
  <c r="CQ218" i="1"/>
  <c r="AV74" i="1"/>
  <c r="AU75" i="1"/>
  <c r="AU41" i="1"/>
  <c r="AW86" i="1"/>
  <c r="AX365" i="1"/>
  <c r="AS76" i="1"/>
  <c r="CR217" i="1"/>
  <c r="R10" i="1"/>
  <c r="AS217" i="1"/>
  <c r="AY86" i="1"/>
  <c r="I377" i="1"/>
  <c r="E126" i="31" s="1"/>
  <c r="AS367" i="1"/>
  <c r="J41" i="1"/>
  <c r="J43" i="1" s="1"/>
  <c r="R43" i="1"/>
  <c r="R224" i="1"/>
  <c r="BS224" i="1" s="1"/>
  <c r="M365" i="1"/>
  <c r="I114" i="31" s="1"/>
  <c r="R424" i="1"/>
  <c r="R346" i="1"/>
  <c r="R398" i="1"/>
  <c r="BC41" i="1"/>
  <c r="AY74" i="1"/>
  <c r="AW365" i="1"/>
  <c r="J365" i="1"/>
  <c r="F114" i="31" s="1"/>
  <c r="AT377" i="1"/>
  <c r="K41" i="1"/>
  <c r="BL42" i="1" s="1"/>
  <c r="N75" i="1"/>
  <c r="R205" i="1"/>
  <c r="BS205" i="1" s="1"/>
  <c r="K365" i="1"/>
  <c r="G114" i="31" s="1"/>
  <c r="AW74" i="1"/>
  <c r="AU74" i="1"/>
  <c r="N377" i="1"/>
  <c r="L366" i="1"/>
  <c r="H115" i="31" s="1"/>
  <c r="AU366" i="1"/>
  <c r="AI366" i="1"/>
  <c r="BA218" i="1"/>
  <c r="CL217" i="1"/>
  <c r="AT75" i="1"/>
  <c r="AL75" i="1"/>
  <c r="H40" i="1"/>
  <c r="AX86" i="1"/>
  <c r="BF41" i="1"/>
  <c r="I366" i="1"/>
  <c r="E115" i="31" s="1"/>
  <c r="M366" i="1"/>
  <c r="I115" i="31" s="1"/>
  <c r="H217" i="1"/>
  <c r="AL377" i="1"/>
  <c r="AI377" i="1"/>
  <c r="AT366" i="1"/>
  <c r="AS207" i="1"/>
  <c r="L75" i="1"/>
  <c r="H209" i="31" s="1"/>
  <c r="AV75" i="1"/>
  <c r="H207" i="1"/>
  <c r="AS40" i="1"/>
  <c r="BE41" i="1"/>
  <c r="L86" i="1"/>
  <c r="H219" i="31" s="1"/>
  <c r="AW366" i="1"/>
  <c r="J366" i="1"/>
  <c r="F115" i="31" s="1"/>
  <c r="CQ217" i="1"/>
  <c r="AW41" i="1"/>
  <c r="BS216" i="1"/>
  <c r="W224" i="1"/>
  <c r="W398" i="1"/>
  <c r="W346" i="1"/>
  <c r="W216" i="1"/>
  <c r="W10" i="1"/>
  <c r="W205" i="1"/>
  <c r="W43" i="1"/>
  <c r="W424" i="1"/>
  <c r="BB41" i="1"/>
  <c r="BA27" i="1"/>
  <c r="I74" i="1"/>
  <c r="E208" i="31" s="1"/>
  <c r="M74" i="1"/>
  <c r="I208" i="31" s="1"/>
  <c r="H218" i="1"/>
  <c r="CN207" i="1"/>
  <c r="CL207" i="1"/>
  <c r="J75" i="1"/>
  <c r="F209" i="31" s="1"/>
  <c r="I75" i="1"/>
  <c r="E209" i="31" s="1"/>
  <c r="K75" i="1"/>
  <c r="G209" i="31" s="1"/>
  <c r="AY75" i="1"/>
  <c r="BA217" i="1"/>
  <c r="K86" i="1"/>
  <c r="G219" i="31" s="1"/>
  <c r="AU86" i="1"/>
  <c r="N86" i="1"/>
  <c r="J86" i="1"/>
  <c r="F219" i="31" s="1"/>
  <c r="AS218" i="1"/>
  <c r="H367" i="1"/>
  <c r="BA76" i="1"/>
  <c r="W378" i="1"/>
  <c r="BD365" i="1"/>
  <c r="BB365" i="1"/>
  <c r="BC365" i="1"/>
  <c r="AM365" i="1"/>
  <c r="BF365" i="1"/>
  <c r="BG365" i="1"/>
  <c r="BE365" i="1"/>
  <c r="AM41" i="1"/>
  <c r="AK218" i="1"/>
  <c r="AV366" i="1"/>
  <c r="K366" i="1"/>
  <c r="G115" i="31" s="1"/>
  <c r="BA207" i="1"/>
  <c r="BA28" i="1"/>
  <c r="N74" i="1"/>
  <c r="J74" i="1"/>
  <c r="F208" i="31" s="1"/>
  <c r="AT365" i="1"/>
  <c r="L365" i="1"/>
  <c r="H114" i="31" s="1"/>
  <c r="AU365" i="1"/>
  <c r="AI365" i="1"/>
  <c r="AK207" i="1"/>
  <c r="CP217" i="1"/>
  <c r="CN217" i="1"/>
  <c r="J377" i="1"/>
  <c r="F126" i="31" s="1"/>
  <c r="AV377" i="1"/>
  <c r="K377" i="1"/>
  <c r="G126" i="31" s="1"/>
  <c r="AY377" i="1"/>
  <c r="BU224" i="1"/>
  <c r="AW216" i="1"/>
  <c r="BA40" i="1"/>
  <c r="BD86" i="1"/>
  <c r="BC86" i="1"/>
  <c r="AM86" i="1"/>
  <c r="BE86" i="1"/>
  <c r="BG86" i="1"/>
  <c r="BB86" i="1"/>
  <c r="BF86" i="1"/>
  <c r="CR207" i="1"/>
  <c r="CQ207" i="1"/>
  <c r="L41" i="1"/>
  <c r="BF74" i="1"/>
  <c r="W87" i="1"/>
  <c r="BG74" i="1"/>
  <c r="BB74" i="1"/>
  <c r="BC74" i="1"/>
  <c r="AM74" i="1"/>
  <c r="BE74" i="1"/>
  <c r="BD74" i="1"/>
  <c r="H28" i="1"/>
  <c r="BD366" i="1"/>
  <c r="BF366" i="1"/>
  <c r="BC366" i="1"/>
  <c r="AM366" i="1"/>
  <c r="BE366" i="1"/>
  <c r="BG366" i="1"/>
  <c r="BB366" i="1"/>
  <c r="AT41" i="1"/>
  <c r="AS27" i="1"/>
  <c r="K74" i="1"/>
  <c r="G208" i="31" s="1"/>
  <c r="AK217" i="1"/>
  <c r="BA367" i="1"/>
  <c r="CP207" i="1"/>
  <c r="CM207" i="1"/>
  <c r="AW75" i="1"/>
  <c r="AX75" i="1"/>
  <c r="AI41" i="1"/>
  <c r="AL86" i="1"/>
  <c r="M86" i="1"/>
  <c r="I219" i="31" s="1"/>
  <c r="BG41" i="1"/>
  <c r="BD41" i="1"/>
  <c r="H27" i="1"/>
  <c r="AX366" i="1"/>
  <c r="N366" i="1"/>
  <c r="AL366" i="1"/>
  <c r="BG75" i="1"/>
  <c r="BF75" i="1"/>
  <c r="AM75" i="1"/>
  <c r="BE75" i="1"/>
  <c r="BC75" i="1"/>
  <c r="BB75" i="1"/>
  <c r="BD75" i="1"/>
  <c r="AL41" i="1"/>
  <c r="AK27" i="1"/>
  <c r="L74" i="1"/>
  <c r="H208" i="31" s="1"/>
  <c r="I365" i="1"/>
  <c r="E114" i="31" s="1"/>
  <c r="E127" i="31" s="1"/>
  <c r="AL365" i="1"/>
  <c r="AY365" i="1"/>
  <c r="AV365" i="1"/>
  <c r="CO217" i="1"/>
  <c r="M377" i="1"/>
  <c r="I126" i="31" s="1"/>
  <c r="AW377" i="1"/>
  <c r="H76" i="1"/>
  <c r="BG377" i="1"/>
  <c r="BE377" i="1"/>
  <c r="AM377" i="1"/>
  <c r="BF377" i="1"/>
  <c r="BD377" i="1"/>
  <c r="BC377" i="1"/>
  <c r="BB377" i="1"/>
  <c r="AX109" i="1" l="1"/>
  <c r="J109" i="1"/>
  <c r="F234" i="31" s="1"/>
  <c r="AT109" i="1"/>
  <c r="AU109" i="1"/>
  <c r="L109" i="1"/>
  <c r="K109" i="1"/>
  <c r="G234" i="31" s="1"/>
  <c r="AV109" i="1"/>
  <c r="I109" i="1"/>
  <c r="E234" i="31" s="1"/>
  <c r="AW109" i="1"/>
  <c r="M109" i="1"/>
  <c r="AL109" i="1"/>
  <c r="AK109" i="1" s="1"/>
  <c r="J172" i="31"/>
  <c r="J184" i="31" s="1"/>
  <c r="H127" i="31"/>
  <c r="H220" i="31"/>
  <c r="G220" i="31"/>
  <c r="J209" i="31"/>
  <c r="F220" i="31"/>
  <c r="J219" i="31"/>
  <c r="I220" i="31"/>
  <c r="E220" i="31"/>
  <c r="J208" i="31"/>
  <c r="G127" i="31"/>
  <c r="J126" i="31"/>
  <c r="J114" i="31"/>
  <c r="J115" i="31"/>
  <c r="I127" i="31"/>
  <c r="F127" i="31"/>
  <c r="AT424" i="1"/>
  <c r="M43" i="1"/>
  <c r="BK42" i="1"/>
  <c r="E7" i="4"/>
  <c r="AY87" i="1"/>
  <c r="AY109" i="1"/>
  <c r="AS74" i="1"/>
  <c r="N43" i="1"/>
  <c r="AW346" i="1"/>
  <c r="BG42" i="1"/>
  <c r="BO42" i="1"/>
  <c r="I7" i="4"/>
  <c r="I43" i="1"/>
  <c r="AT42" i="1"/>
  <c r="AI378" i="1"/>
  <c r="D7" i="4"/>
  <c r="BB42" i="1"/>
  <c r="K378" i="1"/>
  <c r="F41" i="4" s="1"/>
  <c r="AV87" i="1"/>
  <c r="AK86" i="1"/>
  <c r="L224" i="1"/>
  <c r="H68" i="31" s="1"/>
  <c r="AW424" i="1"/>
  <c r="AV42" i="1"/>
  <c r="AK41" i="1"/>
  <c r="L346" i="1"/>
  <c r="AY224" i="1"/>
  <c r="AX42" i="1"/>
  <c r="H7" i="4"/>
  <c r="AW378" i="1"/>
  <c r="AY378" i="1"/>
  <c r="AK75" i="1"/>
  <c r="N378" i="1"/>
  <c r="I41" i="4" s="1"/>
  <c r="AK74" i="1"/>
  <c r="BF42" i="1"/>
  <c r="H41" i="1"/>
  <c r="J42" i="1" s="1"/>
  <c r="K424" i="1"/>
  <c r="G11" i="31" s="1"/>
  <c r="AW87" i="1"/>
  <c r="AT224" i="1"/>
  <c r="AU424" i="1"/>
  <c r="L378" i="1"/>
  <c r="G41" i="4" s="1"/>
  <c r="AS86" i="1"/>
  <c r="M87" i="1"/>
  <c r="BC42" i="1"/>
  <c r="K43" i="1"/>
  <c r="AW398" i="1"/>
  <c r="H86" i="1"/>
  <c r="AT87" i="1"/>
  <c r="K346" i="1"/>
  <c r="AU42" i="1"/>
  <c r="AX378" i="1"/>
  <c r="AY424" i="1"/>
  <c r="AV224" i="1"/>
  <c r="AU224" i="1"/>
  <c r="R116" i="1"/>
  <c r="AW224" i="1"/>
  <c r="AW225" i="1" s="1"/>
  <c r="AU378" i="1"/>
  <c r="AX424" i="1"/>
  <c r="F7" i="4"/>
  <c r="BD42" i="1"/>
  <c r="AI346" i="1"/>
  <c r="AL424" i="1"/>
  <c r="J424" i="1"/>
  <c r="F11" i="31" s="1"/>
  <c r="I224" i="1"/>
  <c r="E68" i="31" s="1"/>
  <c r="AI224" i="1"/>
  <c r="M224" i="1"/>
  <c r="I68" i="31" s="1"/>
  <c r="L10" i="1"/>
  <c r="R225" i="1"/>
  <c r="R213" i="1" s="1"/>
  <c r="M378" i="1"/>
  <c r="H41" i="4" s="1"/>
  <c r="AT346" i="1"/>
  <c r="AV424" i="1"/>
  <c r="AX87" i="1"/>
  <c r="AX224" i="1"/>
  <c r="AL224" i="1"/>
  <c r="AI43" i="1"/>
  <c r="AI424" i="1"/>
  <c r="J224" i="1"/>
  <c r="F68" i="31" s="1"/>
  <c r="H366" i="1"/>
  <c r="BG378" i="1"/>
  <c r="M10" i="1"/>
  <c r="AU216" i="1"/>
  <c r="BA377" i="1"/>
  <c r="AK377" i="1"/>
  <c r="AV378" i="1"/>
  <c r="L424" i="1"/>
  <c r="H11" i="31" s="1"/>
  <c r="K205" i="1"/>
  <c r="G48" i="31" s="1"/>
  <c r="H377" i="1"/>
  <c r="AU87" i="1"/>
  <c r="BF378" i="1"/>
  <c r="I10" i="1"/>
  <c r="N10" i="1"/>
  <c r="J216" i="1"/>
  <c r="F60" i="31" s="1"/>
  <c r="H234" i="31"/>
  <c r="AL216" i="1"/>
  <c r="L87" i="1"/>
  <c r="G14" i="4" s="1"/>
  <c r="BA75" i="1"/>
  <c r="N424" i="1"/>
  <c r="AS41" i="1"/>
  <c r="BE87" i="1"/>
  <c r="BG87" i="1"/>
  <c r="N109" i="1"/>
  <c r="I398" i="1"/>
  <c r="E140" i="31" s="1"/>
  <c r="J398" i="1"/>
  <c r="F140" i="31" s="1"/>
  <c r="AI398" i="1"/>
  <c r="AT205" i="1"/>
  <c r="N346" i="1"/>
  <c r="AS377" i="1"/>
  <c r="W89" i="1"/>
  <c r="W116" i="1" s="1"/>
  <c r="BA86" i="1"/>
  <c r="I378" i="1"/>
  <c r="H365" i="1"/>
  <c r="M346" i="1"/>
  <c r="AU346" i="1"/>
  <c r="J378" i="1"/>
  <c r="BD87" i="1"/>
  <c r="BB87" i="1"/>
  <c r="BA74" i="1"/>
  <c r="AS365" i="1"/>
  <c r="AT378" i="1"/>
  <c r="BE378" i="1"/>
  <c r="BC378" i="1"/>
  <c r="AW10" i="1"/>
  <c r="AL10" i="1"/>
  <c r="AV10" i="1"/>
  <c r="H75" i="1"/>
  <c r="BA41" i="1"/>
  <c r="BX205" i="1"/>
  <c r="BC205" i="1"/>
  <c r="BD205" i="1"/>
  <c r="AM205" i="1"/>
  <c r="BE205" i="1"/>
  <c r="BB205" i="1"/>
  <c r="BG205" i="1"/>
  <c r="BF205" i="1"/>
  <c r="BF398" i="1"/>
  <c r="BC398" i="1"/>
  <c r="BD398" i="1"/>
  <c r="AM398" i="1"/>
  <c r="BG398" i="1"/>
  <c r="BE398" i="1"/>
  <c r="BB398" i="1"/>
  <c r="K398" i="1"/>
  <c r="G140" i="31" s="1"/>
  <c r="AX398" i="1"/>
  <c r="N398" i="1"/>
  <c r="AV398" i="1"/>
  <c r="L216" i="1"/>
  <c r="H60" i="31" s="1"/>
  <c r="AY216" i="1"/>
  <c r="AI216" i="1"/>
  <c r="AX205" i="1"/>
  <c r="AW205" i="1"/>
  <c r="I205" i="1"/>
  <c r="E48" i="31" s="1"/>
  <c r="AL87" i="1"/>
  <c r="AS75" i="1"/>
  <c r="BU205" i="1"/>
  <c r="BA365" i="1"/>
  <c r="BB378" i="1"/>
  <c r="AS366" i="1"/>
  <c r="BE10" i="1"/>
  <c r="BG10" i="1"/>
  <c r="BD10" i="1"/>
  <c r="BC10" i="1"/>
  <c r="BF10" i="1"/>
  <c r="BB10" i="1"/>
  <c r="AM10" i="1"/>
  <c r="BF109" i="1"/>
  <c r="BD109" i="1"/>
  <c r="BC109" i="1"/>
  <c r="BG109" i="1"/>
  <c r="BE109" i="1"/>
  <c r="BB109" i="1"/>
  <c r="M398" i="1"/>
  <c r="I140" i="31" s="1"/>
  <c r="L205" i="1"/>
  <c r="H48" i="31" s="1"/>
  <c r="J346" i="1"/>
  <c r="AV346" i="1"/>
  <c r="AM87" i="1"/>
  <c r="AW401" i="1"/>
  <c r="BU216" i="1"/>
  <c r="J87" i="1"/>
  <c r="BD378" i="1"/>
  <c r="AI109" i="1"/>
  <c r="K10" i="1"/>
  <c r="J10" i="1"/>
  <c r="H74" i="1"/>
  <c r="I87" i="1"/>
  <c r="AM424" i="1"/>
  <c r="BG424" i="1"/>
  <c r="BF424" i="1"/>
  <c r="BD424" i="1"/>
  <c r="BB424" i="1"/>
  <c r="BC424" i="1"/>
  <c r="BE424" i="1"/>
  <c r="BE216" i="1"/>
  <c r="W225" i="1"/>
  <c r="W213" i="1" s="1"/>
  <c r="BX216" i="1"/>
  <c r="AM216" i="1"/>
  <c r="BG216" i="1"/>
  <c r="BB216" i="1"/>
  <c r="BD216" i="1"/>
  <c r="BC216" i="1"/>
  <c r="BF216" i="1"/>
  <c r="BX224" i="1"/>
  <c r="CQ224" i="1" s="1"/>
  <c r="AM224" i="1"/>
  <c r="BF224" i="1"/>
  <c r="BG224" i="1"/>
  <c r="BC224" i="1"/>
  <c r="BE224" i="1"/>
  <c r="BD224" i="1"/>
  <c r="BB224" i="1"/>
  <c r="AT398" i="1"/>
  <c r="AU398" i="1"/>
  <c r="L398" i="1"/>
  <c r="H140" i="31" s="1"/>
  <c r="AX216" i="1"/>
  <c r="M216" i="1"/>
  <c r="I60" i="31" s="1"/>
  <c r="AV216" i="1"/>
  <c r="AV205" i="1"/>
  <c r="AL205" i="1"/>
  <c r="M205" i="1"/>
  <c r="I48" i="31" s="1"/>
  <c r="N205" i="1"/>
  <c r="AI205" i="1"/>
  <c r="AL378" i="1"/>
  <c r="AK365" i="1"/>
  <c r="AI87" i="1"/>
  <c r="AK366" i="1"/>
  <c r="AY346" i="1"/>
  <c r="I346" i="1"/>
  <c r="AL346" i="1"/>
  <c r="AX346" i="1"/>
  <c r="I424" i="1"/>
  <c r="E11" i="31" s="1"/>
  <c r="M424" i="1"/>
  <c r="I11" i="31" s="1"/>
  <c r="K87" i="1"/>
  <c r="BA366" i="1"/>
  <c r="BC87" i="1"/>
  <c r="BF87" i="1"/>
  <c r="N224" i="1"/>
  <c r="K224" i="1"/>
  <c r="G68" i="31" s="1"/>
  <c r="BE42" i="1"/>
  <c r="BM42" i="1"/>
  <c r="AW42" i="1"/>
  <c r="L43" i="1"/>
  <c r="G7" i="4"/>
  <c r="N87" i="1"/>
  <c r="AM378" i="1"/>
  <c r="I234" i="31"/>
  <c r="AT10" i="1"/>
  <c r="AU10" i="1"/>
  <c r="AY10" i="1"/>
  <c r="AX10" i="1"/>
  <c r="AI10" i="1"/>
  <c r="BE346" i="1"/>
  <c r="BG346" i="1"/>
  <c r="AM346" i="1"/>
  <c r="BC346" i="1"/>
  <c r="BF346" i="1"/>
  <c r="BD346" i="1"/>
  <c r="BB346" i="1"/>
  <c r="AL398" i="1"/>
  <c r="AY398" i="1"/>
  <c r="K216" i="1"/>
  <c r="G60" i="31" s="1"/>
  <c r="I216" i="1"/>
  <c r="E60" i="31" s="1"/>
  <c r="N216" i="1"/>
  <c r="AT216" i="1"/>
  <c r="AY205" i="1"/>
  <c r="AU205" i="1"/>
  <c r="J205" i="1"/>
  <c r="F48" i="31" s="1"/>
  <c r="AS109" i="1" l="1"/>
  <c r="H109" i="1"/>
  <c r="BA109" i="1"/>
  <c r="F159" i="31"/>
  <c r="G159" i="31"/>
  <c r="E159" i="31"/>
  <c r="H10" i="1"/>
  <c r="H159" i="31"/>
  <c r="I159" i="31"/>
  <c r="H14" i="4"/>
  <c r="G69" i="31"/>
  <c r="I69" i="31"/>
  <c r="J220" i="31"/>
  <c r="H69" i="31"/>
  <c r="F69" i="31"/>
  <c r="J234" i="31"/>
  <c r="J140" i="31"/>
  <c r="J11" i="31"/>
  <c r="J127" i="31"/>
  <c r="J68" i="31"/>
  <c r="E69" i="31"/>
  <c r="J60" i="31"/>
  <c r="J48" i="31"/>
  <c r="L89" i="1"/>
  <c r="W18" i="3" s="1"/>
  <c r="M89" i="1"/>
  <c r="M116" i="1" s="1"/>
  <c r="AL225" i="1"/>
  <c r="H43" i="1"/>
  <c r="I42" i="1"/>
  <c r="M225" i="1"/>
  <c r="M42" i="1"/>
  <c r="AY225" i="1"/>
  <c r="J225" i="1"/>
  <c r="CM216" i="1"/>
  <c r="K225" i="1"/>
  <c r="L225" i="1"/>
  <c r="AS424" i="1"/>
  <c r="E144" i="31"/>
  <c r="CR216" i="1"/>
  <c r="H42" i="1"/>
  <c r="CM205" i="1"/>
  <c r="N42" i="1"/>
  <c r="L42" i="1"/>
  <c r="C7" i="4"/>
  <c r="AY401" i="1"/>
  <c r="K42" i="1"/>
  <c r="AS224" i="1"/>
  <c r="R214" i="1"/>
  <c r="AV214" i="1" s="1"/>
  <c r="AK424" i="1"/>
  <c r="AM225" i="1"/>
  <c r="AI89" i="1"/>
  <c r="AI116" i="1" s="1"/>
  <c r="AU225" i="1"/>
  <c r="L135" i="1"/>
  <c r="CQ205" i="1"/>
  <c r="I135" i="1"/>
  <c r="H224" i="1"/>
  <c r="AV225" i="1"/>
  <c r="CL216" i="1"/>
  <c r="AX225" i="1"/>
  <c r="AK224" i="1"/>
  <c r="N135" i="1"/>
  <c r="CP205" i="1"/>
  <c r="AK398" i="1"/>
  <c r="AS87" i="1"/>
  <c r="CN205" i="1"/>
  <c r="M135" i="1"/>
  <c r="CQ216" i="1"/>
  <c r="CQ225" i="1" s="1"/>
  <c r="G144" i="31"/>
  <c r="AV401" i="1"/>
  <c r="H144" i="31"/>
  <c r="BC225" i="1"/>
  <c r="CO216" i="1"/>
  <c r="AT401" i="1"/>
  <c r="I144" i="31"/>
  <c r="BD213" i="1"/>
  <c r="BG213" i="1"/>
  <c r="BC213" i="1"/>
  <c r="AM213" i="1"/>
  <c r="BF213" i="1"/>
  <c r="BE213" i="1"/>
  <c r="BB213" i="1"/>
  <c r="I225" i="1"/>
  <c r="H216" i="1"/>
  <c r="BA346" i="1"/>
  <c r="AU135" i="1"/>
  <c r="K89" i="1"/>
  <c r="F14" i="4"/>
  <c r="H424" i="1"/>
  <c r="AS398" i="1"/>
  <c r="BA216" i="1"/>
  <c r="BB225" i="1"/>
  <c r="BA424" i="1"/>
  <c r="H87" i="1"/>
  <c r="K135" i="1"/>
  <c r="CO224" i="1"/>
  <c r="CP224" i="1"/>
  <c r="BF135" i="1"/>
  <c r="BG135" i="1"/>
  <c r="BA378" i="1"/>
  <c r="BA398" i="1"/>
  <c r="AV135" i="1"/>
  <c r="AI225" i="1"/>
  <c r="H398" i="1"/>
  <c r="BG401" i="1"/>
  <c r="BE401" i="1"/>
  <c r="AM401" i="1"/>
  <c r="BC401" i="1"/>
  <c r="BD401" i="1"/>
  <c r="BB401" i="1"/>
  <c r="BF401" i="1"/>
  <c r="AT135" i="1"/>
  <c r="AS10" i="1"/>
  <c r="AK205" i="1"/>
  <c r="BA224" i="1"/>
  <c r="BF225" i="1"/>
  <c r="BG225" i="1"/>
  <c r="BE225" i="1"/>
  <c r="J89" i="1"/>
  <c r="E14" i="4"/>
  <c r="CM224" i="1"/>
  <c r="CN224" i="1"/>
  <c r="AK216" i="1"/>
  <c r="BC135" i="1"/>
  <c r="BE135" i="1"/>
  <c r="AX401" i="1"/>
  <c r="AU401" i="1"/>
  <c r="F144" i="31"/>
  <c r="BA205" i="1"/>
  <c r="W214" i="1"/>
  <c r="W215" i="1" s="1"/>
  <c r="W226" i="1" s="1"/>
  <c r="W251" i="1" s="1"/>
  <c r="AL135" i="1"/>
  <c r="AK10" i="1"/>
  <c r="BA87" i="1"/>
  <c r="AT225" i="1"/>
  <c r="AS216" i="1"/>
  <c r="AX135" i="1"/>
  <c r="AK346" i="1"/>
  <c r="CL224" i="1"/>
  <c r="AM135" i="1"/>
  <c r="BD135" i="1"/>
  <c r="H205" i="1"/>
  <c r="AW135" i="1"/>
  <c r="AS378" i="1"/>
  <c r="E41" i="4"/>
  <c r="H378" i="1"/>
  <c r="CO205" i="1"/>
  <c r="CR205" i="1"/>
  <c r="CL205" i="1"/>
  <c r="N225" i="1"/>
  <c r="AY135" i="1"/>
  <c r="N89" i="1"/>
  <c r="N116" i="1" s="1"/>
  <c r="I14" i="4"/>
  <c r="H346" i="1"/>
  <c r="AK378" i="1"/>
  <c r="CP216" i="1"/>
  <c r="CN216" i="1"/>
  <c r="BD225" i="1"/>
  <c r="I89" i="1"/>
  <c r="D14" i="4"/>
  <c r="J135" i="1"/>
  <c r="CR224" i="1"/>
  <c r="BB135" i="1"/>
  <c r="BA10" i="1"/>
  <c r="AL401" i="1"/>
  <c r="AI401" i="1"/>
  <c r="AS346" i="1"/>
  <c r="D41" i="4"/>
  <c r="AK87" i="1"/>
  <c r="AS205" i="1"/>
  <c r="J159" i="31" l="1"/>
  <c r="L116" i="1"/>
  <c r="X18" i="3"/>
  <c r="J69" i="31"/>
  <c r="J144" i="31"/>
  <c r="CM225" i="1"/>
  <c r="AL214" i="1"/>
  <c r="AT214" i="1"/>
  <c r="AY214" i="1"/>
  <c r="AX214" i="1"/>
  <c r="AU214" i="1"/>
  <c r="R215" i="1"/>
  <c r="AI215" i="1" s="1"/>
  <c r="AW214" i="1"/>
  <c r="CN225" i="1"/>
  <c r="CR225" i="1"/>
  <c r="M213" i="1"/>
  <c r="I57" i="31" s="1"/>
  <c r="AX213" i="1"/>
  <c r="AK225" i="1"/>
  <c r="N213" i="1"/>
  <c r="CP225" i="1"/>
  <c r="L213" i="1"/>
  <c r="H57" i="31" s="1"/>
  <c r="J213" i="1"/>
  <c r="F57" i="31" s="1"/>
  <c r="CO225" i="1"/>
  <c r="I213" i="1"/>
  <c r="E57" i="31" s="1"/>
  <c r="AU213" i="1"/>
  <c r="K214" i="1"/>
  <c r="G58" i="31" s="1"/>
  <c r="AI214" i="1"/>
  <c r="AL213" i="1"/>
  <c r="AK213" i="1" s="1"/>
  <c r="AT213" i="1"/>
  <c r="AV213" i="1"/>
  <c r="AV215" i="1" s="1"/>
  <c r="AV226" i="1" s="1"/>
  <c r="AV251" i="1" s="1"/>
  <c r="K213" i="1"/>
  <c r="G57" i="31" s="1"/>
  <c r="AI213" i="1"/>
  <c r="AW213" i="1"/>
  <c r="AY213" i="1"/>
  <c r="AS225" i="1"/>
  <c r="AS401" i="1"/>
  <c r="BA213" i="1"/>
  <c r="AK401" i="1"/>
  <c r="W252" i="1"/>
  <c r="BA225" i="1"/>
  <c r="G61" i="4"/>
  <c r="G60" i="4" s="1"/>
  <c r="E61" i="4"/>
  <c r="E60" i="4" s="1"/>
  <c r="I61" i="4"/>
  <c r="I60" i="4" s="1"/>
  <c r="F61" i="4"/>
  <c r="F60" i="4" s="1"/>
  <c r="AS135" i="1"/>
  <c r="T18" i="3"/>
  <c r="I116" i="1"/>
  <c r="C41" i="4"/>
  <c r="BA401" i="1"/>
  <c r="H89" i="1"/>
  <c r="C14" i="4"/>
  <c r="N214" i="1"/>
  <c r="AK135" i="1"/>
  <c r="BA135" i="1"/>
  <c r="D61" i="4"/>
  <c r="K116" i="1"/>
  <c r="V18" i="3"/>
  <c r="H225" i="1"/>
  <c r="H61" i="4"/>
  <c r="H60" i="4" s="1"/>
  <c r="H135" i="1"/>
  <c r="AM214" i="1"/>
  <c r="AM215" i="1" s="1"/>
  <c r="AM226" i="1" s="1"/>
  <c r="AM251" i="1" s="1"/>
  <c r="BF214" i="1"/>
  <c r="BE214" i="1"/>
  <c r="BE215" i="1" s="1"/>
  <c r="BE226" i="1" s="1"/>
  <c r="BE251" i="1" s="1"/>
  <c r="BG214" i="1"/>
  <c r="BD214" i="1"/>
  <c r="BC214" i="1"/>
  <c r="BC215" i="1" s="1"/>
  <c r="BC226" i="1" s="1"/>
  <c r="BC251" i="1" s="1"/>
  <c r="BB214" i="1"/>
  <c r="BB215" i="1" s="1"/>
  <c r="BB226" i="1" s="1"/>
  <c r="BB251" i="1" s="1"/>
  <c r="J116" i="1"/>
  <c r="U18" i="3"/>
  <c r="I214" i="1"/>
  <c r="E58" i="31" s="1"/>
  <c r="L214" i="1"/>
  <c r="H58" i="31" s="1"/>
  <c r="J214" i="1"/>
  <c r="F58" i="31" s="1"/>
  <c r="M214" i="1"/>
  <c r="I58" i="31" s="1"/>
  <c r="G59" i="31" l="1"/>
  <c r="G70" i="31" s="1"/>
  <c r="G87" i="31" s="1"/>
  <c r="J58" i="31"/>
  <c r="J57" i="31"/>
  <c r="E59" i="31"/>
  <c r="E70" i="31" s="1"/>
  <c r="E87" i="31" s="1"/>
  <c r="I59" i="31"/>
  <c r="I70" i="31" s="1"/>
  <c r="I87" i="31" s="1"/>
  <c r="F59" i="31"/>
  <c r="F70" i="31" s="1"/>
  <c r="F87" i="31" s="1"/>
  <c r="H59" i="31"/>
  <c r="H70" i="31" s="1"/>
  <c r="H87" i="31" s="1"/>
  <c r="AW215" i="1"/>
  <c r="AW226" i="1" s="1"/>
  <c r="AW251" i="1" s="1"/>
  <c r="AL215" i="1"/>
  <c r="AL226" i="1" s="1"/>
  <c r="AL251" i="1" s="1"/>
  <c r="AY215" i="1"/>
  <c r="AY226" i="1" s="1"/>
  <c r="AY251" i="1" s="1"/>
  <c r="AT215" i="1"/>
  <c r="AT226" i="1" s="1"/>
  <c r="AT251" i="1" s="1"/>
  <c r="R226" i="1"/>
  <c r="AI226" i="1" s="1"/>
  <c r="AS214" i="1"/>
  <c r="AX215" i="1"/>
  <c r="AX226" i="1" s="1"/>
  <c r="AX251" i="1" s="1"/>
  <c r="AU215" i="1"/>
  <c r="AU226" i="1" s="1"/>
  <c r="AU251" i="1" s="1"/>
  <c r="H213" i="1"/>
  <c r="BR225" i="1"/>
  <c r="BY225" i="1" s="1"/>
  <c r="K215" i="1"/>
  <c r="K226" i="1" s="1"/>
  <c r="K251" i="1" s="1"/>
  <c r="AK214" i="1"/>
  <c r="J215" i="1"/>
  <c r="J226" i="1" s="1"/>
  <c r="E31" i="4" s="1"/>
  <c r="AS213" i="1"/>
  <c r="L215" i="1"/>
  <c r="L226" i="1" s="1"/>
  <c r="L251" i="1" s="1"/>
  <c r="BA214" i="1"/>
  <c r="H214" i="1"/>
  <c r="I215" i="1"/>
  <c r="I226" i="1" s="1"/>
  <c r="BF215" i="1"/>
  <c r="BF226" i="1" s="1"/>
  <c r="BF251" i="1" s="1"/>
  <c r="N215" i="1"/>
  <c r="N226" i="1" s="1"/>
  <c r="BG215" i="1"/>
  <c r="BG226" i="1" s="1"/>
  <c r="BG251" i="1" s="1"/>
  <c r="M215" i="1"/>
  <c r="M226" i="1" s="1"/>
  <c r="BD215" i="1"/>
  <c r="BD226" i="1" s="1"/>
  <c r="BD251" i="1" s="1"/>
  <c r="C61" i="4"/>
  <c r="D60" i="4"/>
  <c r="S18" i="3"/>
  <c r="H116" i="1"/>
  <c r="J59" i="31" l="1"/>
  <c r="J70" i="31" s="1"/>
  <c r="J87" i="31" s="1"/>
  <c r="AK215" i="1"/>
  <c r="AK226" i="1" s="1"/>
  <c r="AK251" i="1" s="1"/>
  <c r="R251" i="1"/>
  <c r="AS215" i="1"/>
  <c r="AS226" i="1" s="1"/>
  <c r="AS251" i="1" s="1"/>
  <c r="CD225" i="1"/>
  <c r="CD213" i="1" s="1"/>
  <c r="BV225" i="1"/>
  <c r="BV214" i="1" s="1"/>
  <c r="F31" i="4"/>
  <c r="G31" i="4"/>
  <c r="BY214" i="1"/>
  <c r="BY213" i="1"/>
  <c r="BU225" i="1"/>
  <c r="BU214" i="1" s="1"/>
  <c r="CF225" i="1"/>
  <c r="CF214" i="1" s="1"/>
  <c r="CH225" i="1"/>
  <c r="CH213" i="1" s="1"/>
  <c r="CC225" i="1"/>
  <c r="CC214" i="1" s="1"/>
  <c r="BW225" i="1"/>
  <c r="BW214" i="1" s="1"/>
  <c r="BS225" i="1"/>
  <c r="BS213" i="1" s="1"/>
  <c r="CB225" i="1"/>
  <c r="CB213" i="1" s="1"/>
  <c r="CE225" i="1"/>
  <c r="CE213" i="1" s="1"/>
  <c r="CA225" i="1"/>
  <c r="CA213" i="1" s="1"/>
  <c r="BX225" i="1"/>
  <c r="BX214" i="1" s="1"/>
  <c r="CG225" i="1"/>
  <c r="CG214" i="1" s="1"/>
  <c r="CI225" i="1"/>
  <c r="CI214" i="1" s="1"/>
  <c r="BZ225" i="1"/>
  <c r="BZ214" i="1" s="1"/>
  <c r="BT225" i="1"/>
  <c r="BT214" i="1" s="1"/>
  <c r="J251" i="1"/>
  <c r="J252" i="1" s="1"/>
  <c r="W24" i="3"/>
  <c r="X24" i="3"/>
  <c r="D31" i="4"/>
  <c r="I251" i="1"/>
  <c r="U24" i="3"/>
  <c r="L252" i="1"/>
  <c r="H31" i="4"/>
  <c r="M251" i="1"/>
  <c r="N251" i="1"/>
  <c r="I31" i="4"/>
  <c r="H215" i="1"/>
  <c r="H226" i="1" s="1"/>
  <c r="K252" i="1"/>
  <c r="V24" i="3"/>
  <c r="T24" i="3"/>
  <c r="BA215" i="1"/>
  <c r="BA226" i="1" s="1"/>
  <c r="BA251" i="1" s="1"/>
  <c r="R252" i="1" l="1"/>
  <c r="AI252" i="1" s="1"/>
  <c r="AI251" i="1"/>
  <c r="BU213" i="1"/>
  <c r="CD214" i="1"/>
  <c r="CE214" i="1"/>
  <c r="CI213" i="1"/>
  <c r="CF213" i="1"/>
  <c r="BW213" i="1"/>
  <c r="BV213" i="1"/>
  <c r="CC213" i="1"/>
  <c r="CB214" i="1"/>
  <c r="BX213" i="1"/>
  <c r="CG213" i="1"/>
  <c r="BS214" i="1"/>
  <c r="CL225" i="1"/>
  <c r="BT213" i="1"/>
  <c r="CH214" i="1"/>
  <c r="CA214" i="1"/>
  <c r="BZ213" i="1"/>
  <c r="I252" i="1"/>
  <c r="C31" i="4"/>
  <c r="H251" i="1"/>
  <c r="M252" i="1"/>
  <c r="S24" i="3"/>
  <c r="N252" i="1"/>
  <c r="CM213" i="1" l="1"/>
  <c r="CN214" i="1"/>
  <c r="CO214" i="1"/>
  <c r="CP214" i="1"/>
  <c r="CM214" i="1"/>
  <c r="CL214" i="1"/>
  <c r="CQ213" i="1"/>
  <c r="CQ214" i="1"/>
  <c r="CR214" i="1"/>
  <c r="CO213" i="1"/>
  <c r="CN213" i="1"/>
  <c r="CR213" i="1"/>
  <c r="CL213" i="1"/>
  <c r="CP213" i="1"/>
  <c r="H252" i="1"/>
  <c r="CM215" i="1" l="1"/>
  <c r="CM226" i="1" s="1"/>
  <c r="CM251" i="1" s="1"/>
  <c r="CM252" i="1" s="1"/>
  <c r="CP215" i="1"/>
  <c r="CP226" i="1" s="1"/>
  <c r="CP251" i="1" s="1"/>
  <c r="CP252" i="1" s="1"/>
  <c r="W20" i="3" s="1"/>
  <c r="CN215" i="1"/>
  <c r="CN226" i="1" s="1"/>
  <c r="CN251" i="1" s="1"/>
  <c r="CN252" i="1" s="1"/>
  <c r="U20" i="3" s="1"/>
  <c r="CQ215" i="1"/>
  <c r="CQ226" i="1" s="1"/>
  <c r="CQ251" i="1" s="1"/>
  <c r="CQ252" i="1" s="1"/>
  <c r="X20" i="3" s="1"/>
  <c r="CR215" i="1"/>
  <c r="CR226" i="1" s="1"/>
  <c r="CR251" i="1" s="1"/>
  <c r="CR252" i="1" s="1"/>
  <c r="CO215" i="1"/>
  <c r="CO226" i="1" s="1"/>
  <c r="CO251" i="1" s="1"/>
  <c r="CO252" i="1" s="1"/>
  <c r="U19" i="3" l="1"/>
  <c r="W19" i="3"/>
  <c r="BR215" i="1"/>
  <c r="BX215" i="1" s="1"/>
  <c r="BX226" i="1" s="1"/>
  <c r="X19" i="3"/>
  <c r="CL251" i="1"/>
  <c r="CL252" i="1"/>
  <c r="T20" i="3"/>
  <c r="T19" i="3"/>
  <c r="V20" i="3"/>
  <c r="V19" i="3"/>
  <c r="BU215" i="1" l="1"/>
  <c r="BU226" i="1" s="1"/>
  <c r="BY215" i="1"/>
  <c r="BY226" i="1" s="1"/>
  <c r="CG215" i="1"/>
  <c r="CG226" i="1" s="1"/>
  <c r="CA215" i="1"/>
  <c r="CA226" i="1" s="1"/>
  <c r="CD215" i="1"/>
  <c r="CD226" i="1" s="1"/>
  <c r="BW215" i="1"/>
  <c r="BW226" i="1" s="1"/>
  <c r="CC215" i="1"/>
  <c r="CC226" i="1" s="1"/>
  <c r="BZ215" i="1"/>
  <c r="BZ226" i="1" s="1"/>
  <c r="CB215" i="1"/>
  <c r="CB226" i="1" s="1"/>
  <c r="BR226" i="1"/>
  <c r="BS215" i="1"/>
  <c r="BS226" i="1" s="1"/>
  <c r="CH215" i="1"/>
  <c r="CH226" i="1" s="1"/>
  <c r="BV215" i="1"/>
  <c r="BV226" i="1" s="1"/>
  <c r="BT215" i="1"/>
  <c r="BT226" i="1" s="1"/>
  <c r="CE215" i="1"/>
  <c r="CE226" i="1" s="1"/>
  <c r="CI215" i="1"/>
  <c r="CI226" i="1" s="1"/>
  <c r="CF215" i="1"/>
  <c r="CF226" i="1" s="1"/>
  <c r="S20" i="3"/>
  <c r="T26" i="3" s="1"/>
  <c r="S19" i="3"/>
  <c r="T25" i="3" s="1"/>
  <c r="T29" i="3" s="1"/>
  <c r="T31" i="3" l="1"/>
  <c r="D20" i="38"/>
  <c r="BX251" i="1"/>
  <c r="BR251" i="1"/>
  <c r="BR252" i="1" s="1"/>
  <c r="CH251" i="1"/>
  <c r="CL215" i="1"/>
  <c r="BW251" i="1"/>
  <c r="BU251" i="1"/>
  <c r="CL226" i="1"/>
  <c r="BY251" i="1"/>
  <c r="BV251" i="1"/>
  <c r="CI251" i="1"/>
  <c r="CG251" i="1"/>
  <c r="BZ251" i="1"/>
  <c r="CB251" i="1"/>
  <c r="CC251" i="1"/>
  <c r="CD251" i="1"/>
  <c r="CE251" i="1"/>
  <c r="BT251" i="1"/>
  <c r="CF251" i="1"/>
  <c r="CA251" i="1"/>
  <c r="V26" i="3"/>
  <c r="V25" i="3"/>
  <c r="BS251" i="1"/>
  <c r="X25" i="3"/>
  <c r="U25" i="3"/>
  <c r="W25" i="3"/>
  <c r="X26" i="3"/>
  <c r="W26" i="3"/>
  <c r="U26" i="3"/>
  <c r="D18" i="38" l="1"/>
  <c r="D13" i="38"/>
  <c r="D17" i="38"/>
  <c r="D43" i="38"/>
  <c r="D45" i="38" s="1"/>
  <c r="D34" i="38"/>
  <c r="D14" i="38"/>
  <c r="D32" i="38"/>
  <c r="D35" i="38" s="1"/>
  <c r="D38" i="38" s="1"/>
  <c r="CQ345" i="1"/>
  <c r="CN345" i="1"/>
  <c r="CO345" i="1"/>
  <c r="CB252" i="1"/>
  <c r="CP345" i="1"/>
  <c r="CM345" i="1"/>
  <c r="BR342" i="1"/>
  <c r="CR345" i="1"/>
  <c r="V29" i="3"/>
  <c r="S26" i="3"/>
  <c r="W29" i="3"/>
  <c r="U29" i="3"/>
  <c r="X29" i="3"/>
  <c r="S25" i="3"/>
  <c r="V31" i="3" l="1"/>
  <c r="F20" i="38"/>
  <c r="U31" i="3"/>
  <c r="E20" i="38"/>
  <c r="X31" i="3"/>
  <c r="H20" i="38"/>
  <c r="D15" i="38"/>
  <c r="W31" i="3"/>
  <c r="G20" i="38"/>
  <c r="CL345" i="1"/>
  <c r="BV252" i="1"/>
  <c r="BY252" i="1"/>
  <c r="CM254" i="1"/>
  <c r="CG252" i="1"/>
  <c r="CC252" i="1"/>
  <c r="CI252" i="1"/>
  <c r="BS252" i="1"/>
  <c r="BT252" i="1"/>
  <c r="CF252" i="1"/>
  <c r="CA252" i="1"/>
  <c r="CD252" i="1"/>
  <c r="CH252" i="1"/>
  <c r="E253" i="1"/>
  <c r="BX252" i="1"/>
  <c r="BU252" i="1"/>
  <c r="BZ252" i="1"/>
  <c r="BW252" i="1"/>
  <c r="CE252" i="1"/>
  <c r="S31" i="3"/>
  <c r="S29" i="3"/>
  <c r="H32" i="38" l="1"/>
  <c r="H13" i="38"/>
  <c r="H18" i="38"/>
  <c r="H34" i="38"/>
  <c r="H17" i="38"/>
  <c r="H43" i="38"/>
  <c r="H45" i="38" s="1"/>
  <c r="H14" i="38"/>
  <c r="E43" i="38"/>
  <c r="E45" i="38" s="1"/>
  <c r="E18" i="38"/>
  <c r="E14" i="38"/>
  <c r="E17" i="38"/>
  <c r="E32" i="38"/>
  <c r="E34" i="38"/>
  <c r="E13" i="38"/>
  <c r="E15" i="38" s="1"/>
  <c r="G32" i="38"/>
  <c r="G18" i="38"/>
  <c r="G13" i="38"/>
  <c r="G34" i="38"/>
  <c r="G17" i="38"/>
  <c r="G14" i="38"/>
  <c r="G43" i="38"/>
  <c r="G45" i="38" s="1"/>
  <c r="F43" i="38"/>
  <c r="F45" i="38" s="1"/>
  <c r="F13" i="38"/>
  <c r="F15" i="38" s="1"/>
  <c r="F32" i="38"/>
  <c r="F18" i="38"/>
  <c r="F14" i="38"/>
  <c r="F34" i="38"/>
  <c r="F17" i="38"/>
  <c r="T253" i="1"/>
  <c r="R253" i="1"/>
  <c r="R108" i="1" s="1"/>
  <c r="S253" i="1"/>
  <c r="S108" i="1" s="1"/>
  <c r="AE253" i="1"/>
  <c r="AE108" i="1" s="1"/>
  <c r="AC253" i="1"/>
  <c r="AC108" i="1" s="1"/>
  <c r="Y253" i="1"/>
  <c r="Y108" i="1" s="1"/>
  <c r="AG253" i="1"/>
  <c r="Z253" i="1"/>
  <c r="Z108" i="1" s="1"/>
  <c r="X253" i="1"/>
  <c r="X108" i="1" s="1"/>
  <c r="W253" i="1"/>
  <c r="AB253" i="1"/>
  <c r="AB108" i="1" s="1"/>
  <c r="AA253" i="1"/>
  <c r="AA108" i="1" s="1"/>
  <c r="AH253" i="1"/>
  <c r="U253" i="1"/>
  <c r="U108" i="1" s="1"/>
  <c r="AD253" i="1"/>
  <c r="AD108" i="1" s="1"/>
  <c r="AF253" i="1"/>
  <c r="AF108" i="1" s="1"/>
  <c r="V253" i="1"/>
  <c r="E35" i="38" l="1"/>
  <c r="E38" i="38" s="1"/>
  <c r="F35" i="38"/>
  <c r="F38" i="38" s="1"/>
  <c r="H15" i="38"/>
  <c r="G35" i="38"/>
  <c r="G38" i="38" s="1"/>
  <c r="G15" i="38"/>
  <c r="H35" i="38"/>
  <c r="H38" i="38" s="1"/>
  <c r="BN108" i="1"/>
  <c r="BJ108" i="1"/>
  <c r="BK108" i="1"/>
  <c r="BL108" i="1"/>
  <c r="BM108" i="1"/>
  <c r="AN108" i="1"/>
  <c r="W12" i="1"/>
  <c r="W108" i="1"/>
  <c r="V12" i="1"/>
  <c r="V108" i="1"/>
  <c r="T12" i="1"/>
  <c r="T108" i="1"/>
  <c r="AD93" i="1"/>
  <c r="AD12" i="1"/>
  <c r="AC96" i="1"/>
  <c r="AC12" i="1"/>
  <c r="Z55" i="1"/>
  <c r="Z12" i="1"/>
  <c r="AF97" i="1"/>
  <c r="AF12" i="1"/>
  <c r="U95" i="1"/>
  <c r="U12" i="1"/>
  <c r="AA93" i="1"/>
  <c r="AA12" i="1"/>
  <c r="S92" i="1"/>
  <c r="S12" i="1"/>
  <c r="AG95" i="1"/>
  <c r="AG12" i="1"/>
  <c r="AH51" i="1"/>
  <c r="AH387" i="1" s="1"/>
  <c r="AO387" i="1" s="1"/>
  <c r="AH12" i="1"/>
  <c r="AO12" i="1" s="1"/>
  <c r="AE99" i="1"/>
  <c r="AE12" i="1"/>
  <c r="AB99" i="1"/>
  <c r="AB12" i="1"/>
  <c r="R46" i="1"/>
  <c r="R12" i="1"/>
  <c r="Y92" i="1"/>
  <c r="Y12" i="1"/>
  <c r="X55" i="1"/>
  <c r="X12" i="1"/>
  <c r="V55" i="1"/>
  <c r="V11" i="1"/>
  <c r="T51" i="1"/>
  <c r="T387" i="1" s="1"/>
  <c r="T46" i="1"/>
  <c r="T48" i="1"/>
  <c r="T384" i="1" s="1"/>
  <c r="T93" i="1"/>
  <c r="T54" i="1"/>
  <c r="T390" i="1" s="1"/>
  <c r="T98" i="1"/>
  <c r="T101" i="1"/>
  <c r="T96" i="1"/>
  <c r="T49" i="1"/>
  <c r="T385" i="1" s="1"/>
  <c r="T52" i="1"/>
  <c r="T388" i="1" s="1"/>
  <c r="T107" i="1"/>
  <c r="T99" i="1"/>
  <c r="T94" i="1"/>
  <c r="T257" i="1"/>
  <c r="T50" i="1"/>
  <c r="T386" i="1" s="1"/>
  <c r="T11" i="1"/>
  <c r="T47" i="1"/>
  <c r="T383" i="1" s="1"/>
  <c r="T92" i="1"/>
  <c r="T53" i="1"/>
  <c r="T389" i="1" s="1"/>
  <c r="T55" i="1"/>
  <c r="T100" i="1"/>
  <c r="T95" i="1"/>
  <c r="T97" i="1"/>
  <c r="R92" i="1"/>
  <c r="R94" i="1"/>
  <c r="S55" i="1"/>
  <c r="AC55" i="1"/>
  <c r="W47" i="1"/>
  <c r="W383" i="1" s="1"/>
  <c r="W92" i="1"/>
  <c r="AE52" i="1"/>
  <c r="AE388" i="1" s="1"/>
  <c r="AE94" i="1"/>
  <c r="AE50" i="1"/>
  <c r="AE386" i="1" s="1"/>
  <c r="AE257" i="1"/>
  <c r="AE313" i="1" s="1"/>
  <c r="CF313" i="1" s="1"/>
  <c r="AE51" i="1"/>
  <c r="AE387" i="1" s="1"/>
  <c r="AE107" i="1"/>
  <c r="AE110" i="1" s="1"/>
  <c r="AE48" i="1"/>
  <c r="AE384" i="1" s="1"/>
  <c r="AE11" i="1"/>
  <c r="AE96" i="1"/>
  <c r="AE95" i="1"/>
  <c r="AE93" i="1"/>
  <c r="AE49" i="1"/>
  <c r="AE385" i="1" s="1"/>
  <c r="AE54" i="1"/>
  <c r="AE390" i="1" s="1"/>
  <c r="AE92" i="1"/>
  <c r="AC257" i="1"/>
  <c r="AC271" i="1" s="1"/>
  <c r="CD271" i="1" s="1"/>
  <c r="AE53" i="1"/>
  <c r="AE389" i="1" s="1"/>
  <c r="AE55" i="1"/>
  <c r="AE97" i="1"/>
  <c r="AC95" i="1"/>
  <c r="AC54" i="1"/>
  <c r="AC390" i="1" s="1"/>
  <c r="AC53" i="1"/>
  <c r="AC389" i="1" s="1"/>
  <c r="AC51" i="1"/>
  <c r="AC387" i="1" s="1"/>
  <c r="AC93" i="1"/>
  <c r="AE101" i="1"/>
  <c r="AE46" i="1"/>
  <c r="AE100" i="1"/>
  <c r="AE47" i="1"/>
  <c r="AE383" i="1" s="1"/>
  <c r="AE98" i="1"/>
  <c r="AC46" i="1"/>
  <c r="AC381" i="1" s="1"/>
  <c r="AC101" i="1"/>
  <c r="AC11" i="1"/>
  <c r="AC48" i="1"/>
  <c r="AC384" i="1" s="1"/>
  <c r="AC97" i="1"/>
  <c r="AC47" i="1"/>
  <c r="AC383" i="1" s="1"/>
  <c r="AC49" i="1"/>
  <c r="AC385" i="1" s="1"/>
  <c r="AC52" i="1"/>
  <c r="AC388" i="1" s="1"/>
  <c r="AC50" i="1"/>
  <c r="AC386" i="1" s="1"/>
  <c r="AC98" i="1"/>
  <c r="AC107" i="1"/>
  <c r="AC110" i="1" s="1"/>
  <c r="AC92" i="1"/>
  <c r="AC99" i="1"/>
  <c r="Y46" i="1"/>
  <c r="Y382" i="1" s="1"/>
  <c r="AC100" i="1"/>
  <c r="AC94" i="1"/>
  <c r="Y94" i="1"/>
  <c r="Y54" i="1"/>
  <c r="Y390" i="1" s="1"/>
  <c r="AG107" i="1"/>
  <c r="AG110" i="1" s="1"/>
  <c r="Y98" i="1"/>
  <c r="Y97" i="1"/>
  <c r="Y100" i="1"/>
  <c r="AG50" i="1"/>
  <c r="AG386" i="1" s="1"/>
  <c r="Y53" i="1"/>
  <c r="Y389" i="1" s="1"/>
  <c r="Y99" i="1"/>
  <c r="Y96" i="1"/>
  <c r="Y52" i="1"/>
  <c r="Y388" i="1" s="1"/>
  <c r="Y49" i="1"/>
  <c r="Y385" i="1" s="1"/>
  <c r="Y107" i="1"/>
  <c r="Y110" i="1" s="1"/>
  <c r="Y55" i="1"/>
  <c r="Y93" i="1"/>
  <c r="Y11" i="1"/>
  <c r="Y50" i="1"/>
  <c r="Y386" i="1" s="1"/>
  <c r="Y95" i="1"/>
  <c r="Y257" i="1"/>
  <c r="Y306" i="1" s="1"/>
  <c r="BZ306" i="1" s="1"/>
  <c r="Y101" i="1"/>
  <c r="Y51" i="1"/>
  <c r="Y387" i="1" s="1"/>
  <c r="Y47" i="1"/>
  <c r="Y383" i="1" s="1"/>
  <c r="Y48" i="1"/>
  <c r="Y384" i="1" s="1"/>
  <c r="AD98" i="1"/>
  <c r="AB98" i="1"/>
  <c r="U99" i="1"/>
  <c r="AG11" i="1"/>
  <c r="AH99" i="1"/>
  <c r="AO99" i="1" s="1"/>
  <c r="AF54" i="1"/>
  <c r="AF390" i="1" s="1"/>
  <c r="AG51" i="1"/>
  <c r="AG387" i="1" s="1"/>
  <c r="AG92" i="1"/>
  <c r="AG49" i="1"/>
  <c r="AG385" i="1" s="1"/>
  <c r="AB54" i="1"/>
  <c r="AB390" i="1" s="1"/>
  <c r="AF53" i="1"/>
  <c r="AF389" i="1" s="1"/>
  <c r="AG46" i="1"/>
  <c r="AG381" i="1" s="1"/>
  <c r="AG100" i="1"/>
  <c r="AG97" i="1"/>
  <c r="AH55" i="1"/>
  <c r="AO55" i="1" s="1"/>
  <c r="AD52" i="1"/>
  <c r="AD388" i="1" s="1"/>
  <c r="AG52" i="1"/>
  <c r="AG388" i="1" s="1"/>
  <c r="AG55" i="1"/>
  <c r="AG101" i="1"/>
  <c r="R11" i="1"/>
  <c r="AB107" i="1"/>
  <c r="R48" i="1"/>
  <c r="R384" i="1" s="1"/>
  <c r="X46" i="1"/>
  <c r="X381" i="1" s="1"/>
  <c r="AG257" i="1"/>
  <c r="AG285" i="1" s="1"/>
  <c r="CH285" i="1" s="1"/>
  <c r="AG53" i="1"/>
  <c r="AG389" i="1" s="1"/>
  <c r="AG94" i="1"/>
  <c r="AG96" i="1"/>
  <c r="AG99" i="1"/>
  <c r="AG48" i="1"/>
  <c r="AG384" i="1" s="1"/>
  <c r="AH49" i="1"/>
  <c r="AO49" i="1" s="1"/>
  <c r="X96" i="1"/>
  <c r="AG54" i="1"/>
  <c r="AG390" i="1" s="1"/>
  <c r="AG278" i="1"/>
  <c r="CH278" i="1" s="1"/>
  <c r="AG47" i="1"/>
  <c r="AG383" i="1" s="1"/>
  <c r="AG93" i="1"/>
  <c r="AG98" i="1"/>
  <c r="Z99" i="1"/>
  <c r="Z50" i="1"/>
  <c r="Z386" i="1" s="1"/>
  <c r="Z48" i="1"/>
  <c r="Z384" i="1" s="1"/>
  <c r="S48" i="1"/>
  <c r="S384" i="1" s="1"/>
  <c r="AA94" i="1"/>
  <c r="R47" i="1"/>
  <c r="AA92" i="1"/>
  <c r="Z95" i="1"/>
  <c r="V96" i="1"/>
  <c r="W46" i="1"/>
  <c r="Z100" i="1"/>
  <c r="V107" i="1"/>
  <c r="V110" i="1" s="1"/>
  <c r="U47" i="1"/>
  <c r="U383" i="1" s="1"/>
  <c r="AA48" i="1"/>
  <c r="AA384" i="1" s="1"/>
  <c r="W95" i="1"/>
  <c r="S49" i="1"/>
  <c r="S385" i="1" s="1"/>
  <c r="Z11" i="1"/>
  <c r="Z53" i="1"/>
  <c r="Z389" i="1" s="1"/>
  <c r="Z98" i="1"/>
  <c r="V95" i="1"/>
  <c r="U96" i="1"/>
  <c r="AA100" i="1"/>
  <c r="S98" i="1"/>
  <c r="Z51" i="1"/>
  <c r="Z387" i="1" s="1"/>
  <c r="Z107" i="1"/>
  <c r="Z110" i="1" s="1"/>
  <c r="Z101" i="1"/>
  <c r="AA47" i="1"/>
  <c r="AA383" i="1" s="1"/>
  <c r="AA51" i="1"/>
  <c r="AA387" i="1" s="1"/>
  <c r="W96" i="1"/>
  <c r="S94" i="1"/>
  <c r="S100" i="1"/>
  <c r="Z54" i="1"/>
  <c r="Z390" i="1" s="1"/>
  <c r="Z47" i="1"/>
  <c r="Z383" i="1" s="1"/>
  <c r="Z93" i="1"/>
  <c r="Z96" i="1"/>
  <c r="Z92" i="1"/>
  <c r="Z94" i="1"/>
  <c r="V52" i="1"/>
  <c r="V388" i="1" s="1"/>
  <c r="U54" i="1"/>
  <c r="U390" i="1" s="1"/>
  <c r="U50" i="1"/>
  <c r="U386" i="1" s="1"/>
  <c r="AA46" i="1"/>
  <c r="AA95" i="1"/>
  <c r="W107" i="1"/>
  <c r="S54" i="1"/>
  <c r="S390" i="1" s="1"/>
  <c r="S96" i="1"/>
  <c r="Z257" i="1"/>
  <c r="Z306" i="1" s="1"/>
  <c r="CA306" i="1" s="1"/>
  <c r="Z46" i="1"/>
  <c r="Z382" i="1" s="1"/>
  <c r="Z49" i="1"/>
  <c r="Z385" i="1" s="1"/>
  <c r="Z52" i="1"/>
  <c r="Z388" i="1" s="1"/>
  <c r="Z97" i="1"/>
  <c r="V46" i="1"/>
  <c r="V381" i="1" s="1"/>
  <c r="V99" i="1"/>
  <c r="U49" i="1"/>
  <c r="U385" i="1" s="1"/>
  <c r="AA257" i="1"/>
  <c r="AA278" i="1" s="1"/>
  <c r="CB278" i="1" s="1"/>
  <c r="AA98" i="1"/>
  <c r="AA54" i="1"/>
  <c r="AA390" i="1" s="1"/>
  <c r="S52" i="1"/>
  <c r="S388" i="1" s="1"/>
  <c r="S50" i="1"/>
  <c r="S386" i="1" s="1"/>
  <c r="S99" i="1"/>
  <c r="S97" i="1"/>
  <c r="AA55" i="1"/>
  <c r="S11" i="1"/>
  <c r="S51" i="1"/>
  <c r="S387" i="1" s="1"/>
  <c r="S101" i="1"/>
  <c r="S107" i="1"/>
  <c r="S110" i="1" s="1"/>
  <c r="S93" i="1"/>
  <c r="AA53" i="1"/>
  <c r="AA389" i="1" s="1"/>
  <c r="AA97" i="1"/>
  <c r="AA107" i="1"/>
  <c r="AA110" i="1" s="1"/>
  <c r="AA50" i="1"/>
  <c r="AA386" i="1" s="1"/>
  <c r="AA96" i="1"/>
  <c r="AA11" i="1"/>
  <c r="AA52" i="1"/>
  <c r="AA388" i="1" s="1"/>
  <c r="AA49" i="1"/>
  <c r="AA385" i="1" s="1"/>
  <c r="AA101" i="1"/>
  <c r="AA99" i="1"/>
  <c r="S257" i="1"/>
  <c r="S306" i="1" s="1"/>
  <c r="BT306" i="1" s="1"/>
  <c r="S47" i="1"/>
  <c r="S383" i="1" s="1"/>
  <c r="S46" i="1"/>
  <c r="S382" i="1" s="1"/>
  <c r="S53" i="1"/>
  <c r="S389" i="1" s="1"/>
  <c r="S95" i="1"/>
  <c r="AH48" i="1"/>
  <c r="AO48" i="1" s="1"/>
  <c r="AH95" i="1"/>
  <c r="AO95" i="1" s="1"/>
  <c r="X11" i="1"/>
  <c r="X53" i="1"/>
  <c r="X389" i="1" s="1"/>
  <c r="AF100" i="1"/>
  <c r="AH258" i="1"/>
  <c r="J258" i="1" s="1"/>
  <c r="X107" i="1"/>
  <c r="X110" i="1" s="1"/>
  <c r="X92" i="1"/>
  <c r="AF51" i="1"/>
  <c r="AF387" i="1" s="1"/>
  <c r="AF95" i="1"/>
  <c r="AB46" i="1"/>
  <c r="AB50" i="1"/>
  <c r="R49" i="1"/>
  <c r="AD53" i="1"/>
  <c r="AD389" i="1" s="1"/>
  <c r="AD107" i="1"/>
  <c r="AD110" i="1" s="1"/>
  <c r="AD99" i="1"/>
  <c r="AB101" i="1"/>
  <c r="R50" i="1"/>
  <c r="AB96" i="1"/>
  <c r="AB52" i="1"/>
  <c r="AB93" i="1"/>
  <c r="R99" i="1"/>
  <c r="R53" i="1"/>
  <c r="R101" i="1"/>
  <c r="AD54" i="1"/>
  <c r="AD390" i="1" s="1"/>
  <c r="AD94" i="1"/>
  <c r="AD95" i="1"/>
  <c r="AB257" i="1"/>
  <c r="AB299" i="1" s="1"/>
  <c r="AB53" i="1"/>
  <c r="AB47" i="1"/>
  <c r="R95" i="1"/>
  <c r="R55" i="1"/>
  <c r="AD47" i="1"/>
  <c r="AD383" i="1" s="1"/>
  <c r="AD55" i="1"/>
  <c r="AD100" i="1"/>
  <c r="AH92" i="1"/>
  <c r="AH278" i="1"/>
  <c r="CI278" i="1" s="1"/>
  <c r="AH98" i="1"/>
  <c r="AO98" i="1" s="1"/>
  <c r="AB11" i="1"/>
  <c r="AB400" i="1" s="1"/>
  <c r="AB92" i="1"/>
  <c r="AB55" i="1"/>
  <c r="AB95" i="1"/>
  <c r="AB48" i="1"/>
  <c r="AB97" i="1"/>
  <c r="X257" i="1"/>
  <c r="X334" i="1" s="1"/>
  <c r="BY334" i="1" s="1"/>
  <c r="X47" i="1"/>
  <c r="X383" i="1" s="1"/>
  <c r="X94" i="1"/>
  <c r="R52" i="1"/>
  <c r="R54" i="1"/>
  <c r="R97" i="1"/>
  <c r="R98" i="1"/>
  <c r="R107" i="1"/>
  <c r="R93" i="1"/>
  <c r="AF11" i="1"/>
  <c r="AF46" i="1"/>
  <c r="AF382" i="1" s="1"/>
  <c r="AF93" i="1"/>
  <c r="AD11" i="1"/>
  <c r="AD51" i="1"/>
  <c r="AD387" i="1" s="1"/>
  <c r="AD96" i="1"/>
  <c r="AD46" i="1"/>
  <c r="AD382" i="1" s="1"/>
  <c r="AD97" i="1"/>
  <c r="AD92" i="1"/>
  <c r="AH53" i="1"/>
  <c r="AH389" i="1" s="1"/>
  <c r="AO389" i="1" s="1"/>
  <c r="AH47" i="1"/>
  <c r="AO47" i="1" s="1"/>
  <c r="AH94" i="1"/>
  <c r="AO94" i="1" s="1"/>
  <c r="AB49" i="1"/>
  <c r="AB51" i="1"/>
  <c r="AB94" i="1"/>
  <c r="AB100" i="1"/>
  <c r="X49" i="1"/>
  <c r="X385" i="1" s="1"/>
  <c r="X97" i="1"/>
  <c r="X93" i="1"/>
  <c r="R257" i="1"/>
  <c r="R306" i="1" s="1"/>
  <c r="R96" i="1"/>
  <c r="R51" i="1"/>
  <c r="R100" i="1"/>
  <c r="AF49" i="1"/>
  <c r="AF385" i="1" s="1"/>
  <c r="AF92" i="1"/>
  <c r="AF94" i="1"/>
  <c r="AD257" i="1"/>
  <c r="AD264" i="1" s="1"/>
  <c r="CE264" i="1" s="1"/>
  <c r="AD48" i="1"/>
  <c r="AD384" i="1" s="1"/>
  <c r="AD49" i="1"/>
  <c r="AD385" i="1" s="1"/>
  <c r="AD50" i="1"/>
  <c r="AD386" i="1" s="1"/>
  <c r="AD101" i="1"/>
  <c r="W51" i="1"/>
  <c r="W11" i="1"/>
  <c r="W49" i="1"/>
  <c r="V101" i="1"/>
  <c r="V49" i="1"/>
  <c r="V385" i="1" s="1"/>
  <c r="V97" i="1"/>
  <c r="V48" i="1"/>
  <c r="V384" i="1" s="1"/>
  <c r="U48" i="1"/>
  <c r="U384" i="1" s="1"/>
  <c r="U101" i="1"/>
  <c r="AH11" i="1"/>
  <c r="AH400" i="1" s="1"/>
  <c r="AO400" i="1" s="1"/>
  <c r="AH101" i="1"/>
  <c r="AO101" i="1" s="1"/>
  <c r="AH54" i="1"/>
  <c r="AO54" i="1" s="1"/>
  <c r="AH50" i="1"/>
  <c r="AH386" i="1" s="1"/>
  <c r="AO386" i="1" s="1"/>
  <c r="AH97" i="1"/>
  <c r="AO97" i="1" s="1"/>
  <c r="AH100" i="1"/>
  <c r="AO100" i="1" s="1"/>
  <c r="W97" i="1"/>
  <c r="W101" i="1"/>
  <c r="W50" i="1"/>
  <c r="W54" i="1"/>
  <c r="W55" i="1"/>
  <c r="W52" i="1"/>
  <c r="X54" i="1"/>
  <c r="X390" i="1" s="1"/>
  <c r="X51" i="1"/>
  <c r="X387" i="1" s="1"/>
  <c r="X98" i="1"/>
  <c r="X99" i="1"/>
  <c r="X48" i="1"/>
  <c r="X384" i="1" s="1"/>
  <c r="X95" i="1"/>
  <c r="V50" i="1"/>
  <c r="V386" i="1" s="1"/>
  <c r="V53" i="1"/>
  <c r="V389" i="1" s="1"/>
  <c r="V54" i="1"/>
  <c r="V390" i="1" s="1"/>
  <c r="V93" i="1"/>
  <c r="V100" i="1"/>
  <c r="AF257" i="1"/>
  <c r="AF278" i="1" s="1"/>
  <c r="CG278" i="1" s="1"/>
  <c r="AF48" i="1"/>
  <c r="AF384" i="1" s="1"/>
  <c r="AF47" i="1"/>
  <c r="AF383" i="1" s="1"/>
  <c r="AF107" i="1"/>
  <c r="AF110" i="1" s="1"/>
  <c r="AF96" i="1"/>
  <c r="AF99" i="1"/>
  <c r="U11" i="1"/>
  <c r="U46" i="1"/>
  <c r="U94" i="1"/>
  <c r="U51" i="1"/>
  <c r="U387" i="1" s="1"/>
  <c r="U100" i="1"/>
  <c r="U98" i="1"/>
  <c r="W48" i="1"/>
  <c r="W53" i="1"/>
  <c r="W93" i="1"/>
  <c r="V47" i="1"/>
  <c r="V383" i="1" s="1"/>
  <c r="U107" i="1"/>
  <c r="U110" i="1" s="1"/>
  <c r="U92" i="1"/>
  <c r="U97" i="1"/>
  <c r="AH257" i="1"/>
  <c r="AH320" i="1" s="1"/>
  <c r="AH46" i="1"/>
  <c r="AH381" i="1" s="1"/>
  <c r="AH93" i="1"/>
  <c r="AO93" i="1" s="1"/>
  <c r="AH52" i="1"/>
  <c r="AH388" i="1" s="1"/>
  <c r="AO388" i="1" s="1"/>
  <c r="AH96" i="1"/>
  <c r="AO96" i="1" s="1"/>
  <c r="W257" i="1"/>
  <c r="W99" i="1"/>
  <c r="W98" i="1"/>
  <c r="W94" i="1"/>
  <c r="W100" i="1"/>
  <c r="X52" i="1"/>
  <c r="X388" i="1" s="1"/>
  <c r="X101" i="1"/>
  <c r="X50" i="1"/>
  <c r="X386" i="1" s="1"/>
  <c r="X100" i="1"/>
  <c r="V257" i="1"/>
  <c r="V306" i="1" s="1"/>
  <c r="BW306" i="1" s="1"/>
  <c r="V92" i="1"/>
  <c r="V51" i="1"/>
  <c r="V387" i="1" s="1"/>
  <c r="V94" i="1"/>
  <c r="V98" i="1"/>
  <c r="AF50" i="1"/>
  <c r="AF386" i="1" s="1"/>
  <c r="AF52" i="1"/>
  <c r="AF388" i="1" s="1"/>
  <c r="AF98" i="1"/>
  <c r="AF101" i="1"/>
  <c r="AF55" i="1"/>
  <c r="U257" i="1"/>
  <c r="U264" i="1" s="1"/>
  <c r="BV264" i="1" s="1"/>
  <c r="U52" i="1"/>
  <c r="U388" i="1" s="1"/>
  <c r="U53" i="1"/>
  <c r="U389" i="1" s="1"/>
  <c r="U55" i="1"/>
  <c r="U93" i="1"/>
  <c r="AO51" i="1"/>
  <c r="I11" i="1" l="1"/>
  <c r="AL108" i="1"/>
  <c r="AU108" i="1"/>
  <c r="J108" i="1"/>
  <c r="AM108" i="1"/>
  <c r="BB108" i="1"/>
  <c r="BC108" i="1"/>
  <c r="BD108" i="1"/>
  <c r="BE108" i="1"/>
  <c r="BF108" i="1"/>
  <c r="AT108" i="1"/>
  <c r="K108" i="1"/>
  <c r="AX108" i="1"/>
  <c r="AW108" i="1"/>
  <c r="N108" i="1"/>
  <c r="L108" i="1"/>
  <c r="AV108" i="1"/>
  <c r="M108" i="1"/>
  <c r="BI108" i="1"/>
  <c r="T110" i="1"/>
  <c r="I108" i="1"/>
  <c r="BB12" i="1"/>
  <c r="BC12" i="1"/>
  <c r="AM12" i="1"/>
  <c r="AI12" i="1"/>
  <c r="W400" i="1"/>
  <c r="BF12" i="1"/>
  <c r="AV12" i="1"/>
  <c r="AX12" i="1"/>
  <c r="AL12" i="1"/>
  <c r="M12" i="1"/>
  <c r="K12" i="1"/>
  <c r="F5" i="38" s="1"/>
  <c r="AU12" i="1"/>
  <c r="L12" i="1"/>
  <c r="AT12" i="1"/>
  <c r="I12" i="1"/>
  <c r="N12" i="1"/>
  <c r="J12" i="1"/>
  <c r="AW12" i="1"/>
  <c r="BM12" i="1"/>
  <c r="AN12" i="1"/>
  <c r="BL12" i="1"/>
  <c r="BK12" i="1"/>
  <c r="BJ12" i="1"/>
  <c r="BN12" i="1"/>
  <c r="BD12" i="1"/>
  <c r="BE12" i="1"/>
  <c r="T400" i="1"/>
  <c r="X400" i="1"/>
  <c r="AD397" i="1"/>
  <c r="AD400" i="1"/>
  <c r="V399" i="1"/>
  <c r="V400" i="1"/>
  <c r="Z400" i="1"/>
  <c r="AE399" i="1"/>
  <c r="AE400" i="1"/>
  <c r="AA397" i="1"/>
  <c r="AA400" i="1"/>
  <c r="R397" i="1"/>
  <c r="R400" i="1"/>
  <c r="AG399" i="1"/>
  <c r="AG400" i="1"/>
  <c r="AC397" i="1"/>
  <c r="AC400" i="1"/>
  <c r="AF400" i="1"/>
  <c r="S400" i="1"/>
  <c r="U397" i="1"/>
  <c r="U400" i="1"/>
  <c r="Y397" i="1"/>
  <c r="Y400" i="1"/>
  <c r="L93" i="1"/>
  <c r="H222" i="31" s="1"/>
  <c r="M93" i="1"/>
  <c r="I222" i="31" s="1"/>
  <c r="M94" i="1"/>
  <c r="I223" i="31" s="1"/>
  <c r="T397" i="1"/>
  <c r="T399" i="1"/>
  <c r="T306" i="1"/>
  <c r="T271" i="1"/>
  <c r="BU271" i="1" s="1"/>
  <c r="T327" i="1"/>
  <c r="T292" i="1"/>
  <c r="BU292" i="1" s="1"/>
  <c r="T299" i="1"/>
  <c r="BU299" i="1" s="1"/>
  <c r="T313" i="1"/>
  <c r="BU313" i="1" s="1"/>
  <c r="T278" i="1"/>
  <c r="BU278" i="1" s="1"/>
  <c r="T334" i="1"/>
  <c r="BU334" i="1" s="1"/>
  <c r="T285" i="1"/>
  <c r="BU285" i="1" s="1"/>
  <c r="T264" i="1"/>
  <c r="BU264" i="1" s="1"/>
  <c r="T320" i="1"/>
  <c r="BU320" i="1" s="1"/>
  <c r="T102" i="1"/>
  <c r="T104" i="1" s="1"/>
  <c r="T112" i="1" s="1"/>
  <c r="T382" i="1"/>
  <c r="T381" i="1"/>
  <c r="T56" i="1"/>
  <c r="I46" i="1"/>
  <c r="E185" i="31" s="1"/>
  <c r="AE327" i="1"/>
  <c r="CF327" i="1" s="1"/>
  <c r="I92" i="1"/>
  <c r="E221" i="31" s="1"/>
  <c r="R102" i="1"/>
  <c r="R104" i="1" s="1"/>
  <c r="AE264" i="1"/>
  <c r="CF264" i="1" s="1"/>
  <c r="AE278" i="1"/>
  <c r="CF278" i="1" s="1"/>
  <c r="AE306" i="1"/>
  <c r="CF306" i="1" s="1"/>
  <c r="AE397" i="1"/>
  <c r="AE320" i="1"/>
  <c r="CF320" i="1" s="1"/>
  <c r="AE292" i="1"/>
  <c r="CF292" i="1" s="1"/>
  <c r="CF257" i="1"/>
  <c r="AE271" i="1"/>
  <c r="CF271" i="1" s="1"/>
  <c r="AE334" i="1"/>
  <c r="CF334" i="1" s="1"/>
  <c r="AE299" i="1"/>
  <c r="CF299" i="1" s="1"/>
  <c r="AE285" i="1"/>
  <c r="CF285" i="1" s="1"/>
  <c r="AC278" i="1"/>
  <c r="CD278" i="1" s="1"/>
  <c r="AC327" i="1"/>
  <c r="CD327" i="1" s="1"/>
  <c r="AC299" i="1"/>
  <c r="CD299" i="1" s="1"/>
  <c r="AC306" i="1"/>
  <c r="CD306" i="1" s="1"/>
  <c r="AC264" i="1"/>
  <c r="CD264" i="1" s="1"/>
  <c r="AC292" i="1"/>
  <c r="CD292" i="1" s="1"/>
  <c r="AC320" i="1"/>
  <c r="CD320" i="1" s="1"/>
  <c r="CD257" i="1"/>
  <c r="AC334" i="1"/>
  <c r="CD334" i="1" s="1"/>
  <c r="AC285" i="1"/>
  <c r="CD285" i="1" s="1"/>
  <c r="AC313" i="1"/>
  <c r="CD313" i="1" s="1"/>
  <c r="AE102" i="1"/>
  <c r="AE104" i="1" s="1"/>
  <c r="AE112" i="1" s="1"/>
  <c r="AE56" i="1"/>
  <c r="AC399" i="1"/>
  <c r="AE382" i="1"/>
  <c r="AC382" i="1"/>
  <c r="AC391" i="1" s="1"/>
  <c r="AC393" i="1" s="1"/>
  <c r="AE381" i="1"/>
  <c r="Y381" i="1"/>
  <c r="Y391" i="1" s="1"/>
  <c r="Y393" i="1" s="1"/>
  <c r="AC102" i="1"/>
  <c r="AC104" i="1" s="1"/>
  <c r="AC112" i="1" s="1"/>
  <c r="AC56" i="1"/>
  <c r="Y399" i="1"/>
  <c r="Y313" i="1"/>
  <c r="BZ313" i="1" s="1"/>
  <c r="Y327" i="1"/>
  <c r="BZ327" i="1" s="1"/>
  <c r="Y102" i="1"/>
  <c r="Y104" i="1" s="1"/>
  <c r="Y112" i="1" s="1"/>
  <c r="BN98" i="1"/>
  <c r="Y271" i="1"/>
  <c r="BZ271" i="1" s="1"/>
  <c r="Y320" i="1"/>
  <c r="BZ320" i="1" s="1"/>
  <c r="AG397" i="1"/>
  <c r="Y264" i="1"/>
  <c r="BZ264" i="1" s="1"/>
  <c r="AG382" i="1"/>
  <c r="AG391" i="1" s="1"/>
  <c r="AG393" i="1" s="1"/>
  <c r="Y278" i="1"/>
  <c r="BZ278" i="1" s="1"/>
  <c r="BO99" i="1"/>
  <c r="Y56" i="1"/>
  <c r="Y285" i="1"/>
  <c r="BZ285" i="1" s="1"/>
  <c r="Y299" i="1"/>
  <c r="BZ299" i="1" s="1"/>
  <c r="AW48" i="1"/>
  <c r="Y292" i="1"/>
  <c r="BZ292" i="1" s="1"/>
  <c r="AG13" i="1"/>
  <c r="BZ257" i="1"/>
  <c r="Y334" i="1"/>
  <c r="BZ334" i="1" s="1"/>
  <c r="BL107" i="1"/>
  <c r="BL110" i="1" s="1"/>
  <c r="BM107" i="1"/>
  <c r="BM110" i="1" s="1"/>
  <c r="AB110" i="1"/>
  <c r="BK98" i="1"/>
  <c r="BJ107" i="1"/>
  <c r="BJ110" i="1" s="1"/>
  <c r="AD334" i="1"/>
  <c r="CE334" i="1" s="1"/>
  <c r="AN98" i="1"/>
  <c r="AW93" i="1"/>
  <c r="AL11" i="1"/>
  <c r="BD47" i="1"/>
  <c r="AY11" i="1"/>
  <c r="AY13" i="1" s="1"/>
  <c r="BK54" i="1"/>
  <c r="BN107" i="1"/>
  <c r="BN110" i="1" s="1"/>
  <c r="BC48" i="1"/>
  <c r="BG50" i="1"/>
  <c r="BO52" i="1"/>
  <c r="BF92" i="1"/>
  <c r="BG107" i="1"/>
  <c r="BG110" i="1" s="1"/>
  <c r="L94" i="1"/>
  <c r="H223" i="31" s="1"/>
  <c r="K48" i="1"/>
  <c r="G187" i="31" s="1"/>
  <c r="BC47" i="1"/>
  <c r="N48" i="1"/>
  <c r="AW47" i="1"/>
  <c r="AN107" i="1"/>
  <c r="AN110" i="1" s="1"/>
  <c r="AL94" i="1"/>
  <c r="AT48" i="1"/>
  <c r="AI48" i="1"/>
  <c r="M50" i="1"/>
  <c r="I189" i="31" s="1"/>
  <c r="AV11" i="1"/>
  <c r="M11" i="1"/>
  <c r="AI47" i="1"/>
  <c r="BO54" i="1"/>
  <c r="AW94" i="1"/>
  <c r="BE11" i="1"/>
  <c r="AN51" i="1"/>
  <c r="AY98" i="1"/>
  <c r="BL48" i="1"/>
  <c r="AU92" i="1"/>
  <c r="J101" i="1"/>
  <c r="F230" i="31" s="1"/>
  <c r="BM99" i="1"/>
  <c r="BL50" i="1"/>
  <c r="AU94" i="1"/>
  <c r="L48" i="1"/>
  <c r="H187" i="31" s="1"/>
  <c r="AX11" i="1"/>
  <c r="AX13" i="1" s="1"/>
  <c r="R399" i="1"/>
  <c r="BN99" i="1"/>
  <c r="BJ54" i="1"/>
  <c r="AI94" i="1"/>
  <c r="AG102" i="1"/>
  <c r="AG104" i="1" s="1"/>
  <c r="AG112" i="1" s="1"/>
  <c r="BE47" i="1"/>
  <c r="AL48" i="1"/>
  <c r="L11" i="1"/>
  <c r="BK99" i="1"/>
  <c r="BK107" i="1"/>
  <c r="BK110" i="1" s="1"/>
  <c r="BO107" i="1"/>
  <c r="BO110" i="1" s="1"/>
  <c r="BC93" i="1"/>
  <c r="BK47" i="1"/>
  <c r="AU99" i="1"/>
  <c r="BC46" i="1"/>
  <c r="AM92" i="1"/>
  <c r="X299" i="1"/>
  <c r="BY299" i="1" s="1"/>
  <c r="AH385" i="1"/>
  <c r="AO385" i="1" s="1"/>
  <c r="BJ98" i="1"/>
  <c r="BL98" i="1"/>
  <c r="J94" i="1"/>
  <c r="F223" i="31" s="1"/>
  <c r="AY94" i="1"/>
  <c r="V102" i="1"/>
  <c r="V104" i="1" s="1"/>
  <c r="V112" i="1" s="1"/>
  <c r="BE98" i="1"/>
  <c r="BD55" i="1"/>
  <c r="BF97" i="1"/>
  <c r="M100" i="1"/>
  <c r="I229" i="31" s="1"/>
  <c r="BM100" i="1"/>
  <c r="N93" i="1"/>
  <c r="AU54" i="1"/>
  <c r="AN55" i="1"/>
  <c r="BO47" i="1"/>
  <c r="AV50" i="1"/>
  <c r="S102" i="1"/>
  <c r="S104" i="1" s="1"/>
  <c r="S112" i="1" s="1"/>
  <c r="AA56" i="1"/>
  <c r="BC96" i="1"/>
  <c r="BG46" i="1"/>
  <c r="L47" i="1"/>
  <c r="H186" i="31" s="1"/>
  <c r="W102" i="1"/>
  <c r="W104" i="1" s="1"/>
  <c r="AD313" i="1"/>
  <c r="CE313" i="1" s="1"/>
  <c r="BB47" i="1"/>
  <c r="BG47" i="1"/>
  <c r="I100" i="1"/>
  <c r="E229" i="31" s="1"/>
  <c r="I48" i="1"/>
  <c r="E187" i="31" s="1"/>
  <c r="AU48" i="1"/>
  <c r="J48" i="1"/>
  <c r="F187" i="31" s="1"/>
  <c r="AX48" i="1"/>
  <c r="L50" i="1"/>
  <c r="H189" i="31" s="1"/>
  <c r="K11" i="1"/>
  <c r="AU11" i="1"/>
  <c r="AW11" i="1"/>
  <c r="J47" i="1"/>
  <c r="F186" i="31" s="1"/>
  <c r="BJ99" i="1"/>
  <c r="BL99" i="1"/>
  <c r="AI258" i="1"/>
  <c r="J93" i="1"/>
  <c r="F222" i="31" s="1"/>
  <c r="BB92" i="1"/>
  <c r="BM98" i="1"/>
  <c r="BO98" i="1"/>
  <c r="BN54" i="1"/>
  <c r="BL54" i="1"/>
  <c r="AT94" i="1"/>
  <c r="AV94" i="1"/>
  <c r="K94" i="1"/>
  <c r="G223" i="31" s="1"/>
  <c r="BC99" i="1"/>
  <c r="U102" i="1"/>
  <c r="U104" i="1" s="1"/>
  <c r="U112" i="1" s="1"/>
  <c r="AM53" i="1"/>
  <c r="BD54" i="1"/>
  <c r="BC49" i="1"/>
  <c r="L51" i="1"/>
  <c r="H190" i="31" s="1"/>
  <c r="AN94" i="1"/>
  <c r="AX107" i="1"/>
  <c r="AY52" i="1"/>
  <c r="BO97" i="1"/>
  <c r="BM92" i="1"/>
  <c r="AH102" i="1"/>
  <c r="AH104" i="1" s="1"/>
  <c r="AH112" i="1" s="1"/>
  <c r="K55" i="1"/>
  <c r="G194" i="31" s="1"/>
  <c r="BL53" i="1"/>
  <c r="AN93" i="1"/>
  <c r="AN101" i="1"/>
  <c r="AW49" i="1"/>
  <c r="Z102" i="1"/>
  <c r="Z104" i="1" s="1"/>
  <c r="Z112" i="1" s="1"/>
  <c r="BE100" i="1"/>
  <c r="AF102" i="1"/>
  <c r="AF104" i="1" s="1"/>
  <c r="AF112" i="1" s="1"/>
  <c r="N46" i="1"/>
  <c r="X102" i="1"/>
  <c r="X104" i="1" s="1"/>
  <c r="X112" i="1" s="1"/>
  <c r="N99" i="1"/>
  <c r="AM47" i="1"/>
  <c r="BF47" i="1"/>
  <c r="M48" i="1"/>
  <c r="I187" i="31" s="1"/>
  <c r="AV48" i="1"/>
  <c r="AY48" i="1"/>
  <c r="J11" i="1"/>
  <c r="N11" i="1"/>
  <c r="N13" i="1" s="1"/>
  <c r="AT11" i="1"/>
  <c r="AI11" i="1"/>
  <c r="X320" i="1"/>
  <c r="BY320" i="1" s="1"/>
  <c r="AN99" i="1"/>
  <c r="AG56" i="1"/>
  <c r="AG125" i="1" s="1"/>
  <c r="BU327" i="1"/>
  <c r="W381" i="1"/>
  <c r="BC92" i="1"/>
  <c r="BM54" i="1"/>
  <c r="AN54" i="1"/>
  <c r="I94" i="1"/>
  <c r="E223" i="31" s="1"/>
  <c r="N94" i="1"/>
  <c r="AX94" i="1"/>
  <c r="BC94" i="1"/>
  <c r="U56" i="1"/>
  <c r="AM52" i="1"/>
  <c r="AM101" i="1"/>
  <c r="AM51" i="1"/>
  <c r="L96" i="1"/>
  <c r="H225" i="31" s="1"/>
  <c r="BO49" i="1"/>
  <c r="AD102" i="1"/>
  <c r="AD104" i="1" s="1"/>
  <c r="AD112" i="1" s="1"/>
  <c r="N97" i="1"/>
  <c r="BL95" i="1"/>
  <c r="L95" i="1"/>
  <c r="H224" i="31" s="1"/>
  <c r="N53" i="1"/>
  <c r="AN96" i="1"/>
  <c r="BO46" i="1"/>
  <c r="BG95" i="1"/>
  <c r="AA102" i="1"/>
  <c r="AA104" i="1" s="1"/>
  <c r="AA112" i="1" s="1"/>
  <c r="CH257" i="1"/>
  <c r="AG299" i="1"/>
  <c r="CH299" i="1" s="1"/>
  <c r="BG257" i="1"/>
  <c r="AG334" i="1"/>
  <c r="CH334" i="1" s="1"/>
  <c r="AI101" i="1"/>
  <c r="AG264" i="1"/>
  <c r="CH264" i="1" s="1"/>
  <c r="BM52" i="1"/>
  <c r="M46" i="1"/>
  <c r="I185" i="31" s="1"/>
  <c r="AG292" i="1"/>
  <c r="CH292" i="1" s="1"/>
  <c r="Z320" i="1"/>
  <c r="CA320" i="1" s="1"/>
  <c r="Z56" i="1"/>
  <c r="AV101" i="1"/>
  <c r="AI92" i="1"/>
  <c r="BK11" i="1"/>
  <c r="AG320" i="1"/>
  <c r="CH320" i="1" s="1"/>
  <c r="AG313" i="1"/>
  <c r="CH313" i="1" s="1"/>
  <c r="AG327" i="1"/>
  <c r="CH327" i="1" s="1"/>
  <c r="AO11" i="1"/>
  <c r="AO13" i="1" s="1"/>
  <c r="AM107" i="1"/>
  <c r="AM110" i="1" s="1"/>
  <c r="Z381" i="1"/>
  <c r="Z391" i="1" s="1"/>
  <c r="Z393" i="1" s="1"/>
  <c r="AT101" i="1"/>
  <c r="AG306" i="1"/>
  <c r="CH306" i="1" s="1"/>
  <c r="AG271" i="1"/>
  <c r="CH271" i="1" s="1"/>
  <c r="BF107" i="1"/>
  <c r="BO50" i="1"/>
  <c r="AB313" i="1"/>
  <c r="AH271" i="1"/>
  <c r="AO271" i="1" s="1"/>
  <c r="U382" i="1"/>
  <c r="AX53" i="1"/>
  <c r="S278" i="1"/>
  <c r="BT278" i="1" s="1"/>
  <c r="Z271" i="1"/>
  <c r="CA271" i="1" s="1"/>
  <c r="BB94" i="1"/>
  <c r="CB257" i="1"/>
  <c r="X382" i="1"/>
  <c r="X391" i="1" s="1"/>
  <c r="X393" i="1" s="1"/>
  <c r="BF95" i="1"/>
  <c r="AX99" i="1"/>
  <c r="L100" i="1"/>
  <c r="H229" i="31" s="1"/>
  <c r="AW50" i="1"/>
  <c r="AL47" i="1"/>
  <c r="AU47" i="1"/>
  <c r="I258" i="1"/>
  <c r="BU257" i="1"/>
  <c r="AY54" i="1"/>
  <c r="X56" i="1"/>
  <c r="W56" i="1"/>
  <c r="BG96" i="1"/>
  <c r="BD92" i="1"/>
  <c r="BG92" i="1"/>
  <c r="AU257" i="1"/>
  <c r="AY99" i="1"/>
  <c r="BO55" i="1"/>
  <c r="AT50" i="1"/>
  <c r="K47" i="1"/>
  <c r="G186" i="31" s="1"/>
  <c r="AV47" i="1"/>
  <c r="L258" i="1"/>
  <c r="Z397" i="1"/>
  <c r="K54" i="1"/>
  <c r="G193" i="31" s="1"/>
  <c r="BF96" i="1"/>
  <c r="BE92" i="1"/>
  <c r="BC97" i="1"/>
  <c r="AD327" i="1"/>
  <c r="CE327" i="1" s="1"/>
  <c r="K92" i="1"/>
  <c r="G221" i="31" s="1"/>
  <c r="AL99" i="1"/>
  <c r="L99" i="1"/>
  <c r="H228" i="31" s="1"/>
  <c r="BN55" i="1"/>
  <c r="AV100" i="1"/>
  <c r="AA382" i="1"/>
  <c r="AL50" i="1"/>
  <c r="I47" i="1"/>
  <c r="E186" i="31" s="1"/>
  <c r="AX47" i="1"/>
  <c r="AY47" i="1"/>
  <c r="N47" i="1"/>
  <c r="AA399" i="1"/>
  <c r="N258" i="1"/>
  <c r="V382" i="1"/>
  <c r="V391" i="1" s="1"/>
  <c r="V393" i="1" s="1"/>
  <c r="AY93" i="1"/>
  <c r="AT54" i="1"/>
  <c r="AM46" i="1"/>
  <c r="BB107" i="1"/>
  <c r="BB110" i="1" s="1"/>
  <c r="R320" i="1"/>
  <c r="AB306" i="1"/>
  <c r="AD299" i="1"/>
  <c r="AV99" i="1"/>
  <c r="K99" i="1"/>
  <c r="G228" i="31" s="1"/>
  <c r="BN48" i="1"/>
  <c r="AF320" i="1"/>
  <c r="CG320" i="1" s="1"/>
  <c r="BG55" i="1"/>
  <c r="AY50" i="1"/>
  <c r="AU50" i="1"/>
  <c r="AT47" i="1"/>
  <c r="R383" i="1"/>
  <c r="M47" i="1"/>
  <c r="I186" i="31" s="1"/>
  <c r="X271" i="1"/>
  <c r="BY271" i="1" s="1"/>
  <c r="AO258" i="1"/>
  <c r="AK258" i="1" s="1"/>
  <c r="I93" i="1"/>
  <c r="E222" i="31" s="1"/>
  <c r="I98" i="1"/>
  <c r="E227" i="31" s="1"/>
  <c r="AI54" i="1"/>
  <c r="BE46" i="1"/>
  <c r="W110" i="1"/>
  <c r="AM96" i="1"/>
  <c r="N257" i="1"/>
  <c r="BN47" i="1"/>
  <c r="U299" i="1"/>
  <c r="BV299" i="1" s="1"/>
  <c r="AT55" i="1"/>
  <c r="AW53" i="1"/>
  <c r="AA271" i="1"/>
  <c r="CB271" i="1" s="1"/>
  <c r="AI96" i="1"/>
  <c r="BM96" i="1"/>
  <c r="M107" i="1"/>
  <c r="BB95" i="1"/>
  <c r="Z285" i="1"/>
  <c r="CA285" i="1" s="1"/>
  <c r="BF101" i="1"/>
  <c r="K52" i="1"/>
  <c r="G191" i="31" s="1"/>
  <c r="K49" i="1"/>
  <c r="G188" i="31" s="1"/>
  <c r="Z278" i="1"/>
  <c r="CA278" i="1" s="1"/>
  <c r="AX95" i="1"/>
  <c r="AA334" i="1"/>
  <c r="CB334" i="1" s="1"/>
  <c r="CI257" i="1"/>
  <c r="BM49" i="1"/>
  <c r="Z399" i="1"/>
  <c r="S327" i="1"/>
  <c r="BT327" i="1" s="1"/>
  <c r="BE95" i="1"/>
  <c r="AW96" i="1"/>
  <c r="S292" i="1"/>
  <c r="BT292" i="1" s="1"/>
  <c r="BC95" i="1"/>
  <c r="AD278" i="1"/>
  <c r="CE278" i="1" s="1"/>
  <c r="AD285" i="1"/>
  <c r="CE285" i="1" s="1"/>
  <c r="AT99" i="1"/>
  <c r="J99" i="1"/>
  <c r="F228" i="31" s="1"/>
  <c r="AI99" i="1"/>
  <c r="M99" i="1"/>
  <c r="I228" i="31" s="1"/>
  <c r="BB98" i="1"/>
  <c r="BM55" i="1"/>
  <c r="U399" i="1"/>
  <c r="AT100" i="1"/>
  <c r="AX100" i="1"/>
  <c r="AA381" i="1"/>
  <c r="K50" i="1"/>
  <c r="G189" i="31" s="1"/>
  <c r="AX50" i="1"/>
  <c r="J50" i="1"/>
  <c r="F189" i="31" s="1"/>
  <c r="AI50" i="1"/>
  <c r="X285" i="1"/>
  <c r="BY285" i="1" s="1"/>
  <c r="BC11" i="1"/>
  <c r="BC13" i="1" s="1"/>
  <c r="CI258" i="1"/>
  <c r="CP258" i="1" s="1"/>
  <c r="M258" i="1"/>
  <c r="V56" i="1"/>
  <c r="AU93" i="1"/>
  <c r="I54" i="1"/>
  <c r="E193" i="31" s="1"/>
  <c r="L54" i="1"/>
  <c r="H193" i="31" s="1"/>
  <c r="BD46" i="1"/>
  <c r="W382" i="1"/>
  <c r="BC107" i="1"/>
  <c r="BC110" i="1" s="1"/>
  <c r="BE107" i="1"/>
  <c r="BB96" i="1"/>
  <c r="BE96" i="1"/>
  <c r="AO278" i="1"/>
  <c r="AU46" i="1"/>
  <c r="AT257" i="1"/>
  <c r="AL257" i="1"/>
  <c r="R334" i="1"/>
  <c r="BJ47" i="1"/>
  <c r="AN47" i="1"/>
  <c r="BJ257" i="1"/>
  <c r="AB285" i="1"/>
  <c r="CC285" i="1" s="1"/>
  <c r="AO52" i="1"/>
  <c r="K257" i="1"/>
  <c r="G89" i="31" s="1"/>
  <c r="I257" i="1"/>
  <c r="R327" i="1"/>
  <c r="R264" i="1"/>
  <c r="BM47" i="1"/>
  <c r="BL47" i="1"/>
  <c r="AN100" i="1"/>
  <c r="AD306" i="1"/>
  <c r="CE306" i="1" s="1"/>
  <c r="M101" i="1"/>
  <c r="I230" i="31" s="1"/>
  <c r="AX92" i="1"/>
  <c r="I99" i="1"/>
  <c r="E228" i="31" s="1"/>
  <c r="AW99" i="1"/>
  <c r="AM100" i="1"/>
  <c r="W320" i="1"/>
  <c r="BK55" i="1"/>
  <c r="AW100" i="1"/>
  <c r="AI100" i="1"/>
  <c r="BL52" i="1"/>
  <c r="AF381" i="1"/>
  <c r="AF391" i="1" s="1"/>
  <c r="AF393" i="1" s="1"/>
  <c r="I50" i="1"/>
  <c r="E189" i="31" s="1"/>
  <c r="R386" i="1"/>
  <c r="N50" i="1"/>
  <c r="BY257" i="1"/>
  <c r="X306" i="1"/>
  <c r="BY306" i="1" s="1"/>
  <c r="K258" i="1"/>
  <c r="AL93" i="1"/>
  <c r="AX93" i="1"/>
  <c r="M98" i="1"/>
  <c r="I227" i="31" s="1"/>
  <c r="AW54" i="1"/>
  <c r="AX54" i="1"/>
  <c r="BB46" i="1"/>
  <c r="BF46" i="1"/>
  <c r="BD107" i="1"/>
  <c r="BD96" i="1"/>
  <c r="BJ50" i="1"/>
  <c r="R299" i="1"/>
  <c r="L257" i="1"/>
  <c r="H89" i="31" s="1"/>
  <c r="R285" i="1"/>
  <c r="AI257" i="1"/>
  <c r="AB383" i="1"/>
  <c r="BK383" i="1" s="1"/>
  <c r="BV257" i="1"/>
  <c r="CA257" i="1"/>
  <c r="Z313" i="1"/>
  <c r="CA313" i="1" s="1"/>
  <c r="I53" i="1"/>
  <c r="E192" i="31" s="1"/>
  <c r="J95" i="1"/>
  <c r="F224" i="31" s="1"/>
  <c r="BF94" i="1"/>
  <c r="AA285" i="1"/>
  <c r="CB285" i="1" s="1"/>
  <c r="AA313" i="1"/>
  <c r="CB313" i="1" s="1"/>
  <c r="AH313" i="1"/>
  <c r="AO313" i="1" s="1"/>
  <c r="BJ96" i="1"/>
  <c r="L97" i="1"/>
  <c r="H226" i="31" s="1"/>
  <c r="S264" i="1"/>
  <c r="BT264" i="1" s="1"/>
  <c r="AM95" i="1"/>
  <c r="BM46" i="1"/>
  <c r="BG52" i="1"/>
  <c r="W387" i="1"/>
  <c r="BD387" i="1" s="1"/>
  <c r="U327" i="1"/>
  <c r="BV327" i="1" s="1"/>
  <c r="Z292" i="1"/>
  <c r="CA292" i="1" s="1"/>
  <c r="AU53" i="1"/>
  <c r="AU95" i="1"/>
  <c r="BF99" i="1"/>
  <c r="AN95" i="1"/>
  <c r="AA299" i="1"/>
  <c r="CB299" i="1" s="1"/>
  <c r="AH306" i="1"/>
  <c r="AU96" i="1"/>
  <c r="BM94" i="1"/>
  <c r="S271" i="1"/>
  <c r="BT271" i="1" s="1"/>
  <c r="S313" i="1"/>
  <c r="BT313" i="1" s="1"/>
  <c r="BD95" i="1"/>
  <c r="AB389" i="1"/>
  <c r="BL389" i="1" s="1"/>
  <c r="U334" i="1"/>
  <c r="BV334" i="1" s="1"/>
  <c r="Z334" i="1"/>
  <c r="CA334" i="1" s="1"/>
  <c r="Z299" i="1"/>
  <c r="CA299" i="1" s="1"/>
  <c r="Z264" i="1"/>
  <c r="CA264" i="1" s="1"/>
  <c r="AT53" i="1"/>
  <c r="J53" i="1"/>
  <c r="F192" i="31" s="1"/>
  <c r="AL95" i="1"/>
  <c r="N95" i="1"/>
  <c r="AM94" i="1"/>
  <c r="BM95" i="1"/>
  <c r="AA327" i="1"/>
  <c r="CB327" i="1" s="1"/>
  <c r="AA320" i="1"/>
  <c r="CB320" i="1" s="1"/>
  <c r="AA264" i="1"/>
  <c r="CB264" i="1" s="1"/>
  <c r="AH299" i="1"/>
  <c r="AO299" i="1" s="1"/>
  <c r="R387" i="1"/>
  <c r="AX387" i="1" s="1"/>
  <c r="AV96" i="1"/>
  <c r="BC101" i="1"/>
  <c r="AF397" i="1"/>
  <c r="AI97" i="1"/>
  <c r="BT257" i="1"/>
  <c r="S299" i="1"/>
  <c r="BT299" i="1" s="1"/>
  <c r="S334" i="1"/>
  <c r="BT334" i="1" s="1"/>
  <c r="X399" i="1"/>
  <c r="BN46" i="1"/>
  <c r="W388" i="1"/>
  <c r="BB388" i="1" s="1"/>
  <c r="U292" i="1"/>
  <c r="BV292" i="1" s="1"/>
  <c r="U278" i="1"/>
  <c r="BV278" i="1" s="1"/>
  <c r="Z327" i="1"/>
  <c r="CA327" i="1" s="1"/>
  <c r="L53" i="1"/>
  <c r="H192" i="31" s="1"/>
  <c r="M53" i="1"/>
  <c r="I192" i="31" s="1"/>
  <c r="AI95" i="1"/>
  <c r="BG94" i="1"/>
  <c r="BK97" i="1"/>
  <c r="BN95" i="1"/>
  <c r="AA292" i="1"/>
  <c r="CB292" i="1" s="1"/>
  <c r="AA306" i="1"/>
  <c r="CB306" i="1" s="1"/>
  <c r="AH327" i="1"/>
  <c r="CI327" i="1" s="1"/>
  <c r="U381" i="1"/>
  <c r="AT96" i="1"/>
  <c r="K96" i="1"/>
  <c r="G225" i="31" s="1"/>
  <c r="BG101" i="1"/>
  <c r="BN96" i="1"/>
  <c r="AB385" i="1"/>
  <c r="BK385" i="1" s="1"/>
  <c r="AW97" i="1"/>
  <c r="S285" i="1"/>
  <c r="BT285" i="1" s="1"/>
  <c r="S320" i="1"/>
  <c r="BT320" i="1" s="1"/>
  <c r="BJ101" i="1"/>
  <c r="AD381" i="1"/>
  <c r="AD391" i="1" s="1"/>
  <c r="AD393" i="1" s="1"/>
  <c r="BB51" i="1"/>
  <c r="BL92" i="1"/>
  <c r="AU55" i="1"/>
  <c r="BL97" i="1"/>
  <c r="AW51" i="1"/>
  <c r="BO93" i="1"/>
  <c r="BO94" i="1"/>
  <c r="AV107" i="1"/>
  <c r="AI52" i="1"/>
  <c r="R385" i="1"/>
  <c r="BC53" i="1"/>
  <c r="V271" i="1"/>
  <c r="BW271" i="1" s="1"/>
  <c r="I51" i="1"/>
  <c r="E190" i="31" s="1"/>
  <c r="AI107" i="1"/>
  <c r="R388" i="1"/>
  <c r="AY388" i="1" s="1"/>
  <c r="S56" i="1"/>
  <c r="S58" i="1" s="1"/>
  <c r="S125" i="1" s="1"/>
  <c r="BL101" i="1"/>
  <c r="AO92" i="1"/>
  <c r="AO102" i="1" s="1"/>
  <c r="AO104" i="1" s="1"/>
  <c r="AO112" i="1" s="1"/>
  <c r="BN53" i="1"/>
  <c r="AX49" i="1"/>
  <c r="AI55" i="1"/>
  <c r="V313" i="1"/>
  <c r="BW313" i="1" s="1"/>
  <c r="N55" i="1"/>
  <c r="AB102" i="1"/>
  <c r="AB104" i="1" s="1"/>
  <c r="AI51" i="1"/>
  <c r="BN93" i="1"/>
  <c r="BD49" i="1"/>
  <c r="L107" i="1"/>
  <c r="L52" i="1"/>
  <c r="H191" i="31" s="1"/>
  <c r="BG54" i="1"/>
  <c r="AY49" i="1"/>
  <c r="V285" i="1"/>
  <c r="BW285" i="1" s="1"/>
  <c r="V334" i="1"/>
  <c r="BW334" i="1" s="1"/>
  <c r="AY55" i="1"/>
  <c r="I55" i="1"/>
  <c r="E194" i="31" s="1"/>
  <c r="AX55" i="1"/>
  <c r="AW55" i="1"/>
  <c r="S399" i="1"/>
  <c r="BE99" i="1"/>
  <c r="AN97" i="1"/>
  <c r="BM97" i="1"/>
  <c r="BJ92" i="1"/>
  <c r="BN92" i="1"/>
  <c r="AL51" i="1"/>
  <c r="K51" i="1"/>
  <c r="G190" i="31" s="1"/>
  <c r="AU51" i="1"/>
  <c r="AV51" i="1"/>
  <c r="BM93" i="1"/>
  <c r="BK93" i="1"/>
  <c r="BE49" i="1"/>
  <c r="BL94" i="1"/>
  <c r="AH384" i="1"/>
  <c r="AO384" i="1" s="1"/>
  <c r="I107" i="1"/>
  <c r="AL107" i="1"/>
  <c r="AW107" i="1"/>
  <c r="AW110" i="1" s="1"/>
  <c r="AL52" i="1"/>
  <c r="J52" i="1"/>
  <c r="F191" i="31" s="1"/>
  <c r="N52" i="1"/>
  <c r="S381" i="1"/>
  <c r="S391" i="1" s="1"/>
  <c r="S393" i="1" s="1"/>
  <c r="BM101" i="1"/>
  <c r="BE54" i="1"/>
  <c r="BM53" i="1"/>
  <c r="BO53" i="1"/>
  <c r="AD56" i="1"/>
  <c r="AT49" i="1"/>
  <c r="I49" i="1"/>
  <c r="E188" i="31" s="1"/>
  <c r="N49" i="1"/>
  <c r="L49" i="1"/>
  <c r="H188" i="31" s="1"/>
  <c r="BF53" i="1"/>
  <c r="M55" i="1"/>
  <c r="I194" i="31" s="1"/>
  <c r="S397" i="1"/>
  <c r="AN92" i="1"/>
  <c r="J51" i="1"/>
  <c r="F190" i="31" s="1"/>
  <c r="M51" i="1"/>
  <c r="I190" i="31" s="1"/>
  <c r="N51" i="1"/>
  <c r="BJ93" i="1"/>
  <c r="BL93" i="1"/>
  <c r="BB49" i="1"/>
  <c r="BN94" i="1"/>
  <c r="BK94" i="1"/>
  <c r="K107" i="1"/>
  <c r="R110" i="1"/>
  <c r="AU107" i="1"/>
  <c r="AY107" i="1"/>
  <c r="AY110" i="1" s="1"/>
  <c r="I52" i="1"/>
  <c r="E191" i="31" s="1"/>
  <c r="AV52" i="1"/>
  <c r="AW52" i="1"/>
  <c r="M52" i="1"/>
  <c r="I191" i="31" s="1"/>
  <c r="BO101" i="1"/>
  <c r="BN101" i="1"/>
  <c r="AH383" i="1"/>
  <c r="AO383" i="1" s="1"/>
  <c r="BF54" i="1"/>
  <c r="BJ53" i="1"/>
  <c r="BK53" i="1"/>
  <c r="AL49" i="1"/>
  <c r="AV49" i="1"/>
  <c r="J49" i="1"/>
  <c r="F188" i="31" s="1"/>
  <c r="AI49" i="1"/>
  <c r="BD53" i="1"/>
  <c r="BW257" i="1"/>
  <c r="V264" i="1"/>
  <c r="BW264" i="1" s="1"/>
  <c r="V299" i="1"/>
  <c r="BW299" i="1" s="1"/>
  <c r="AL55" i="1"/>
  <c r="AV55" i="1"/>
  <c r="BD99" i="1"/>
  <c r="BN97" i="1"/>
  <c r="BO92" i="1"/>
  <c r="V292" i="1"/>
  <c r="BW292" i="1" s="1"/>
  <c r="V278" i="1"/>
  <c r="BW278" i="1" s="1"/>
  <c r="L55" i="1"/>
  <c r="H194" i="31" s="1"/>
  <c r="J55" i="1"/>
  <c r="F194" i="31" s="1"/>
  <c r="BG99" i="1"/>
  <c r="BJ97" i="1"/>
  <c r="BK92" i="1"/>
  <c r="AT51" i="1"/>
  <c r="AY51" i="1"/>
  <c r="AX51" i="1"/>
  <c r="BG49" i="1"/>
  <c r="BJ94" i="1"/>
  <c r="AT107" i="1"/>
  <c r="J107" i="1"/>
  <c r="N107" i="1"/>
  <c r="N110" i="1" s="1"/>
  <c r="I15" i="4" s="1"/>
  <c r="AX52" i="1"/>
  <c r="AT52" i="1"/>
  <c r="AU52" i="1"/>
  <c r="BK101" i="1"/>
  <c r="AM54" i="1"/>
  <c r="W386" i="1"/>
  <c r="AN53" i="1"/>
  <c r="M49" i="1"/>
  <c r="I188" i="31" s="1"/>
  <c r="AU49" i="1"/>
  <c r="BD93" i="1"/>
  <c r="BG53" i="1"/>
  <c r="BL51" i="1"/>
  <c r="BK49" i="1"/>
  <c r="AN49" i="1"/>
  <c r="AX97" i="1"/>
  <c r="I97" i="1"/>
  <c r="E226" i="31" s="1"/>
  <c r="J97" i="1"/>
  <c r="F226" i="31" s="1"/>
  <c r="X397" i="1"/>
  <c r="BJ46" i="1"/>
  <c r="AN46" i="1"/>
  <c r="AB382" i="1"/>
  <c r="BB52" i="1"/>
  <c r="BF52" i="1"/>
  <c r="AO50" i="1"/>
  <c r="BD51" i="1"/>
  <c r="BE51" i="1"/>
  <c r="AL53" i="1"/>
  <c r="I95" i="1"/>
  <c r="E224" i="31" s="1"/>
  <c r="BO95" i="1"/>
  <c r="BK95" i="1"/>
  <c r="AL96" i="1"/>
  <c r="M96" i="1"/>
  <c r="I225" i="31" s="1"/>
  <c r="BE101" i="1"/>
  <c r="AF399" i="1"/>
  <c r="BJ49" i="1"/>
  <c r="BL49" i="1"/>
  <c r="AT97" i="1"/>
  <c r="AV97" i="1"/>
  <c r="K97" i="1"/>
  <c r="G226" i="31" s="1"/>
  <c r="AU97" i="1"/>
  <c r="BL46" i="1"/>
  <c r="AB56" i="1"/>
  <c r="BD52" i="1"/>
  <c r="BC52" i="1"/>
  <c r="BC51" i="1"/>
  <c r="BF51" i="1"/>
  <c r="U271" i="1"/>
  <c r="BV271" i="1" s="1"/>
  <c r="U320" i="1"/>
  <c r="BV320" i="1" s="1"/>
  <c r="U285" i="1"/>
  <c r="BV285" i="1" s="1"/>
  <c r="K53" i="1"/>
  <c r="G192" i="31" s="1"/>
  <c r="AV53" i="1"/>
  <c r="AT95" i="1"/>
  <c r="AV95" i="1"/>
  <c r="M95" i="1"/>
  <c r="I224" i="31" s="1"/>
  <c r="BE94" i="1"/>
  <c r="BD94" i="1"/>
  <c r="AO257" i="1"/>
  <c r="AH286" i="1"/>
  <c r="K286" i="1" s="1"/>
  <c r="AH285" i="1"/>
  <c r="CI285" i="1" s="1"/>
  <c r="AH334" i="1"/>
  <c r="AO334" i="1" s="1"/>
  <c r="J96" i="1"/>
  <c r="F225" i="31" s="1"/>
  <c r="AY96" i="1"/>
  <c r="BB101" i="1"/>
  <c r="BL96" i="1"/>
  <c r="BO96" i="1"/>
  <c r="U306" i="1"/>
  <c r="BV306" i="1" s="1"/>
  <c r="U313" i="1"/>
  <c r="BV313" i="1" s="1"/>
  <c r="R389" i="1"/>
  <c r="AX389" i="1" s="1"/>
  <c r="AY53" i="1"/>
  <c r="AI53" i="1"/>
  <c r="K95" i="1"/>
  <c r="G224" i="31" s="1"/>
  <c r="AW95" i="1"/>
  <c r="AY95" i="1"/>
  <c r="BJ95" i="1"/>
  <c r="AH328" i="1"/>
  <c r="L328" i="1" s="1"/>
  <c r="AH314" i="1"/>
  <c r="L314" i="1" s="1"/>
  <c r="AH264" i="1"/>
  <c r="CI264" i="1" s="1"/>
  <c r="I96" i="1"/>
  <c r="E225" i="31" s="1"/>
  <c r="N96" i="1"/>
  <c r="AX96" i="1"/>
  <c r="BD101" i="1"/>
  <c r="BK96" i="1"/>
  <c r="BN49" i="1"/>
  <c r="M97" i="1"/>
  <c r="I226" i="31" s="1"/>
  <c r="AL97" i="1"/>
  <c r="AY97" i="1"/>
  <c r="AB381" i="1"/>
  <c r="BK46" i="1"/>
  <c r="BE52" i="1"/>
  <c r="BG48" i="1"/>
  <c r="BG51" i="1"/>
  <c r="L101" i="1"/>
  <c r="H230" i="31" s="1"/>
  <c r="M92" i="1"/>
  <c r="I221" i="31" s="1"/>
  <c r="AY92" i="1"/>
  <c r="BG100" i="1"/>
  <c r="BD257" i="1"/>
  <c r="W264" i="1"/>
  <c r="W313" i="1"/>
  <c r="BJ48" i="1"/>
  <c r="BM11" i="1"/>
  <c r="AH382" i="1"/>
  <c r="AF292" i="1"/>
  <c r="CG292" i="1" s="1"/>
  <c r="AF306" i="1"/>
  <c r="CG306" i="1" s="1"/>
  <c r="BJ52" i="1"/>
  <c r="AB388" i="1"/>
  <c r="BN388" i="1" s="1"/>
  <c r="BD11" i="1"/>
  <c r="L98" i="1"/>
  <c r="H227" i="31" s="1"/>
  <c r="N98" i="1"/>
  <c r="BN50" i="1"/>
  <c r="BM50" i="1"/>
  <c r="L46" i="1"/>
  <c r="H185" i="31" s="1"/>
  <c r="BD50" i="1"/>
  <c r="AB334" i="1"/>
  <c r="BN257" i="1"/>
  <c r="CC257" i="1"/>
  <c r="AB320" i="1"/>
  <c r="AB264" i="1"/>
  <c r="BD48" i="1"/>
  <c r="BJ51" i="1"/>
  <c r="I101" i="1"/>
  <c r="E230" i="31" s="1"/>
  <c r="AU101" i="1"/>
  <c r="N92" i="1"/>
  <c r="K101" i="1"/>
  <c r="G230" i="31" s="1"/>
  <c r="AY101" i="1"/>
  <c r="AW101" i="1"/>
  <c r="L92" i="1"/>
  <c r="H221" i="31" s="1"/>
  <c r="AT92" i="1"/>
  <c r="J92" i="1"/>
  <c r="F221" i="31" s="1"/>
  <c r="AL92" i="1"/>
  <c r="BD100" i="1"/>
  <c r="BB257" i="1"/>
  <c r="BX257" i="1"/>
  <c r="AB384" i="1"/>
  <c r="AN384" i="1" s="1"/>
  <c r="BN11" i="1"/>
  <c r="BN13" i="1" s="1"/>
  <c r="CG257" i="1"/>
  <c r="BK52" i="1"/>
  <c r="AN52" i="1"/>
  <c r="AM11" i="1"/>
  <c r="W397" i="1"/>
  <c r="J98" i="1"/>
  <c r="F227" i="31" s="1"/>
  <c r="AN50" i="1"/>
  <c r="BK50" i="1"/>
  <c r="AO53" i="1"/>
  <c r="AV46" i="1"/>
  <c r="AI46" i="1"/>
  <c r="AM50" i="1"/>
  <c r="BO257" i="1"/>
  <c r="BM257" i="1"/>
  <c r="AN257" i="1"/>
  <c r="AB278" i="1"/>
  <c r="CC278" i="1" s="1"/>
  <c r="AB292" i="1"/>
  <c r="CC292" i="1" s="1"/>
  <c r="BB48" i="1"/>
  <c r="BK100" i="1"/>
  <c r="AB387" i="1"/>
  <c r="BK387" i="1" s="1"/>
  <c r="AL101" i="1"/>
  <c r="AX101" i="1"/>
  <c r="N101" i="1"/>
  <c r="AV92" i="1"/>
  <c r="AW92" i="1"/>
  <c r="BB100" i="1"/>
  <c r="W334" i="1"/>
  <c r="W327" i="1"/>
  <c r="W278" i="1"/>
  <c r="BX278" i="1" s="1"/>
  <c r="BO48" i="1"/>
  <c r="AB399" i="1"/>
  <c r="AO46" i="1"/>
  <c r="AF285" i="1"/>
  <c r="CG285" i="1" s="1"/>
  <c r="BN52" i="1"/>
  <c r="AH397" i="1"/>
  <c r="AF56" i="1"/>
  <c r="BG11" i="1"/>
  <c r="AL98" i="1"/>
  <c r="AV98" i="1"/>
  <c r="AB386" i="1"/>
  <c r="BO386" i="1" s="1"/>
  <c r="J46" i="1"/>
  <c r="F185" i="31" s="1"/>
  <c r="K46" i="1"/>
  <c r="G185" i="31" s="1"/>
  <c r="BE50" i="1"/>
  <c r="BK257" i="1"/>
  <c r="BL257" i="1"/>
  <c r="AB271" i="1"/>
  <c r="CC271" i="1" s="1"/>
  <c r="AB327" i="1"/>
  <c r="BF48" i="1"/>
  <c r="BL100" i="1"/>
  <c r="BM51" i="1"/>
  <c r="CE257" i="1"/>
  <c r="AD320" i="1"/>
  <c r="CE320" i="1" s="1"/>
  <c r="AD292" i="1"/>
  <c r="CE292" i="1" s="1"/>
  <c r="BF100" i="1"/>
  <c r="BC100" i="1"/>
  <c r="BF257" i="1"/>
  <c r="BE257" i="1"/>
  <c r="W285" i="1"/>
  <c r="BX285" i="1" s="1"/>
  <c r="W306" i="1"/>
  <c r="W292" i="1"/>
  <c r="BM48" i="1"/>
  <c r="AN48" i="1"/>
  <c r="BL55" i="1"/>
  <c r="AN11" i="1"/>
  <c r="AN13" i="1" s="1"/>
  <c r="BO11" i="1"/>
  <c r="BO13" i="1" s="1"/>
  <c r="AB397" i="1"/>
  <c r="AH56" i="1"/>
  <c r="AH125" i="1" s="1"/>
  <c r="AO125" i="1" s="1"/>
  <c r="AF264" i="1"/>
  <c r="CG264" i="1" s="1"/>
  <c r="AF271" i="1"/>
  <c r="CG271" i="1" s="1"/>
  <c r="AF299" i="1"/>
  <c r="CG299" i="1" s="1"/>
  <c r="AF313" i="1"/>
  <c r="CG313" i="1" s="1"/>
  <c r="K100" i="1"/>
  <c r="G229" i="31" s="1"/>
  <c r="J100" i="1"/>
  <c r="F229" i="31" s="1"/>
  <c r="N100" i="1"/>
  <c r="BF55" i="1"/>
  <c r="AH399" i="1"/>
  <c r="AD399" i="1"/>
  <c r="AD402" i="1" s="1"/>
  <c r="X313" i="1"/>
  <c r="BY313" i="1" s="1"/>
  <c r="X278" i="1"/>
  <c r="BY278" i="1" s="1"/>
  <c r="X264" i="1"/>
  <c r="BY264" i="1" s="1"/>
  <c r="BB11" i="1"/>
  <c r="BB13" i="1" s="1"/>
  <c r="W399" i="1"/>
  <c r="K93" i="1"/>
  <c r="G222" i="31" s="1"/>
  <c r="AV93" i="1"/>
  <c r="AT98" i="1"/>
  <c r="AU98" i="1"/>
  <c r="AX98" i="1"/>
  <c r="AW98" i="1"/>
  <c r="R390" i="1"/>
  <c r="N54" i="1"/>
  <c r="AV54" i="1"/>
  <c r="M54" i="1"/>
  <c r="I193" i="31" s="1"/>
  <c r="AW46" i="1"/>
  <c r="AX46" i="1"/>
  <c r="AT46" i="1"/>
  <c r="AL46" i="1"/>
  <c r="R56" i="1"/>
  <c r="R271" i="1"/>
  <c r="AV257" i="1"/>
  <c r="R313" i="1"/>
  <c r="R278" i="1"/>
  <c r="R292" i="1"/>
  <c r="BB50" i="1"/>
  <c r="BF50" i="1"/>
  <c r="BE97" i="1"/>
  <c r="AH390" i="1"/>
  <c r="AO390" i="1" s="1"/>
  <c r="AM48" i="1"/>
  <c r="W384" i="1"/>
  <c r="BB384" i="1" s="1"/>
  <c r="BJ100" i="1"/>
  <c r="BO100" i="1"/>
  <c r="BN51" i="1"/>
  <c r="BO51" i="1"/>
  <c r="AD271" i="1"/>
  <c r="CE271" i="1" s="1"/>
  <c r="AM98" i="1"/>
  <c r="AM257" i="1"/>
  <c r="BC257" i="1"/>
  <c r="W271" i="1"/>
  <c r="BX271" i="1" s="1"/>
  <c r="W299" i="1"/>
  <c r="BK48" i="1"/>
  <c r="BJ55" i="1"/>
  <c r="BL11" i="1"/>
  <c r="BJ11" i="1"/>
  <c r="AF327" i="1"/>
  <c r="CG327" i="1" s="1"/>
  <c r="AF334" i="1"/>
  <c r="CG334" i="1" s="1"/>
  <c r="AL100" i="1"/>
  <c r="AU100" i="1"/>
  <c r="AY100" i="1"/>
  <c r="AH13" i="1"/>
  <c r="X327" i="1"/>
  <c r="BY327" i="1" s="1"/>
  <c r="X292" i="1"/>
  <c r="BY292" i="1" s="1"/>
  <c r="BF11" i="1"/>
  <c r="AT93" i="1"/>
  <c r="AI93" i="1"/>
  <c r="AI98" i="1"/>
  <c r="K98" i="1"/>
  <c r="G227" i="31" s="1"/>
  <c r="AL54" i="1"/>
  <c r="J54" i="1"/>
  <c r="F193" i="31" s="1"/>
  <c r="V397" i="1"/>
  <c r="R381" i="1"/>
  <c r="R382" i="1"/>
  <c r="AY46" i="1"/>
  <c r="J257" i="1"/>
  <c r="F89" i="31" s="1"/>
  <c r="AX257" i="1"/>
  <c r="M257" i="1"/>
  <c r="I89" i="31" s="1"/>
  <c r="AY257" i="1"/>
  <c r="AW257" i="1"/>
  <c r="BS257" i="1"/>
  <c r="BC50" i="1"/>
  <c r="BG93" i="1"/>
  <c r="BE48" i="1"/>
  <c r="BN100" i="1"/>
  <c r="BK51" i="1"/>
  <c r="BF98" i="1"/>
  <c r="BF93" i="1"/>
  <c r="AM93" i="1"/>
  <c r="V327" i="1"/>
  <c r="BW327" i="1" s="1"/>
  <c r="V320" i="1"/>
  <c r="BW320" i="1" s="1"/>
  <c r="BG98" i="1"/>
  <c r="BC98" i="1"/>
  <c r="AM99" i="1"/>
  <c r="BE55" i="1"/>
  <c r="BC55" i="1"/>
  <c r="W385" i="1"/>
  <c r="BF49" i="1"/>
  <c r="W390" i="1"/>
  <c r="BC54" i="1"/>
  <c r="BG97" i="1"/>
  <c r="BE93" i="1"/>
  <c r="W389" i="1"/>
  <c r="BE53" i="1"/>
  <c r="BD98" i="1"/>
  <c r="AM55" i="1"/>
  <c r="BD97" i="1"/>
  <c r="AM97" i="1"/>
  <c r="BB99" i="1"/>
  <c r="BB55" i="1"/>
  <c r="AM49" i="1"/>
  <c r="BB54" i="1"/>
  <c r="BB97" i="1"/>
  <c r="BB93" i="1"/>
  <c r="BB53" i="1"/>
  <c r="CC299" i="1"/>
  <c r="BG383" i="1"/>
  <c r="BE383" i="1"/>
  <c r="AM383" i="1"/>
  <c r="BF383" i="1"/>
  <c r="BC383" i="1"/>
  <c r="BD383" i="1"/>
  <c r="BB383" i="1"/>
  <c r="AO381" i="1"/>
  <c r="BS306" i="1"/>
  <c r="AV384" i="1"/>
  <c r="AW384" i="1"/>
  <c r="AX384" i="1"/>
  <c r="AU384" i="1"/>
  <c r="AT384" i="1"/>
  <c r="AY384" i="1"/>
  <c r="AL384" i="1"/>
  <c r="CI320" i="1"/>
  <c r="AO320" i="1"/>
  <c r="AN390" i="1"/>
  <c r="BL390" i="1"/>
  <c r="BK390" i="1"/>
  <c r="BO390" i="1"/>
  <c r="BM390" i="1"/>
  <c r="BN390" i="1"/>
  <c r="BJ390" i="1"/>
  <c r="E195" i="31" l="1"/>
  <c r="BD110" i="1"/>
  <c r="H11" i="1"/>
  <c r="I161" i="31"/>
  <c r="H5" i="38"/>
  <c r="F161" i="31"/>
  <c r="E5" i="38"/>
  <c r="E161" i="31"/>
  <c r="D5" i="38"/>
  <c r="H161" i="31"/>
  <c r="G5" i="38"/>
  <c r="AU110" i="1"/>
  <c r="G6" i="38"/>
  <c r="H233" i="31"/>
  <c r="D6" i="38"/>
  <c r="E233" i="31"/>
  <c r="F6" i="38"/>
  <c r="F7" i="38" s="1"/>
  <c r="F22" i="38" s="1"/>
  <c r="F25" i="38" s="1"/>
  <c r="G233" i="31"/>
  <c r="E6" i="38"/>
  <c r="F233" i="31"/>
  <c r="H6" i="38"/>
  <c r="H7" i="38" s="1"/>
  <c r="H22" i="38" s="1"/>
  <c r="H25" i="38" s="1"/>
  <c r="I233" i="31"/>
  <c r="J161" i="31"/>
  <c r="J229" i="31"/>
  <c r="AL110" i="1"/>
  <c r="AK108" i="1"/>
  <c r="AX110" i="1"/>
  <c r="J13" i="1"/>
  <c r="E8" i="4" s="1"/>
  <c r="BD13" i="1"/>
  <c r="AL13" i="1"/>
  <c r="K13" i="1"/>
  <c r="F8" i="4" s="1"/>
  <c r="Z58" i="1"/>
  <c r="Z125" i="1" s="1"/>
  <c r="BM13" i="1"/>
  <c r="BF110" i="1"/>
  <c r="H108" i="1"/>
  <c r="M13" i="1"/>
  <c r="AV110" i="1"/>
  <c r="BA108" i="1"/>
  <c r="BE110" i="1"/>
  <c r="AM13" i="1"/>
  <c r="AW13" i="1"/>
  <c r="AS108" i="1"/>
  <c r="BE13" i="1"/>
  <c r="BL13" i="1"/>
  <c r="BF13" i="1"/>
  <c r="L13" i="1"/>
  <c r="G8" i="4" s="1"/>
  <c r="AU13" i="1"/>
  <c r="BK13" i="1"/>
  <c r="BI12" i="1"/>
  <c r="X347" i="1"/>
  <c r="X350" i="1" s="1"/>
  <c r="E232" i="31"/>
  <c r="I110" i="1"/>
  <c r="BA12" i="1"/>
  <c r="AF58" i="1"/>
  <c r="AF125" i="1" s="1"/>
  <c r="AS12" i="1"/>
  <c r="BJ13" i="1"/>
  <c r="H12" i="1"/>
  <c r="AK12" i="1"/>
  <c r="I13" i="1"/>
  <c r="D8" i="4" s="1"/>
  <c r="AS11" i="1"/>
  <c r="AT13" i="1"/>
  <c r="AV13" i="1"/>
  <c r="AE402" i="1"/>
  <c r="AA402" i="1"/>
  <c r="Y402" i="1"/>
  <c r="Y404" i="1" s="1"/>
  <c r="AM400" i="1"/>
  <c r="BB400" i="1"/>
  <c r="U402" i="1"/>
  <c r="AG402" i="1"/>
  <c r="AG404" i="1" s="1"/>
  <c r="BG400" i="1"/>
  <c r="BN400" i="1"/>
  <c r="AN400" i="1"/>
  <c r="BJ400" i="1"/>
  <c r="BC400" i="1"/>
  <c r="BL400" i="1"/>
  <c r="BE400" i="1"/>
  <c r="BK400" i="1"/>
  <c r="I400" i="1"/>
  <c r="J400" i="1"/>
  <c r="M400" i="1"/>
  <c r="AY400" i="1"/>
  <c r="AU400" i="1"/>
  <c r="AX400" i="1"/>
  <c r="K400" i="1"/>
  <c r="N400" i="1"/>
  <c r="AV400" i="1"/>
  <c r="AT400" i="1"/>
  <c r="AW400" i="1"/>
  <c r="L400" i="1"/>
  <c r="AL400" i="1"/>
  <c r="R402" i="1"/>
  <c r="I399" i="1"/>
  <c r="E141" i="31" s="1"/>
  <c r="AI400" i="1"/>
  <c r="BF400" i="1"/>
  <c r="BM400" i="1"/>
  <c r="BD400" i="1"/>
  <c r="AC402" i="1"/>
  <c r="AC404" i="1" s="1"/>
  <c r="T402" i="1"/>
  <c r="T391" i="1"/>
  <c r="T393" i="1" s="1"/>
  <c r="T347" i="1"/>
  <c r="T350" i="1" s="1"/>
  <c r="T58" i="1"/>
  <c r="H46" i="1"/>
  <c r="E89" i="31"/>
  <c r="J89" i="31" s="1"/>
  <c r="H257" i="1"/>
  <c r="H195" i="31"/>
  <c r="U347" i="1"/>
  <c r="U350" i="1" s="1"/>
  <c r="J189" i="31"/>
  <c r="G195" i="31"/>
  <c r="J225" i="31"/>
  <c r="J224" i="31"/>
  <c r="J191" i="31"/>
  <c r="J223" i="31"/>
  <c r="J226" i="31"/>
  <c r="J188" i="31"/>
  <c r="M110" i="1"/>
  <c r="H15" i="4" s="1"/>
  <c r="I232" i="31"/>
  <c r="I235" i="31" s="1"/>
  <c r="H231" i="31"/>
  <c r="J185" i="31"/>
  <c r="J110" i="1"/>
  <c r="F232" i="31"/>
  <c r="F235" i="31" s="1"/>
  <c r="K110" i="1"/>
  <c r="F15" i="4" s="1"/>
  <c r="G232" i="31"/>
  <c r="G235" i="31" s="1"/>
  <c r="J228" i="31"/>
  <c r="E160" i="31"/>
  <c r="I160" i="31"/>
  <c r="I162" i="31" s="1"/>
  <c r="I195" i="31"/>
  <c r="F160" i="31"/>
  <c r="F162" i="31" s="1"/>
  <c r="H160" i="31"/>
  <c r="H162" i="31" s="1"/>
  <c r="I231" i="31"/>
  <c r="G231" i="31"/>
  <c r="J187" i="31"/>
  <c r="J186" i="31"/>
  <c r="J190" i="31"/>
  <c r="J193" i="31"/>
  <c r="J227" i="31"/>
  <c r="L110" i="1"/>
  <c r="G15" i="4" s="1"/>
  <c r="H232" i="31"/>
  <c r="H235" i="31" s="1"/>
  <c r="J192" i="31"/>
  <c r="J222" i="31"/>
  <c r="G160" i="31"/>
  <c r="G162" i="31" s="1"/>
  <c r="F195" i="31"/>
  <c r="F231" i="31"/>
  <c r="J230" i="31"/>
  <c r="J194" i="31"/>
  <c r="E231" i="31"/>
  <c r="J221" i="31"/>
  <c r="R112" i="1"/>
  <c r="AE58" i="1"/>
  <c r="AE347" i="1"/>
  <c r="AE350" i="1" s="1"/>
  <c r="AC347" i="1"/>
  <c r="AC350" i="1" s="1"/>
  <c r="AE391" i="1"/>
  <c r="AE393" i="1" s="1"/>
  <c r="AC58" i="1"/>
  <c r="Y347" i="1"/>
  <c r="Y350" i="1" s="1"/>
  <c r="BO382" i="1"/>
  <c r="AB112" i="1"/>
  <c r="AT306" i="1"/>
  <c r="AG58" i="1"/>
  <c r="AG315" i="1" s="1"/>
  <c r="L399" i="1"/>
  <c r="H141" i="31" s="1"/>
  <c r="J306" i="1"/>
  <c r="Y58" i="1"/>
  <c r="U391" i="1"/>
  <c r="U393" i="1" s="1"/>
  <c r="AA391" i="1"/>
  <c r="AA393" i="1" s="1"/>
  <c r="M384" i="1"/>
  <c r="I131" i="31" s="1"/>
  <c r="AV397" i="1"/>
  <c r="AM327" i="1"/>
  <c r="AX399" i="1"/>
  <c r="AN299" i="1"/>
  <c r="BI55" i="1"/>
  <c r="AV306" i="1"/>
  <c r="BD381" i="1"/>
  <c r="BJ299" i="1"/>
  <c r="I397" i="1"/>
  <c r="E139" i="31" s="1"/>
  <c r="BA97" i="1"/>
  <c r="BE292" i="1"/>
  <c r="AW397" i="1"/>
  <c r="AA347" i="1"/>
  <c r="AA350" i="1" s="1"/>
  <c r="AX397" i="1"/>
  <c r="J399" i="1"/>
  <c r="F141" i="31" s="1"/>
  <c r="AV56" i="1"/>
  <c r="AG347" i="1"/>
  <c r="AG350" i="1" s="1"/>
  <c r="AL56" i="1"/>
  <c r="BF102" i="1"/>
  <c r="BF104" i="1" s="1"/>
  <c r="BA100" i="1"/>
  <c r="BO334" i="1"/>
  <c r="AF402" i="1"/>
  <c r="AF404" i="1" s="1"/>
  <c r="AU102" i="1"/>
  <c r="AU104" i="1" s="1"/>
  <c r="AU112" i="1" s="1"/>
  <c r="AA58" i="1"/>
  <c r="AU399" i="1"/>
  <c r="AW399" i="1"/>
  <c r="BF381" i="1"/>
  <c r="J384" i="1"/>
  <c r="F131" i="31" s="1"/>
  <c r="L384" i="1"/>
  <c r="H131" i="31" s="1"/>
  <c r="AI384" i="1"/>
  <c r="L306" i="1"/>
  <c r="K306" i="1"/>
  <c r="N397" i="1"/>
  <c r="AT397" i="1"/>
  <c r="BA99" i="1"/>
  <c r="M102" i="1"/>
  <c r="AS97" i="1"/>
  <c r="BI93" i="1"/>
  <c r="AK94" i="1"/>
  <c r="AS99" i="1"/>
  <c r="AM381" i="1"/>
  <c r="AS94" i="1"/>
  <c r="H48" i="1"/>
  <c r="AL399" i="1"/>
  <c r="AV399" i="1"/>
  <c r="BG381" i="1"/>
  <c r="I384" i="1"/>
  <c r="E131" i="31" s="1"/>
  <c r="N384" i="1"/>
  <c r="M306" i="1"/>
  <c r="AX306" i="1"/>
  <c r="N306" i="1"/>
  <c r="BN299" i="1"/>
  <c r="J397" i="1"/>
  <c r="F139" i="31" s="1"/>
  <c r="BA54" i="1"/>
  <c r="BC56" i="1"/>
  <c r="AU271" i="1"/>
  <c r="AN399" i="1"/>
  <c r="BI94" i="1"/>
  <c r="AS51" i="1"/>
  <c r="AD404" i="1"/>
  <c r="BE320" i="1"/>
  <c r="BC382" i="1"/>
  <c r="W112" i="1"/>
  <c r="BI107" i="1"/>
  <c r="BI110" i="1" s="1"/>
  <c r="BC381" i="1"/>
  <c r="K384" i="1"/>
  <c r="G131" i="31" s="1"/>
  <c r="I306" i="1"/>
  <c r="AW306" i="1"/>
  <c r="CM257" i="1"/>
  <c r="AK100" i="1"/>
  <c r="BJ397" i="1"/>
  <c r="AK48" i="1"/>
  <c r="K56" i="1"/>
  <c r="F9" i="4" s="1"/>
  <c r="AK98" i="1"/>
  <c r="AK53" i="1"/>
  <c r="AI110" i="1"/>
  <c r="BA96" i="1"/>
  <c r="BD56" i="1"/>
  <c r="AS48" i="1"/>
  <c r="BI54" i="1"/>
  <c r="BA92" i="1"/>
  <c r="BB102" i="1"/>
  <c r="BB104" i="1" s="1"/>
  <c r="BB112" i="1" s="1"/>
  <c r="BB381" i="1"/>
  <c r="BE381" i="1"/>
  <c r="AO399" i="1"/>
  <c r="K399" i="1"/>
  <c r="G141" i="31" s="1"/>
  <c r="AX56" i="1"/>
  <c r="AX58" i="1" s="1"/>
  <c r="M399" i="1"/>
  <c r="I141" i="31" s="1"/>
  <c r="BA11" i="1"/>
  <c r="AV102" i="1"/>
  <c r="AV104" i="1" s="1"/>
  <c r="AK11" i="1"/>
  <c r="L102" i="1"/>
  <c r="G16" i="4" s="1"/>
  <c r="N102" i="1"/>
  <c r="I16" i="4" s="1"/>
  <c r="BI51" i="1"/>
  <c r="L56" i="1"/>
  <c r="G9" i="4" s="1"/>
  <c r="BM56" i="1"/>
  <c r="BI390" i="1"/>
  <c r="AT399" i="1"/>
  <c r="AY399" i="1"/>
  <c r="AI399" i="1"/>
  <c r="N399" i="1"/>
  <c r="AI13" i="1"/>
  <c r="W391" i="1"/>
  <c r="W393" i="1" s="1"/>
  <c r="AS384" i="1"/>
  <c r="BA383" i="1"/>
  <c r="BL299" i="1"/>
  <c r="L397" i="1"/>
  <c r="H139" i="31" s="1"/>
  <c r="BA93" i="1"/>
  <c r="BA55" i="1"/>
  <c r="AM102" i="1"/>
  <c r="AM104" i="1" s="1"/>
  <c r="AM112" i="1" s="1"/>
  <c r="AI382" i="1"/>
  <c r="AK54" i="1"/>
  <c r="BE299" i="1"/>
  <c r="BA50" i="1"/>
  <c r="BI48" i="1"/>
  <c r="AB391" i="1"/>
  <c r="AB393" i="1" s="1"/>
  <c r="AS95" i="1"/>
  <c r="BA52" i="1"/>
  <c r="X402" i="1"/>
  <c r="X404" i="1" s="1"/>
  <c r="BI97" i="1"/>
  <c r="BA49" i="1"/>
  <c r="H49" i="1"/>
  <c r="BI92" i="1"/>
  <c r="M285" i="1"/>
  <c r="AK93" i="1"/>
  <c r="H50" i="1"/>
  <c r="AU264" i="1"/>
  <c r="BA95" i="1"/>
  <c r="H93" i="1"/>
  <c r="CE299" i="1"/>
  <c r="BK299" i="1"/>
  <c r="BO299" i="1"/>
  <c r="AM56" i="1"/>
  <c r="BU306" i="1"/>
  <c r="AY306" i="1"/>
  <c r="AU306" i="1"/>
  <c r="AI306" i="1"/>
  <c r="AL306" i="1"/>
  <c r="AK50" i="1"/>
  <c r="Z402" i="1"/>
  <c r="Z404" i="1" s="1"/>
  <c r="H258" i="1"/>
  <c r="BN313" i="1"/>
  <c r="AG124" i="1"/>
  <c r="N56" i="1"/>
  <c r="I9" i="4" s="1"/>
  <c r="BI98" i="1"/>
  <c r="BA48" i="1"/>
  <c r="J102" i="1"/>
  <c r="BM264" i="1"/>
  <c r="AW334" i="1"/>
  <c r="H54" i="1"/>
  <c r="BA98" i="1"/>
  <c r="BM299" i="1"/>
  <c r="M397" i="1"/>
  <c r="I139" i="31" s="1"/>
  <c r="AI397" i="1"/>
  <c r="V402" i="1"/>
  <c r="V404" i="1" s="1"/>
  <c r="AY397" i="1"/>
  <c r="K397" i="1"/>
  <c r="G139" i="31" s="1"/>
  <c r="AU397" i="1"/>
  <c r="AL397" i="1"/>
  <c r="BI100" i="1"/>
  <c r="AY278" i="1"/>
  <c r="AO382" i="1"/>
  <c r="AO391" i="1" s="1"/>
  <c r="AO393" i="1" s="1"/>
  <c r="AH391" i="1"/>
  <c r="AH393" i="1" s="1"/>
  <c r="AM264" i="1"/>
  <c r="AK97" i="1"/>
  <c r="BI49" i="1"/>
  <c r="AK96" i="1"/>
  <c r="AN56" i="1"/>
  <c r="AN58" i="1" s="1"/>
  <c r="H97" i="1"/>
  <c r="BO102" i="1"/>
  <c r="BO104" i="1" s="1"/>
  <c r="BO112" i="1" s="1"/>
  <c r="AK55" i="1"/>
  <c r="AN102" i="1"/>
  <c r="AN104" i="1" s="1"/>
  <c r="AN112" i="1" s="1"/>
  <c r="AK52" i="1"/>
  <c r="AK51" i="1"/>
  <c r="AV299" i="1"/>
  <c r="BF56" i="1"/>
  <c r="AX102" i="1"/>
  <c r="AX104" i="1" s="1"/>
  <c r="M383" i="1"/>
  <c r="I130" i="31" s="1"/>
  <c r="AX320" i="1"/>
  <c r="K102" i="1"/>
  <c r="F16" i="4" s="1"/>
  <c r="BD102" i="1"/>
  <c r="BD104" i="1" s="1"/>
  <c r="BD112" i="1" s="1"/>
  <c r="AK47" i="1"/>
  <c r="H92" i="1"/>
  <c r="H94" i="1"/>
  <c r="BA53" i="1"/>
  <c r="AY56" i="1"/>
  <c r="AY58" i="1" s="1"/>
  <c r="AW56" i="1"/>
  <c r="N390" i="1"/>
  <c r="AS98" i="1"/>
  <c r="BF306" i="1"/>
  <c r="BN327" i="1"/>
  <c r="AH402" i="1"/>
  <c r="AO56" i="1"/>
  <c r="AO58" i="1" s="1"/>
  <c r="AO114" i="1" s="1"/>
  <c r="AW102" i="1"/>
  <c r="AW104" i="1" s="1"/>
  <c r="AW112" i="1" s="1"/>
  <c r="AK101" i="1"/>
  <c r="AS92" i="1"/>
  <c r="H101" i="1"/>
  <c r="AY102" i="1"/>
  <c r="AY104" i="1" s="1"/>
  <c r="AY112" i="1" s="1"/>
  <c r="H96" i="1"/>
  <c r="BI95" i="1"/>
  <c r="BA101" i="1"/>
  <c r="H95" i="1"/>
  <c r="AS52" i="1"/>
  <c r="AS107" i="1"/>
  <c r="BI53" i="1"/>
  <c r="H52" i="1"/>
  <c r="AS49" i="1"/>
  <c r="H51" i="1"/>
  <c r="BL102" i="1"/>
  <c r="BL104" i="1" s="1"/>
  <c r="BL112" i="1" s="1"/>
  <c r="BI101" i="1"/>
  <c r="AS96" i="1"/>
  <c r="BN56" i="1"/>
  <c r="AK95" i="1"/>
  <c r="H53" i="1"/>
  <c r="H99" i="1"/>
  <c r="J327" i="1"/>
  <c r="F99" i="31" s="1"/>
  <c r="BI47" i="1"/>
  <c r="AU56" i="1"/>
  <c r="AS100" i="1"/>
  <c r="BE56" i="1"/>
  <c r="AN306" i="1"/>
  <c r="AS54" i="1"/>
  <c r="AK99" i="1"/>
  <c r="BE102" i="1"/>
  <c r="BE104" i="1" s="1"/>
  <c r="AS50" i="1"/>
  <c r="BG102" i="1"/>
  <c r="BG104" i="1" s="1"/>
  <c r="BG112" i="1" s="1"/>
  <c r="BA94" i="1"/>
  <c r="AS101" i="1"/>
  <c r="H100" i="1"/>
  <c r="BG56" i="1"/>
  <c r="AI381" i="1"/>
  <c r="AS93" i="1"/>
  <c r="M292" i="1"/>
  <c r="I94" i="31" s="1"/>
  <c r="AT56" i="1"/>
  <c r="J56" i="1"/>
  <c r="E9" i="4" s="1"/>
  <c r="BD334" i="1"/>
  <c r="AL102" i="1"/>
  <c r="AL104" i="1" s="1"/>
  <c r="AL112" i="1" s="1"/>
  <c r="AI102" i="1"/>
  <c r="I56" i="1"/>
  <c r="D9" i="4" s="1"/>
  <c r="BI52" i="1"/>
  <c r="BK56" i="1"/>
  <c r="BL56" i="1"/>
  <c r="BI46" i="1"/>
  <c r="BK102" i="1"/>
  <c r="BK104" i="1" s="1"/>
  <c r="BK112" i="1" s="1"/>
  <c r="AK49" i="1"/>
  <c r="S402" i="1"/>
  <c r="S404" i="1" s="1"/>
  <c r="BN102" i="1"/>
  <c r="BN104" i="1" s="1"/>
  <c r="BN112" i="1" s="1"/>
  <c r="H55" i="1"/>
  <c r="BA51" i="1"/>
  <c r="AS53" i="1"/>
  <c r="BI96" i="1"/>
  <c r="BI50" i="1"/>
  <c r="J386" i="1"/>
  <c r="F133" i="31" s="1"/>
  <c r="AS55" i="1"/>
  <c r="H98" i="1"/>
  <c r="AS47" i="1"/>
  <c r="H47" i="1"/>
  <c r="M56" i="1"/>
  <c r="BO56" i="1"/>
  <c r="BO58" i="1" s="1"/>
  <c r="BC102" i="1"/>
  <c r="BC104" i="1" s="1"/>
  <c r="BC112" i="1" s="1"/>
  <c r="BM102" i="1"/>
  <c r="BM104" i="1" s="1"/>
  <c r="BM112" i="1" s="1"/>
  <c r="BI99" i="1"/>
  <c r="BA47" i="1"/>
  <c r="BJ381" i="1"/>
  <c r="CC313" i="1"/>
  <c r="AU383" i="1"/>
  <c r="AT320" i="1"/>
  <c r="BO313" i="1"/>
  <c r="K383" i="1"/>
  <c r="G130" i="31" s="1"/>
  <c r="BC387" i="1"/>
  <c r="AK107" i="1"/>
  <c r="AK110" i="1" s="1"/>
  <c r="AU299" i="1"/>
  <c r="BO285" i="1"/>
  <c r="AY383" i="1"/>
  <c r="AV334" i="1"/>
  <c r="AY320" i="1"/>
  <c r="CI271" i="1"/>
  <c r="J320" i="1"/>
  <c r="F98" i="31" s="1"/>
  <c r="BF320" i="1"/>
  <c r="BN383" i="1"/>
  <c r="BL285" i="1"/>
  <c r="L383" i="1"/>
  <c r="H130" i="31" s="1"/>
  <c r="I102" i="1"/>
  <c r="BS334" i="1"/>
  <c r="AT299" i="1"/>
  <c r="CL258" i="1"/>
  <c r="I320" i="1"/>
  <c r="E98" i="31" s="1"/>
  <c r="L320" i="1"/>
  <c r="H98" i="31" s="1"/>
  <c r="AW383" i="1"/>
  <c r="AT334" i="1"/>
  <c r="I299" i="1"/>
  <c r="AL320" i="1"/>
  <c r="I387" i="1"/>
  <c r="E134" i="31" s="1"/>
  <c r="AW388" i="1"/>
  <c r="AL388" i="1"/>
  <c r="Z347" i="1"/>
  <c r="Z350" i="1" s="1"/>
  <c r="AI387" i="1"/>
  <c r="AO327" i="1"/>
  <c r="BJ385" i="1"/>
  <c r="L387" i="1"/>
  <c r="H134" i="31" s="1"/>
  <c r="AI388" i="1"/>
  <c r="AN313" i="1"/>
  <c r="BK313" i="1"/>
  <c r="BS285" i="1"/>
  <c r="CR285" i="1" s="1"/>
  <c r="AN385" i="1"/>
  <c r="AT264" i="1"/>
  <c r="BM313" i="1"/>
  <c r="BL313" i="1"/>
  <c r="CC306" i="1"/>
  <c r="AW285" i="1"/>
  <c r="N264" i="1"/>
  <c r="BJ313" i="1"/>
  <c r="K388" i="1"/>
  <c r="G135" i="31" s="1"/>
  <c r="N383" i="1"/>
  <c r="J383" i="1"/>
  <c r="F130" i="31" s="1"/>
  <c r="BB387" i="1"/>
  <c r="AI334" i="1"/>
  <c r="K285" i="1"/>
  <c r="M299" i="1"/>
  <c r="CM258" i="1"/>
  <c r="BG320" i="1"/>
  <c r="BO383" i="1"/>
  <c r="AX264" i="1"/>
  <c r="M320" i="1"/>
  <c r="I98" i="31" s="1"/>
  <c r="AI320" i="1"/>
  <c r="BJ306" i="1"/>
  <c r="BK334" i="1"/>
  <c r="I278" i="1"/>
  <c r="E92" i="31" s="1"/>
  <c r="AN389" i="1"/>
  <c r="BN264" i="1"/>
  <c r="BN306" i="1"/>
  <c r="L327" i="1"/>
  <c r="H99" i="31" s="1"/>
  <c r="BL306" i="1"/>
  <c r="BS271" i="1"/>
  <c r="J328" i="1"/>
  <c r="X58" i="1"/>
  <c r="X125" i="1" s="1"/>
  <c r="BA107" i="1"/>
  <c r="BK306" i="1"/>
  <c r="BM306" i="1"/>
  <c r="N271" i="1"/>
  <c r="BG382" i="1"/>
  <c r="M386" i="1"/>
  <c r="I133" i="31" s="1"/>
  <c r="K328" i="1"/>
  <c r="BM278" i="1"/>
  <c r="BO264" i="1"/>
  <c r="BO306" i="1"/>
  <c r="AW278" i="1"/>
  <c r="BO381" i="1"/>
  <c r="BN386" i="1"/>
  <c r="CI334" i="1"/>
  <c r="BC292" i="1"/>
  <c r="BL334" i="1"/>
  <c r="BJ285" i="1"/>
  <c r="AT292" i="1"/>
  <c r="L388" i="1"/>
  <c r="H135" i="31" s="1"/>
  <c r="AL383" i="1"/>
  <c r="AT383" i="1"/>
  <c r="AV383" i="1"/>
  <c r="BE387" i="1"/>
  <c r="L334" i="1"/>
  <c r="H100" i="31" s="1"/>
  <c r="J334" i="1"/>
  <c r="F100" i="31" s="1"/>
  <c r="N285" i="1"/>
  <c r="AU285" i="1"/>
  <c r="AI299" i="1"/>
  <c r="J299" i="1"/>
  <c r="BM385" i="1"/>
  <c r="AW387" i="1"/>
  <c r="J387" i="1"/>
  <c r="F134" i="31" s="1"/>
  <c r="CO258" i="1"/>
  <c r="BC320" i="1"/>
  <c r="AN383" i="1"/>
  <c r="K264" i="1"/>
  <c r="G90" i="31" s="1"/>
  <c r="L264" i="1"/>
  <c r="H90" i="31" s="1"/>
  <c r="K320" i="1"/>
  <c r="G98" i="31" s="1"/>
  <c r="AU320" i="1"/>
  <c r="AV320" i="1"/>
  <c r="N320" i="1"/>
  <c r="BN285" i="1"/>
  <c r="I388" i="1"/>
  <c r="E135" i="31" s="1"/>
  <c r="AX388" i="1"/>
  <c r="I383" i="1"/>
  <c r="E130" i="31" s="1"/>
  <c r="AX383" i="1"/>
  <c r="AI383" i="1"/>
  <c r="BF387" i="1"/>
  <c r="AX334" i="1"/>
  <c r="AT285" i="1"/>
  <c r="AX285" i="1"/>
  <c r="AL299" i="1"/>
  <c r="K299" i="1"/>
  <c r="BN385" i="1"/>
  <c r="AL387" i="1"/>
  <c r="K387" i="1"/>
  <c r="G134" i="31" s="1"/>
  <c r="M389" i="1"/>
  <c r="I136" i="31" s="1"/>
  <c r="CN258" i="1"/>
  <c r="CI313" i="1"/>
  <c r="BL384" i="1"/>
  <c r="BX320" i="1"/>
  <c r="BM383" i="1"/>
  <c r="I264" i="1"/>
  <c r="E90" i="31" s="1"/>
  <c r="M264" i="1"/>
  <c r="I90" i="31" s="1"/>
  <c r="AW320" i="1"/>
  <c r="BS320" i="1"/>
  <c r="N278" i="1"/>
  <c r="AV271" i="1"/>
  <c r="BL381" i="1"/>
  <c r="AI386" i="1"/>
  <c r="AO328" i="1"/>
  <c r="AK328" i="1" s="1"/>
  <c r="BF327" i="1"/>
  <c r="BM386" i="1"/>
  <c r="CC264" i="1"/>
  <c r="AN334" i="1"/>
  <c r="M327" i="1"/>
  <c r="I99" i="31" s="1"/>
  <c r="M278" i="1"/>
  <c r="I92" i="31" s="1"/>
  <c r="AY271" i="1"/>
  <c r="BK381" i="1"/>
  <c r="M328" i="1"/>
  <c r="AK257" i="1"/>
  <c r="BL386" i="1"/>
  <c r="AF347" i="1"/>
  <c r="AF350" i="1" s="1"/>
  <c r="BX292" i="1"/>
  <c r="AN264" i="1"/>
  <c r="BJ334" i="1"/>
  <c r="AL327" i="1"/>
  <c r="AO314" i="1"/>
  <c r="AK314" i="1" s="1"/>
  <c r="N389" i="1"/>
  <c r="BK285" i="1"/>
  <c r="AN285" i="1"/>
  <c r="K292" i="1"/>
  <c r="G94" i="31" s="1"/>
  <c r="K278" i="1"/>
  <c r="G92" i="31" s="1"/>
  <c r="AX271" i="1"/>
  <c r="L271" i="1"/>
  <c r="H91" i="31" s="1"/>
  <c r="BM381" i="1"/>
  <c r="AN381" i="1"/>
  <c r="AT388" i="1"/>
  <c r="AU388" i="1"/>
  <c r="M388" i="1"/>
  <c r="I135" i="31" s="1"/>
  <c r="I328" i="1"/>
  <c r="AI328" i="1"/>
  <c r="N328" i="1"/>
  <c r="BE334" i="1"/>
  <c r="AL334" i="1"/>
  <c r="I334" i="1"/>
  <c r="E100" i="31" s="1"/>
  <c r="AU334" i="1"/>
  <c r="N334" i="1"/>
  <c r="BS299" i="1"/>
  <c r="N299" i="1"/>
  <c r="AY299" i="1"/>
  <c r="BJ386" i="1"/>
  <c r="AN386" i="1"/>
  <c r="N387" i="1"/>
  <c r="AU387" i="1"/>
  <c r="M387" i="1"/>
  <c r="I134" i="31" s="1"/>
  <c r="AY387" i="1"/>
  <c r="BJ102" i="1"/>
  <c r="BJ104" i="1" s="1"/>
  <c r="BJ112" i="1" s="1"/>
  <c r="BF292" i="1"/>
  <c r="AY389" i="1"/>
  <c r="BK264" i="1"/>
  <c r="BL264" i="1"/>
  <c r="BN334" i="1"/>
  <c r="CC334" i="1"/>
  <c r="CQ258" i="1"/>
  <c r="BB320" i="1"/>
  <c r="BD320" i="1"/>
  <c r="BL383" i="1"/>
  <c r="I327" i="1"/>
  <c r="E99" i="31" s="1"/>
  <c r="BS327" i="1"/>
  <c r="AW327" i="1"/>
  <c r="BS292" i="1"/>
  <c r="BO389" i="1"/>
  <c r="AT327" i="1"/>
  <c r="K327" i="1"/>
  <c r="G99" i="31" s="1"/>
  <c r="AI327" i="1"/>
  <c r="BM285" i="1"/>
  <c r="AT278" i="1"/>
  <c r="AX278" i="1"/>
  <c r="M271" i="1"/>
  <c r="I91" i="31" s="1"/>
  <c r="AS46" i="1"/>
  <c r="BN381" i="1"/>
  <c r="AV388" i="1"/>
  <c r="J388" i="1"/>
  <c r="F135" i="31" s="1"/>
  <c r="N388" i="1"/>
  <c r="CI328" i="1"/>
  <c r="CN328" i="1" s="1"/>
  <c r="AM334" i="1"/>
  <c r="BM389" i="1"/>
  <c r="AY334" i="1"/>
  <c r="M334" i="1"/>
  <c r="I100" i="31" s="1"/>
  <c r="K334" i="1"/>
  <c r="G100" i="31" s="1"/>
  <c r="AX299" i="1"/>
  <c r="L299" i="1"/>
  <c r="AW299" i="1"/>
  <c r="BK386" i="1"/>
  <c r="AT387" i="1"/>
  <c r="AV387" i="1"/>
  <c r="U58" i="1"/>
  <c r="AM292" i="1"/>
  <c r="BJ264" i="1"/>
  <c r="BM334" i="1"/>
  <c r="CR258" i="1"/>
  <c r="AM320" i="1"/>
  <c r="BJ383" i="1"/>
  <c r="AY327" i="1"/>
  <c r="AU327" i="1"/>
  <c r="AX327" i="1"/>
  <c r="AD58" i="1"/>
  <c r="AD125" i="1" s="1"/>
  <c r="BE385" i="1"/>
  <c r="AM385" i="1"/>
  <c r="AY313" i="1"/>
  <c r="J313" i="1"/>
  <c r="F97" i="31" s="1"/>
  <c r="J385" i="1"/>
  <c r="F132" i="31" s="1"/>
  <c r="AV385" i="1"/>
  <c r="AI385" i="1"/>
  <c r="K385" i="1"/>
  <c r="G132" i="31" s="1"/>
  <c r="BG388" i="1"/>
  <c r="AM388" i="1"/>
  <c r="AO306" i="1"/>
  <c r="CI306" i="1"/>
  <c r="BA46" i="1"/>
  <c r="BB56" i="1"/>
  <c r="AY386" i="1"/>
  <c r="L386" i="1"/>
  <c r="H133" i="31" s="1"/>
  <c r="AL386" i="1"/>
  <c r="AW386" i="1"/>
  <c r="AV386" i="1"/>
  <c r="I386" i="1"/>
  <c r="E133" i="31" s="1"/>
  <c r="N386" i="1"/>
  <c r="BI257" i="1"/>
  <c r="AM382" i="1"/>
  <c r="BD382" i="1"/>
  <c r="BE382" i="1"/>
  <c r="BB382" i="1"/>
  <c r="AT386" i="1"/>
  <c r="AU386" i="1"/>
  <c r="W347" i="1"/>
  <c r="W58" i="1"/>
  <c r="BB313" i="1"/>
  <c r="BE313" i="1"/>
  <c r="BF382" i="1"/>
  <c r="K386" i="1"/>
  <c r="G133" i="31" s="1"/>
  <c r="AX386" i="1"/>
  <c r="AT385" i="1"/>
  <c r="AM387" i="1"/>
  <c r="BG387" i="1"/>
  <c r="L285" i="1"/>
  <c r="AY285" i="1"/>
  <c r="AV285" i="1"/>
  <c r="AI285" i="1"/>
  <c r="AS257" i="1"/>
  <c r="BO385" i="1"/>
  <c r="BC299" i="1"/>
  <c r="AL264" i="1"/>
  <c r="BS264" i="1"/>
  <c r="AY264" i="1"/>
  <c r="J264" i="1"/>
  <c r="F90" i="31" s="1"/>
  <c r="V58" i="1"/>
  <c r="N292" i="1"/>
  <c r="K314" i="1"/>
  <c r="BK389" i="1"/>
  <c r="I285" i="1"/>
  <c r="AL285" i="1"/>
  <c r="J285" i="1"/>
  <c r="BL385" i="1"/>
  <c r="L389" i="1"/>
  <c r="H136" i="31" s="1"/>
  <c r="AV264" i="1"/>
  <c r="AI264" i="1"/>
  <c r="AW264" i="1"/>
  <c r="AV327" i="1"/>
  <c r="N327" i="1"/>
  <c r="AK92" i="1"/>
  <c r="AI292" i="1"/>
  <c r="AW292" i="1"/>
  <c r="BS313" i="1"/>
  <c r="AT110" i="1"/>
  <c r="CI314" i="1"/>
  <c r="CM314" i="1" s="1"/>
  <c r="M314" i="1"/>
  <c r="BG334" i="1"/>
  <c r="BJ389" i="1"/>
  <c r="BN389" i="1"/>
  <c r="S347" i="1"/>
  <c r="S350" i="1" s="1"/>
  <c r="AL389" i="1"/>
  <c r="BB385" i="1"/>
  <c r="BM384" i="1"/>
  <c r="M385" i="1"/>
  <c r="I132" i="31" s="1"/>
  <c r="N385" i="1"/>
  <c r="BE388" i="1"/>
  <c r="CI299" i="1"/>
  <c r="AH347" i="1"/>
  <c r="AO347" i="1" s="1"/>
  <c r="AO350" i="1" s="1"/>
  <c r="I292" i="1"/>
  <c r="E94" i="31" s="1"/>
  <c r="AU292" i="1"/>
  <c r="J314" i="1"/>
  <c r="BC334" i="1"/>
  <c r="AU389" i="1"/>
  <c r="AV389" i="1"/>
  <c r="BN384" i="1"/>
  <c r="AL385" i="1"/>
  <c r="BJ56" i="1"/>
  <c r="BG13" i="1"/>
  <c r="AL292" i="1"/>
  <c r="L292" i="1"/>
  <c r="H94" i="31" s="1"/>
  <c r="J292" i="1"/>
  <c r="F94" i="31" s="1"/>
  <c r="M313" i="1"/>
  <c r="I97" i="31" s="1"/>
  <c r="AO397" i="1"/>
  <c r="AI314" i="1"/>
  <c r="N314" i="1"/>
  <c r="BB334" i="1"/>
  <c r="BX334" i="1"/>
  <c r="AT389" i="1"/>
  <c r="AI389" i="1"/>
  <c r="AW389" i="1"/>
  <c r="BK384" i="1"/>
  <c r="BO384" i="1"/>
  <c r="I385" i="1"/>
  <c r="E132" i="31" s="1"/>
  <c r="AU385" i="1"/>
  <c r="L385" i="1"/>
  <c r="H132" i="31" s="1"/>
  <c r="AX385" i="1"/>
  <c r="AN327" i="1"/>
  <c r="BF388" i="1"/>
  <c r="BC388" i="1"/>
  <c r="AY292" i="1"/>
  <c r="AX292" i="1"/>
  <c r="AV292" i="1"/>
  <c r="I314" i="1"/>
  <c r="BF334" i="1"/>
  <c r="J389" i="1"/>
  <c r="F136" i="31" s="1"/>
  <c r="I389" i="1"/>
  <c r="E136" i="31" s="1"/>
  <c r="K389" i="1"/>
  <c r="G136" i="31" s="1"/>
  <c r="BJ384" i="1"/>
  <c r="AY385" i="1"/>
  <c r="AW385" i="1"/>
  <c r="BD388" i="1"/>
  <c r="AB347" i="1"/>
  <c r="AD347" i="1"/>
  <c r="AD350" i="1" s="1"/>
  <c r="AO264" i="1"/>
  <c r="L286" i="1"/>
  <c r="AK46" i="1"/>
  <c r="BO399" i="1"/>
  <c r="BG385" i="1"/>
  <c r="BN271" i="1"/>
  <c r="BD389" i="1"/>
  <c r="BF389" i="1"/>
  <c r="BE389" i="1"/>
  <c r="AW382" i="1"/>
  <c r="AY382" i="1"/>
  <c r="I382" i="1"/>
  <c r="E129" i="31" s="1"/>
  <c r="AT382" i="1"/>
  <c r="L382" i="1"/>
  <c r="H129" i="31" s="1"/>
  <c r="J382" i="1"/>
  <c r="F129" i="31" s="1"/>
  <c r="AU382" i="1"/>
  <c r="N382" i="1"/>
  <c r="AX382" i="1"/>
  <c r="K382" i="1"/>
  <c r="G129" i="31" s="1"/>
  <c r="M382" i="1"/>
  <c r="I129" i="31" s="1"/>
  <c r="BG384" i="1"/>
  <c r="BE384" i="1"/>
  <c r="BF384" i="1"/>
  <c r="BD384" i="1"/>
  <c r="AM384" i="1"/>
  <c r="AK384" i="1" s="1"/>
  <c r="J390" i="1"/>
  <c r="F137" i="31" s="1"/>
  <c r="AU390" i="1"/>
  <c r="L390" i="1"/>
  <c r="H137" i="31" s="1"/>
  <c r="AL390" i="1"/>
  <c r="M390" i="1"/>
  <c r="I137" i="31" s="1"/>
  <c r="AW390" i="1"/>
  <c r="AI390" i="1"/>
  <c r="AT390" i="1"/>
  <c r="AV390" i="1"/>
  <c r="AY390" i="1"/>
  <c r="K390" i="1"/>
  <c r="G137" i="31" s="1"/>
  <c r="AM399" i="1"/>
  <c r="BE399" i="1"/>
  <c r="BG399" i="1"/>
  <c r="BD399" i="1"/>
  <c r="BB399" i="1"/>
  <c r="AH124" i="1"/>
  <c r="AO124" i="1" s="1"/>
  <c r="AH58" i="1"/>
  <c r="CI329" i="1" s="1"/>
  <c r="BE306" i="1"/>
  <c r="BX306" i="1"/>
  <c r="BC306" i="1"/>
  <c r="BB306" i="1"/>
  <c r="BD306" i="1"/>
  <c r="AM306" i="1"/>
  <c r="BF278" i="1"/>
  <c r="BB278" i="1"/>
  <c r="AM278" i="1"/>
  <c r="BD278" i="1"/>
  <c r="BK292" i="1"/>
  <c r="BM292" i="1"/>
  <c r="AN292" i="1"/>
  <c r="BJ292" i="1"/>
  <c r="BG397" i="1"/>
  <c r="BE397" i="1"/>
  <c r="W402" i="1"/>
  <c r="AM397" i="1"/>
  <c r="BF397" i="1"/>
  <c r="BD397" i="1"/>
  <c r="BA257" i="1"/>
  <c r="BN320" i="1"/>
  <c r="BK320" i="1"/>
  <c r="BO320" i="1"/>
  <c r="BJ320" i="1"/>
  <c r="AN320" i="1"/>
  <c r="BL320" i="1"/>
  <c r="AT313" i="1"/>
  <c r="BE278" i="1"/>
  <c r="BN292" i="1"/>
  <c r="AT102" i="1"/>
  <c r="AT104" i="1" s="1"/>
  <c r="BG306" i="1"/>
  <c r="BM320" i="1"/>
  <c r="AL382" i="1"/>
  <c r="I390" i="1"/>
  <c r="E137" i="31" s="1"/>
  <c r="BE390" i="1"/>
  <c r="BG390" i="1"/>
  <c r="BI11" i="1"/>
  <c r="BX299" i="1"/>
  <c r="BD299" i="1"/>
  <c r="BG299" i="1"/>
  <c r="BB299" i="1"/>
  <c r="AX313" i="1"/>
  <c r="AU313" i="1"/>
  <c r="AL313" i="1"/>
  <c r="I313" i="1"/>
  <c r="E97" i="31" s="1"/>
  <c r="AI56" i="1"/>
  <c r="R347" i="1"/>
  <c r="BK327" i="1"/>
  <c r="BM327" i="1"/>
  <c r="BL327" i="1"/>
  <c r="BJ327" i="1"/>
  <c r="BO327" i="1"/>
  <c r="CC327" i="1"/>
  <c r="BC313" i="1"/>
  <c r="BD313" i="1"/>
  <c r="BX313" i="1"/>
  <c r="AM313" i="1"/>
  <c r="BG313" i="1"/>
  <c r="BF313" i="1"/>
  <c r="BL382" i="1"/>
  <c r="AN382" i="1"/>
  <c r="BN382" i="1"/>
  <c r="BJ382" i="1"/>
  <c r="BM382" i="1"/>
  <c r="BF386" i="1"/>
  <c r="BC386" i="1"/>
  <c r="BE386" i="1"/>
  <c r="BB386" i="1"/>
  <c r="BG386" i="1"/>
  <c r="AM386" i="1"/>
  <c r="D15" i="4"/>
  <c r="H107" i="1"/>
  <c r="L313" i="1"/>
  <c r="H97" i="31" s="1"/>
  <c r="K313" i="1"/>
  <c r="G97" i="31" s="1"/>
  <c r="AV313" i="1"/>
  <c r="BC278" i="1"/>
  <c r="BO292" i="1"/>
  <c r="AM390" i="1"/>
  <c r="AO285" i="1"/>
  <c r="BF299" i="1"/>
  <c r="BC384" i="1"/>
  <c r="AV382" i="1"/>
  <c r="AX390" i="1"/>
  <c r="BC399" i="1"/>
  <c r="BD386" i="1"/>
  <c r="BC397" i="1"/>
  <c r="AI313" i="1"/>
  <c r="N313" i="1"/>
  <c r="AW313" i="1"/>
  <c r="R58" i="1"/>
  <c r="BG278" i="1"/>
  <c r="BL292" i="1"/>
  <c r="AM299" i="1"/>
  <c r="CC320" i="1"/>
  <c r="BF399" i="1"/>
  <c r="BK382" i="1"/>
  <c r="BB397" i="1"/>
  <c r="AI286" i="1"/>
  <c r="CO257" i="1"/>
  <c r="BC385" i="1"/>
  <c r="BX327" i="1"/>
  <c r="BJ387" i="1"/>
  <c r="BM388" i="1"/>
  <c r="I286" i="1"/>
  <c r="J286" i="1"/>
  <c r="BL399" i="1"/>
  <c r="BE264" i="1"/>
  <c r="BO387" i="1"/>
  <c r="BK388" i="1"/>
  <c r="CI286" i="1"/>
  <c r="CO286" i="1" s="1"/>
  <c r="N286" i="1"/>
  <c r="AW381" i="1"/>
  <c r="AB58" i="1"/>
  <c r="BD264" i="1"/>
  <c r="BJ278" i="1"/>
  <c r="AO286" i="1"/>
  <c r="AK286" i="1" s="1"/>
  <c r="M286" i="1"/>
  <c r="BE271" i="1"/>
  <c r="BO397" i="1"/>
  <c r="BD285" i="1"/>
  <c r="L381" i="1"/>
  <c r="H128" i="31" s="1"/>
  <c r="BJ271" i="1"/>
  <c r="BK399" i="1"/>
  <c r="AM271" i="1"/>
  <c r="BN397" i="1"/>
  <c r="BC285" i="1"/>
  <c r="CP257" i="1"/>
  <c r="AT381" i="1"/>
  <c r="R391" i="1"/>
  <c r="BG264" i="1"/>
  <c r="BC264" i="1"/>
  <c r="BM271" i="1"/>
  <c r="BO271" i="1"/>
  <c r="BC327" i="1"/>
  <c r="BG327" i="1"/>
  <c r="AN387" i="1"/>
  <c r="BL387" i="1"/>
  <c r="BO278" i="1"/>
  <c r="BN278" i="1"/>
  <c r="AN388" i="1"/>
  <c r="V347" i="1"/>
  <c r="V350" i="1" s="1"/>
  <c r="BE327" i="1"/>
  <c r="BD327" i="1"/>
  <c r="BM387" i="1"/>
  <c r="BL278" i="1"/>
  <c r="AN278" i="1"/>
  <c r="BJ388" i="1"/>
  <c r="BL388" i="1"/>
  <c r="BJ399" i="1"/>
  <c r="BM399" i="1"/>
  <c r="BC271" i="1"/>
  <c r="BM397" i="1"/>
  <c r="AM285" i="1"/>
  <c r="CL257" i="1"/>
  <c r="AY381" i="1"/>
  <c r="M381" i="1"/>
  <c r="I128" i="31" s="1"/>
  <c r="BF264" i="1"/>
  <c r="BX264" i="1"/>
  <c r="BK271" i="1"/>
  <c r="AN271" i="1"/>
  <c r="BB327" i="1"/>
  <c r="BN387" i="1"/>
  <c r="BK278" i="1"/>
  <c r="BO388" i="1"/>
  <c r="BN399" i="1"/>
  <c r="BD271" i="1"/>
  <c r="AB402" i="1"/>
  <c r="BG285" i="1"/>
  <c r="CQ257" i="1"/>
  <c r="N381" i="1"/>
  <c r="BB264" i="1"/>
  <c r="BL271" i="1"/>
  <c r="AV278" i="1"/>
  <c r="AU278" i="1"/>
  <c r="J278" i="1"/>
  <c r="F92" i="31" s="1"/>
  <c r="L278" i="1"/>
  <c r="H92" i="31" s="1"/>
  <c r="I271" i="1"/>
  <c r="E91" i="31" s="1"/>
  <c r="AT271" i="1"/>
  <c r="J271" i="1"/>
  <c r="F91" i="31" s="1"/>
  <c r="AI271" i="1"/>
  <c r="BF271" i="1"/>
  <c r="BG271" i="1"/>
  <c r="BK397" i="1"/>
  <c r="BL397" i="1"/>
  <c r="BD292" i="1"/>
  <c r="BG292" i="1"/>
  <c r="BF285" i="1"/>
  <c r="BE285" i="1"/>
  <c r="CR257" i="1"/>
  <c r="AU381" i="1"/>
  <c r="I381" i="1"/>
  <c r="E128" i="31" s="1"/>
  <c r="J381" i="1"/>
  <c r="F128" i="31" s="1"/>
  <c r="AL381" i="1"/>
  <c r="BD385" i="1"/>
  <c r="BF385" i="1"/>
  <c r="AL278" i="1"/>
  <c r="BS278" i="1"/>
  <c r="CN278" i="1" s="1"/>
  <c r="AI278" i="1"/>
  <c r="AW271" i="1"/>
  <c r="AL271" i="1"/>
  <c r="K271" i="1"/>
  <c r="G91" i="31" s="1"/>
  <c r="BB271" i="1"/>
  <c r="AN397" i="1"/>
  <c r="BB292" i="1"/>
  <c r="BB285" i="1"/>
  <c r="CN257" i="1"/>
  <c r="K381" i="1"/>
  <c r="G128" i="31" s="1"/>
  <c r="AV381" i="1"/>
  <c r="AX381" i="1"/>
  <c r="BG389" i="1"/>
  <c r="BB390" i="1"/>
  <c r="BC390" i="1"/>
  <c r="BB389" i="1"/>
  <c r="AM389" i="1"/>
  <c r="BF390" i="1"/>
  <c r="BD390" i="1"/>
  <c r="BC389" i="1"/>
  <c r="S336" i="1"/>
  <c r="BT336" i="1"/>
  <c r="S329" i="1"/>
  <c r="BT273" i="1"/>
  <c r="BT315" i="1"/>
  <c r="S287" i="1"/>
  <c r="BT287" i="1"/>
  <c r="BT308" i="1"/>
  <c r="S315" i="1"/>
  <c r="S124" i="1"/>
  <c r="BT280" i="1"/>
  <c r="S119" i="1"/>
  <c r="S273" i="1"/>
  <c r="S322" i="1"/>
  <c r="S294" i="1"/>
  <c r="S280" i="1"/>
  <c r="BT259" i="1"/>
  <c r="S266" i="1"/>
  <c r="BT322" i="1"/>
  <c r="BT301" i="1"/>
  <c r="BT266" i="1"/>
  <c r="S259" i="1"/>
  <c r="BT329" i="1"/>
  <c r="BT294" i="1"/>
  <c r="S114" i="1"/>
  <c r="S301" i="1"/>
  <c r="S308" i="1"/>
  <c r="Z329" i="1"/>
  <c r="I8" i="4"/>
  <c r="E162" i="31" l="1"/>
  <c r="E197" i="31" s="1"/>
  <c r="E138" i="31"/>
  <c r="J232" i="31"/>
  <c r="E7" i="38"/>
  <c r="E22" i="38" s="1"/>
  <c r="E25" i="38" s="1"/>
  <c r="C5" i="38"/>
  <c r="J5" i="38" s="1"/>
  <c r="AW58" i="1"/>
  <c r="G7" i="38"/>
  <c r="G22" i="38" s="1"/>
  <c r="G25" i="38" s="1"/>
  <c r="AX112" i="1"/>
  <c r="F24" i="38"/>
  <c r="E235" i="31"/>
  <c r="J233" i="31"/>
  <c r="J235" i="31" s="1"/>
  <c r="C6" i="38"/>
  <c r="D7" i="38"/>
  <c r="D22" i="38" s="1"/>
  <c r="H24" i="38"/>
  <c r="H27" i="38" s="1"/>
  <c r="H40" i="38" s="1"/>
  <c r="H47" i="38" s="1"/>
  <c r="E237" i="31"/>
  <c r="J160" i="31"/>
  <c r="J162" i="31" s="1"/>
  <c r="Z114" i="1"/>
  <c r="CA301" i="1"/>
  <c r="Z315" i="1"/>
  <c r="CA287" i="1"/>
  <c r="CA280" i="1"/>
  <c r="CA336" i="1"/>
  <c r="CA322" i="1"/>
  <c r="Z119" i="1"/>
  <c r="CA273" i="1"/>
  <c r="Z266" i="1"/>
  <c r="CA266" i="1"/>
  <c r="CA329" i="1"/>
  <c r="Z336" i="1"/>
  <c r="Z259" i="1"/>
  <c r="Z301" i="1"/>
  <c r="Z308" i="1"/>
  <c r="Z124" i="1"/>
  <c r="Z280" i="1"/>
  <c r="CA315" i="1"/>
  <c r="CA294" i="1"/>
  <c r="Z294" i="1"/>
  <c r="CA308" i="1"/>
  <c r="Z322" i="1"/>
  <c r="Z273" i="1"/>
  <c r="Z287" i="1"/>
  <c r="CA259" i="1"/>
  <c r="AU58" i="1"/>
  <c r="AU114" i="1" s="1"/>
  <c r="BE112" i="1"/>
  <c r="AL58" i="1"/>
  <c r="AL114" i="1" s="1"/>
  <c r="BF112" i="1"/>
  <c r="BM58" i="1"/>
  <c r="BM114" i="1" s="1"/>
  <c r="AE404" i="1"/>
  <c r="AV112" i="1"/>
  <c r="BF58" i="1"/>
  <c r="CG301" i="1"/>
  <c r="AF280" i="1"/>
  <c r="CG308" i="1"/>
  <c r="CG336" i="1"/>
  <c r="BA110" i="1"/>
  <c r="BE58" i="1"/>
  <c r="AK13" i="1"/>
  <c r="AF294" i="1"/>
  <c r="AF114" i="1"/>
  <c r="AF119" i="1"/>
  <c r="CG329" i="1"/>
  <c r="AF266" i="1"/>
  <c r="AF329" i="1"/>
  <c r="AF124" i="1"/>
  <c r="AF301" i="1"/>
  <c r="CG315" i="1"/>
  <c r="CG322" i="1"/>
  <c r="AF273" i="1"/>
  <c r="AF259" i="1"/>
  <c r="CG259" i="1"/>
  <c r="AF287" i="1"/>
  <c r="CG287" i="1"/>
  <c r="AF308" i="1"/>
  <c r="AF336" i="1"/>
  <c r="AF315" i="1"/>
  <c r="CG294" i="1"/>
  <c r="AF322" i="1"/>
  <c r="CG266" i="1"/>
  <c r="CG280" i="1"/>
  <c r="CG273" i="1"/>
  <c r="H13" i="1"/>
  <c r="C8" i="4" s="1"/>
  <c r="AV58" i="1"/>
  <c r="BA13" i="1"/>
  <c r="BI13" i="1"/>
  <c r="E15" i="4"/>
  <c r="H110" i="1"/>
  <c r="C15" i="4" s="1"/>
  <c r="U404" i="1"/>
  <c r="AS13" i="1"/>
  <c r="AT58" i="1"/>
  <c r="AA404" i="1"/>
  <c r="AK400" i="1"/>
  <c r="BA400" i="1"/>
  <c r="H399" i="1"/>
  <c r="H400" i="1"/>
  <c r="BI400" i="1"/>
  <c r="AS400" i="1"/>
  <c r="T404" i="1"/>
  <c r="H16" i="4"/>
  <c r="M104" i="1"/>
  <c r="M112" i="1" s="1"/>
  <c r="H17" i="4" s="1"/>
  <c r="T287" i="1"/>
  <c r="T308" i="1"/>
  <c r="T119" i="1"/>
  <c r="T273" i="1"/>
  <c r="T329" i="1"/>
  <c r="T336" i="1"/>
  <c r="T124" i="1"/>
  <c r="T294" i="1"/>
  <c r="T280" i="1"/>
  <c r="T322" i="1"/>
  <c r="T125" i="1"/>
  <c r="T259" i="1"/>
  <c r="T315" i="1"/>
  <c r="T266" i="1"/>
  <c r="T301" i="1"/>
  <c r="T114" i="1"/>
  <c r="H8" i="4"/>
  <c r="M58" i="1"/>
  <c r="H9" i="4"/>
  <c r="H197" i="31"/>
  <c r="H237" i="31" s="1"/>
  <c r="F145" i="31"/>
  <c r="H145" i="31"/>
  <c r="G197" i="31"/>
  <c r="G237" i="31" s="1"/>
  <c r="J131" i="31"/>
  <c r="I145" i="31"/>
  <c r="F138" i="31"/>
  <c r="H138" i="31"/>
  <c r="G138" i="31"/>
  <c r="J130" i="31"/>
  <c r="I138" i="31"/>
  <c r="J137" i="31"/>
  <c r="G145" i="31"/>
  <c r="I197" i="31"/>
  <c r="I237" i="31" s="1"/>
  <c r="J129" i="31"/>
  <c r="J132" i="31"/>
  <c r="J94" i="31"/>
  <c r="J133" i="31"/>
  <c r="J139" i="31"/>
  <c r="E145" i="31"/>
  <c r="J98" i="31"/>
  <c r="F197" i="31"/>
  <c r="F237" i="31" s="1"/>
  <c r="J97" i="31"/>
  <c r="J135" i="31"/>
  <c r="J136" i="31"/>
  <c r="J99" i="31"/>
  <c r="J100" i="31"/>
  <c r="J134" i="31"/>
  <c r="J91" i="31"/>
  <c r="J231" i="31"/>
  <c r="J92" i="31"/>
  <c r="J141" i="31"/>
  <c r="J128" i="31"/>
  <c r="J90" i="31"/>
  <c r="J195" i="31"/>
  <c r="R114" i="1"/>
  <c r="R329" i="1"/>
  <c r="R125" i="1"/>
  <c r="Y124" i="1"/>
  <c r="Y125" i="1"/>
  <c r="CC322" i="1"/>
  <c r="AB125" i="1"/>
  <c r="BW336" i="1"/>
  <c r="V125" i="1"/>
  <c r="BX301" i="1"/>
  <c r="W125" i="1"/>
  <c r="BV301" i="1"/>
  <c r="U125" i="1"/>
  <c r="CB315" i="1"/>
  <c r="AA125" i="1"/>
  <c r="CD280" i="1"/>
  <c r="AC125" i="1"/>
  <c r="AE280" i="1"/>
  <c r="AE125" i="1"/>
  <c r="AM402" i="1"/>
  <c r="AX402" i="1"/>
  <c r="AE273" i="1"/>
  <c r="CF266" i="1"/>
  <c r="AE301" i="1"/>
  <c r="AE114" i="1"/>
  <c r="CF259" i="1"/>
  <c r="AE336" i="1"/>
  <c r="CF294" i="1"/>
  <c r="AE259" i="1"/>
  <c r="AE322" i="1"/>
  <c r="CD322" i="1"/>
  <c r="CF287" i="1"/>
  <c r="AE294" i="1"/>
  <c r="CF329" i="1"/>
  <c r="AE329" i="1"/>
  <c r="AE266" i="1"/>
  <c r="CF315" i="1"/>
  <c r="AE287" i="1"/>
  <c r="AE124" i="1"/>
  <c r="AE315" i="1"/>
  <c r="CF273" i="1"/>
  <c r="CF301" i="1"/>
  <c r="AE308" i="1"/>
  <c r="CF322" i="1"/>
  <c r="AE119" i="1"/>
  <c r="CF280" i="1"/>
  <c r="CF308" i="1"/>
  <c r="CF336" i="1"/>
  <c r="N104" i="1"/>
  <c r="N112" i="1" s="1"/>
  <c r="I17" i="4" s="1"/>
  <c r="I18" i="4" s="1"/>
  <c r="AC273" i="1"/>
  <c r="AC280" i="1"/>
  <c r="AC336" i="1"/>
  <c r="AC329" i="1"/>
  <c r="CD336" i="1"/>
  <c r="AC114" i="1"/>
  <c r="CD266" i="1"/>
  <c r="AC308" i="1"/>
  <c r="AC294" i="1"/>
  <c r="CD301" i="1"/>
  <c r="CD287" i="1"/>
  <c r="AC301" i="1"/>
  <c r="CD308" i="1"/>
  <c r="AC315" i="1"/>
  <c r="CD273" i="1"/>
  <c r="CD329" i="1"/>
  <c r="AC124" i="1"/>
  <c r="CD259" i="1"/>
  <c r="CD294" i="1"/>
  <c r="AC259" i="1"/>
  <c r="AC322" i="1"/>
  <c r="AC266" i="1"/>
  <c r="AC119" i="1"/>
  <c r="AC287" i="1"/>
  <c r="CD315" i="1"/>
  <c r="AA329" i="1"/>
  <c r="AA273" i="1"/>
  <c r="AA322" i="1"/>
  <c r="L402" i="1"/>
  <c r="G43" i="4" s="1"/>
  <c r="AG287" i="1"/>
  <c r="AG280" i="1"/>
  <c r="CH294" i="1"/>
  <c r="CH308" i="1"/>
  <c r="CH280" i="1"/>
  <c r="AG294" i="1"/>
  <c r="AG329" i="1"/>
  <c r="CH322" i="1"/>
  <c r="AG301" i="1"/>
  <c r="CH315" i="1"/>
  <c r="AG114" i="1"/>
  <c r="AG119" i="1"/>
  <c r="AG128" i="1" s="1"/>
  <c r="AG322" i="1"/>
  <c r="CH336" i="1"/>
  <c r="CH287" i="1"/>
  <c r="CH259" i="1"/>
  <c r="CH266" i="1"/>
  <c r="AG259" i="1"/>
  <c r="CH301" i="1"/>
  <c r="AG336" i="1"/>
  <c r="AG266" i="1"/>
  <c r="CH273" i="1"/>
  <c r="AG308" i="1"/>
  <c r="AG273" i="1"/>
  <c r="CH329" i="1"/>
  <c r="Y336" i="1"/>
  <c r="AB404" i="1"/>
  <c r="Y266" i="1"/>
  <c r="Y287" i="1"/>
  <c r="Y329" i="1"/>
  <c r="BZ273" i="1"/>
  <c r="BZ301" i="1"/>
  <c r="Y322" i="1"/>
  <c r="Y315" i="1"/>
  <c r="Y301" i="1"/>
  <c r="Y273" i="1"/>
  <c r="BZ315" i="1"/>
  <c r="BZ287" i="1"/>
  <c r="Y280" i="1"/>
  <c r="BZ322" i="1"/>
  <c r="Y114" i="1"/>
  <c r="Y119" i="1"/>
  <c r="BZ329" i="1"/>
  <c r="Y259" i="1"/>
  <c r="Y308" i="1"/>
  <c r="BZ294" i="1"/>
  <c r="BZ336" i="1"/>
  <c r="BZ259" i="1"/>
  <c r="BZ266" i="1"/>
  <c r="Y294" i="1"/>
  <c r="BZ308" i="1"/>
  <c r="BZ280" i="1"/>
  <c r="BI383" i="1"/>
  <c r="BC58" i="1"/>
  <c r="BC114" i="1" s="1"/>
  <c r="AV402" i="1"/>
  <c r="AI391" i="1"/>
  <c r="BO114" i="1"/>
  <c r="CN306" i="1"/>
  <c r="BA264" i="1"/>
  <c r="CB308" i="1"/>
  <c r="AA119" i="1"/>
  <c r="CM292" i="1"/>
  <c r="AY402" i="1"/>
  <c r="AT402" i="1"/>
  <c r="BA381" i="1"/>
  <c r="H306" i="1"/>
  <c r="K58" i="1"/>
  <c r="F10" i="4" s="1"/>
  <c r="CB336" i="1"/>
  <c r="CB280" i="1"/>
  <c r="I402" i="1"/>
  <c r="D43" i="4" s="1"/>
  <c r="J402" i="1"/>
  <c r="E43" i="4" s="1"/>
  <c r="BD391" i="1"/>
  <c r="BD393" i="1" s="1"/>
  <c r="H384" i="1"/>
  <c r="H386" i="1"/>
  <c r="CR306" i="1"/>
  <c r="BI264" i="1"/>
  <c r="AK383" i="1"/>
  <c r="AW402" i="1"/>
  <c r="AA266" i="1"/>
  <c r="CB301" i="1"/>
  <c r="CB287" i="1"/>
  <c r="BK58" i="1"/>
  <c r="BK114" i="1" s="1"/>
  <c r="AA114" i="1"/>
  <c r="CB273" i="1"/>
  <c r="AA308" i="1"/>
  <c r="CB322" i="1"/>
  <c r="BD58" i="1"/>
  <c r="BD114" i="1" s="1"/>
  <c r="BM402" i="1"/>
  <c r="K402" i="1"/>
  <c r="F43" i="4" s="1"/>
  <c r="BJ402" i="1"/>
  <c r="AK399" i="1"/>
  <c r="AH404" i="1"/>
  <c r="AM58" i="1"/>
  <c r="AM114" i="1" s="1"/>
  <c r="CP306" i="1"/>
  <c r="AS386" i="1"/>
  <c r="H327" i="1"/>
  <c r="BO391" i="1"/>
  <c r="BO393" i="1" s="1"/>
  <c r="M402" i="1"/>
  <c r="H43" i="4" s="1"/>
  <c r="AS306" i="1"/>
  <c r="AL402" i="1"/>
  <c r="CO306" i="1"/>
  <c r="BT340" i="1"/>
  <c r="BT342" i="1" s="1"/>
  <c r="S339" i="1" s="1"/>
  <c r="AA301" i="1"/>
  <c r="CB294" i="1"/>
  <c r="CB266" i="1"/>
  <c r="CB259" i="1"/>
  <c r="AA294" i="1"/>
  <c r="CB329" i="1"/>
  <c r="AA287" i="1"/>
  <c r="AN402" i="1"/>
  <c r="BL402" i="1"/>
  <c r="BL58" i="1"/>
  <c r="BL114" i="1" s="1"/>
  <c r="BF402" i="1"/>
  <c r="BG402" i="1"/>
  <c r="BF391" i="1"/>
  <c r="BF393" i="1" s="1"/>
  <c r="CQ299" i="1"/>
  <c r="BI313" i="1"/>
  <c r="BI299" i="1"/>
  <c r="N58" i="1"/>
  <c r="S128" i="1"/>
  <c r="AA259" i="1"/>
  <c r="AA124" i="1"/>
  <c r="AA336" i="1"/>
  <c r="AA315" i="1"/>
  <c r="AA280" i="1"/>
  <c r="BK402" i="1"/>
  <c r="BI271" i="1"/>
  <c r="BO402" i="1"/>
  <c r="BI278" i="1"/>
  <c r="AK313" i="1"/>
  <c r="AK390" i="1"/>
  <c r="AI112" i="1"/>
  <c r="BG347" i="1"/>
  <c r="BG350" i="1" s="1"/>
  <c r="BE391" i="1"/>
  <c r="BE393" i="1" s="1"/>
  <c r="AS292" i="1"/>
  <c r="CO271" i="1"/>
  <c r="CM306" i="1"/>
  <c r="L104" i="1"/>
  <c r="L112" i="1" s="1"/>
  <c r="G17" i="4" s="1"/>
  <c r="G18" i="4" s="1"/>
  <c r="J58" i="1"/>
  <c r="E10" i="4" s="1"/>
  <c r="BG58" i="1"/>
  <c r="BG114" i="1" s="1"/>
  <c r="AS110" i="1"/>
  <c r="AX114" i="1"/>
  <c r="AS56" i="1"/>
  <c r="H271" i="1"/>
  <c r="L391" i="1"/>
  <c r="G42" i="4" s="1"/>
  <c r="BC402" i="1"/>
  <c r="BA386" i="1"/>
  <c r="BB391" i="1"/>
  <c r="BB393" i="1" s="1"/>
  <c r="AO402" i="1"/>
  <c r="AO404" i="1" s="1"/>
  <c r="AK397" i="1"/>
  <c r="AM391" i="1"/>
  <c r="AM393" i="1" s="1"/>
  <c r="AS278" i="1"/>
  <c r="AS327" i="1"/>
  <c r="AK334" i="1"/>
  <c r="E16" i="4"/>
  <c r="J104" i="1"/>
  <c r="J112" i="1" s="1"/>
  <c r="E17" i="4" s="1"/>
  <c r="H397" i="1"/>
  <c r="BA271" i="1"/>
  <c r="H381" i="1"/>
  <c r="AY391" i="1"/>
  <c r="AY393" i="1" s="1"/>
  <c r="AW391" i="1"/>
  <c r="AW393" i="1" s="1"/>
  <c r="BC391" i="1"/>
  <c r="BC393" i="1" s="1"/>
  <c r="AK56" i="1"/>
  <c r="H385" i="1"/>
  <c r="AK292" i="1"/>
  <c r="H56" i="1"/>
  <c r="C9" i="4" s="1"/>
  <c r="CL313" i="1"/>
  <c r="H285" i="1"/>
  <c r="AK264" i="1"/>
  <c r="BM391" i="1"/>
  <c r="BM393" i="1" s="1"/>
  <c r="BL391" i="1"/>
  <c r="BL393" i="1" s="1"/>
  <c r="H264" i="1"/>
  <c r="H383" i="1"/>
  <c r="AS334" i="1"/>
  <c r="H320" i="1"/>
  <c r="H102" i="1"/>
  <c r="C16" i="4" s="1"/>
  <c r="W404" i="1"/>
  <c r="AI402" i="1"/>
  <c r="H382" i="1"/>
  <c r="BA313" i="1"/>
  <c r="H387" i="1"/>
  <c r="AU402" i="1"/>
  <c r="AS397" i="1"/>
  <c r="BI397" i="1"/>
  <c r="I58" i="1"/>
  <c r="D10" i="4" s="1"/>
  <c r="AV391" i="1"/>
  <c r="AV393" i="1" s="1"/>
  <c r="BA292" i="1"/>
  <c r="AK271" i="1"/>
  <c r="AK278" i="1"/>
  <c r="AL391" i="1"/>
  <c r="AL393" i="1" s="1"/>
  <c r="BA327" i="1"/>
  <c r="AK382" i="1"/>
  <c r="AS313" i="1"/>
  <c r="BA388" i="1"/>
  <c r="BI56" i="1"/>
  <c r="AK389" i="1"/>
  <c r="AD266" i="1"/>
  <c r="AS388" i="1"/>
  <c r="AK327" i="1"/>
  <c r="AK387" i="1"/>
  <c r="H388" i="1"/>
  <c r="BG391" i="1"/>
  <c r="BG393" i="1" s="1"/>
  <c r="AS264" i="1"/>
  <c r="AK320" i="1"/>
  <c r="AS299" i="1"/>
  <c r="BA102" i="1"/>
  <c r="BA104" i="1" s="1"/>
  <c r="BA384" i="1"/>
  <c r="AN114" i="1"/>
  <c r="AK306" i="1"/>
  <c r="L58" i="1"/>
  <c r="G10" i="4" s="1"/>
  <c r="CQ306" i="1"/>
  <c r="BA390" i="1"/>
  <c r="K391" i="1"/>
  <c r="K393" i="1" s="1"/>
  <c r="J391" i="1"/>
  <c r="E42" i="4" s="1"/>
  <c r="AS271" i="1"/>
  <c r="N391" i="1"/>
  <c r="N393" i="1" s="1"/>
  <c r="BI399" i="1"/>
  <c r="AT391" i="1"/>
  <c r="AT393" i="1" s="1"/>
  <c r="BN58" i="1"/>
  <c r="BN114" i="1" s="1"/>
  <c r="H286" i="1"/>
  <c r="BA397" i="1"/>
  <c r="N347" i="1"/>
  <c r="N350" i="1" s="1"/>
  <c r="I38" i="4" s="1"/>
  <c r="BI320" i="1"/>
  <c r="BD402" i="1"/>
  <c r="BE402" i="1"/>
  <c r="BA278" i="1"/>
  <c r="BA306" i="1"/>
  <c r="H389" i="1"/>
  <c r="H314" i="1"/>
  <c r="AS389" i="1"/>
  <c r="BA334" i="1"/>
  <c r="AK385" i="1"/>
  <c r="AK102" i="1"/>
  <c r="AK104" i="1" s="1"/>
  <c r="AK112" i="1" s="1"/>
  <c r="CR264" i="1"/>
  <c r="AS387" i="1"/>
  <c r="CL327" i="1"/>
  <c r="BA320" i="1"/>
  <c r="BI386" i="1"/>
  <c r="BK391" i="1"/>
  <c r="BK393" i="1" s="1"/>
  <c r="AK299" i="1"/>
  <c r="X329" i="1"/>
  <c r="BI306" i="1"/>
  <c r="BA387" i="1"/>
  <c r="H299" i="1"/>
  <c r="CQ334" i="1"/>
  <c r="K104" i="1"/>
  <c r="K112" i="1" s="1"/>
  <c r="F17" i="4" s="1"/>
  <c r="F18" i="4" s="1"/>
  <c r="N402" i="1"/>
  <c r="I43" i="4" s="1"/>
  <c r="CL306" i="1"/>
  <c r="BA389" i="1"/>
  <c r="AX391" i="1"/>
  <c r="AX393" i="1" s="1"/>
  <c r="BA285" i="1"/>
  <c r="AU391" i="1"/>
  <c r="AU393" i="1" s="1"/>
  <c r="M391" i="1"/>
  <c r="M393" i="1" s="1"/>
  <c r="BI388" i="1"/>
  <c r="BN402" i="1"/>
  <c r="BI387" i="1"/>
  <c r="BI382" i="1"/>
  <c r="BI327" i="1"/>
  <c r="H313" i="1"/>
  <c r="BA299" i="1"/>
  <c r="H390" i="1"/>
  <c r="BI292" i="1"/>
  <c r="BA399" i="1"/>
  <c r="AS390" i="1"/>
  <c r="AS382" i="1"/>
  <c r="BO347" i="1"/>
  <c r="BO350" i="1" s="1"/>
  <c r="BI384" i="1"/>
  <c r="H292" i="1"/>
  <c r="BA385" i="1"/>
  <c r="BI389" i="1"/>
  <c r="AK285" i="1"/>
  <c r="AS385" i="1"/>
  <c r="BA382" i="1"/>
  <c r="AK386" i="1"/>
  <c r="BN391" i="1"/>
  <c r="BN393" i="1" s="1"/>
  <c r="H334" i="1"/>
  <c r="H328" i="1"/>
  <c r="AN391" i="1"/>
  <c r="AN393" i="1" s="1"/>
  <c r="BI334" i="1"/>
  <c r="CN320" i="1"/>
  <c r="AS285" i="1"/>
  <c r="AS383" i="1"/>
  <c r="BI285" i="1"/>
  <c r="H278" i="1"/>
  <c r="BI385" i="1"/>
  <c r="AK388" i="1"/>
  <c r="AS320" i="1"/>
  <c r="BJ391" i="1"/>
  <c r="BJ393" i="1" s="1"/>
  <c r="AS399" i="1"/>
  <c r="BI381" i="1"/>
  <c r="CO334" i="1"/>
  <c r="I104" i="1"/>
  <c r="I112" i="1" s="1"/>
  <c r="D17" i="4" s="1"/>
  <c r="D16" i="4"/>
  <c r="CM334" i="1"/>
  <c r="CO285" i="1"/>
  <c r="BU315" i="1"/>
  <c r="CR334" i="1"/>
  <c r="X266" i="1"/>
  <c r="CR271" i="1"/>
  <c r="CC259" i="1"/>
  <c r="CP314" i="1"/>
  <c r="W308" i="1"/>
  <c r="CP334" i="1"/>
  <c r="CL334" i="1"/>
  <c r="CN334" i="1"/>
  <c r="BU273" i="1"/>
  <c r="BU308" i="1"/>
  <c r="CP327" i="1"/>
  <c r="BX266" i="1"/>
  <c r="BY294" i="1"/>
  <c r="BU336" i="1"/>
  <c r="CQ286" i="1"/>
  <c r="BY329" i="1"/>
  <c r="CM271" i="1"/>
  <c r="BU280" i="1"/>
  <c r="CR328" i="1"/>
  <c r="BV266" i="1"/>
  <c r="CL320" i="1"/>
  <c r="X280" i="1"/>
  <c r="BY287" i="1"/>
  <c r="V336" i="1"/>
  <c r="CC315" i="1"/>
  <c r="BU294" i="1"/>
  <c r="W266" i="1"/>
  <c r="CM285" i="1"/>
  <c r="X114" i="1"/>
  <c r="BY308" i="1"/>
  <c r="CL271" i="1"/>
  <c r="W350" i="1"/>
  <c r="AH259" i="1"/>
  <c r="BU329" i="1"/>
  <c r="BU287" i="1"/>
  <c r="CP313" i="1"/>
  <c r="CQ327" i="1"/>
  <c r="BV273" i="1"/>
  <c r="W124" i="1"/>
  <c r="CL285" i="1"/>
  <c r="X336" i="1"/>
  <c r="BY322" i="1"/>
  <c r="X287" i="1"/>
  <c r="CQ271" i="1"/>
  <c r="CN271" i="1"/>
  <c r="V266" i="1"/>
  <c r="BU266" i="1"/>
  <c r="BU322" i="1"/>
  <c r="BU301" i="1"/>
  <c r="BU259" i="1"/>
  <c r="CM328" i="1"/>
  <c r="CM264" i="1"/>
  <c r="BV280" i="1"/>
  <c r="BX273" i="1"/>
  <c r="CQ285" i="1"/>
  <c r="CP320" i="1"/>
  <c r="BY301" i="1"/>
  <c r="X301" i="1"/>
  <c r="BY280" i="1"/>
  <c r="BY273" i="1"/>
  <c r="CP271" i="1"/>
  <c r="AB259" i="1"/>
  <c r="CL328" i="1"/>
  <c r="CO313" i="1"/>
  <c r="CM327" i="1"/>
  <c r="BX322" i="1"/>
  <c r="BX294" i="1"/>
  <c r="BX315" i="1"/>
  <c r="CP285" i="1"/>
  <c r="BY259" i="1"/>
  <c r="X294" i="1"/>
  <c r="X259" i="1"/>
  <c r="X308" i="1"/>
  <c r="BY266" i="1"/>
  <c r="BY336" i="1"/>
  <c r="BY315" i="1"/>
  <c r="AS102" i="1"/>
  <c r="AS104" i="1" s="1"/>
  <c r="AB124" i="1"/>
  <c r="R294" i="1"/>
  <c r="CN327" i="1"/>
  <c r="CR286" i="1"/>
  <c r="W119" i="1"/>
  <c r="W114" i="1"/>
  <c r="BX280" i="1"/>
  <c r="CN285" i="1"/>
  <c r="X119" i="1"/>
  <c r="X315" i="1"/>
  <c r="X322" i="1"/>
  <c r="X124" i="1"/>
  <c r="X273" i="1"/>
  <c r="AD259" i="1"/>
  <c r="AB266" i="1"/>
  <c r="CC329" i="1"/>
  <c r="CL264" i="1"/>
  <c r="CE329" i="1"/>
  <c r="W329" i="1"/>
  <c r="W336" i="1"/>
  <c r="W322" i="1"/>
  <c r="AH315" i="1"/>
  <c r="AO315" i="1" s="1"/>
  <c r="CN292" i="1"/>
  <c r="BI102" i="1"/>
  <c r="BI104" i="1" s="1"/>
  <c r="BI112" i="1" s="1"/>
  <c r="AD287" i="1"/>
  <c r="CI287" i="1"/>
  <c r="CP299" i="1"/>
  <c r="BB347" i="1"/>
  <c r="BB350" i="1" s="1"/>
  <c r="CE315" i="1"/>
  <c r="AD329" i="1"/>
  <c r="CQ314" i="1"/>
  <c r="AH322" i="1"/>
  <c r="AO322" i="1" s="1"/>
  <c r="CI280" i="1"/>
  <c r="BK347" i="1"/>
  <c r="BK350" i="1" s="1"/>
  <c r="AX347" i="1"/>
  <c r="AX350" i="1" s="1"/>
  <c r="AD114" i="1"/>
  <c r="CE294" i="1"/>
  <c r="AH266" i="1"/>
  <c r="AO266" i="1" s="1"/>
  <c r="CL292" i="1"/>
  <c r="BB58" i="1"/>
  <c r="BB114" i="1" s="1"/>
  <c r="CR320" i="1"/>
  <c r="CL299" i="1"/>
  <c r="AD294" i="1"/>
  <c r="AD280" i="1"/>
  <c r="AD301" i="1"/>
  <c r="BV315" i="1"/>
  <c r="U301" i="1"/>
  <c r="BV322" i="1"/>
  <c r="U280" i="1"/>
  <c r="CM320" i="1"/>
  <c r="CO320" i="1"/>
  <c r="BN347" i="1"/>
  <c r="BN350" i="1" s="1"/>
  <c r="CO292" i="1"/>
  <c r="V294" i="1"/>
  <c r="BW294" i="1"/>
  <c r="AT112" i="1"/>
  <c r="BV259" i="1"/>
  <c r="BV287" i="1"/>
  <c r="CQ320" i="1"/>
  <c r="BW280" i="1"/>
  <c r="CR299" i="1"/>
  <c r="CE259" i="1"/>
  <c r="AD273" i="1"/>
  <c r="AD124" i="1"/>
  <c r="BV294" i="1"/>
  <c r="U336" i="1"/>
  <c r="U287" i="1"/>
  <c r="U124" i="1"/>
  <c r="CR292" i="1"/>
  <c r="V322" i="1"/>
  <c r="CQ278" i="1"/>
  <c r="CO328" i="1"/>
  <c r="CP328" i="1"/>
  <c r="R266" i="1"/>
  <c r="CO327" i="1"/>
  <c r="CR327" i="1"/>
  <c r="AI104" i="1"/>
  <c r="U259" i="1"/>
  <c r="U308" i="1"/>
  <c r="U329" i="1"/>
  <c r="BV336" i="1"/>
  <c r="U294" i="1"/>
  <c r="U273" i="1"/>
  <c r="U322" i="1"/>
  <c r="BX259" i="1"/>
  <c r="W287" i="1"/>
  <c r="BX336" i="1"/>
  <c r="BX308" i="1"/>
  <c r="BX329" i="1"/>
  <c r="BX287" i="1"/>
  <c r="CN314" i="1"/>
  <c r="CI273" i="1"/>
  <c r="AH280" i="1"/>
  <c r="AO280" i="1" s="1"/>
  <c r="AH287" i="1"/>
  <c r="AO287" i="1" s="1"/>
  <c r="AN347" i="1"/>
  <c r="AN350" i="1" s="1"/>
  <c r="CQ328" i="1"/>
  <c r="U114" i="1"/>
  <c r="U119" i="1"/>
  <c r="BV308" i="1"/>
  <c r="BV329" i="1"/>
  <c r="U266" i="1"/>
  <c r="U315" i="1"/>
  <c r="W259" i="1"/>
  <c r="W280" i="1"/>
  <c r="W301" i="1"/>
  <c r="W273" i="1"/>
  <c r="W315" i="1"/>
  <c r="W294" i="1"/>
  <c r="CO314" i="1"/>
  <c r="CO278" i="1"/>
  <c r="AH273" i="1"/>
  <c r="AO273" i="1" s="1"/>
  <c r="CI301" i="1"/>
  <c r="CI322" i="1"/>
  <c r="CI336" i="1"/>
  <c r="AB350" i="1"/>
  <c r="BA56" i="1"/>
  <c r="CC301" i="1"/>
  <c r="AB280" i="1"/>
  <c r="AB322" i="1"/>
  <c r="CN299" i="1"/>
  <c r="CM299" i="1"/>
  <c r="CR313" i="1"/>
  <c r="CQ264" i="1"/>
  <c r="CM286" i="1"/>
  <c r="BD347" i="1"/>
  <c r="BD350" i="1" s="1"/>
  <c r="CE301" i="1"/>
  <c r="CE308" i="1"/>
  <c r="CE287" i="1"/>
  <c r="AD336" i="1"/>
  <c r="CE280" i="1"/>
  <c r="CE322" i="1"/>
  <c r="AD308" i="1"/>
  <c r="CP278" i="1"/>
  <c r="CQ292" i="1"/>
  <c r="V119" i="1"/>
  <c r="BW329" i="1"/>
  <c r="BW308" i="1"/>
  <c r="V301" i="1"/>
  <c r="AW114" i="1"/>
  <c r="AB301" i="1"/>
  <c r="AB287" i="1"/>
  <c r="CC273" i="1"/>
  <c r="CC280" i="1"/>
  <c r="CO299" i="1"/>
  <c r="CN264" i="1"/>
  <c r="AS381" i="1"/>
  <c r="CP286" i="1"/>
  <c r="AM347" i="1"/>
  <c r="AM350" i="1" s="1"/>
  <c r="AH350" i="1"/>
  <c r="AD315" i="1"/>
  <c r="CE336" i="1"/>
  <c r="CE266" i="1"/>
  <c r="AD119" i="1"/>
  <c r="CE273" i="1"/>
  <c r="AD322" i="1"/>
  <c r="CP292" i="1"/>
  <c r="V280" i="1"/>
  <c r="V124" i="1"/>
  <c r="BW315" i="1"/>
  <c r="AB114" i="1"/>
  <c r="AB329" i="1"/>
  <c r="AB308" i="1"/>
  <c r="AB273" i="1"/>
  <c r="CC266" i="1"/>
  <c r="AB336" i="1"/>
  <c r="CC294" i="1"/>
  <c r="CN313" i="1"/>
  <c r="CM313" i="1"/>
  <c r="CP264" i="1"/>
  <c r="CO264" i="1"/>
  <c r="CL286" i="1"/>
  <c r="BC347" i="1"/>
  <c r="BC350" i="1" s="1"/>
  <c r="BF347" i="1"/>
  <c r="BF350" i="1" s="1"/>
  <c r="CM278" i="1"/>
  <c r="CR278" i="1"/>
  <c r="V114" i="1"/>
  <c r="BW301" i="1"/>
  <c r="BW273" i="1"/>
  <c r="BW259" i="1"/>
  <c r="V273" i="1"/>
  <c r="V329" i="1"/>
  <c r="V259" i="1"/>
  <c r="AB315" i="1"/>
  <c r="CC287" i="1"/>
  <c r="CC336" i="1"/>
  <c r="CC308" i="1"/>
  <c r="AB119" i="1"/>
  <c r="AB294" i="1"/>
  <c r="CQ313" i="1"/>
  <c r="CN286" i="1"/>
  <c r="BE347" i="1"/>
  <c r="BE350" i="1" s="1"/>
  <c r="CL278" i="1"/>
  <c r="BW266" i="1"/>
  <c r="V287" i="1"/>
  <c r="V308" i="1"/>
  <c r="BW322" i="1"/>
  <c r="V315" i="1"/>
  <c r="BW287" i="1"/>
  <c r="BS336" i="1"/>
  <c r="CL314" i="1"/>
  <c r="CR314" i="1"/>
  <c r="AO126" i="1"/>
  <c r="AO137" i="1" s="1"/>
  <c r="CI315" i="1"/>
  <c r="CI308" i="1"/>
  <c r="AH308" i="1"/>
  <c r="AO308" i="1" s="1"/>
  <c r="AH301" i="1"/>
  <c r="AO301" i="1" s="1"/>
  <c r="CI259" i="1"/>
  <c r="CI294" i="1"/>
  <c r="BM347" i="1"/>
  <c r="BM350" i="1" s="1"/>
  <c r="BL347" i="1"/>
  <c r="BL350" i="1" s="1"/>
  <c r="BJ58" i="1"/>
  <c r="BJ114" i="1" s="1"/>
  <c r="BS280" i="1"/>
  <c r="BS308" i="1"/>
  <c r="AH114" i="1"/>
  <c r="AH119" i="1"/>
  <c r="AH329" i="1"/>
  <c r="AO329" i="1" s="1"/>
  <c r="AH336" i="1"/>
  <c r="AO336" i="1" s="1"/>
  <c r="CI266" i="1"/>
  <c r="AH294" i="1"/>
  <c r="AO294" i="1" s="1"/>
  <c r="BJ347" i="1"/>
  <c r="AY114" i="1"/>
  <c r="R259" i="1"/>
  <c r="R273" i="1"/>
  <c r="BS294" i="1"/>
  <c r="R124" i="1"/>
  <c r="BS322" i="1"/>
  <c r="I347" i="1"/>
  <c r="AW347" i="1"/>
  <c r="AW350" i="1" s="1"/>
  <c r="R301" i="1"/>
  <c r="AI58" i="1"/>
  <c r="BS273" i="1"/>
  <c r="BS301" i="1"/>
  <c r="BS259" i="1"/>
  <c r="R308" i="1"/>
  <c r="R322" i="1"/>
  <c r="R287" i="1"/>
  <c r="R336" i="1"/>
  <c r="BS315" i="1"/>
  <c r="BB402" i="1"/>
  <c r="AV347" i="1"/>
  <c r="AV350" i="1" s="1"/>
  <c r="R315" i="1"/>
  <c r="BS329" i="1"/>
  <c r="R280" i="1"/>
  <c r="R119" i="1"/>
  <c r="BS266" i="1"/>
  <c r="BS287" i="1"/>
  <c r="AT347" i="1"/>
  <c r="L347" i="1"/>
  <c r="L350" i="1" s="1"/>
  <c r="M347" i="1"/>
  <c r="M350" i="1" s="1"/>
  <c r="AY347" i="1"/>
  <c r="AY350" i="1" s="1"/>
  <c r="AI347" i="1"/>
  <c r="AU347" i="1"/>
  <c r="AU350" i="1" s="1"/>
  <c r="J347" i="1"/>
  <c r="J350" i="1" s="1"/>
  <c r="R350" i="1"/>
  <c r="AL347" i="1"/>
  <c r="AL350" i="1" s="1"/>
  <c r="K347" i="1"/>
  <c r="K350" i="1" s="1"/>
  <c r="AK381" i="1"/>
  <c r="R393" i="1"/>
  <c r="R404" i="1" s="1"/>
  <c r="I391" i="1"/>
  <c r="E146" i="31" l="1"/>
  <c r="E24" i="38"/>
  <c r="E27" i="38" s="1"/>
  <c r="E40" i="38" s="1"/>
  <c r="E47" i="38" s="1"/>
  <c r="C22" i="38"/>
  <c r="G24" i="38"/>
  <c r="D25" i="38"/>
  <c r="C25" i="38" s="1"/>
  <c r="C24" i="38"/>
  <c r="G27" i="38"/>
  <c r="G40" i="38" s="1"/>
  <c r="G47" i="38" s="1"/>
  <c r="F27" i="38"/>
  <c r="F40" i="38" s="1"/>
  <c r="F47" i="38" s="1"/>
  <c r="D24" i="38"/>
  <c r="C7" i="38"/>
  <c r="J6" i="38"/>
  <c r="BE114" i="1"/>
  <c r="J197" i="31"/>
  <c r="J237" i="31" s="1"/>
  <c r="Z128" i="1"/>
  <c r="Z130" i="1" s="1"/>
  <c r="Z428" i="1" s="1"/>
  <c r="CA340" i="1"/>
  <c r="CA342" i="1" s="1"/>
  <c r="Z262" i="1" s="1"/>
  <c r="BF114" i="1"/>
  <c r="BA112" i="1"/>
  <c r="AV114" i="1"/>
  <c r="CG340" i="1"/>
  <c r="CG342" i="1" s="1"/>
  <c r="AF283" i="1" s="1"/>
  <c r="AF128" i="1"/>
  <c r="AT114" i="1"/>
  <c r="AS58" i="1"/>
  <c r="H18" i="4"/>
  <c r="T128" i="1"/>
  <c r="AX404" i="1"/>
  <c r="M114" i="1"/>
  <c r="F146" i="31"/>
  <c r="H146" i="31"/>
  <c r="I146" i="31"/>
  <c r="G146" i="31"/>
  <c r="J145" i="31"/>
  <c r="F38" i="4"/>
  <c r="G148" i="31"/>
  <c r="H38" i="4"/>
  <c r="I148" i="31"/>
  <c r="J138" i="31"/>
  <c r="G38" i="4"/>
  <c r="H148" i="31"/>
  <c r="E38" i="4"/>
  <c r="F148" i="31"/>
  <c r="BM125" i="1"/>
  <c r="BK125" i="1"/>
  <c r="BD125" i="1"/>
  <c r="BC125" i="1"/>
  <c r="BG125" i="1"/>
  <c r="BF125" i="1"/>
  <c r="BE125" i="1"/>
  <c r="BB125" i="1"/>
  <c r="AM125" i="1"/>
  <c r="BL125" i="1"/>
  <c r="AN125" i="1"/>
  <c r="BO125" i="1"/>
  <c r="BN125" i="1"/>
  <c r="BJ125" i="1"/>
  <c r="Y128" i="1"/>
  <c r="Y130" i="1" s="1"/>
  <c r="AU125" i="1"/>
  <c r="AT125" i="1"/>
  <c r="AI125" i="1"/>
  <c r="AX125" i="1"/>
  <c r="AY125" i="1"/>
  <c r="AV125" i="1"/>
  <c r="AL125" i="1"/>
  <c r="L125" i="1"/>
  <c r="I125" i="1"/>
  <c r="E245" i="31" s="1"/>
  <c r="K125" i="1"/>
  <c r="M125" i="1"/>
  <c r="N125" i="1"/>
  <c r="N136" i="1" s="1"/>
  <c r="N150" i="1" s="1"/>
  <c r="J125" i="1"/>
  <c r="AW125" i="1"/>
  <c r="AM404" i="1"/>
  <c r="AE128" i="1"/>
  <c r="AE130" i="1" s="1"/>
  <c r="N114" i="1"/>
  <c r="CF340" i="1"/>
  <c r="CF342" i="1" s="1"/>
  <c r="AE290" i="1" s="1"/>
  <c r="AC128" i="1"/>
  <c r="AC130" i="1" s="1"/>
  <c r="H104" i="1"/>
  <c r="H112" i="1" s="1"/>
  <c r="C17" i="4" s="1"/>
  <c r="C18" i="4" s="1"/>
  <c r="CD340" i="1"/>
  <c r="CD342" i="1" s="1"/>
  <c r="AC325" i="1" s="1"/>
  <c r="AT404" i="1"/>
  <c r="AG130" i="1"/>
  <c r="CH340" i="1"/>
  <c r="CH342" i="1" s="1"/>
  <c r="AG339" i="1" s="1"/>
  <c r="BZ340" i="1"/>
  <c r="BZ342" i="1" s="1"/>
  <c r="Y276" i="1" s="1"/>
  <c r="I10" i="4"/>
  <c r="I19" i="4" s="1"/>
  <c r="BF404" i="1"/>
  <c r="AV404" i="1"/>
  <c r="BO404" i="1"/>
  <c r="BJ404" i="1"/>
  <c r="BL404" i="1"/>
  <c r="BK404" i="1"/>
  <c r="BB404" i="1"/>
  <c r="BJ301" i="1"/>
  <c r="BF294" i="1"/>
  <c r="AK58" i="1"/>
  <c r="AK114" i="1" s="1"/>
  <c r="BE404" i="1"/>
  <c r="BM404" i="1"/>
  <c r="AL404" i="1"/>
  <c r="H10" i="4"/>
  <c r="H19" i="4" s="1"/>
  <c r="AD128" i="1"/>
  <c r="AD130" i="1" s="1"/>
  <c r="BD404" i="1"/>
  <c r="AW404" i="1"/>
  <c r="J393" i="1"/>
  <c r="J404" i="1" s="1"/>
  <c r="E44" i="4" s="1"/>
  <c r="AY404" i="1"/>
  <c r="AK391" i="1"/>
  <c r="AK393" i="1" s="1"/>
  <c r="CL294" i="1"/>
  <c r="BO336" i="1"/>
  <c r="AN329" i="1"/>
  <c r="U128" i="1"/>
  <c r="U130" i="1" s="1"/>
  <c r="D71" i="3" s="1"/>
  <c r="AU404" i="1"/>
  <c r="BG404" i="1"/>
  <c r="L329" i="1"/>
  <c r="AA128" i="1"/>
  <c r="AA130" i="1" s="1"/>
  <c r="S283" i="1"/>
  <c r="K329" i="1"/>
  <c r="AW315" i="1"/>
  <c r="BM315" i="1"/>
  <c r="BO273" i="1"/>
  <c r="V128" i="1"/>
  <c r="V130" i="1" s="1"/>
  <c r="BC287" i="1"/>
  <c r="AU329" i="1"/>
  <c r="S311" i="1"/>
  <c r="S332" i="1"/>
  <c r="BE124" i="1"/>
  <c r="CB340" i="1"/>
  <c r="CB342" i="1" s="1"/>
  <c r="AA332" i="1" s="1"/>
  <c r="BW340" i="1"/>
  <c r="BW342" i="1" s="1"/>
  <c r="V311" i="1" s="1"/>
  <c r="BG322" i="1"/>
  <c r="AV329" i="1"/>
  <c r="H58" i="1"/>
  <c r="G19" i="4"/>
  <c r="D18" i="4"/>
  <c r="F19" i="4"/>
  <c r="L114" i="1"/>
  <c r="J114" i="1"/>
  <c r="E19" i="4"/>
  <c r="H402" i="1"/>
  <c r="C43" i="4" s="1"/>
  <c r="K404" i="1"/>
  <c r="F44" i="4" s="1"/>
  <c r="CL315" i="1"/>
  <c r="CP273" i="1"/>
  <c r="AY273" i="1"/>
  <c r="BG266" i="1"/>
  <c r="S276" i="1"/>
  <c r="S304" i="1"/>
  <c r="S130" i="1"/>
  <c r="D69" i="3" s="1"/>
  <c r="N329" i="1"/>
  <c r="CO266" i="1"/>
  <c r="BO287" i="1"/>
  <c r="BN280" i="1"/>
  <c r="BD273" i="1"/>
  <c r="BV340" i="1"/>
  <c r="BV342" i="1" s="1"/>
  <c r="U311" i="1" s="1"/>
  <c r="BF336" i="1"/>
  <c r="BK124" i="1"/>
  <c r="BU340" i="1"/>
  <c r="BU342" i="1" s="1"/>
  <c r="AN404" i="1"/>
  <c r="BI402" i="1"/>
  <c r="S262" i="1"/>
  <c r="S269" i="1"/>
  <c r="S318" i="1"/>
  <c r="AF332" i="1"/>
  <c r="AL329" i="1"/>
  <c r="AI350" i="1"/>
  <c r="L393" i="1"/>
  <c r="L404" i="1" s="1"/>
  <c r="G44" i="4" s="1"/>
  <c r="BM294" i="1"/>
  <c r="BD301" i="1"/>
  <c r="BB126" i="1"/>
  <c r="BG329" i="1"/>
  <c r="BA391" i="1"/>
  <c r="BA393" i="1" s="1"/>
  <c r="M404" i="1"/>
  <c r="H44" i="4" s="1"/>
  <c r="S297" i="1"/>
  <c r="S325" i="1"/>
  <c r="S290" i="1"/>
  <c r="AK402" i="1"/>
  <c r="AF269" i="1"/>
  <c r="BN404" i="1"/>
  <c r="BI391" i="1"/>
  <c r="BI393" i="1" s="1"/>
  <c r="AS402" i="1"/>
  <c r="BC404" i="1"/>
  <c r="AS112" i="1"/>
  <c r="AF130" i="1"/>
  <c r="K114" i="1"/>
  <c r="F42" i="4"/>
  <c r="I42" i="4"/>
  <c r="Z134" i="1" a="1"/>
  <c r="Z134" i="1" s="1"/>
  <c r="M329" i="1"/>
  <c r="J329" i="1"/>
  <c r="AW329" i="1"/>
  <c r="AT329" i="1"/>
  <c r="AI329" i="1"/>
  <c r="AY329" i="1"/>
  <c r="I329" i="1"/>
  <c r="J126" i="1"/>
  <c r="F246" i="31" s="1"/>
  <c r="CO280" i="1"/>
  <c r="AX329" i="1"/>
  <c r="AO119" i="1"/>
  <c r="AO128" i="1" s="1"/>
  <c r="AO130" i="1" s="1"/>
  <c r="AM308" i="1"/>
  <c r="AU119" i="1"/>
  <c r="AU138" i="1" s="1"/>
  <c r="AX336" i="1"/>
  <c r="AI308" i="1"/>
  <c r="H347" i="1"/>
  <c r="CN336" i="1"/>
  <c r="AS391" i="1"/>
  <c r="AS393" i="1" s="1"/>
  <c r="K266" i="1"/>
  <c r="AY280" i="1"/>
  <c r="L287" i="1"/>
  <c r="H93" i="31" s="1"/>
  <c r="CL259" i="1"/>
  <c r="BS340" i="1"/>
  <c r="N301" i="1"/>
  <c r="CN322" i="1"/>
  <c r="AI259" i="1"/>
  <c r="CI340" i="1"/>
  <c r="CI342" i="1" s="1"/>
  <c r="AM280" i="1"/>
  <c r="AN266" i="1"/>
  <c r="X128" i="1"/>
  <c r="X130" i="1" s="1"/>
  <c r="BC119" i="1"/>
  <c r="BC138" i="1" s="1"/>
  <c r="BM126" i="1"/>
  <c r="AO259" i="1"/>
  <c r="H391" i="1"/>
  <c r="C42" i="4" s="1"/>
  <c r="AS347" i="1"/>
  <c r="CM287" i="1"/>
  <c r="CQ329" i="1"/>
  <c r="AW322" i="1"/>
  <c r="CR301" i="1"/>
  <c r="H42" i="4"/>
  <c r="L124" i="1"/>
  <c r="H244" i="31" s="1"/>
  <c r="BI58" i="1"/>
  <c r="BI114" i="1" s="1"/>
  <c r="BI347" i="1"/>
  <c r="CR308" i="1"/>
  <c r="BJ119" i="1"/>
  <c r="BJ138" i="1" s="1"/>
  <c r="BL308" i="1"/>
  <c r="BO322" i="1"/>
  <c r="BG315" i="1"/>
  <c r="BD259" i="1"/>
  <c r="BX340" i="1"/>
  <c r="BX342" i="1" s="1"/>
  <c r="CE340" i="1"/>
  <c r="CE342" i="1" s="1"/>
  <c r="AI294" i="1"/>
  <c r="BY340" i="1"/>
  <c r="BY342" i="1" s="1"/>
  <c r="BO259" i="1"/>
  <c r="CC340" i="1"/>
  <c r="CC342" i="1" s="1"/>
  <c r="N404" i="1"/>
  <c r="I44" i="4" s="1"/>
  <c r="E18" i="4"/>
  <c r="BO126" i="1"/>
  <c r="BG308" i="1"/>
  <c r="BF266" i="1"/>
  <c r="AM266" i="1"/>
  <c r="BB308" i="1"/>
  <c r="BF308" i="1"/>
  <c r="BE266" i="1"/>
  <c r="BD308" i="1"/>
  <c r="BL126" i="1"/>
  <c r="BC124" i="1"/>
  <c r="BE301" i="1"/>
  <c r="BA347" i="1"/>
  <c r="BA350" i="1" s="1"/>
  <c r="M119" i="1"/>
  <c r="BC273" i="1"/>
  <c r="BE308" i="1"/>
  <c r="BC308" i="1"/>
  <c r="N315" i="1"/>
  <c r="BJ126" i="1"/>
  <c r="BC266" i="1"/>
  <c r="BD266" i="1"/>
  <c r="BE280" i="1"/>
  <c r="AM119" i="1"/>
  <c r="BL124" i="1"/>
  <c r="BB266" i="1"/>
  <c r="BD124" i="1"/>
  <c r="AW294" i="1"/>
  <c r="BM259" i="1"/>
  <c r="K294" i="1"/>
  <c r="BE336" i="1"/>
  <c r="BD126" i="1"/>
  <c r="AY294" i="1"/>
  <c r="J294" i="1"/>
  <c r="L266" i="1"/>
  <c r="CQ266" i="1"/>
  <c r="AM287" i="1"/>
  <c r="AN124" i="1"/>
  <c r="BK126" i="1"/>
  <c r="BN126" i="1"/>
  <c r="AM322" i="1"/>
  <c r="BD329" i="1"/>
  <c r="BD294" i="1"/>
  <c r="BE119" i="1"/>
  <c r="BO124" i="1"/>
  <c r="AN126" i="1"/>
  <c r="BO266" i="1"/>
  <c r="BF124" i="1"/>
  <c r="BN322" i="1"/>
  <c r="AL294" i="1"/>
  <c r="AV294" i="1"/>
  <c r="BJ259" i="1"/>
  <c r="AT294" i="1"/>
  <c r="AX294" i="1"/>
  <c r="BK259" i="1"/>
  <c r="BO301" i="1"/>
  <c r="CO315" i="1"/>
  <c r="BC322" i="1"/>
  <c r="BE322" i="1"/>
  <c r="AN336" i="1"/>
  <c r="BG273" i="1"/>
  <c r="BL301" i="1"/>
  <c r="AH128" i="1"/>
  <c r="AH130" i="1" s="1"/>
  <c r="AH428" i="1" s="1"/>
  <c r="AO428" i="1" s="1"/>
  <c r="CL273" i="1"/>
  <c r="BN124" i="1"/>
  <c r="BN266" i="1"/>
  <c r="BF322" i="1"/>
  <c r="BG124" i="1"/>
  <c r="AM124" i="1"/>
  <c r="BC329" i="1"/>
  <c r="BB273" i="1"/>
  <c r="AN280" i="1"/>
  <c r="BJ124" i="1"/>
  <c r="BD322" i="1"/>
  <c r="BB124" i="1"/>
  <c r="BB294" i="1"/>
  <c r="BG280" i="1"/>
  <c r="W128" i="1"/>
  <c r="W130" i="1" s="1"/>
  <c r="D73" i="3" s="1"/>
  <c r="BF119" i="1"/>
  <c r="BF138" i="1" s="1"/>
  <c r="AY124" i="1"/>
  <c r="BF287" i="1"/>
  <c r="BM266" i="1"/>
  <c r="BK266" i="1"/>
  <c r="BB329" i="1"/>
  <c r="AM329" i="1"/>
  <c r="AM259" i="1"/>
  <c r="BG119" i="1"/>
  <c r="BG138" i="1" s="1"/>
  <c r="BD119" i="1"/>
  <c r="BD138" i="1" s="1"/>
  <c r="AU124" i="1"/>
  <c r="AU315" i="1"/>
  <c r="BE287" i="1"/>
  <c r="CM308" i="1"/>
  <c r="AU294" i="1"/>
  <c r="M294" i="1"/>
  <c r="N294" i="1"/>
  <c r="AW126" i="1"/>
  <c r="AN259" i="1"/>
  <c r="BN259" i="1"/>
  <c r="BJ266" i="1"/>
  <c r="BL266" i="1"/>
  <c r="BE329" i="1"/>
  <c r="AM294" i="1"/>
  <c r="BF273" i="1"/>
  <c r="BF280" i="1"/>
  <c r="BL280" i="1"/>
  <c r="BB119" i="1"/>
  <c r="BB138" i="1" s="1"/>
  <c r="I308" i="1"/>
  <c r="E96" i="31" s="1"/>
  <c r="AV124" i="1"/>
  <c r="BB287" i="1"/>
  <c r="AV336" i="1"/>
  <c r="I294" i="1"/>
  <c r="L294" i="1"/>
  <c r="N126" i="1"/>
  <c r="BM124" i="1"/>
  <c r="BL259" i="1"/>
  <c r="BB322" i="1"/>
  <c r="BF329" i="1"/>
  <c r="W138" i="1" a="1"/>
  <c r="W138" i="1" s="1"/>
  <c r="BD336" i="1"/>
  <c r="AM336" i="1"/>
  <c r="AI266" i="1"/>
  <c r="BC336" i="1"/>
  <c r="BG336" i="1"/>
  <c r="N266" i="1"/>
  <c r="AN119" i="1"/>
  <c r="AN138" i="1" s="1"/>
  <c r="BF301" i="1"/>
  <c r="BE126" i="1"/>
  <c r="BB336" i="1"/>
  <c r="AV266" i="1"/>
  <c r="AM301" i="1"/>
  <c r="AY259" i="1"/>
  <c r="AT266" i="1"/>
  <c r="AW266" i="1"/>
  <c r="BJ308" i="1"/>
  <c r="BC315" i="1"/>
  <c r="CP266" i="1"/>
  <c r="CQ315" i="1"/>
  <c r="CM273" i="1"/>
  <c r="AV315" i="1"/>
  <c r="AM126" i="1"/>
  <c r="CQ294" i="1"/>
  <c r="AV126" i="1"/>
  <c r="AL266" i="1"/>
  <c r="CP280" i="1"/>
  <c r="BG301" i="1"/>
  <c r="BC301" i="1"/>
  <c r="BB259" i="1"/>
  <c r="CR266" i="1"/>
  <c r="CM315" i="1"/>
  <c r="AT124" i="1"/>
  <c r="J124" i="1"/>
  <c r="F244" i="31" s="1"/>
  <c r="CQ273" i="1"/>
  <c r="AX315" i="1"/>
  <c r="AY315" i="1"/>
  <c r="BF126" i="1"/>
  <c r="BC126" i="1"/>
  <c r="AL126" i="1"/>
  <c r="AI126" i="1"/>
  <c r="AY266" i="1"/>
  <c r="AU266" i="1"/>
  <c r="AX266" i="1"/>
  <c r="M266" i="1"/>
  <c r="BO315" i="1"/>
  <c r="BN308" i="1"/>
  <c r="BB301" i="1"/>
  <c r="CM266" i="1"/>
  <c r="BJ322" i="1"/>
  <c r="AN287" i="1"/>
  <c r="CN315" i="1"/>
  <c r="AW124" i="1"/>
  <c r="M124" i="1"/>
  <c r="I244" i="31" s="1"/>
  <c r="CN273" i="1"/>
  <c r="K315" i="1"/>
  <c r="L315" i="1"/>
  <c r="BG126" i="1"/>
  <c r="L126" i="1"/>
  <c r="H246" i="31" s="1"/>
  <c r="AU126" i="1"/>
  <c r="BJ350" i="1"/>
  <c r="J266" i="1"/>
  <c r="I266" i="1"/>
  <c r="AI273" i="1"/>
  <c r="AB128" i="1"/>
  <c r="AB130" i="1" s="1"/>
  <c r="BB315" i="1"/>
  <c r="BF259" i="1"/>
  <c r="BL322" i="1"/>
  <c r="BN287" i="1"/>
  <c r="CR259" i="1"/>
  <c r="N273" i="1"/>
  <c r="AW301" i="1"/>
  <c r="BO119" i="1"/>
  <c r="BM119" i="1"/>
  <c r="BJ315" i="1"/>
  <c r="BL315" i="1"/>
  <c r="AN308" i="1"/>
  <c r="BD315" i="1"/>
  <c r="BF315" i="1"/>
  <c r="AM273" i="1"/>
  <c r="BC259" i="1"/>
  <c r="AN322" i="1"/>
  <c r="BK280" i="1"/>
  <c r="BM287" i="1"/>
  <c r="BL287" i="1"/>
  <c r="AN301" i="1"/>
  <c r="AI287" i="1"/>
  <c r="CN280" i="1"/>
  <c r="AU301" i="1"/>
  <c r="BN119" i="1"/>
  <c r="BL119" i="1"/>
  <c r="BK315" i="1"/>
  <c r="AN315" i="1"/>
  <c r="BM308" i="1"/>
  <c r="BK308" i="1"/>
  <c r="AM315" i="1"/>
  <c r="BE259" i="1"/>
  <c r="BK322" i="1"/>
  <c r="BJ287" i="1"/>
  <c r="BE315" i="1"/>
  <c r="BG259" i="1"/>
  <c r="AI280" i="1"/>
  <c r="BM322" i="1"/>
  <c r="BK287" i="1"/>
  <c r="K287" i="1"/>
  <c r="G93" i="31" s="1"/>
  <c r="CM280" i="1"/>
  <c r="BK119" i="1"/>
  <c r="BK138" i="1" s="1"/>
  <c r="BN315" i="1"/>
  <c r="BO308" i="1"/>
  <c r="BN294" i="1"/>
  <c r="BA58" i="1"/>
  <c r="BC294" i="1"/>
  <c r="BG294" i="1"/>
  <c r="BE273" i="1"/>
  <c r="BD280" i="1"/>
  <c r="BC280" i="1"/>
  <c r="AV119" i="1"/>
  <c r="AV138" i="1" s="1"/>
  <c r="CN329" i="1"/>
  <c r="BO280" i="1"/>
  <c r="BK301" i="1"/>
  <c r="AY308" i="1"/>
  <c r="CL336" i="1"/>
  <c r="BG287" i="1"/>
  <c r="BK294" i="1"/>
  <c r="BE294" i="1"/>
  <c r="BB280" i="1"/>
  <c r="J119" i="1"/>
  <c r="BD287" i="1"/>
  <c r="CP308" i="1"/>
  <c r="N336" i="1"/>
  <c r="AN273" i="1"/>
  <c r="CN287" i="1"/>
  <c r="CR336" i="1"/>
  <c r="J322" i="1"/>
  <c r="L259" i="1"/>
  <c r="CQ322" i="1"/>
  <c r="CL301" i="1"/>
  <c r="BL336" i="1"/>
  <c r="BO329" i="1"/>
  <c r="BA402" i="1"/>
  <c r="AT119" i="1"/>
  <c r="BJ280" i="1"/>
  <c r="BM301" i="1"/>
  <c r="BN301" i="1"/>
  <c r="AU308" i="1"/>
  <c r="CP336" i="1"/>
  <c r="N322" i="1"/>
  <c r="M259" i="1"/>
  <c r="CO308" i="1"/>
  <c r="L336" i="1"/>
  <c r="CP322" i="1"/>
  <c r="CP301" i="1"/>
  <c r="BL294" i="1"/>
  <c r="BK336" i="1"/>
  <c r="BJ273" i="1"/>
  <c r="BN329" i="1"/>
  <c r="CP287" i="1"/>
  <c r="CO329" i="1"/>
  <c r="BM280" i="1"/>
  <c r="AV308" i="1"/>
  <c r="CM336" i="1"/>
  <c r="AT322" i="1"/>
  <c r="AU259" i="1"/>
  <c r="CQ308" i="1"/>
  <c r="AY336" i="1"/>
  <c r="CM294" i="1"/>
  <c r="AN294" i="1"/>
  <c r="BJ336" i="1"/>
  <c r="BL273" i="1"/>
  <c r="BM329" i="1"/>
  <c r="CQ287" i="1"/>
  <c r="AW119" i="1"/>
  <c r="AW138" i="1" s="1"/>
  <c r="AI119" i="1"/>
  <c r="CL329" i="1"/>
  <c r="I114" i="1"/>
  <c r="AL308" i="1"/>
  <c r="CQ336" i="1"/>
  <c r="CO336" i="1"/>
  <c r="AI322" i="1"/>
  <c r="L322" i="1"/>
  <c r="AV259" i="1"/>
  <c r="I393" i="1"/>
  <c r="I404" i="1" s="1"/>
  <c r="D44" i="4" s="1"/>
  <c r="CL308" i="1"/>
  <c r="AL336" i="1"/>
  <c r="CN294" i="1"/>
  <c r="CL322" i="1"/>
  <c r="CM301" i="1"/>
  <c r="BJ294" i="1"/>
  <c r="BO294" i="1"/>
  <c r="BM336" i="1"/>
  <c r="BN336" i="1"/>
  <c r="BK273" i="1"/>
  <c r="BM273" i="1"/>
  <c r="BJ329" i="1"/>
  <c r="BK329" i="1"/>
  <c r="AT350" i="1"/>
  <c r="CL287" i="1"/>
  <c r="L119" i="1"/>
  <c r="K119" i="1"/>
  <c r="I350" i="1"/>
  <c r="AX308" i="1"/>
  <c r="M308" i="1"/>
  <c r="I96" i="31" s="1"/>
  <c r="M322" i="1"/>
  <c r="AY322" i="1"/>
  <c r="AL259" i="1"/>
  <c r="AX259" i="1"/>
  <c r="CN308" i="1"/>
  <c r="M336" i="1"/>
  <c r="AU336" i="1"/>
  <c r="CO294" i="1"/>
  <c r="CN301" i="1"/>
  <c r="BN273" i="1"/>
  <c r="BL329" i="1"/>
  <c r="AI393" i="1"/>
  <c r="CL266" i="1"/>
  <c r="AV280" i="1"/>
  <c r="CP315" i="1"/>
  <c r="CR315" i="1"/>
  <c r="AX124" i="1"/>
  <c r="K124" i="1"/>
  <c r="G244" i="31" s="1"/>
  <c r="N124" i="1"/>
  <c r="CO273" i="1"/>
  <c r="CR273" i="1"/>
  <c r="AT315" i="1"/>
  <c r="AI315" i="1"/>
  <c r="M315" i="1"/>
  <c r="J315" i="1"/>
  <c r="CN259" i="1"/>
  <c r="AT126" i="1"/>
  <c r="I126" i="1"/>
  <c r="E246" i="31" s="1"/>
  <c r="K126" i="1"/>
  <c r="G246" i="31" s="1"/>
  <c r="AX126" i="1"/>
  <c r="AW287" i="1"/>
  <c r="CQ280" i="1"/>
  <c r="CL280" i="1"/>
  <c r="J301" i="1"/>
  <c r="CN266" i="1"/>
  <c r="AL124" i="1"/>
  <c r="I124" i="1"/>
  <c r="E244" i="31" s="1"/>
  <c r="AI124" i="1"/>
  <c r="AL315" i="1"/>
  <c r="I315" i="1"/>
  <c r="M126" i="1"/>
  <c r="I246" i="31" s="1"/>
  <c r="AY126" i="1"/>
  <c r="AX287" i="1"/>
  <c r="J273" i="1"/>
  <c r="CR280" i="1"/>
  <c r="CR287" i="1"/>
  <c r="AL119" i="1"/>
  <c r="AY119" i="1"/>
  <c r="AY138" i="1" s="1"/>
  <c r="N119" i="1"/>
  <c r="R128" i="1"/>
  <c r="R130" i="1" s="1"/>
  <c r="CR329" i="1"/>
  <c r="CP329" i="1"/>
  <c r="AT308" i="1"/>
  <c r="AW308" i="1"/>
  <c r="N308" i="1"/>
  <c r="L308" i="1"/>
  <c r="H96" i="31" s="1"/>
  <c r="AL322" i="1"/>
  <c r="I322" i="1"/>
  <c r="K322" i="1"/>
  <c r="AX322" i="1"/>
  <c r="AW259" i="1"/>
  <c r="I259" i="1"/>
  <c r="J259" i="1"/>
  <c r="D42" i="4"/>
  <c r="I336" i="1"/>
  <c r="AT336" i="1"/>
  <c r="AI336" i="1"/>
  <c r="K336" i="1"/>
  <c r="CR294" i="1"/>
  <c r="CR322" i="1"/>
  <c r="CO322" i="1"/>
  <c r="CO301" i="1"/>
  <c r="CO287" i="1"/>
  <c r="AX119" i="1"/>
  <c r="I119" i="1"/>
  <c r="CM329" i="1"/>
  <c r="D19" i="4"/>
  <c r="J308" i="1"/>
  <c r="F96" i="31" s="1"/>
  <c r="K308" i="1"/>
  <c r="G96" i="31" s="1"/>
  <c r="AV322" i="1"/>
  <c r="AU322" i="1"/>
  <c r="AT259" i="1"/>
  <c r="K259" i="1"/>
  <c r="N259" i="1"/>
  <c r="AW336" i="1"/>
  <c r="J336" i="1"/>
  <c r="CP294" i="1"/>
  <c r="CM322" i="1"/>
  <c r="CQ301" i="1"/>
  <c r="AU280" i="1"/>
  <c r="M280" i="1"/>
  <c r="CM259" i="1"/>
  <c r="CQ259" i="1"/>
  <c r="AT287" i="1"/>
  <c r="AV287" i="1"/>
  <c r="N287" i="1"/>
  <c r="J287" i="1"/>
  <c r="F93" i="31" s="1"/>
  <c r="L273" i="1"/>
  <c r="AU273" i="1"/>
  <c r="I273" i="1"/>
  <c r="AT301" i="1"/>
  <c r="L301" i="1"/>
  <c r="AI301" i="1"/>
  <c r="AX301" i="1"/>
  <c r="CP259" i="1"/>
  <c r="CO259" i="1"/>
  <c r="AY287" i="1"/>
  <c r="AL287" i="1"/>
  <c r="M287" i="1"/>
  <c r="I93" i="31" s="1"/>
  <c r="M273" i="1"/>
  <c r="AX273" i="1"/>
  <c r="K273" i="1"/>
  <c r="AV273" i="1"/>
  <c r="AL301" i="1"/>
  <c r="M301" i="1"/>
  <c r="AV301" i="1"/>
  <c r="AT280" i="1"/>
  <c r="AK347" i="1"/>
  <c r="AK350" i="1" s="1"/>
  <c r="AL280" i="1"/>
  <c r="K280" i="1"/>
  <c r="I287" i="1"/>
  <c r="E93" i="31" s="1"/>
  <c r="AU287" i="1"/>
  <c r="AL273" i="1"/>
  <c r="AT273" i="1"/>
  <c r="AW273" i="1"/>
  <c r="AY301" i="1"/>
  <c r="I301" i="1"/>
  <c r="K301" i="1"/>
  <c r="N280" i="1"/>
  <c r="AW280" i="1"/>
  <c r="J280" i="1"/>
  <c r="L280" i="1"/>
  <c r="AX280" i="1"/>
  <c r="I280" i="1"/>
  <c r="D11" i="4"/>
  <c r="AI114" i="1"/>
  <c r="E11" i="4"/>
  <c r="AI404" i="1"/>
  <c r="Z135" i="1" a="1"/>
  <c r="Z135" i="1" s="1"/>
  <c r="F11" i="4"/>
  <c r="G11" i="4"/>
  <c r="AF304" i="1" l="1"/>
  <c r="AF297" i="1"/>
  <c r="AF339" i="1"/>
  <c r="AF262" i="1"/>
  <c r="Z325" i="1"/>
  <c r="AF276" i="1"/>
  <c r="AF318" i="1"/>
  <c r="AF325" i="1"/>
  <c r="AF311" i="1"/>
  <c r="D27" i="38"/>
  <c r="D40" i="38" s="1"/>
  <c r="D47" i="38" s="1"/>
  <c r="C47" i="38" s="1"/>
  <c r="C27" i="38"/>
  <c r="C40" i="38" s="1"/>
  <c r="Z311" i="1"/>
  <c r="Z339" i="1"/>
  <c r="Z138" i="1" a="1"/>
  <c r="Z138" i="1" s="1"/>
  <c r="Z425" i="1"/>
  <c r="Z427" i="1"/>
  <c r="D76" i="3"/>
  <c r="F76" i="3" s="1"/>
  <c r="Z156" i="1"/>
  <c r="Z137" i="1" a="1"/>
  <c r="Z137" i="1" s="1"/>
  <c r="BA114" i="1"/>
  <c r="Z332" i="1"/>
  <c r="Z297" i="1"/>
  <c r="Z269" i="1"/>
  <c r="Z318" i="1"/>
  <c r="Z276" i="1"/>
  <c r="Z304" i="1"/>
  <c r="Z290" i="1"/>
  <c r="Z283" i="1"/>
  <c r="AS114" i="1"/>
  <c r="AF290" i="1"/>
  <c r="T269" i="1"/>
  <c r="T325" i="1"/>
  <c r="T290" i="1"/>
  <c r="T311" i="1"/>
  <c r="T262" i="1"/>
  <c r="T276" i="1"/>
  <c r="T332" i="1"/>
  <c r="T318" i="1"/>
  <c r="T297" i="1"/>
  <c r="T304" i="1"/>
  <c r="T283" i="1"/>
  <c r="T339" i="1"/>
  <c r="T130" i="1"/>
  <c r="T134" i="1" s="1" a="1"/>
  <c r="T134" i="1" s="1"/>
  <c r="M128" i="1"/>
  <c r="M130" i="1" s="1"/>
  <c r="J146" i="31"/>
  <c r="J246" i="31"/>
  <c r="M136" i="1"/>
  <c r="M150" i="1" s="1"/>
  <c r="I245" i="31"/>
  <c r="I247" i="31" s="1"/>
  <c r="K136" i="1"/>
  <c r="K150" i="1" s="1"/>
  <c r="G245" i="31"/>
  <c r="G247" i="31" s="1"/>
  <c r="D38" i="4"/>
  <c r="E148" i="31"/>
  <c r="L136" i="1"/>
  <c r="L150" i="1" s="1"/>
  <c r="H245" i="31"/>
  <c r="H247" i="31" s="1"/>
  <c r="E247" i="31"/>
  <c r="J244" i="31"/>
  <c r="F20" i="4"/>
  <c r="G239" i="31"/>
  <c r="J138" i="1"/>
  <c r="J142" i="1" s="1"/>
  <c r="F239" i="31"/>
  <c r="C10" i="4"/>
  <c r="C19" i="4" s="1"/>
  <c r="H114" i="1"/>
  <c r="J93" i="31"/>
  <c r="L138" i="1"/>
  <c r="L143" i="1" s="1"/>
  <c r="L149" i="1" s="1"/>
  <c r="H239" i="31"/>
  <c r="J96" i="31"/>
  <c r="M138" i="1"/>
  <c r="M143" i="1" s="1"/>
  <c r="M149" i="1" s="1"/>
  <c r="I239" i="31"/>
  <c r="D20" i="4"/>
  <c r="E239" i="31"/>
  <c r="J136" i="1"/>
  <c r="J150" i="1" s="1"/>
  <c r="F245" i="31"/>
  <c r="H125" i="1"/>
  <c r="H136" i="1" s="1"/>
  <c r="H150" i="1" s="1"/>
  <c r="BA125" i="1"/>
  <c r="AS125" i="1"/>
  <c r="AK125" i="1"/>
  <c r="BI125" i="1"/>
  <c r="AF134" i="1" a="1"/>
  <c r="AF134" i="1" s="1"/>
  <c r="AF428" i="1"/>
  <c r="AA134" i="1" a="1"/>
  <c r="AA134" i="1" s="1"/>
  <c r="AA428" i="1"/>
  <c r="Y138" i="1" a="1"/>
  <c r="Y138" i="1" s="1"/>
  <c r="Y428" i="1"/>
  <c r="AE134" i="1" a="1"/>
  <c r="AE134" i="1" s="1"/>
  <c r="AE428" i="1"/>
  <c r="E69" i="3"/>
  <c r="S428" i="1"/>
  <c r="AD137" i="1" a="1"/>
  <c r="AD137" i="1" s="1"/>
  <c r="AD428" i="1"/>
  <c r="AG425" i="1"/>
  <c r="AG428" i="1"/>
  <c r="U135" i="1" a="1"/>
  <c r="U135" i="1" s="1"/>
  <c r="U428" i="1"/>
  <c r="AB135" i="1" a="1"/>
  <c r="AB135" i="1" s="1"/>
  <c r="AB428" i="1"/>
  <c r="W156" i="1"/>
  <c r="W428" i="1"/>
  <c r="X156" i="1"/>
  <c r="X428" i="1"/>
  <c r="V427" i="1"/>
  <c r="V428" i="1"/>
  <c r="AC427" i="1"/>
  <c r="AC428" i="1"/>
  <c r="AE276" i="1"/>
  <c r="AE318" i="1"/>
  <c r="AC156" i="1"/>
  <c r="AE311" i="1"/>
  <c r="AE283" i="1"/>
  <c r="AE297" i="1"/>
  <c r="AE262" i="1"/>
  <c r="AE304" i="1"/>
  <c r="AE269" i="1"/>
  <c r="AE325" i="1"/>
  <c r="AE339" i="1"/>
  <c r="AE332" i="1"/>
  <c r="AC134" i="1" a="1"/>
  <c r="AC134" i="1" s="1"/>
  <c r="AC135" i="1" a="1"/>
  <c r="AC135" i="1" s="1"/>
  <c r="AC425" i="1"/>
  <c r="D79" i="3"/>
  <c r="H79" i="3" s="1"/>
  <c r="AC138" i="1" a="1"/>
  <c r="AC138" i="1" s="1"/>
  <c r="AC137" i="1" a="1"/>
  <c r="AC137" i="1" s="1"/>
  <c r="AC290" i="1"/>
  <c r="AC339" i="1"/>
  <c r="AC318" i="1"/>
  <c r="AC297" i="1"/>
  <c r="AC262" i="1"/>
  <c r="AC304" i="1"/>
  <c r="AC311" i="1"/>
  <c r="AC276" i="1"/>
  <c r="AC283" i="1"/>
  <c r="AC269" i="1"/>
  <c r="AC332" i="1"/>
  <c r="AG276" i="1"/>
  <c r="AG311" i="1"/>
  <c r="I11" i="4"/>
  <c r="AG297" i="1"/>
  <c r="AG332" i="1"/>
  <c r="AG290" i="1"/>
  <c r="AG325" i="1"/>
  <c r="AG137" i="1" a="1"/>
  <c r="AG137" i="1" s="1"/>
  <c r="AG427" i="1"/>
  <c r="AG156" i="1"/>
  <c r="AG138" i="1" a="1"/>
  <c r="AG138" i="1" s="1"/>
  <c r="AG134" i="1" a="1"/>
  <c r="AG134" i="1" s="1"/>
  <c r="D83" i="3"/>
  <c r="F83" i="3" s="1"/>
  <c r="AG135" i="1" a="1"/>
  <c r="AG135" i="1" s="1"/>
  <c r="Y425" i="1"/>
  <c r="AG304" i="1"/>
  <c r="AG283" i="1"/>
  <c r="AG318" i="1"/>
  <c r="AG269" i="1"/>
  <c r="AG262" i="1"/>
  <c r="Y269" i="1"/>
  <c r="Y325" i="1"/>
  <c r="Y332" i="1"/>
  <c r="Y290" i="1"/>
  <c r="Y135" i="1" a="1"/>
  <c r="Y135" i="1" s="1"/>
  <c r="Y427" i="1"/>
  <c r="V339" i="1"/>
  <c r="Y156" i="1"/>
  <c r="Y137" i="1" a="1"/>
  <c r="Y137" i="1" s="1"/>
  <c r="Y134" i="1" a="1"/>
  <c r="Y134" i="1" s="1"/>
  <c r="D75" i="3"/>
  <c r="J75" i="3" s="1"/>
  <c r="AK280" i="1"/>
  <c r="Y339" i="1"/>
  <c r="Y311" i="1"/>
  <c r="Y283" i="1"/>
  <c r="Y304" i="1"/>
  <c r="Y262" i="1"/>
  <c r="Y318" i="1"/>
  <c r="V304" i="1"/>
  <c r="Y297" i="1"/>
  <c r="BI350" i="1"/>
  <c r="AD135" i="1" a="1"/>
  <c r="AD135" i="1" s="1"/>
  <c r="U262" i="1"/>
  <c r="BA404" i="1"/>
  <c r="H11" i="4"/>
  <c r="U339" i="1"/>
  <c r="BD137" i="1"/>
  <c r="BD139" i="1" s="1"/>
  <c r="F399" i="4" s="1"/>
  <c r="AS404" i="1"/>
  <c r="H393" i="1"/>
  <c r="H404" i="1" s="1"/>
  <c r="C44" i="4" s="1"/>
  <c r="BC128" i="1"/>
  <c r="BC130" i="1" s="1"/>
  <c r="AO138" i="1"/>
  <c r="AO139" i="1" s="1"/>
  <c r="AK404" i="1"/>
  <c r="AD427" i="1"/>
  <c r="V290" i="1"/>
  <c r="U325" i="1"/>
  <c r="H266" i="1"/>
  <c r="BO137" i="1"/>
  <c r="V262" i="1"/>
  <c r="V332" i="1"/>
  <c r="V276" i="1"/>
  <c r="AF340" i="1"/>
  <c r="AF342" i="1" s="1"/>
  <c r="AF406" i="1" s="1"/>
  <c r="BM128" i="1"/>
  <c r="BM130" i="1" s="1"/>
  <c r="V269" i="1"/>
  <c r="V297" i="1"/>
  <c r="V325" i="1"/>
  <c r="J137" i="1"/>
  <c r="BE137" i="1"/>
  <c r="BK137" i="1"/>
  <c r="BK139" i="1" s="1"/>
  <c r="E400" i="4" s="1"/>
  <c r="V318" i="1"/>
  <c r="V283" i="1"/>
  <c r="AA304" i="1"/>
  <c r="AA290" i="1"/>
  <c r="AA318" i="1"/>
  <c r="AE425" i="1"/>
  <c r="H301" i="1"/>
  <c r="AK273" i="1"/>
  <c r="AX137" i="1"/>
  <c r="AH138" i="1" a="1"/>
  <c r="AH138" i="1" s="1"/>
  <c r="AK308" i="1"/>
  <c r="U138" i="1" a="1"/>
  <c r="U138" i="1" s="1"/>
  <c r="BN128" i="1"/>
  <c r="BN130" i="1" s="1"/>
  <c r="BA322" i="1"/>
  <c r="AV137" i="1"/>
  <c r="AV139" i="1" s="1"/>
  <c r="F398" i="4" s="1"/>
  <c r="U332" i="1"/>
  <c r="U318" i="1"/>
  <c r="AA325" i="1"/>
  <c r="AA283" i="1"/>
  <c r="AA262" i="1"/>
  <c r="AA311" i="1"/>
  <c r="AA339" i="1"/>
  <c r="AA297" i="1"/>
  <c r="AA269" i="1"/>
  <c r="AD425" i="1"/>
  <c r="AA156" i="1"/>
  <c r="U304" i="1"/>
  <c r="AK329" i="1"/>
  <c r="AA276" i="1"/>
  <c r="AE135" i="1" a="1"/>
  <c r="AE135" i="1" s="1"/>
  <c r="AA135" i="1" a="1"/>
  <c r="AA135" i="1" s="1"/>
  <c r="AB138" i="1" a="1"/>
  <c r="AB138" i="1" s="1"/>
  <c r="AA425" i="1"/>
  <c r="AD134" i="1" a="1"/>
  <c r="AD134" i="1" s="1"/>
  <c r="AE138" i="1" a="1"/>
  <c r="AE138" i="1" s="1"/>
  <c r="V138" i="1" a="1"/>
  <c r="V138" i="1" s="1"/>
  <c r="AA137" i="1" a="1"/>
  <c r="AA137" i="1" s="1"/>
  <c r="S135" i="1" a="1"/>
  <c r="S135" i="1" s="1"/>
  <c r="S137" i="1" a="1"/>
  <c r="S137" i="1" s="1"/>
  <c r="AF137" i="1" a="1"/>
  <c r="AF137" i="1" s="1"/>
  <c r="S134" i="1" a="1"/>
  <c r="S134" i="1" s="1"/>
  <c r="S427" i="1"/>
  <c r="H315" i="1"/>
  <c r="H126" i="1"/>
  <c r="BI273" i="1"/>
  <c r="BA329" i="1"/>
  <c r="AU128" i="1"/>
  <c r="AU130" i="1" s="1"/>
  <c r="S138" i="1" a="1"/>
  <c r="S138" i="1" s="1"/>
  <c r="AF156" i="1"/>
  <c r="S425" i="1"/>
  <c r="AD156" i="1"/>
  <c r="H287" i="1"/>
  <c r="N137" i="1"/>
  <c r="AD138" i="1" a="1"/>
  <c r="AD138" i="1" s="1"/>
  <c r="M137" i="1"/>
  <c r="AK126" i="1"/>
  <c r="BA273" i="1"/>
  <c r="U137" i="1" a="1"/>
  <c r="U137" i="1" s="1"/>
  <c r="U276" i="1"/>
  <c r="U283" i="1"/>
  <c r="U290" i="1"/>
  <c r="H329" i="1"/>
  <c r="AF427" i="1"/>
  <c r="S156" i="1"/>
  <c r="AE156" i="1"/>
  <c r="D80" i="3"/>
  <c r="E80" i="3" s="1"/>
  <c r="AI128" i="1"/>
  <c r="BI301" i="1"/>
  <c r="BA126" i="1"/>
  <c r="BM137" i="1"/>
  <c r="AM128" i="1"/>
  <c r="AM130" i="1" s="1"/>
  <c r="BI126" i="1"/>
  <c r="V137" i="1" a="1"/>
  <c r="V137" i="1" s="1"/>
  <c r="AE137" i="1" a="1"/>
  <c r="AE137" i="1" s="1"/>
  <c r="U297" i="1"/>
  <c r="U269" i="1"/>
  <c r="BI404" i="1"/>
  <c r="S340" i="1"/>
  <c r="S342" i="1" s="1"/>
  <c r="S406" i="1" s="1"/>
  <c r="D90" i="3" s="1"/>
  <c r="AF138" i="1" a="1"/>
  <c r="AF138" i="1" s="1"/>
  <c r="AA138" i="1" a="1"/>
  <c r="AA138" i="1" s="1"/>
  <c r="AA427" i="1"/>
  <c r="D77" i="3"/>
  <c r="F77" i="3" s="1"/>
  <c r="D82" i="3"/>
  <c r="G82" i="3" s="1"/>
  <c r="D81" i="3"/>
  <c r="H81" i="3" s="1"/>
  <c r="AF135" i="1" a="1"/>
  <c r="AF135" i="1" s="1"/>
  <c r="AF425" i="1"/>
  <c r="AE427" i="1"/>
  <c r="AS280" i="1"/>
  <c r="CP340" i="1"/>
  <c r="CP342" i="1" s="1"/>
  <c r="AS301" i="1"/>
  <c r="CQ340" i="1"/>
  <c r="CQ342" i="1" s="1"/>
  <c r="AS336" i="1"/>
  <c r="H259" i="1"/>
  <c r="H322" i="1"/>
  <c r="CN340" i="1"/>
  <c r="CN342" i="1" s="1"/>
  <c r="AT128" i="1"/>
  <c r="AT130" i="1" s="1"/>
  <c r="BA280" i="1"/>
  <c r="CR340" i="1"/>
  <c r="CR342" i="1" s="1"/>
  <c r="BA315" i="1"/>
  <c r="BA301" i="1"/>
  <c r="BI308" i="1"/>
  <c r="AK294" i="1"/>
  <c r="BL137" i="1"/>
  <c r="BA308" i="1"/>
  <c r="AB339" i="1"/>
  <c r="AB304" i="1"/>
  <c r="AB276" i="1"/>
  <c r="AB290" i="1"/>
  <c r="AB262" i="1"/>
  <c r="AB311" i="1"/>
  <c r="AB325" i="1"/>
  <c r="AB283" i="1"/>
  <c r="AB332" i="1"/>
  <c r="AB318" i="1"/>
  <c r="AB297" i="1"/>
  <c r="AB269" i="1"/>
  <c r="BI119" i="1"/>
  <c r="AS273" i="1"/>
  <c r="AK287" i="1"/>
  <c r="H273" i="1"/>
  <c r="CM340" i="1"/>
  <c r="CM342" i="1" s="1"/>
  <c r="H336" i="1"/>
  <c r="AK322" i="1"/>
  <c r="AS308" i="1"/>
  <c r="N128" i="1"/>
  <c r="N130" i="1" s="1"/>
  <c r="H124" i="1"/>
  <c r="I137" i="1"/>
  <c r="AS315" i="1"/>
  <c r="K137" i="1"/>
  <c r="BI294" i="1"/>
  <c r="AK336" i="1"/>
  <c r="BI336" i="1"/>
  <c r="BO128" i="1"/>
  <c r="BO130" i="1" s="1"/>
  <c r="BA259" i="1"/>
  <c r="AK266" i="1"/>
  <c r="BA287" i="1"/>
  <c r="BA124" i="1"/>
  <c r="BB137" i="1"/>
  <c r="AM137" i="1"/>
  <c r="BN137" i="1"/>
  <c r="AS294" i="1"/>
  <c r="AN137" i="1"/>
  <c r="AN139" i="1" s="1"/>
  <c r="X138" i="1" a="1"/>
  <c r="X138" i="1" s="1"/>
  <c r="BC137" i="1"/>
  <c r="BC139" i="1" s="1"/>
  <c r="E399" i="4" s="1"/>
  <c r="AD290" i="1"/>
  <c r="AD276" i="1"/>
  <c r="AD339" i="1"/>
  <c r="AD318" i="1"/>
  <c r="AD297" i="1"/>
  <c r="AD269" i="1"/>
  <c r="AD332" i="1"/>
  <c r="AD325" i="1"/>
  <c r="AD283" i="1"/>
  <c r="AD262" i="1"/>
  <c r="AD311" i="1"/>
  <c r="AD304" i="1"/>
  <c r="L137" i="1"/>
  <c r="AS259" i="1"/>
  <c r="AK124" i="1"/>
  <c r="AL137" i="1"/>
  <c r="AK259" i="1"/>
  <c r="BI322" i="1"/>
  <c r="AS124" i="1"/>
  <c r="AT137" i="1"/>
  <c r="AS266" i="1"/>
  <c r="BG137" i="1"/>
  <c r="BG139" i="1" s="1"/>
  <c r="I399" i="4" s="1"/>
  <c r="BI259" i="1"/>
  <c r="W325" i="1"/>
  <c r="W283" i="1"/>
  <c r="W297" i="1"/>
  <c r="W262" i="1"/>
  <c r="W311" i="1"/>
  <c r="W332" i="1"/>
  <c r="W339" i="1"/>
  <c r="W304" i="1"/>
  <c r="W276" i="1"/>
  <c r="W269" i="1"/>
  <c r="W318" i="1"/>
  <c r="W290" i="1"/>
  <c r="AH283" i="1"/>
  <c r="AO283" i="1" s="1"/>
  <c r="AH325" i="1"/>
  <c r="AO325" i="1" s="1"/>
  <c r="AH297" i="1"/>
  <c r="AO297" i="1" s="1"/>
  <c r="AH269" i="1"/>
  <c r="AO269" i="1" s="1"/>
  <c r="AH290" i="1"/>
  <c r="AO290" i="1" s="1"/>
  <c r="AH339" i="1"/>
  <c r="AO339" i="1" s="1"/>
  <c r="AH276" i="1"/>
  <c r="AO276" i="1" s="1"/>
  <c r="AH318" i="1"/>
  <c r="AO318" i="1" s="1"/>
  <c r="AH262" i="1"/>
  <c r="AH311" i="1"/>
  <c r="AO311" i="1" s="1"/>
  <c r="AH332" i="1"/>
  <c r="AO332" i="1" s="1"/>
  <c r="AH304" i="1"/>
  <c r="AO304" i="1" s="1"/>
  <c r="BJ128" i="1"/>
  <c r="BJ130" i="1" s="1"/>
  <c r="H280" i="1"/>
  <c r="AK301" i="1"/>
  <c r="CO340" i="1"/>
  <c r="CO342" i="1" s="1"/>
  <c r="AS287" i="1"/>
  <c r="AX128" i="1"/>
  <c r="AX130" i="1" s="1"/>
  <c r="AL128" i="1"/>
  <c r="AL130" i="1" s="1"/>
  <c r="AK315" i="1"/>
  <c r="AS126" i="1"/>
  <c r="BI329" i="1"/>
  <c r="AS322" i="1"/>
  <c r="BI280" i="1"/>
  <c r="BI287" i="1"/>
  <c r="BL128" i="1"/>
  <c r="BL130" i="1" s="1"/>
  <c r="BI315" i="1"/>
  <c r="AW137" i="1"/>
  <c r="AW139" i="1" s="1"/>
  <c r="G398" i="4" s="1"/>
  <c r="BA336" i="1"/>
  <c r="H294" i="1"/>
  <c r="H308" i="1"/>
  <c r="BI266" i="1"/>
  <c r="AU137" i="1"/>
  <c r="AU139" i="1" s="1"/>
  <c r="E398" i="4" s="1"/>
  <c r="AY137" i="1"/>
  <c r="AY139" i="1" s="1"/>
  <c r="I398" i="4" s="1"/>
  <c r="BA294" i="1"/>
  <c r="BI124" i="1"/>
  <c r="BJ137" i="1"/>
  <c r="BF137" i="1"/>
  <c r="BF139" i="1" s="1"/>
  <c r="H399" i="4" s="1"/>
  <c r="BE128" i="1"/>
  <c r="BE130" i="1" s="1"/>
  <c r="BA266" i="1"/>
  <c r="X304" i="1"/>
  <c r="X339" i="1"/>
  <c r="X262" i="1"/>
  <c r="X311" i="1"/>
  <c r="X283" i="1"/>
  <c r="X276" i="1"/>
  <c r="X290" i="1"/>
  <c r="X297" i="1"/>
  <c r="X325" i="1"/>
  <c r="X269" i="1"/>
  <c r="X318" i="1"/>
  <c r="X332" i="1"/>
  <c r="X137" i="1" a="1"/>
  <c r="X137" i="1" s="1"/>
  <c r="BS342" i="1"/>
  <c r="CL340" i="1"/>
  <c r="W137" i="1" a="1"/>
  <c r="W137" i="1" s="1"/>
  <c r="AB137" i="1" a="1"/>
  <c r="AB137" i="1" s="1"/>
  <c r="AH137" i="1" a="1"/>
  <c r="AH137" i="1" s="1"/>
  <c r="AS329" i="1"/>
  <c r="D74" i="3"/>
  <c r="I74" i="3" s="1"/>
  <c r="BB128" i="1"/>
  <c r="BB130" i="1" s="1"/>
  <c r="AM138" i="1"/>
  <c r="AM142" i="1" s="1"/>
  <c r="BL138" i="1"/>
  <c r="BL143" i="1" s="1"/>
  <c r="BL149" i="1" s="1"/>
  <c r="U425" i="1"/>
  <c r="H20" i="4"/>
  <c r="BE138" i="1"/>
  <c r="BE143" i="1" s="1"/>
  <c r="BE149" i="1" s="1"/>
  <c r="BF128" i="1"/>
  <c r="BF130" i="1" s="1"/>
  <c r="X134" i="1" a="1"/>
  <c r="X134" i="1" s="1"/>
  <c r="X427" i="1"/>
  <c r="X425" i="1"/>
  <c r="X135" i="1" a="1"/>
  <c r="X135" i="1" s="1"/>
  <c r="AN128" i="1"/>
  <c r="AN130" i="1" s="1"/>
  <c r="AV128" i="1"/>
  <c r="AV130" i="1" s="1"/>
  <c r="AT138" i="1"/>
  <c r="AT143" i="1" s="1"/>
  <c r="V134" i="1" a="1"/>
  <c r="V134" i="1" s="1"/>
  <c r="W135" i="1" a="1"/>
  <c r="W135" i="1" s="1"/>
  <c r="E71" i="3"/>
  <c r="I73" i="3"/>
  <c r="BG128" i="1"/>
  <c r="BG130" i="1" s="1"/>
  <c r="U134" i="1" a="1"/>
  <c r="U134" i="1" s="1"/>
  <c r="BO138" i="1"/>
  <c r="BO142" i="1" s="1"/>
  <c r="W427" i="1"/>
  <c r="V425" i="1"/>
  <c r="K128" i="1"/>
  <c r="K130" i="1" s="1"/>
  <c r="U427" i="1"/>
  <c r="W425" i="1"/>
  <c r="W134" i="1" a="1"/>
  <c r="W134" i="1" s="1"/>
  <c r="G20" i="4"/>
  <c r="BD128" i="1"/>
  <c r="BD130" i="1" s="1"/>
  <c r="BA119" i="1"/>
  <c r="U156" i="1"/>
  <c r="V135" i="1" a="1"/>
  <c r="V135" i="1" s="1"/>
  <c r="BK128" i="1"/>
  <c r="BK130" i="1" s="1"/>
  <c r="J128" i="1"/>
  <c r="J130" i="1" s="1"/>
  <c r="H350" i="1"/>
  <c r="H351" i="1" s="1"/>
  <c r="AW128" i="1"/>
  <c r="AW130" i="1" s="1"/>
  <c r="BN138" i="1"/>
  <c r="BN142" i="1" s="1"/>
  <c r="E20" i="4"/>
  <c r="AY128" i="1"/>
  <c r="AY130" i="1" s="1"/>
  <c r="BM138" i="1"/>
  <c r="BM144" i="1" s="1"/>
  <c r="I138" i="1"/>
  <c r="I142" i="1" s="1"/>
  <c r="D72" i="3"/>
  <c r="I72" i="3" s="1"/>
  <c r="I128" i="1"/>
  <c r="I130" i="1" s="1"/>
  <c r="D22" i="4" s="1"/>
  <c r="AS350" i="1"/>
  <c r="V156" i="1"/>
  <c r="L128" i="1"/>
  <c r="L130" i="1" s="1"/>
  <c r="G22" i="4" s="1"/>
  <c r="K138" i="1"/>
  <c r="K144" i="1" s="1"/>
  <c r="H119" i="1"/>
  <c r="C20" i="4" s="1"/>
  <c r="AS119" i="1"/>
  <c r="I20" i="4"/>
  <c r="AX138" i="1"/>
  <c r="AX144" i="1" s="1"/>
  <c r="N138" i="1"/>
  <c r="N143" i="1" s="1"/>
  <c r="N149" i="1" s="1"/>
  <c r="I270" i="4" s="1"/>
  <c r="AK119" i="1"/>
  <c r="AK138" i="1" s="1"/>
  <c r="AL138" i="1"/>
  <c r="AL143" i="1" s="1"/>
  <c r="BF143" i="1"/>
  <c r="BF149" i="1" s="1"/>
  <c r="BF144" i="1"/>
  <c r="BF142" i="1"/>
  <c r="D84" i="3"/>
  <c r="AH156" i="1"/>
  <c r="AO156" i="1" s="1"/>
  <c r="AH427" i="1"/>
  <c r="AH425" i="1"/>
  <c r="AH134" i="1" a="1"/>
  <c r="AH134" i="1" s="1"/>
  <c r="BD144" i="1"/>
  <c r="BD143" i="1"/>
  <c r="BD149" i="1" s="1"/>
  <c r="BD142" i="1"/>
  <c r="AY143" i="1"/>
  <c r="AY149" i="1" s="1"/>
  <c r="AY144" i="1"/>
  <c r="AY142" i="1"/>
  <c r="BK144" i="1"/>
  <c r="BK142" i="1"/>
  <c r="BK143" i="1"/>
  <c r="BK149" i="1" s="1"/>
  <c r="BC143" i="1"/>
  <c r="BC149" i="1" s="1"/>
  <c r="BC144" i="1"/>
  <c r="BC142" i="1"/>
  <c r="BJ143" i="1"/>
  <c r="BJ144" i="1"/>
  <c r="BJ142" i="1"/>
  <c r="I76" i="3"/>
  <c r="J76" i="3"/>
  <c r="G76" i="3"/>
  <c r="AW144" i="1"/>
  <c r="AW143" i="1"/>
  <c r="AW149" i="1" s="1"/>
  <c r="AW142" i="1"/>
  <c r="AU144" i="1"/>
  <c r="AU143" i="1"/>
  <c r="AU149" i="1" s="1"/>
  <c r="AU142" i="1"/>
  <c r="BB143" i="1"/>
  <c r="BB144" i="1"/>
  <c r="BB142" i="1"/>
  <c r="AN143" i="1"/>
  <c r="AN149" i="1" s="1"/>
  <c r="AN144" i="1"/>
  <c r="AN142" i="1"/>
  <c r="AV144" i="1"/>
  <c r="AV142" i="1"/>
  <c r="AV143" i="1"/>
  <c r="AV149" i="1" s="1"/>
  <c r="D78" i="3"/>
  <c r="AB427" i="1"/>
  <c r="AB156" i="1"/>
  <c r="AB425" i="1"/>
  <c r="BG143" i="1"/>
  <c r="BG149" i="1" s="1"/>
  <c r="BG142" i="1"/>
  <c r="BG144" i="1"/>
  <c r="AB134" i="1" a="1"/>
  <c r="AB134" i="1" s="1"/>
  <c r="AH135" i="1" a="1"/>
  <c r="AH135" i="1" s="1"/>
  <c r="E76" i="3" l="1"/>
  <c r="Z340" i="1"/>
  <c r="Z342" i="1" s="1"/>
  <c r="Z406" i="1" s="1"/>
  <c r="H76" i="3"/>
  <c r="E249" i="31"/>
  <c r="C8" i="35" s="1"/>
  <c r="J239" i="31"/>
  <c r="T137" i="1" a="1"/>
  <c r="T137" i="1" s="1"/>
  <c r="T138" i="1" a="1"/>
  <c r="T138" i="1" s="1"/>
  <c r="T135" i="1" a="1"/>
  <c r="T135" i="1" s="1"/>
  <c r="T340" i="1"/>
  <c r="T342" i="1" s="1"/>
  <c r="T406" i="1" s="1"/>
  <c r="T427" i="1"/>
  <c r="T156" i="1"/>
  <c r="T428" i="1"/>
  <c r="T425" i="1"/>
  <c r="D103" i="3"/>
  <c r="J103" i="3" s="1"/>
  <c r="C11" i="4"/>
  <c r="L142" i="1"/>
  <c r="L148" i="1" s="1"/>
  <c r="L144" i="1"/>
  <c r="G270" i="4"/>
  <c r="L139" i="1"/>
  <c r="J144" i="1"/>
  <c r="J151" i="1" s="1"/>
  <c r="E271" i="4" s="1"/>
  <c r="H270" i="4"/>
  <c r="J143" i="1"/>
  <c r="J149" i="1" s="1"/>
  <c r="E270" i="4" s="1"/>
  <c r="J139" i="1"/>
  <c r="M142" i="1"/>
  <c r="M148" i="1" s="1"/>
  <c r="M144" i="1"/>
  <c r="M151" i="1" s="1"/>
  <c r="H271" i="4" s="1"/>
  <c r="M139" i="1"/>
  <c r="J245" i="31"/>
  <c r="H249" i="31"/>
  <c r="F8" i="35" s="1"/>
  <c r="I249" i="31"/>
  <c r="G8" i="35" s="1"/>
  <c r="G249" i="31"/>
  <c r="E8" i="35" s="1"/>
  <c r="F247" i="31"/>
  <c r="F249" i="31" s="1"/>
  <c r="D8" i="35" s="1"/>
  <c r="J148" i="31"/>
  <c r="F69" i="3"/>
  <c r="H69" i="3"/>
  <c r="G69" i="3"/>
  <c r="J69" i="3"/>
  <c r="I69" i="3"/>
  <c r="BE428" i="1"/>
  <c r="BG428" i="1"/>
  <c r="BB428" i="1"/>
  <c r="BC428" i="1"/>
  <c r="BF428" i="1"/>
  <c r="R134" i="1" a="1"/>
  <c r="R134" i="1" s="1"/>
  <c r="R428" i="1"/>
  <c r="BM428" i="1"/>
  <c r="AM428" i="1"/>
  <c r="BK428" i="1"/>
  <c r="BJ428" i="1"/>
  <c r="BN428" i="1"/>
  <c r="AN428" i="1"/>
  <c r="BO428" i="1"/>
  <c r="BL428" i="1"/>
  <c r="BD428" i="1"/>
  <c r="AE340" i="1"/>
  <c r="AE342" i="1" s="1"/>
  <c r="AE406" i="1" s="1"/>
  <c r="D102" i="3" s="1"/>
  <c r="F102" i="3" s="1"/>
  <c r="G79" i="3"/>
  <c r="I79" i="3"/>
  <c r="E79" i="3"/>
  <c r="J79" i="3"/>
  <c r="F79" i="3"/>
  <c r="E83" i="3"/>
  <c r="AC340" i="1"/>
  <c r="AC342" i="1" s="1"/>
  <c r="AC406" i="1" s="1"/>
  <c r="I83" i="3"/>
  <c r="H83" i="3"/>
  <c r="J83" i="3"/>
  <c r="G83" i="3"/>
  <c r="H75" i="3"/>
  <c r="I75" i="3"/>
  <c r="AG340" i="1"/>
  <c r="AG342" i="1" s="1"/>
  <c r="AG406" i="1" s="1"/>
  <c r="Y340" i="1"/>
  <c r="Y342" i="1" s="1"/>
  <c r="Y406" i="1" s="1"/>
  <c r="D96" i="3" s="1"/>
  <c r="J96" i="3" s="1"/>
  <c r="G75" i="3"/>
  <c r="AM156" i="1"/>
  <c r="E75" i="3"/>
  <c r="F75" i="3"/>
  <c r="BK151" i="1"/>
  <c r="AO142" i="1"/>
  <c r="AO148" i="1" s="1"/>
  <c r="BD151" i="1"/>
  <c r="AO144" i="1"/>
  <c r="AO151" i="1" s="1"/>
  <c r="AA340" i="1"/>
  <c r="AA342" i="1" s="1"/>
  <c r="AA406" i="1" s="1"/>
  <c r="AO143" i="1"/>
  <c r="AO149" i="1" s="1"/>
  <c r="E82" i="3"/>
  <c r="AX151" i="1"/>
  <c r="AV151" i="1"/>
  <c r="H82" i="3"/>
  <c r="V340" i="1"/>
  <c r="V342" i="1" s="1"/>
  <c r="V406" i="1" s="1"/>
  <c r="D93" i="3" s="1"/>
  <c r="E72" i="3"/>
  <c r="AK137" i="1"/>
  <c r="AK139" i="1" s="1"/>
  <c r="AK140" i="1" s="1"/>
  <c r="U340" i="1"/>
  <c r="U342" i="1" s="1"/>
  <c r="U406" i="1" s="1"/>
  <c r="D92" i="3" s="1"/>
  <c r="H92" i="3" s="1"/>
  <c r="K151" i="1"/>
  <c r="F271" i="4" s="1"/>
  <c r="H137" i="1"/>
  <c r="I80" i="3"/>
  <c r="I77" i="3"/>
  <c r="G80" i="3"/>
  <c r="H77" i="3"/>
  <c r="BM151" i="1"/>
  <c r="H80" i="3"/>
  <c r="BG425" i="1"/>
  <c r="F82" i="3"/>
  <c r="G81" i="3"/>
  <c r="N139" i="1"/>
  <c r="D70" i="3"/>
  <c r="G70" i="3" s="1"/>
  <c r="AS128" i="1"/>
  <c r="AS130" i="1" s="1"/>
  <c r="F80" i="3"/>
  <c r="G77" i="3"/>
  <c r="E90" i="3"/>
  <c r="F90" i="3"/>
  <c r="J90" i="3"/>
  <c r="G90" i="3"/>
  <c r="I90" i="3"/>
  <c r="H90" i="3"/>
  <c r="I139" i="1"/>
  <c r="AN156" i="1"/>
  <c r="AW151" i="1"/>
  <c r="J80" i="3"/>
  <c r="BC151" i="1"/>
  <c r="J77" i="3"/>
  <c r="AM139" i="1"/>
  <c r="I81" i="3"/>
  <c r="E81" i="3"/>
  <c r="F81" i="3"/>
  <c r="AU151" i="1"/>
  <c r="J82" i="3"/>
  <c r="J81" i="3"/>
  <c r="I82" i="3"/>
  <c r="E77" i="3"/>
  <c r="BI128" i="1"/>
  <c r="BI130" i="1" s="1"/>
  <c r="AN151" i="1"/>
  <c r="R311" i="1"/>
  <c r="R332" i="1"/>
  <c r="R318" i="1"/>
  <c r="CL342" i="1"/>
  <c r="R290" i="1"/>
  <c r="R262" i="1"/>
  <c r="R276" i="1"/>
  <c r="R297" i="1"/>
  <c r="R283" i="1"/>
  <c r="R269" i="1"/>
  <c r="R304" i="1"/>
  <c r="R339" i="1"/>
  <c r="R325" i="1"/>
  <c r="X340" i="1"/>
  <c r="X342" i="1" s="1"/>
  <c r="X406" i="1" s="1"/>
  <c r="D95" i="3" s="1"/>
  <c r="BC290" i="1"/>
  <c r="BG290" i="1"/>
  <c r="BB290" i="1"/>
  <c r="BE290" i="1"/>
  <c r="BD290" i="1"/>
  <c r="BF290" i="1"/>
  <c r="AM290" i="1"/>
  <c r="BG304" i="1"/>
  <c r="BC304" i="1"/>
  <c r="BE304" i="1"/>
  <c r="BF304" i="1"/>
  <c r="AM304" i="1"/>
  <c r="BD304" i="1"/>
  <c r="BB304" i="1"/>
  <c r="BG262" i="1"/>
  <c r="BF262" i="1"/>
  <c r="BC262" i="1"/>
  <c r="AM262" i="1"/>
  <c r="BD262" i="1"/>
  <c r="BB262" i="1"/>
  <c r="BE262" i="1"/>
  <c r="W340" i="1"/>
  <c r="W342" i="1" s="1"/>
  <c r="W406" i="1" s="1"/>
  <c r="BA137" i="1"/>
  <c r="BB139" i="1"/>
  <c r="D399" i="4" s="1"/>
  <c r="R138" i="1" a="1"/>
  <c r="R138" i="1" s="1"/>
  <c r="BM318" i="1"/>
  <c r="BL318" i="1"/>
  <c r="BK318" i="1"/>
  <c r="BN318" i="1"/>
  <c r="BO318" i="1"/>
  <c r="BJ318" i="1"/>
  <c r="AN318" i="1"/>
  <c r="AN311" i="1"/>
  <c r="BL311" i="1"/>
  <c r="BK311" i="1"/>
  <c r="BM311" i="1"/>
  <c r="BJ311" i="1"/>
  <c r="BN311" i="1"/>
  <c r="BO311" i="1"/>
  <c r="BO304" i="1"/>
  <c r="AN304" i="1"/>
  <c r="BL304" i="1"/>
  <c r="BK304" i="1"/>
  <c r="BJ304" i="1"/>
  <c r="BN304" i="1"/>
  <c r="BM304" i="1"/>
  <c r="BG151" i="1"/>
  <c r="BA138" i="1"/>
  <c r="AY151" i="1"/>
  <c r="I21" i="4"/>
  <c r="BJ139" i="1"/>
  <c r="D400" i="4" s="1"/>
  <c r="BI137" i="1"/>
  <c r="AO262" i="1"/>
  <c r="AO340" i="1" s="1"/>
  <c r="AO342" i="1" s="1"/>
  <c r="AO406" i="1" s="1"/>
  <c r="AH340" i="1"/>
  <c r="AH342" i="1" s="1"/>
  <c r="AH406" i="1" s="1"/>
  <c r="D105" i="3" s="1"/>
  <c r="BC318" i="1"/>
  <c r="BF318" i="1"/>
  <c r="BG318" i="1"/>
  <c r="BB318" i="1"/>
  <c r="BE318" i="1"/>
  <c r="AM318" i="1"/>
  <c r="BD318" i="1"/>
  <c r="AM339" i="1"/>
  <c r="BE339" i="1"/>
  <c r="BC339" i="1"/>
  <c r="BF339" i="1"/>
  <c r="BG339" i="1"/>
  <c r="BB339" i="1"/>
  <c r="BD339" i="1"/>
  <c r="BE297" i="1"/>
  <c r="AM297" i="1"/>
  <c r="BG297" i="1"/>
  <c r="BC297" i="1"/>
  <c r="BF297" i="1"/>
  <c r="BB297" i="1"/>
  <c r="BD297" i="1"/>
  <c r="AS137" i="1"/>
  <c r="AT139" i="1"/>
  <c r="D398" i="4" s="1"/>
  <c r="BN139" i="1"/>
  <c r="H400" i="4" s="1"/>
  <c r="BM332" i="1"/>
  <c r="BN332" i="1"/>
  <c r="BL332" i="1"/>
  <c r="BO332" i="1"/>
  <c r="AN332" i="1"/>
  <c r="BJ332" i="1"/>
  <c r="BK332" i="1"/>
  <c r="BK262" i="1"/>
  <c r="AN262" i="1"/>
  <c r="BL262" i="1"/>
  <c r="BM262" i="1"/>
  <c r="BO262" i="1"/>
  <c r="BJ262" i="1"/>
  <c r="BN262" i="1"/>
  <c r="AB340" i="1"/>
  <c r="AB342" i="1" s="1"/>
  <c r="AB406" i="1" s="1"/>
  <c r="D99" i="3" s="1"/>
  <c r="BN339" i="1"/>
  <c r="AN339" i="1"/>
  <c r="BM339" i="1"/>
  <c r="BL339" i="1"/>
  <c r="BO339" i="1"/>
  <c r="BJ339" i="1"/>
  <c r="BK339" i="1"/>
  <c r="N311" i="1"/>
  <c r="N283" i="1"/>
  <c r="N339" i="1"/>
  <c r="N269" i="1"/>
  <c r="N304" i="1"/>
  <c r="N325" i="1"/>
  <c r="N318" i="1"/>
  <c r="N276" i="1"/>
  <c r="N290" i="1"/>
  <c r="N262" i="1"/>
  <c r="N332" i="1"/>
  <c r="N297" i="1"/>
  <c r="J290" i="1"/>
  <c r="J276" i="1"/>
  <c r="J269" i="1"/>
  <c r="J318" i="1"/>
  <c r="J283" i="1"/>
  <c r="J262" i="1"/>
  <c r="J304" i="1"/>
  <c r="F95" i="31" s="1"/>
  <c r="F101" i="31" s="1"/>
  <c r="F103" i="31" s="1"/>
  <c r="J311" i="1"/>
  <c r="J297" i="1"/>
  <c r="J339" i="1"/>
  <c r="J325" i="1"/>
  <c r="J332" i="1"/>
  <c r="M304" i="1"/>
  <c r="I95" i="31" s="1"/>
  <c r="I101" i="31" s="1"/>
  <c r="I103" i="31" s="1"/>
  <c r="M318" i="1"/>
  <c r="M325" i="1"/>
  <c r="M297" i="1"/>
  <c r="M262" i="1"/>
  <c r="M276" i="1"/>
  <c r="M269" i="1"/>
  <c r="M283" i="1"/>
  <c r="M332" i="1"/>
  <c r="M339" i="1"/>
  <c r="M290" i="1"/>
  <c r="M311" i="1"/>
  <c r="K297" i="1"/>
  <c r="K325" i="1"/>
  <c r="K304" i="1"/>
  <c r="G95" i="31" s="1"/>
  <c r="G101" i="31" s="1"/>
  <c r="G103" i="31" s="1"/>
  <c r="K276" i="1"/>
  <c r="K311" i="1"/>
  <c r="K269" i="1"/>
  <c r="K332" i="1"/>
  <c r="K318" i="1"/>
  <c r="K262" i="1"/>
  <c r="K283" i="1"/>
  <c r="K339" i="1"/>
  <c r="K290" i="1"/>
  <c r="R137" i="1" a="1"/>
  <c r="R137" i="1" s="1"/>
  <c r="BD269" i="1"/>
  <c r="BB269" i="1"/>
  <c r="BG269" i="1"/>
  <c r="BF269" i="1"/>
  <c r="AM269" i="1"/>
  <c r="BE269" i="1"/>
  <c r="BC269" i="1"/>
  <c r="BE332" i="1"/>
  <c r="BF332" i="1"/>
  <c r="BB332" i="1"/>
  <c r="AM332" i="1"/>
  <c r="BC332" i="1"/>
  <c r="BD332" i="1"/>
  <c r="BG332" i="1"/>
  <c r="AM283" i="1"/>
  <c r="BE283" i="1"/>
  <c r="BB283" i="1"/>
  <c r="BD283" i="1"/>
  <c r="BF283" i="1"/>
  <c r="BG283" i="1"/>
  <c r="BC283" i="1"/>
  <c r="BO139" i="1"/>
  <c r="I400" i="4" s="1"/>
  <c r="AX139" i="1"/>
  <c r="H398" i="4" s="1"/>
  <c r="K139" i="1"/>
  <c r="BM269" i="1"/>
  <c r="BL269" i="1"/>
  <c r="AN269" i="1"/>
  <c r="BN269" i="1"/>
  <c r="BK269" i="1"/>
  <c r="BO269" i="1"/>
  <c r="BJ269" i="1"/>
  <c r="BL283" i="1"/>
  <c r="BM283" i="1"/>
  <c r="BN283" i="1"/>
  <c r="BK283" i="1"/>
  <c r="AN283" i="1"/>
  <c r="BJ283" i="1"/>
  <c r="BO283" i="1"/>
  <c r="AN290" i="1"/>
  <c r="BO290" i="1"/>
  <c r="BK290" i="1"/>
  <c r="BN290" i="1"/>
  <c r="BJ290" i="1"/>
  <c r="BM290" i="1"/>
  <c r="BL290" i="1"/>
  <c r="BE139" i="1"/>
  <c r="G399" i="4" s="1"/>
  <c r="BI138" i="1"/>
  <c r="BF151" i="1"/>
  <c r="BC276" i="1"/>
  <c r="BE276" i="1"/>
  <c r="AM276" i="1"/>
  <c r="BB276" i="1"/>
  <c r="BF276" i="1"/>
  <c r="BG276" i="1"/>
  <c r="BD276" i="1"/>
  <c r="AM311" i="1"/>
  <c r="BD311" i="1"/>
  <c r="BG311" i="1"/>
  <c r="BC311" i="1"/>
  <c r="BE311" i="1"/>
  <c r="BF311" i="1"/>
  <c r="BB311" i="1"/>
  <c r="BE325" i="1"/>
  <c r="BC325" i="1"/>
  <c r="AM325" i="1"/>
  <c r="BD325" i="1"/>
  <c r="BG325" i="1"/>
  <c r="BB325" i="1"/>
  <c r="BF325" i="1"/>
  <c r="AL139" i="1"/>
  <c r="AD340" i="1"/>
  <c r="AD342" i="1" s="1"/>
  <c r="AD406" i="1" s="1"/>
  <c r="I304" i="1"/>
  <c r="E95" i="31" s="1"/>
  <c r="E101" i="31" s="1"/>
  <c r="E103" i="31" s="1"/>
  <c r="I290" i="1"/>
  <c r="I311" i="1"/>
  <c r="I325" i="1"/>
  <c r="I297" i="1"/>
  <c r="I332" i="1"/>
  <c r="I283" i="1"/>
  <c r="I318" i="1"/>
  <c r="I262" i="1"/>
  <c r="I269" i="1"/>
  <c r="I339" i="1"/>
  <c r="I276" i="1"/>
  <c r="BN297" i="1"/>
  <c r="BJ297" i="1"/>
  <c r="BK297" i="1"/>
  <c r="BM297" i="1"/>
  <c r="BO297" i="1"/>
  <c r="BL297" i="1"/>
  <c r="AN297" i="1"/>
  <c r="BM325" i="1"/>
  <c r="BJ325" i="1"/>
  <c r="AN325" i="1"/>
  <c r="BL325" i="1"/>
  <c r="BN325" i="1"/>
  <c r="BO325" i="1"/>
  <c r="BK325" i="1"/>
  <c r="BN276" i="1"/>
  <c r="BL276" i="1"/>
  <c r="BK276" i="1"/>
  <c r="AN276" i="1"/>
  <c r="BM276" i="1"/>
  <c r="BJ276" i="1"/>
  <c r="BO276" i="1"/>
  <c r="BL139" i="1"/>
  <c r="F400" i="4" s="1"/>
  <c r="BM139" i="1"/>
  <c r="G400" i="4" s="1"/>
  <c r="L318" i="1"/>
  <c r="L276" i="1"/>
  <c r="L332" i="1"/>
  <c r="L339" i="1"/>
  <c r="L297" i="1"/>
  <c r="L262" i="1"/>
  <c r="L311" i="1"/>
  <c r="L283" i="1"/>
  <c r="L269" i="1"/>
  <c r="L304" i="1"/>
  <c r="H95" i="31" s="1"/>
  <c r="H101" i="31" s="1"/>
  <c r="H103" i="31" s="1"/>
  <c r="L325" i="1"/>
  <c r="L290" i="1"/>
  <c r="BE142" i="1"/>
  <c r="BE148" i="1" s="1"/>
  <c r="J74" i="3"/>
  <c r="H74" i="3"/>
  <c r="F74" i="3"/>
  <c r="BL144" i="1"/>
  <c r="BL151" i="1" s="1"/>
  <c r="G74" i="3"/>
  <c r="E74" i="3"/>
  <c r="BL142" i="1"/>
  <c r="BL148" i="1" s="1"/>
  <c r="BA128" i="1"/>
  <c r="BA130" i="1" s="1"/>
  <c r="AM144" i="1"/>
  <c r="AM151" i="1" s="1"/>
  <c r="AM143" i="1"/>
  <c r="AM149" i="1" s="1"/>
  <c r="BE144" i="1"/>
  <c r="BE151" i="1" s="1"/>
  <c r="H22" i="4"/>
  <c r="H21" i="4"/>
  <c r="AS138" i="1"/>
  <c r="H73" i="3"/>
  <c r="R425" i="1"/>
  <c r="BC425" i="1"/>
  <c r="AT142" i="1"/>
  <c r="AT148" i="1" s="1"/>
  <c r="BE425" i="1"/>
  <c r="AT144" i="1"/>
  <c r="AT151" i="1" s="1"/>
  <c r="F71" i="3"/>
  <c r="E73" i="3"/>
  <c r="D68" i="3"/>
  <c r="AI130" i="1"/>
  <c r="J73" i="3"/>
  <c r="G73" i="3"/>
  <c r="F73" i="3"/>
  <c r="R156" i="1"/>
  <c r="R135" i="1" a="1"/>
  <c r="R135" i="1" s="1"/>
  <c r="R427" i="1"/>
  <c r="F22" i="4"/>
  <c r="I71" i="3"/>
  <c r="H71" i="3"/>
  <c r="AM425" i="1"/>
  <c r="I144" i="1"/>
  <c r="F21" i="4"/>
  <c r="BN144" i="1"/>
  <c r="BN151" i="1" s="1"/>
  <c r="G71" i="3"/>
  <c r="J71" i="3"/>
  <c r="BB425" i="1"/>
  <c r="BF425" i="1"/>
  <c r="BD425" i="1"/>
  <c r="BO144" i="1"/>
  <c r="BO151" i="1" s="1"/>
  <c r="BO143" i="1"/>
  <c r="BO149" i="1" s="1"/>
  <c r="I143" i="1"/>
  <c r="G72" i="3"/>
  <c r="F72" i="3"/>
  <c r="BN143" i="1"/>
  <c r="BN149" i="1" s="1"/>
  <c r="H138" i="1"/>
  <c r="D21" i="4"/>
  <c r="D23" i="4" s="1"/>
  <c r="G21" i="4"/>
  <c r="G23" i="4" s="1"/>
  <c r="E21" i="4"/>
  <c r="AL144" i="1"/>
  <c r="J72" i="3"/>
  <c r="C38" i="4"/>
  <c r="H72" i="3"/>
  <c r="BM143" i="1"/>
  <c r="BM149" i="1" s="1"/>
  <c r="BM142" i="1"/>
  <c r="BM148" i="1" s="1"/>
  <c r="AX143" i="1"/>
  <c r="AX149" i="1" s="1"/>
  <c r="K143" i="1"/>
  <c r="K149" i="1" s="1"/>
  <c r="F270" i="4" s="1"/>
  <c r="AK128" i="1"/>
  <c r="AK130" i="1" s="1"/>
  <c r="K142" i="1"/>
  <c r="H128" i="1"/>
  <c r="C21" i="4" s="1"/>
  <c r="AL142" i="1"/>
  <c r="N142" i="1"/>
  <c r="AX142" i="1"/>
  <c r="N144" i="1"/>
  <c r="N151" i="1" s="1"/>
  <c r="I271" i="4" s="1"/>
  <c r="E22" i="4"/>
  <c r="I78" i="3"/>
  <c r="F78" i="3"/>
  <c r="J78" i="3"/>
  <c r="G78" i="3"/>
  <c r="H78" i="3"/>
  <c r="E78" i="3"/>
  <c r="BJ148" i="1"/>
  <c r="BJ145" i="1"/>
  <c r="AY145" i="1"/>
  <c r="AY148" i="1"/>
  <c r="BJ425" i="1"/>
  <c r="BL425" i="1"/>
  <c r="BK425" i="1"/>
  <c r="AN425" i="1"/>
  <c r="BM425" i="1"/>
  <c r="BN425" i="1"/>
  <c r="BO425" i="1"/>
  <c r="AT149" i="1"/>
  <c r="AU145" i="1"/>
  <c r="AU148" i="1"/>
  <c r="BO148" i="1"/>
  <c r="BJ151" i="1"/>
  <c r="BK148" i="1"/>
  <c r="BK145" i="1"/>
  <c r="I148" i="1"/>
  <c r="BB145" i="1"/>
  <c r="BB148" i="1"/>
  <c r="BG148" i="1"/>
  <c r="BG145" i="1"/>
  <c r="AM148" i="1"/>
  <c r="BN148" i="1"/>
  <c r="BB151" i="1"/>
  <c r="J148" i="1"/>
  <c r="AW148" i="1"/>
  <c r="AW145" i="1"/>
  <c r="BC145" i="1"/>
  <c r="BC148" i="1"/>
  <c r="I22" i="4"/>
  <c r="N131" i="1"/>
  <c r="I49" i="4" s="1"/>
  <c r="F84" i="3"/>
  <c r="I84" i="3"/>
  <c r="G84" i="3"/>
  <c r="H84" i="3"/>
  <c r="E84" i="3"/>
  <c r="J84" i="3"/>
  <c r="AV145" i="1"/>
  <c r="AV148" i="1"/>
  <c r="AN148" i="1"/>
  <c r="AN145" i="1"/>
  <c r="BA143" i="1"/>
  <c r="BA149" i="1" s="1"/>
  <c r="BB149" i="1"/>
  <c r="AL149" i="1"/>
  <c r="BJ149" i="1"/>
  <c r="BD145" i="1"/>
  <c r="BD148" i="1"/>
  <c r="AO425" i="1"/>
  <c r="BF145" i="1"/>
  <c r="BF148" i="1"/>
  <c r="H142" i="1" l="1"/>
  <c r="J249" i="31"/>
  <c r="J247" i="31"/>
  <c r="H103" i="3"/>
  <c r="D98" i="3"/>
  <c r="G98" i="3" s="1"/>
  <c r="D91" i="3"/>
  <c r="I91" i="3" s="1"/>
  <c r="F103" i="3"/>
  <c r="D94" i="3"/>
  <c r="I94" i="3" s="1"/>
  <c r="E103" i="3"/>
  <c r="I103" i="3"/>
  <c r="D100" i="3"/>
  <c r="J100" i="3" s="1"/>
  <c r="G103" i="3"/>
  <c r="D104" i="3"/>
  <c r="E104" i="3" s="1"/>
  <c r="D97" i="3"/>
  <c r="L145" i="1"/>
  <c r="L151" i="1"/>
  <c r="G271" i="4" s="1"/>
  <c r="G68" i="3"/>
  <c r="G86" i="3" s="1"/>
  <c r="E68" i="3"/>
  <c r="J145" i="1"/>
  <c r="M145" i="1"/>
  <c r="H8" i="35"/>
  <c r="J95" i="31"/>
  <c r="J101" i="31" s="1"/>
  <c r="J103" i="31" s="1"/>
  <c r="H130" i="1"/>
  <c r="C22" i="4" s="1"/>
  <c r="E102" i="3"/>
  <c r="AW428" i="1"/>
  <c r="BA428" i="1"/>
  <c r="AI134" i="1"/>
  <c r="AU428" i="1"/>
  <c r="BI428" i="1"/>
  <c r="L428" i="1"/>
  <c r="H15" i="31" s="1"/>
  <c r="AV428" i="1"/>
  <c r="AL428" i="1"/>
  <c r="AK428" i="1" s="1"/>
  <c r="K428" i="1"/>
  <c r="G15" i="31" s="1"/>
  <c r="N428" i="1"/>
  <c r="M428" i="1"/>
  <c r="I15" i="31" s="1"/>
  <c r="AT428" i="1"/>
  <c r="AY428" i="1"/>
  <c r="AI428" i="1"/>
  <c r="J428" i="1"/>
  <c r="F15" i="31" s="1"/>
  <c r="AX428" i="1"/>
  <c r="I428" i="1"/>
  <c r="E15" i="31" s="1"/>
  <c r="H102" i="3"/>
  <c r="I102" i="3"/>
  <c r="J102" i="3"/>
  <c r="G102" i="3"/>
  <c r="BK152" i="1"/>
  <c r="H139" i="1"/>
  <c r="H140" i="1" s="1"/>
  <c r="E96" i="3"/>
  <c r="I96" i="3"/>
  <c r="F96" i="3"/>
  <c r="G96" i="3"/>
  <c r="H96" i="3"/>
  <c r="BD152" i="1"/>
  <c r="AK142" i="1"/>
  <c r="AK148" i="1" s="1"/>
  <c r="AI135" i="1"/>
  <c r="AV152" i="1"/>
  <c r="G92" i="3"/>
  <c r="BC152" i="1"/>
  <c r="J425" i="1"/>
  <c r="F13" i="31" s="1"/>
  <c r="AO152" i="1"/>
  <c r="I92" i="3"/>
  <c r="E92" i="3"/>
  <c r="AO145" i="1"/>
  <c r="J92" i="3"/>
  <c r="F92" i="3"/>
  <c r="H93" i="3"/>
  <c r="E93" i="3"/>
  <c r="G93" i="3"/>
  <c r="J93" i="3"/>
  <c r="I93" i="3"/>
  <c r="F93" i="3"/>
  <c r="BA311" i="1"/>
  <c r="K145" i="1"/>
  <c r="AK144" i="1"/>
  <c r="AK151" i="1" s="1"/>
  <c r="I145" i="1"/>
  <c r="J70" i="3"/>
  <c r="BA144" i="1"/>
  <c r="BA151" i="1" s="1"/>
  <c r="BG152" i="1"/>
  <c r="AU152" i="1"/>
  <c r="AY152" i="1"/>
  <c r="BF152" i="1"/>
  <c r="E70" i="3"/>
  <c r="I70" i="3"/>
  <c r="F70" i="3"/>
  <c r="BE152" i="1"/>
  <c r="H70" i="3"/>
  <c r="BI144" i="1"/>
  <c r="BI151" i="1" s="1"/>
  <c r="BA339" i="1"/>
  <c r="AW152" i="1"/>
  <c r="AS143" i="1"/>
  <c r="AS149" i="1" s="1"/>
  <c r="H290" i="1"/>
  <c r="AN152" i="1"/>
  <c r="BN145" i="1"/>
  <c r="AX145" i="1"/>
  <c r="BM152" i="1"/>
  <c r="L156" i="1"/>
  <c r="G76" i="4" s="1"/>
  <c r="BI276" i="1"/>
  <c r="H276" i="1"/>
  <c r="H325" i="1"/>
  <c r="BI332" i="1"/>
  <c r="BJ152" i="1"/>
  <c r="AM145" i="1"/>
  <c r="BB152" i="1"/>
  <c r="BO145" i="1"/>
  <c r="BI142" i="1"/>
  <c r="H143" i="1"/>
  <c r="H149" i="1" s="1"/>
  <c r="BI297" i="1"/>
  <c r="H269" i="1"/>
  <c r="H332" i="1"/>
  <c r="D101" i="3"/>
  <c r="BA325" i="1"/>
  <c r="BA276" i="1"/>
  <c r="BA332" i="1"/>
  <c r="BA269" i="1"/>
  <c r="BN340" i="1"/>
  <c r="BN342" i="1" s="1"/>
  <c r="BN406" i="1" s="1"/>
  <c r="H422" i="4"/>
  <c r="F422" i="4"/>
  <c r="BL340" i="1"/>
  <c r="BL342" i="1" s="1"/>
  <c r="BL406" i="1" s="1"/>
  <c r="BA139" i="1"/>
  <c r="BA262" i="1"/>
  <c r="BB340" i="1"/>
  <c r="BB342" i="1" s="1"/>
  <c r="BB406" i="1" s="1"/>
  <c r="D413" i="4"/>
  <c r="H413" i="4"/>
  <c r="BF340" i="1"/>
  <c r="BF342" i="1" s="1"/>
  <c r="BF406" i="1" s="1"/>
  <c r="F95" i="3"/>
  <c r="J95" i="3"/>
  <c r="G95" i="3"/>
  <c r="H95" i="3"/>
  <c r="I95" i="3"/>
  <c r="E95" i="3"/>
  <c r="AW269" i="1"/>
  <c r="AY269" i="1"/>
  <c r="AU269" i="1"/>
  <c r="AT269" i="1"/>
  <c r="AI269" i="1"/>
  <c r="AL269" i="1"/>
  <c r="AK269" i="1" s="1"/>
  <c r="AX269" i="1"/>
  <c r="AV269" i="1"/>
  <c r="R340" i="1"/>
  <c r="AT262" i="1"/>
  <c r="AL262" i="1"/>
  <c r="AI262" i="1"/>
  <c r="AU262" i="1"/>
  <c r="AV262" i="1"/>
  <c r="AY262" i="1"/>
  <c r="AW262" i="1"/>
  <c r="AX262" i="1"/>
  <c r="AX332" i="1"/>
  <c r="AV332" i="1"/>
  <c r="AW332" i="1"/>
  <c r="AY332" i="1"/>
  <c r="AI332" i="1"/>
  <c r="AT332" i="1"/>
  <c r="AL332" i="1"/>
  <c r="AK332" i="1" s="1"/>
  <c r="AU332" i="1"/>
  <c r="BI143" i="1"/>
  <c r="BI149" i="1" s="1"/>
  <c r="H148" i="1"/>
  <c r="F23" i="4"/>
  <c r="BL152" i="1"/>
  <c r="L340" i="1"/>
  <c r="G304" i="4"/>
  <c r="BI325" i="1"/>
  <c r="H262" i="1"/>
  <c r="D304" i="4"/>
  <c r="I340" i="1"/>
  <c r="H297" i="1"/>
  <c r="H304" i="1"/>
  <c r="BI290" i="1"/>
  <c r="BI269" i="1"/>
  <c r="BA283" i="1"/>
  <c r="BI339" i="1"/>
  <c r="BI262" i="1"/>
  <c r="BJ340" i="1"/>
  <c r="BJ342" i="1" s="1"/>
  <c r="BJ406" i="1" s="1"/>
  <c r="D422" i="4"/>
  <c r="AN340" i="1"/>
  <c r="AN342" i="1" s="1"/>
  <c r="AN406" i="1" s="1"/>
  <c r="C398" i="4"/>
  <c r="BA297" i="1"/>
  <c r="BA318" i="1"/>
  <c r="G105" i="3"/>
  <c r="F105" i="3"/>
  <c r="H105" i="3"/>
  <c r="I105" i="3"/>
  <c r="E105" i="3"/>
  <c r="J105" i="3"/>
  <c r="BI311" i="1"/>
  <c r="AI138" i="1"/>
  <c r="BD340" i="1"/>
  <c r="BD342" i="1" s="1"/>
  <c r="BD406" i="1" s="1"/>
  <c r="F413" i="4"/>
  <c r="BG340" i="1"/>
  <c r="BG342" i="1" s="1"/>
  <c r="BG406" i="1" s="1"/>
  <c r="I413" i="4"/>
  <c r="BA290" i="1"/>
  <c r="AY325" i="1"/>
  <c r="AW325" i="1"/>
  <c r="AI325" i="1"/>
  <c r="AL325" i="1"/>
  <c r="AK325" i="1" s="1"/>
  <c r="AU325" i="1"/>
  <c r="AT325" i="1"/>
  <c r="AX325" i="1"/>
  <c r="AV325" i="1"/>
  <c r="AV283" i="1"/>
  <c r="AW283" i="1"/>
  <c r="AU283" i="1"/>
  <c r="AI283" i="1"/>
  <c r="AL283" i="1"/>
  <c r="AK283" i="1" s="1"/>
  <c r="AT283" i="1"/>
  <c r="AY283" i="1"/>
  <c r="AX283" i="1"/>
  <c r="AW290" i="1"/>
  <c r="AT290" i="1"/>
  <c r="AY290" i="1"/>
  <c r="AU290" i="1"/>
  <c r="AX290" i="1"/>
  <c r="AI290" i="1"/>
  <c r="AV290" i="1"/>
  <c r="AL290" i="1"/>
  <c r="AK290" i="1" s="1"/>
  <c r="AU311" i="1"/>
  <c r="AX311" i="1"/>
  <c r="AV311" i="1"/>
  <c r="AT311" i="1"/>
  <c r="AW311" i="1"/>
  <c r="AL311" i="1"/>
  <c r="AK311" i="1" s="1"/>
  <c r="AI311" i="1"/>
  <c r="AY311" i="1"/>
  <c r="H318" i="1"/>
  <c r="AI137" i="1"/>
  <c r="F304" i="4"/>
  <c r="K340" i="1"/>
  <c r="M340" i="1"/>
  <c r="H304" i="4"/>
  <c r="J340" i="1"/>
  <c r="E304" i="4"/>
  <c r="I304" i="4"/>
  <c r="N340" i="1"/>
  <c r="I422" i="4"/>
  <c r="BO340" i="1"/>
  <c r="BO342" i="1" s="1"/>
  <c r="BO406" i="1" s="1"/>
  <c r="E422" i="4"/>
  <c r="BK340" i="1"/>
  <c r="BK342" i="1" s="1"/>
  <c r="BK406" i="1" s="1"/>
  <c r="AS139" i="1"/>
  <c r="BI139" i="1"/>
  <c r="BI304" i="1"/>
  <c r="AM340" i="1"/>
  <c r="AM342" i="1" s="1"/>
  <c r="AM406" i="1" s="1"/>
  <c r="BA304" i="1"/>
  <c r="AV339" i="1"/>
  <c r="AX339" i="1"/>
  <c r="AY339" i="1"/>
  <c r="AI339" i="1"/>
  <c r="AU339" i="1"/>
  <c r="AT339" i="1"/>
  <c r="AW339" i="1"/>
  <c r="AL339" i="1"/>
  <c r="AK339" i="1" s="1"/>
  <c r="AW297" i="1"/>
  <c r="AL297" i="1"/>
  <c r="AK297" i="1" s="1"/>
  <c r="AV297" i="1"/>
  <c r="AU297" i="1"/>
  <c r="AY297" i="1"/>
  <c r="AT297" i="1"/>
  <c r="AI297" i="1"/>
  <c r="AX297" i="1"/>
  <c r="AK143" i="1"/>
  <c r="AK149" i="1" s="1"/>
  <c r="BN152" i="1"/>
  <c r="AM152" i="1"/>
  <c r="BA142" i="1"/>
  <c r="BA148" i="1" s="1"/>
  <c r="BO152" i="1"/>
  <c r="N145" i="1"/>
  <c r="H144" i="1"/>
  <c r="H151" i="1" s="1"/>
  <c r="AT152" i="1"/>
  <c r="H339" i="1"/>
  <c r="H283" i="1"/>
  <c r="H311" i="1"/>
  <c r="BI283" i="1"/>
  <c r="E99" i="3"/>
  <c r="F99" i="3"/>
  <c r="G99" i="3"/>
  <c r="J99" i="3"/>
  <c r="I99" i="3"/>
  <c r="H99" i="3"/>
  <c r="G422" i="4"/>
  <c r="BM340" i="1"/>
  <c r="BM342" i="1" s="1"/>
  <c r="BM406" i="1" s="1"/>
  <c r="C400" i="4"/>
  <c r="BI318" i="1"/>
  <c r="C399" i="4"/>
  <c r="BE340" i="1"/>
  <c r="BE342" i="1" s="1"/>
  <c r="BE406" i="1" s="1"/>
  <c r="G413" i="4"/>
  <c r="E413" i="4"/>
  <c r="BC340" i="1"/>
  <c r="BC342" i="1" s="1"/>
  <c r="BC406" i="1" s="1"/>
  <c r="AW304" i="1"/>
  <c r="AT304" i="1"/>
  <c r="AL304" i="1"/>
  <c r="AK304" i="1" s="1"/>
  <c r="AX304" i="1"/>
  <c r="AV304" i="1"/>
  <c r="AI304" i="1"/>
  <c r="AU304" i="1"/>
  <c r="AY304" i="1"/>
  <c r="AW276" i="1"/>
  <c r="AU276" i="1"/>
  <c r="AY276" i="1"/>
  <c r="AT276" i="1"/>
  <c r="AX276" i="1"/>
  <c r="AI276" i="1"/>
  <c r="AV276" i="1"/>
  <c r="AL276" i="1"/>
  <c r="AK276" i="1" s="1"/>
  <c r="AW318" i="1"/>
  <c r="AL318" i="1"/>
  <c r="AK318" i="1" s="1"/>
  <c r="AU318" i="1"/>
  <c r="AX318" i="1"/>
  <c r="AT318" i="1"/>
  <c r="AI318" i="1"/>
  <c r="AV318" i="1"/>
  <c r="AY318" i="1"/>
  <c r="BE145" i="1"/>
  <c r="BL145" i="1"/>
  <c r="AS144" i="1"/>
  <c r="AS151" i="1" s="1"/>
  <c r="AT425" i="1"/>
  <c r="H23" i="4"/>
  <c r="L425" i="1"/>
  <c r="H13" i="31" s="1"/>
  <c r="K425" i="1"/>
  <c r="G13" i="31" s="1"/>
  <c r="AS142" i="1"/>
  <c r="AV425" i="1"/>
  <c r="N425" i="1"/>
  <c r="AT145" i="1"/>
  <c r="AU425" i="1"/>
  <c r="AL425" i="1"/>
  <c r="F68" i="3"/>
  <c r="I425" i="1"/>
  <c r="E13" i="31" s="1"/>
  <c r="AY425" i="1"/>
  <c r="M425" i="1"/>
  <c r="I13" i="31" s="1"/>
  <c r="I68" i="3"/>
  <c r="AW425" i="1"/>
  <c r="AI425" i="1"/>
  <c r="AX425" i="1"/>
  <c r="H68" i="3"/>
  <c r="AI427" i="1"/>
  <c r="AL156" i="1"/>
  <c r="AK156" i="1" s="1"/>
  <c r="N156" i="1"/>
  <c r="I76" i="4" s="1"/>
  <c r="K156" i="1"/>
  <c r="F76" i="4" s="1"/>
  <c r="J68" i="3"/>
  <c r="I156" i="1"/>
  <c r="D52" i="4" s="1"/>
  <c r="J156" i="1"/>
  <c r="E52" i="4" s="1"/>
  <c r="AI156" i="1"/>
  <c r="M156" i="1"/>
  <c r="H81" i="4" s="1"/>
  <c r="I151" i="1"/>
  <c r="D271" i="4" s="1"/>
  <c r="BA425" i="1"/>
  <c r="I149" i="1"/>
  <c r="D270" i="4" s="1"/>
  <c r="C270" i="4" s="1"/>
  <c r="AL151" i="1"/>
  <c r="N148" i="1"/>
  <c r="N152" i="1" s="1"/>
  <c r="BM145" i="1"/>
  <c r="K148" i="1"/>
  <c r="F269" i="4" s="1"/>
  <c r="AL145" i="1"/>
  <c r="AX148" i="1"/>
  <c r="AX152" i="1" s="1"/>
  <c r="AL148" i="1"/>
  <c r="E23" i="4"/>
  <c r="M152" i="1"/>
  <c r="H269" i="4"/>
  <c r="I83" i="4"/>
  <c r="I23" i="4"/>
  <c r="D269" i="4"/>
  <c r="J152" i="1"/>
  <c r="E269" i="4"/>
  <c r="BI425" i="1"/>
  <c r="G269" i="4"/>
  <c r="I426" i="4"/>
  <c r="I417" i="4"/>
  <c r="I308" i="4"/>
  <c r="I408" i="4"/>
  <c r="I299" i="4"/>
  <c r="H145" i="1" l="1"/>
  <c r="J94" i="3"/>
  <c r="C271" i="4"/>
  <c r="H94" i="3"/>
  <c r="F94" i="3"/>
  <c r="H104" i="3"/>
  <c r="L152" i="1"/>
  <c r="F100" i="3"/>
  <c r="G94" i="3"/>
  <c r="E94" i="3"/>
  <c r="H98" i="3"/>
  <c r="F98" i="3"/>
  <c r="F91" i="3"/>
  <c r="E98" i="3"/>
  <c r="F104" i="3"/>
  <c r="J104" i="3"/>
  <c r="G104" i="3"/>
  <c r="I98" i="3"/>
  <c r="J98" i="3"/>
  <c r="I104" i="3"/>
  <c r="G91" i="3"/>
  <c r="J91" i="3"/>
  <c r="H91" i="3"/>
  <c r="E91" i="3"/>
  <c r="E100" i="3"/>
  <c r="I100" i="3"/>
  <c r="H100" i="3"/>
  <c r="G100" i="3"/>
  <c r="E97" i="3"/>
  <c r="H97" i="3"/>
  <c r="G97" i="3"/>
  <c r="I97" i="3"/>
  <c r="J97" i="3"/>
  <c r="F97" i="3"/>
  <c r="J15" i="31"/>
  <c r="E293" i="4"/>
  <c r="H425" i="1"/>
  <c r="H428" i="1"/>
  <c r="AS428" i="1"/>
  <c r="G81" i="4"/>
  <c r="G52" i="4"/>
  <c r="I86" i="3"/>
  <c r="AK145" i="1"/>
  <c r="AK158" i="1" s="1"/>
  <c r="J86" i="3"/>
  <c r="I152" i="1"/>
  <c r="F86" i="3"/>
  <c r="AS145" i="1"/>
  <c r="BA152" i="1"/>
  <c r="H86" i="3"/>
  <c r="E86" i="3"/>
  <c r="AK152" i="1"/>
  <c r="AK153" i="1" s="1"/>
  <c r="AS290" i="1"/>
  <c r="AS283" i="1"/>
  <c r="AS325" i="1"/>
  <c r="H152" i="1"/>
  <c r="H153" i="1" s="1"/>
  <c r="AS332" i="1"/>
  <c r="BI145" i="1"/>
  <c r="BA145" i="1"/>
  <c r="BI148" i="1"/>
  <c r="BI152" i="1" s="1"/>
  <c r="E76" i="4"/>
  <c r="AL152" i="1"/>
  <c r="K342" i="1"/>
  <c r="F35" i="4"/>
  <c r="AS311" i="1"/>
  <c r="BI340" i="1"/>
  <c r="BI342" i="1" s="1"/>
  <c r="BI406" i="1" s="1"/>
  <c r="C304" i="4"/>
  <c r="L342" i="1"/>
  <c r="G35" i="4"/>
  <c r="H404" i="4"/>
  <c r="H434" i="4" s="1"/>
  <c r="AX340" i="1"/>
  <c r="AX342" i="1" s="1"/>
  <c r="AX406" i="1" s="1"/>
  <c r="AU340" i="1"/>
  <c r="AU342" i="1" s="1"/>
  <c r="AU406" i="1" s="1"/>
  <c r="E404" i="4"/>
  <c r="E434" i="4" s="1"/>
  <c r="CN344" i="1"/>
  <c r="CN346" i="1" s="1"/>
  <c r="CO344" i="1"/>
  <c r="CO346" i="1" s="1"/>
  <c r="CQ344" i="1"/>
  <c r="CQ346" i="1" s="1"/>
  <c r="CP344" i="1"/>
  <c r="CP346" i="1" s="1"/>
  <c r="CM344" i="1"/>
  <c r="R342" i="1"/>
  <c r="AI340" i="1"/>
  <c r="CR344" i="1"/>
  <c r="CR346" i="1" s="1"/>
  <c r="AS304" i="1"/>
  <c r="AS297" i="1"/>
  <c r="AS339" i="1"/>
  <c r="J342" i="1"/>
  <c r="E35" i="4"/>
  <c r="H340" i="1"/>
  <c r="AW340" i="1"/>
  <c r="AW342" i="1" s="1"/>
  <c r="AW406" i="1" s="1"/>
  <c r="G404" i="4"/>
  <c r="G434" i="4" s="1"/>
  <c r="AS269" i="1"/>
  <c r="C413" i="4"/>
  <c r="AS318" i="1"/>
  <c r="I35" i="4"/>
  <c r="N342" i="1"/>
  <c r="C422" i="4"/>
  <c r="I404" i="4"/>
  <c r="AY340" i="1"/>
  <c r="AY342" i="1" s="1"/>
  <c r="AY406" i="1" s="1"/>
  <c r="AK262" i="1"/>
  <c r="AL340" i="1"/>
  <c r="AL342" i="1" s="1"/>
  <c r="AL406" i="1" s="1"/>
  <c r="E101" i="3"/>
  <c r="F101" i="3"/>
  <c r="I101" i="3"/>
  <c r="J101" i="3"/>
  <c r="H101" i="3"/>
  <c r="G101" i="3"/>
  <c r="H158" i="1"/>
  <c r="AS276" i="1"/>
  <c r="M342" i="1"/>
  <c r="H35" i="4"/>
  <c r="D35" i="4"/>
  <c r="I342" i="1"/>
  <c r="I406" i="1" s="1"/>
  <c r="AV340" i="1"/>
  <c r="AV342" i="1" s="1"/>
  <c r="AV406" i="1" s="1"/>
  <c r="F404" i="4"/>
  <c r="F434" i="4" s="1"/>
  <c r="AS262" i="1"/>
  <c r="AT340" i="1"/>
  <c r="AT342" i="1" s="1"/>
  <c r="AT406" i="1" s="1"/>
  <c r="D404" i="4"/>
  <c r="D434" i="4" s="1"/>
  <c r="BA340" i="1"/>
  <c r="BA342" i="1" s="1"/>
  <c r="BA406" i="1" s="1"/>
  <c r="AS425" i="1"/>
  <c r="G293" i="4"/>
  <c r="F293" i="4"/>
  <c r="F52" i="4"/>
  <c r="AS148" i="1"/>
  <c r="AS152" i="1" s="1"/>
  <c r="F81" i="4"/>
  <c r="AK425" i="1"/>
  <c r="I293" i="4"/>
  <c r="H293" i="4"/>
  <c r="H76" i="4"/>
  <c r="I52" i="4"/>
  <c r="E81" i="4"/>
  <c r="D293" i="4"/>
  <c r="H156" i="1"/>
  <c r="C52" i="4" s="1"/>
  <c r="I81" i="4"/>
  <c r="D76" i="4"/>
  <c r="H52" i="4"/>
  <c r="K152" i="1"/>
  <c r="D81" i="4"/>
  <c r="I269" i="4"/>
  <c r="I272" i="4" s="1"/>
  <c r="G272" i="4"/>
  <c r="F272" i="4"/>
  <c r="D272" i="4"/>
  <c r="E272" i="4"/>
  <c r="I484" i="4"/>
  <c r="I361" i="4"/>
  <c r="I477" i="4"/>
  <c r="I354" i="4"/>
  <c r="I491" i="4"/>
  <c r="I99" i="4"/>
  <c r="I100" i="4" s="1"/>
  <c r="C23" i="4"/>
  <c r="H272" i="4"/>
  <c r="J13" i="31" l="1"/>
  <c r="D86" i="3"/>
  <c r="C269" i="4"/>
  <c r="C272" i="4" s="1"/>
  <c r="C293" i="4"/>
  <c r="H146" i="1"/>
  <c r="AK340" i="1"/>
  <c r="AK342" i="1" s="1"/>
  <c r="AK406" i="1" s="1"/>
  <c r="I36" i="4"/>
  <c r="I37" i="4" s="1"/>
  <c r="N406" i="1"/>
  <c r="G36" i="4"/>
  <c r="G37" i="4" s="1"/>
  <c r="L406" i="1"/>
  <c r="C81" i="4"/>
  <c r="AS340" i="1"/>
  <c r="AS342" i="1" s="1"/>
  <c r="AS406" i="1" s="1"/>
  <c r="D36" i="4"/>
  <c r="D37" i="4" s="1"/>
  <c r="H36" i="4"/>
  <c r="H37" i="4" s="1"/>
  <c r="M406" i="1"/>
  <c r="H342" i="1"/>
  <c r="C35" i="4"/>
  <c r="E36" i="4"/>
  <c r="E37" i="4" s="1"/>
  <c r="J406" i="1"/>
  <c r="AI342" i="1"/>
  <c r="R406" i="1"/>
  <c r="CL344" i="1"/>
  <c r="CL346" i="1" s="1"/>
  <c r="CM346" i="1"/>
  <c r="F36" i="4"/>
  <c r="F37" i="4" s="1"/>
  <c r="K406" i="1"/>
  <c r="C404" i="4"/>
  <c r="C434" i="4" s="1"/>
  <c r="C76" i="4"/>
  <c r="H157" i="1"/>
  <c r="I288" i="4"/>
  <c r="I347" i="4"/>
  <c r="I346" i="4" s="1"/>
  <c r="I476" i="4"/>
  <c r="I353" i="4"/>
  <c r="I360" i="4"/>
  <c r="I483" i="4"/>
  <c r="I490" i="4"/>
  <c r="I498" i="4"/>
  <c r="I497" i="4" s="1"/>
  <c r="C36" i="4" l="1"/>
  <c r="C37" i="4" s="1"/>
  <c r="H406" i="1"/>
  <c r="H407" i="1" s="1"/>
  <c r="AI406" i="1"/>
  <c r="D89" i="3"/>
  <c r="J89" i="3" l="1"/>
  <c r="J107" i="3" s="1"/>
  <c r="E89" i="3"/>
  <c r="E107" i="3" s="1"/>
  <c r="H89" i="3"/>
  <c r="H107" i="3" s="1"/>
  <c r="G89" i="3"/>
  <c r="G107" i="3" s="1"/>
  <c r="F89" i="3"/>
  <c r="F107" i="3" s="1"/>
  <c r="I89" i="3"/>
  <c r="I107" i="3" s="1"/>
  <c r="D107" i="3" l="1"/>
  <c r="F484" i="4" l="1"/>
  <c r="F361" i="4"/>
  <c r="F347" i="4"/>
  <c r="F99" i="4"/>
  <c r="F100" i="4" s="1"/>
  <c r="F477" i="4"/>
  <c r="F491" i="4"/>
  <c r="F346" i="4" l="1"/>
  <c r="F490" i="4"/>
  <c r="F476" i="4"/>
  <c r="F360" i="4"/>
  <c r="F498" i="4"/>
  <c r="F497" i="4" s="1"/>
  <c r="F483" i="4"/>
  <c r="F154" i="4" l="1"/>
  <c r="F231" i="4"/>
  <c r="F237" i="4"/>
  <c r="F232" i="4"/>
  <c r="E10" i="35" l="1"/>
  <c r="F230" i="4"/>
  <c r="F236" i="4" s="1"/>
  <c r="F408" i="4"/>
  <c r="F426" i="4"/>
  <c r="F308" i="4"/>
  <c r="F417" i="4"/>
  <c r="F299" i="4"/>
  <c r="F288" i="4"/>
  <c r="F438" i="4" l="1"/>
  <c r="F248" i="4"/>
  <c r="F254" i="4"/>
  <c r="F247" i="4"/>
  <c r="F253" i="4" s="1"/>
  <c r="F195" i="4" l="1"/>
  <c r="F210" i="4"/>
  <c r="F216" i="4" s="1"/>
  <c r="F200" i="4"/>
  <c r="F194" i="4"/>
  <c r="F250" i="4"/>
  <c r="F193" i="4"/>
  <c r="F199" i="4" s="1"/>
  <c r="F119" i="4"/>
  <c r="F249" i="4"/>
  <c r="F135" i="4" l="1"/>
  <c r="F212" i="4"/>
  <c r="F211" i="4" l="1"/>
  <c r="F217" i="4"/>
  <c r="F138" i="4"/>
  <c r="F213" i="4" l="1"/>
  <c r="F173" i="4" l="1"/>
  <c r="F122" i="4"/>
  <c r="F170" i="4"/>
  <c r="F136" i="4"/>
  <c r="F137" i="4"/>
  <c r="K131" i="1"/>
  <c r="F157" i="4"/>
  <c r="AO131" i="1"/>
  <c r="AS399" i="7"/>
  <c r="AS401" i="7" s="1"/>
  <c r="AS403" i="7" s="1"/>
  <c r="AT397" i="7"/>
  <c r="AT399" i="7" s="1"/>
  <c r="AV397" i="7" l="1"/>
  <c r="AT401" i="7"/>
  <c r="E427" i="1" l="1"/>
  <c r="AV399" i="7"/>
  <c r="AT403" i="7"/>
  <c r="AU403" i="7" s="1"/>
  <c r="AX399" i="7"/>
  <c r="E429" i="1" l="1"/>
  <c r="E431" i="1" s="1"/>
  <c r="E443" i="1"/>
  <c r="AO427" i="1"/>
  <c r="AO443" i="1" s="1"/>
  <c r="BB427" i="1"/>
  <c r="BO427" i="1"/>
  <c r="BC427" i="1"/>
  <c r="AN427" i="1"/>
  <c r="AN443" i="1" s="1"/>
  <c r="BG427" i="1"/>
  <c r="BM427" i="1"/>
  <c r="BL427" i="1"/>
  <c r="AM427" i="1"/>
  <c r="AM443" i="1" s="1"/>
  <c r="BF427" i="1"/>
  <c r="BD427" i="1"/>
  <c r="BJ427" i="1"/>
  <c r="BE427" i="1"/>
  <c r="BN427" i="1"/>
  <c r="BK427" i="1"/>
  <c r="AY427" i="1"/>
  <c r="L427" i="1"/>
  <c r="I427" i="1"/>
  <c r="AV427" i="1"/>
  <c r="AL427" i="1"/>
  <c r="M427" i="1"/>
  <c r="AT427" i="1"/>
  <c r="K427" i="1"/>
  <c r="AX427" i="1"/>
  <c r="AU427" i="1"/>
  <c r="N427" i="1"/>
  <c r="N443" i="1" s="1"/>
  <c r="AW427" i="1"/>
  <c r="J427" i="1"/>
  <c r="BG426" i="1"/>
  <c r="BF426" i="1"/>
  <c r="AW426" i="1"/>
  <c r="BO426" i="1"/>
  <c r="AU426" i="1"/>
  <c r="BM426" i="1"/>
  <c r="AL426" i="1"/>
  <c r="AX426" i="1"/>
  <c r="BN426" i="1"/>
  <c r="BJ426" i="1"/>
  <c r="AO426" i="1"/>
  <c r="AY426" i="1"/>
  <c r="BK426" i="1"/>
  <c r="AT426" i="1"/>
  <c r="AN426" i="1"/>
  <c r="BC426" i="1"/>
  <c r="BL426" i="1"/>
  <c r="AM426" i="1"/>
  <c r="BE426" i="1"/>
  <c r="BB426" i="1"/>
  <c r="AV426" i="1"/>
  <c r="BD426" i="1"/>
  <c r="I426" i="1"/>
  <c r="K426" i="1"/>
  <c r="L426" i="1"/>
  <c r="J426" i="1"/>
  <c r="M426" i="1"/>
  <c r="N426" i="1"/>
  <c r="AV401" i="7"/>
  <c r="K429" i="1" l="1"/>
  <c r="K431" i="1" s="1"/>
  <c r="F26" i="4" s="1"/>
  <c r="F25" i="4" s="1"/>
  <c r="F27" i="4" s="1"/>
  <c r="J429" i="1"/>
  <c r="J431" i="1" s="1"/>
  <c r="J408" i="1" s="1"/>
  <c r="AO429" i="1"/>
  <c r="AO431" i="1" s="1"/>
  <c r="AO408" i="1" s="1"/>
  <c r="AM429" i="1"/>
  <c r="AM431" i="1" s="1"/>
  <c r="AM408" i="1" s="1"/>
  <c r="AS427" i="1"/>
  <c r="AN440" i="1"/>
  <c r="AN442" i="1"/>
  <c r="AN441" i="1"/>
  <c r="I14" i="31"/>
  <c r="M443" i="1"/>
  <c r="F14" i="31"/>
  <c r="J443" i="1"/>
  <c r="BI427" i="1"/>
  <c r="L429" i="1"/>
  <c r="L431" i="1" s="1"/>
  <c r="G65" i="4" s="1"/>
  <c r="G77" i="4" s="1"/>
  <c r="AK427" i="1"/>
  <c r="AK443" i="1" s="1"/>
  <c r="AL443" i="1"/>
  <c r="I429" i="1"/>
  <c r="I431" i="1" s="1"/>
  <c r="I408" i="1" s="1"/>
  <c r="AN429" i="1"/>
  <c r="AN431" i="1" s="1"/>
  <c r="AN408" i="1" s="1"/>
  <c r="AL429" i="1"/>
  <c r="AL431" i="1" s="1"/>
  <c r="AL408" i="1" s="1"/>
  <c r="N441" i="1"/>
  <c r="I296" i="4" s="1"/>
  <c r="I297" i="4" s="1"/>
  <c r="N442" i="1"/>
  <c r="I305" i="4" s="1"/>
  <c r="I306" i="4" s="1"/>
  <c r="N440" i="1"/>
  <c r="I285" i="4" s="1"/>
  <c r="E14" i="31"/>
  <c r="I443" i="1"/>
  <c r="H427" i="1"/>
  <c r="H443" i="1" s="1"/>
  <c r="BA427" i="1"/>
  <c r="AO442" i="1"/>
  <c r="AO440" i="1"/>
  <c r="AO441" i="1"/>
  <c r="H14" i="31"/>
  <c r="L443" i="1"/>
  <c r="E442" i="1"/>
  <c r="E441" i="1"/>
  <c r="E440" i="1"/>
  <c r="AM440" i="1"/>
  <c r="AM442" i="1"/>
  <c r="AM441" i="1"/>
  <c r="M429" i="1"/>
  <c r="G14" i="31"/>
  <c r="K443" i="1"/>
  <c r="AH429" i="1"/>
  <c r="T429" i="1"/>
  <c r="AB429" i="1"/>
  <c r="AC429" i="1"/>
  <c r="F414" i="4"/>
  <c r="F415" i="4" s="1"/>
  <c r="BD429" i="1"/>
  <c r="BD431" i="1" s="1"/>
  <c r="BD408" i="1" s="1"/>
  <c r="H405" i="4"/>
  <c r="AX429" i="1"/>
  <c r="AX431" i="1" s="1"/>
  <c r="AX408" i="1" s="1"/>
  <c r="I284" i="4"/>
  <c r="N429" i="1"/>
  <c r="N431" i="1" s="1"/>
  <c r="D405" i="4"/>
  <c r="AT429" i="1"/>
  <c r="AT431" i="1" s="1"/>
  <c r="AT408" i="1" s="1"/>
  <c r="D414" i="4"/>
  <c r="BB429" i="1"/>
  <c r="BB431" i="1" s="1"/>
  <c r="BB408" i="1" s="1"/>
  <c r="G423" i="4"/>
  <c r="G424" i="4" s="1"/>
  <c r="BM429" i="1"/>
  <c r="BM431" i="1" s="1"/>
  <c r="BM408" i="1" s="1"/>
  <c r="E65" i="4"/>
  <c r="E77" i="4" s="1"/>
  <c r="BK429" i="1"/>
  <c r="BK431" i="1" s="1"/>
  <c r="BK408" i="1" s="1"/>
  <c r="E423" i="4"/>
  <c r="E424" i="4" s="1"/>
  <c r="E405" i="4"/>
  <c r="AU429" i="1"/>
  <c r="AU431" i="1" s="1"/>
  <c r="AU408" i="1" s="1"/>
  <c r="BE429" i="1"/>
  <c r="BE431" i="1" s="1"/>
  <c r="BE408" i="1" s="1"/>
  <c r="G414" i="4"/>
  <c r="G415" i="4" s="1"/>
  <c r="AY429" i="1"/>
  <c r="AY431" i="1" s="1"/>
  <c r="AY408" i="1" s="1"/>
  <c r="I405" i="4"/>
  <c r="I406" i="4" s="1"/>
  <c r="I423" i="4"/>
  <c r="I424" i="4" s="1"/>
  <c r="BO429" i="1"/>
  <c r="BO431" i="1" s="1"/>
  <c r="BO408" i="1" s="1"/>
  <c r="AW429" i="1"/>
  <c r="AW431" i="1" s="1"/>
  <c r="AW408" i="1" s="1"/>
  <c r="G405" i="4"/>
  <c r="F65" i="4"/>
  <c r="F77" i="4" s="1"/>
  <c r="K408" i="1"/>
  <c r="BL429" i="1"/>
  <c r="BL431" i="1" s="1"/>
  <c r="BL408" i="1" s="1"/>
  <c r="F423" i="4"/>
  <c r="F424" i="4" s="1"/>
  <c r="BJ429" i="1"/>
  <c r="BJ431" i="1" s="1"/>
  <c r="BJ408" i="1" s="1"/>
  <c r="D423" i="4"/>
  <c r="H414" i="4"/>
  <c r="H415" i="4" s="1"/>
  <c r="BF429" i="1"/>
  <c r="BF431" i="1" s="1"/>
  <c r="BF408" i="1" s="1"/>
  <c r="AV429" i="1"/>
  <c r="AV431" i="1" s="1"/>
  <c r="AV408" i="1" s="1"/>
  <c r="F405" i="4"/>
  <c r="BC429" i="1"/>
  <c r="BC431" i="1" s="1"/>
  <c r="BC408" i="1" s="1"/>
  <c r="E414" i="4"/>
  <c r="E415" i="4" s="1"/>
  <c r="H423" i="4"/>
  <c r="H424" i="4" s="1"/>
  <c r="BN429" i="1"/>
  <c r="BN431" i="1" s="1"/>
  <c r="BN408" i="1" s="1"/>
  <c r="I414" i="4"/>
  <c r="I415" i="4" s="1"/>
  <c r="BG429" i="1"/>
  <c r="BG431" i="1" s="1"/>
  <c r="BG408" i="1" s="1"/>
  <c r="AV403" i="7"/>
  <c r="AX403" i="7" s="1"/>
  <c r="AX401" i="7"/>
  <c r="H426" i="1"/>
  <c r="E12" i="31"/>
  <c r="D284" i="4"/>
  <c r="AA429" i="1"/>
  <c r="AK426" i="1"/>
  <c r="R429" i="1"/>
  <c r="W429" i="1"/>
  <c r="U429" i="1"/>
  <c r="Y429" i="1"/>
  <c r="H284" i="4"/>
  <c r="I12" i="31"/>
  <c r="BA426" i="1"/>
  <c r="V429" i="1"/>
  <c r="AG429" i="1"/>
  <c r="F12" i="31"/>
  <c r="E284" i="4"/>
  <c r="S429" i="1"/>
  <c r="X429" i="1"/>
  <c r="AF429" i="1"/>
  <c r="AE429" i="1"/>
  <c r="H12" i="31"/>
  <c r="G284" i="4"/>
  <c r="E433" i="1"/>
  <c r="AD429" i="1"/>
  <c r="AS426" i="1"/>
  <c r="BI426" i="1"/>
  <c r="G12" i="31"/>
  <c r="F284" i="4"/>
  <c r="Z429" i="1"/>
  <c r="Z431" i="1" s="1"/>
  <c r="E436" i="1" l="1"/>
  <c r="E131" i="1"/>
  <c r="H16" i="31"/>
  <c r="H17" i="31" s="1"/>
  <c r="E26" i="4"/>
  <c r="E25" i="4" s="1"/>
  <c r="E27" i="4" s="1"/>
  <c r="I286" i="4"/>
  <c r="I315" i="4" s="1"/>
  <c r="G26" i="4"/>
  <c r="G25" i="4" s="1"/>
  <c r="G27" i="4" s="1"/>
  <c r="E16" i="31"/>
  <c r="E17" i="31" s="1"/>
  <c r="J12" i="31"/>
  <c r="I16" i="31"/>
  <c r="I17" i="31" s="1"/>
  <c r="G16" i="31"/>
  <c r="G17" i="31" s="1"/>
  <c r="D26" i="4"/>
  <c r="D25" i="4" s="1"/>
  <c r="D27" i="4" s="1"/>
  <c r="D435" i="4"/>
  <c r="F406" i="4"/>
  <c r="F436" i="4" s="1"/>
  <c r="F435" i="4"/>
  <c r="G406" i="4"/>
  <c r="G436" i="4" s="1"/>
  <c r="G435" i="4"/>
  <c r="H406" i="4"/>
  <c r="H436" i="4" s="1"/>
  <c r="H435" i="4"/>
  <c r="E406" i="4"/>
  <c r="E436" i="4" s="1"/>
  <c r="E435" i="4"/>
  <c r="M431" i="1"/>
  <c r="M408" i="1" s="1"/>
  <c r="D65" i="4"/>
  <c r="D77" i="4" s="1"/>
  <c r="F16" i="31"/>
  <c r="F17" i="31" s="1"/>
  <c r="AK429" i="1"/>
  <c r="AK431" i="1" s="1"/>
  <c r="AK408" i="1" s="1"/>
  <c r="L408" i="1"/>
  <c r="M441" i="1"/>
  <c r="H296" i="4" s="1"/>
  <c r="H297" i="4" s="1"/>
  <c r="M440" i="1"/>
  <c r="H285" i="4" s="1"/>
  <c r="H286" i="4" s="1"/>
  <c r="M442" i="1"/>
  <c r="H305" i="4" s="1"/>
  <c r="H306" i="4" s="1"/>
  <c r="H444" i="1"/>
  <c r="H442" i="1"/>
  <c r="H441" i="1"/>
  <c r="H440" i="1"/>
  <c r="K442" i="1"/>
  <c r="F305" i="4" s="1"/>
  <c r="F306" i="4" s="1"/>
  <c r="K441" i="1"/>
  <c r="F296" i="4" s="1"/>
  <c r="F297" i="4" s="1"/>
  <c r="K440" i="1"/>
  <c r="F285" i="4" s="1"/>
  <c r="F286" i="4" s="1"/>
  <c r="I441" i="1"/>
  <c r="D296" i="4" s="1"/>
  <c r="I440" i="1"/>
  <c r="D285" i="4" s="1"/>
  <c r="D286" i="4" s="1"/>
  <c r="I442" i="1"/>
  <c r="D305" i="4" s="1"/>
  <c r="AL442" i="1"/>
  <c r="AL441" i="1"/>
  <c r="AL440" i="1"/>
  <c r="L441" i="1"/>
  <c r="G296" i="4" s="1"/>
  <c r="G297" i="4" s="1"/>
  <c r="L440" i="1"/>
  <c r="G285" i="4" s="1"/>
  <c r="G286" i="4" s="1"/>
  <c r="L442" i="1"/>
  <c r="G305" i="4" s="1"/>
  <c r="G306" i="4" s="1"/>
  <c r="J14" i="31"/>
  <c r="AK440" i="1"/>
  <c r="AK441" i="1"/>
  <c r="AK444" i="1"/>
  <c r="AK442" i="1"/>
  <c r="I359" i="4"/>
  <c r="I329" i="4"/>
  <c r="I352" i="4"/>
  <c r="I322" i="4"/>
  <c r="J440" i="1"/>
  <c r="E285" i="4" s="1"/>
  <c r="E286" i="4" s="1"/>
  <c r="J441" i="1"/>
  <c r="E296" i="4" s="1"/>
  <c r="E297" i="4" s="1"/>
  <c r="J442" i="1"/>
  <c r="E305" i="4" s="1"/>
  <c r="E306" i="4" s="1"/>
  <c r="T431" i="1"/>
  <c r="U431" i="1"/>
  <c r="AB431" i="1"/>
  <c r="AC431" i="1"/>
  <c r="AH431" i="1"/>
  <c r="W431" i="1"/>
  <c r="AG431" i="1"/>
  <c r="R431" i="1"/>
  <c r="V431" i="1"/>
  <c r="AE431" i="1"/>
  <c r="AA431" i="1"/>
  <c r="AD431" i="1"/>
  <c r="X431" i="1"/>
  <c r="AF431" i="1"/>
  <c r="S431" i="1"/>
  <c r="Y431" i="1"/>
  <c r="H429" i="1"/>
  <c r="H431" i="1" s="1"/>
  <c r="C26" i="4" s="1"/>
  <c r="C25" i="4" s="1"/>
  <c r="C27" i="4" s="1"/>
  <c r="AS429" i="1"/>
  <c r="AS431" i="1" s="1"/>
  <c r="AS408" i="1" s="1"/>
  <c r="BA429" i="1"/>
  <c r="BA431" i="1" s="1"/>
  <c r="BA408" i="1" s="1"/>
  <c r="BI429" i="1"/>
  <c r="BI431" i="1" s="1"/>
  <c r="BI408" i="1" s="1"/>
  <c r="D424" i="4"/>
  <c r="C423" i="4"/>
  <c r="C424" i="4" s="1"/>
  <c r="G482" i="4"/>
  <c r="G452" i="4"/>
  <c r="G512" i="4"/>
  <c r="C405" i="4"/>
  <c r="D406" i="4"/>
  <c r="F459" i="4"/>
  <c r="F489" i="4"/>
  <c r="F492" i="4" s="1"/>
  <c r="F493" i="4" s="1"/>
  <c r="F226" i="4" s="1"/>
  <c r="F238" i="4" s="1"/>
  <c r="F519" i="4"/>
  <c r="G519" i="4"/>
  <c r="G489" i="4"/>
  <c r="G459" i="4"/>
  <c r="I26" i="4"/>
  <c r="I25" i="4" s="1"/>
  <c r="I27" i="4" s="1"/>
  <c r="N408" i="1"/>
  <c r="I65" i="4"/>
  <c r="I77" i="4" s="1"/>
  <c r="I512" i="4"/>
  <c r="I482" i="4"/>
  <c r="I485" i="4" s="1"/>
  <c r="I486" i="4" s="1"/>
  <c r="I225" i="4" s="1"/>
  <c r="I452" i="4"/>
  <c r="E459" i="4"/>
  <c r="E489" i="4"/>
  <c r="E519" i="4"/>
  <c r="C414" i="4"/>
  <c r="C415" i="4" s="1"/>
  <c r="D415" i="4"/>
  <c r="I519" i="4"/>
  <c r="I489" i="4"/>
  <c r="I492" i="4" s="1"/>
  <c r="I493" i="4" s="1"/>
  <c r="I226" i="4" s="1"/>
  <c r="I459" i="4"/>
  <c r="H519" i="4"/>
  <c r="H489" i="4"/>
  <c r="H459" i="4"/>
  <c r="I475" i="4"/>
  <c r="I445" i="4"/>
  <c r="I505" i="4"/>
  <c r="E452" i="4"/>
  <c r="E512" i="4"/>
  <c r="E482" i="4"/>
  <c r="H482" i="4"/>
  <c r="H512" i="4"/>
  <c r="H452" i="4"/>
  <c r="F512" i="4"/>
  <c r="F452" i="4"/>
  <c r="F482" i="4"/>
  <c r="F485" i="4" s="1"/>
  <c r="F486" i="4" s="1"/>
  <c r="F225" i="4" s="1"/>
  <c r="AI429" i="1"/>
  <c r="C284" i="4"/>
  <c r="E408" i="1"/>
  <c r="I345" i="4" l="1"/>
  <c r="I348" i="4" s="1"/>
  <c r="I349" i="4" s="1"/>
  <c r="I145" i="4" s="1"/>
  <c r="J16" i="31"/>
  <c r="J17" i="31" s="1"/>
  <c r="G445" i="4"/>
  <c r="G466" i="4" s="1"/>
  <c r="H65" i="4"/>
  <c r="H77" i="4" s="1"/>
  <c r="F445" i="4"/>
  <c r="F475" i="4"/>
  <c r="F496" i="4" s="1"/>
  <c r="F505" i="4"/>
  <c r="F526" i="4" s="1"/>
  <c r="H475" i="4"/>
  <c r="H496" i="4" s="1"/>
  <c r="H505" i="4"/>
  <c r="H526" i="4" s="1"/>
  <c r="H445" i="4"/>
  <c r="H466" i="4" s="1"/>
  <c r="G505" i="4"/>
  <c r="G526" i="4" s="1"/>
  <c r="G475" i="4"/>
  <c r="G496" i="4" s="1"/>
  <c r="E445" i="4"/>
  <c r="E466" i="4" s="1"/>
  <c r="E505" i="4"/>
  <c r="E526" i="4" s="1"/>
  <c r="E475" i="4"/>
  <c r="E496" i="4" s="1"/>
  <c r="D436" i="4"/>
  <c r="T408" i="1"/>
  <c r="T412" i="1" s="1"/>
  <c r="H26" i="4"/>
  <c r="H25" i="4" s="1"/>
  <c r="H27" i="4" s="1"/>
  <c r="H345" i="4"/>
  <c r="H376" i="4" s="1"/>
  <c r="H315" i="4"/>
  <c r="F315" i="4"/>
  <c r="F345" i="4"/>
  <c r="F376" i="4" s="1"/>
  <c r="C285" i="4"/>
  <c r="C286" i="4" s="1"/>
  <c r="G315" i="4"/>
  <c r="G345" i="4"/>
  <c r="G376" i="4" s="1"/>
  <c r="E315" i="4"/>
  <c r="E345" i="4"/>
  <c r="E376" i="4" s="1"/>
  <c r="I383" i="4"/>
  <c r="I355" i="4"/>
  <c r="I356" i="4" s="1"/>
  <c r="I146" i="4" s="1"/>
  <c r="C305" i="4"/>
  <c r="C306" i="4" s="1"/>
  <c r="D306" i="4"/>
  <c r="G329" i="4"/>
  <c r="G359" i="4"/>
  <c r="G390" i="4" s="1"/>
  <c r="D297" i="4"/>
  <c r="C296" i="4"/>
  <c r="C297" i="4" s="1"/>
  <c r="I362" i="4"/>
  <c r="I363" i="4" s="1"/>
  <c r="I147" i="4" s="1"/>
  <c r="I390" i="4"/>
  <c r="H359" i="4"/>
  <c r="H390" i="4" s="1"/>
  <c r="H329" i="4"/>
  <c r="E359" i="4"/>
  <c r="E390" i="4" s="1"/>
  <c r="E329" i="4"/>
  <c r="G352" i="4"/>
  <c r="G383" i="4" s="1"/>
  <c r="G322" i="4"/>
  <c r="F322" i="4"/>
  <c r="F352" i="4"/>
  <c r="F383" i="4" s="1"/>
  <c r="E352" i="4"/>
  <c r="E383" i="4" s="1"/>
  <c r="E322" i="4"/>
  <c r="F359" i="4"/>
  <c r="F329" i="4"/>
  <c r="H352" i="4"/>
  <c r="H383" i="4" s="1"/>
  <c r="H322" i="4"/>
  <c r="E434" i="1"/>
  <c r="AI431" i="1"/>
  <c r="X408" i="1"/>
  <c r="X414" i="1" s="1"/>
  <c r="I526" i="4"/>
  <c r="H408" i="1"/>
  <c r="H409" i="1" s="1"/>
  <c r="I478" i="4"/>
  <c r="I499" i="4" s="1"/>
  <c r="I496" i="4"/>
  <c r="D452" i="4"/>
  <c r="C452" i="4" s="1"/>
  <c r="D512" i="4"/>
  <c r="C512" i="4" s="1"/>
  <c r="D482" i="4"/>
  <c r="D505" i="4"/>
  <c r="D475" i="4"/>
  <c r="D445" i="4"/>
  <c r="D489" i="4"/>
  <c r="D459" i="4"/>
  <c r="C459" i="4" s="1"/>
  <c r="D519" i="4"/>
  <c r="C435" i="4"/>
  <c r="C406" i="4"/>
  <c r="C436" i="4" s="1"/>
  <c r="I466" i="4"/>
  <c r="F466" i="4"/>
  <c r="AB408" i="1"/>
  <c r="AB411" i="1" s="1"/>
  <c r="AE408" i="1"/>
  <c r="AE412" i="1" s="1"/>
  <c r="AC408" i="1"/>
  <c r="AH408" i="1"/>
  <c r="R408" i="1"/>
  <c r="S408" i="1"/>
  <c r="V408" i="1"/>
  <c r="AG408" i="1"/>
  <c r="AA408" i="1"/>
  <c r="AD408" i="1"/>
  <c r="U408" i="1"/>
  <c r="AF408" i="1"/>
  <c r="Z408" i="1"/>
  <c r="Y408" i="1"/>
  <c r="W408" i="1"/>
  <c r="D345" i="4"/>
  <c r="D315" i="4"/>
  <c r="F478" i="4" l="1"/>
  <c r="F499" i="4" s="1"/>
  <c r="F500" i="4" s="1"/>
  <c r="I376" i="4"/>
  <c r="C65" i="4"/>
  <c r="C77" i="4" s="1"/>
  <c r="T414" i="1"/>
  <c r="F348" i="4"/>
  <c r="F349" i="4" s="1"/>
  <c r="F145" i="4" s="1"/>
  <c r="T413" i="1"/>
  <c r="T411" i="1"/>
  <c r="I148" i="4"/>
  <c r="I150" i="4" s="1"/>
  <c r="D359" i="4"/>
  <c r="D329" i="4"/>
  <c r="C329" i="4" s="1"/>
  <c r="D322" i="4"/>
  <c r="C322" i="4" s="1"/>
  <c r="D352" i="4"/>
  <c r="F390" i="4"/>
  <c r="F362" i="4"/>
  <c r="F363" i="4" s="1"/>
  <c r="F147" i="4" s="1"/>
  <c r="F156" i="4" s="1"/>
  <c r="X412" i="1"/>
  <c r="X411" i="1"/>
  <c r="X413" i="1"/>
  <c r="I479" i="4"/>
  <c r="I224" i="4" s="1"/>
  <c r="I227" i="4" s="1"/>
  <c r="I500" i="4"/>
  <c r="AB414" i="1"/>
  <c r="AB412" i="1"/>
  <c r="AB413" i="1"/>
  <c r="AE414" i="1"/>
  <c r="D466" i="4"/>
  <c r="C466" i="4" s="1"/>
  <c r="C445" i="4"/>
  <c r="C475" i="4"/>
  <c r="D496" i="4"/>
  <c r="C505" i="4"/>
  <c r="D526" i="4"/>
  <c r="C526" i="4" s="1"/>
  <c r="C482" i="4"/>
  <c r="AE411" i="1"/>
  <c r="AE413" i="1"/>
  <c r="C519" i="4"/>
  <c r="C489" i="4"/>
  <c r="U412" i="1"/>
  <c r="U411" i="1"/>
  <c r="U414" i="1"/>
  <c r="U413" i="1"/>
  <c r="AA412" i="1"/>
  <c r="AA414" i="1"/>
  <c r="AA413" i="1"/>
  <c r="AA411" i="1"/>
  <c r="AH411" i="1"/>
  <c r="AH412" i="1"/>
  <c r="AO412" i="1" s="1"/>
  <c r="AH414" i="1"/>
  <c r="AO414" i="1" s="1"/>
  <c r="AH413" i="1"/>
  <c r="AO413" i="1" s="1"/>
  <c r="D376" i="4"/>
  <c r="C345" i="4"/>
  <c r="AG413" i="1"/>
  <c r="AG414" i="1"/>
  <c r="AG411" i="1"/>
  <c r="AG412" i="1"/>
  <c r="S414" i="1"/>
  <c r="S411" i="1"/>
  <c r="S412" i="1"/>
  <c r="S413" i="1"/>
  <c r="V414" i="1"/>
  <c r="V412" i="1"/>
  <c r="V411" i="1"/>
  <c r="V413" i="1"/>
  <c r="AI408" i="1"/>
  <c r="R413" i="1"/>
  <c r="R414" i="1"/>
  <c r="R411" i="1"/>
  <c r="R412" i="1"/>
  <c r="Z412" i="1"/>
  <c r="Z411" i="1"/>
  <c r="Z414" i="1"/>
  <c r="Z413" i="1"/>
  <c r="W414" i="1"/>
  <c r="W411" i="1"/>
  <c r="W412" i="1"/>
  <c r="W413" i="1"/>
  <c r="AF412" i="1"/>
  <c r="AF414" i="1"/>
  <c r="AF411" i="1"/>
  <c r="AF413" i="1"/>
  <c r="Y411" i="1"/>
  <c r="Y413" i="1"/>
  <c r="Y412" i="1"/>
  <c r="Y414" i="1"/>
  <c r="C315" i="4"/>
  <c r="AD414" i="1"/>
  <c r="AD412" i="1"/>
  <c r="AD413" i="1"/>
  <c r="AD411" i="1"/>
  <c r="AC412" i="1"/>
  <c r="AC413" i="1"/>
  <c r="AC414" i="1"/>
  <c r="AC411" i="1"/>
  <c r="I78" i="4" l="1"/>
  <c r="D78" i="4"/>
  <c r="D80" i="4"/>
  <c r="F479" i="4"/>
  <c r="F224" i="4" s="1"/>
  <c r="F227" i="4" s="1"/>
  <c r="F233" i="4" s="1"/>
  <c r="D79" i="4"/>
  <c r="T415" i="1"/>
  <c r="T417" i="1" s="1"/>
  <c r="T433" i="1" s="1"/>
  <c r="H79" i="4"/>
  <c r="G80" i="4"/>
  <c r="E80" i="4"/>
  <c r="H78" i="4"/>
  <c r="E79" i="4"/>
  <c r="I80" i="4"/>
  <c r="H80" i="4"/>
  <c r="F80" i="4"/>
  <c r="E78" i="4"/>
  <c r="F78" i="4"/>
  <c r="G79" i="4"/>
  <c r="I79" i="4"/>
  <c r="F79" i="4"/>
  <c r="G78" i="4"/>
  <c r="C352" i="4"/>
  <c r="D383" i="4"/>
  <c r="C383" i="4" s="1"/>
  <c r="C359" i="4"/>
  <c r="D390" i="4"/>
  <c r="C390" i="4" s="1"/>
  <c r="X415" i="1"/>
  <c r="X417" i="1" s="1"/>
  <c r="X433" i="1" s="1"/>
  <c r="AB415" i="1"/>
  <c r="AB417" i="1" s="1"/>
  <c r="AB433" i="1" s="1"/>
  <c r="AN414" i="1"/>
  <c r="AM413" i="1"/>
  <c r="AC415" i="1"/>
  <c r="AC417" i="1" s="1"/>
  <c r="AC433" i="1" s="1"/>
  <c r="AG415" i="1"/>
  <c r="AG417" i="1" s="1"/>
  <c r="AG433" i="1" s="1"/>
  <c r="AN413" i="1"/>
  <c r="AN412" i="1"/>
  <c r="Y415" i="1"/>
  <c r="Y417" i="1" s="1"/>
  <c r="Y433" i="1" s="1"/>
  <c r="AN411" i="1"/>
  <c r="AE415" i="1"/>
  <c r="AE417" i="1" s="1"/>
  <c r="AE433" i="1" s="1"/>
  <c r="C496" i="4"/>
  <c r="Z415" i="1"/>
  <c r="Z417" i="1" s="1"/>
  <c r="Z433" i="1" s="1"/>
  <c r="V415" i="1"/>
  <c r="V417" i="1" s="1"/>
  <c r="V433" i="1" s="1"/>
  <c r="S415" i="1"/>
  <c r="S417" i="1" s="1"/>
  <c r="S433" i="1" s="1"/>
  <c r="AA415" i="1"/>
  <c r="AA417" i="1" s="1"/>
  <c r="AA433" i="1" s="1"/>
  <c r="AM412" i="1"/>
  <c r="AM414" i="1"/>
  <c r="AD415" i="1"/>
  <c r="AD417" i="1" s="1"/>
  <c r="AD433" i="1" s="1"/>
  <c r="AF415" i="1"/>
  <c r="AF417" i="1" s="1"/>
  <c r="AF433" i="1" s="1"/>
  <c r="U415" i="1"/>
  <c r="U417" i="1" s="1"/>
  <c r="U433" i="1" s="1"/>
  <c r="AL412" i="1"/>
  <c r="K412" i="1"/>
  <c r="N412" i="1"/>
  <c r="M412" i="1"/>
  <c r="I412" i="1"/>
  <c r="J412" i="1"/>
  <c r="AI412" i="1"/>
  <c r="L412" i="1"/>
  <c r="L411" i="1"/>
  <c r="R415" i="1"/>
  <c r="AL411" i="1"/>
  <c r="AI411" i="1"/>
  <c r="J411" i="1"/>
  <c r="N411" i="1"/>
  <c r="I411" i="1"/>
  <c r="M411" i="1"/>
  <c r="K411" i="1"/>
  <c r="AI414" i="1"/>
  <c r="K414" i="1"/>
  <c r="M414" i="1"/>
  <c r="J414" i="1"/>
  <c r="I414" i="1"/>
  <c r="AL414" i="1"/>
  <c r="N414" i="1"/>
  <c r="L414" i="1"/>
  <c r="W415" i="1"/>
  <c r="W417" i="1" s="1"/>
  <c r="W433" i="1" s="1"/>
  <c r="AM411" i="1"/>
  <c r="N413" i="1"/>
  <c r="AL413" i="1"/>
  <c r="M413" i="1"/>
  <c r="I413" i="1"/>
  <c r="AI413" i="1"/>
  <c r="L413" i="1"/>
  <c r="K413" i="1"/>
  <c r="J413" i="1"/>
  <c r="AH415" i="1"/>
  <c r="AH417" i="1" s="1"/>
  <c r="AH433" i="1" s="1"/>
  <c r="AO411" i="1"/>
  <c r="AO415" i="1" s="1"/>
  <c r="AO417" i="1" s="1"/>
  <c r="AO433" i="1" s="1"/>
  <c r="C376" i="4"/>
  <c r="E98" i="4" l="1"/>
  <c r="D98" i="4"/>
  <c r="D82" i="4"/>
  <c r="D83" i="4" s="1"/>
  <c r="I98" i="4"/>
  <c r="H82" i="4"/>
  <c r="H83" i="4" s="1"/>
  <c r="H361" i="4" s="1"/>
  <c r="E82" i="4"/>
  <c r="E83" i="4" s="1"/>
  <c r="H98" i="4"/>
  <c r="G82" i="4"/>
  <c r="G83" i="4" s="1"/>
  <c r="G98" i="4"/>
  <c r="F98" i="4"/>
  <c r="F82" i="4"/>
  <c r="I82" i="4"/>
  <c r="AK414" i="1"/>
  <c r="AK413" i="1"/>
  <c r="AN415" i="1"/>
  <c r="AN417" i="1" s="1"/>
  <c r="AN433" i="1" s="1"/>
  <c r="AN131" i="1" s="1"/>
  <c r="AM415" i="1"/>
  <c r="AM417" i="1" s="1"/>
  <c r="AM433" i="1" s="1"/>
  <c r="AM131" i="1" s="1"/>
  <c r="F354" i="4"/>
  <c r="F353" i="4" s="1"/>
  <c r="F355" i="4" s="1"/>
  <c r="F356" i="4" s="1"/>
  <c r="F146" i="4" s="1"/>
  <c r="AK412" i="1"/>
  <c r="G150" i="31"/>
  <c r="F45" i="4"/>
  <c r="BL411" i="1"/>
  <c r="K415" i="1"/>
  <c r="AV411" i="1"/>
  <c r="BD411" i="1"/>
  <c r="BE411" i="1"/>
  <c r="L415" i="1"/>
  <c r="BM411" i="1"/>
  <c r="H150" i="31"/>
  <c r="G45" i="4"/>
  <c r="AW411" i="1"/>
  <c r="H149" i="31"/>
  <c r="AW412" i="1"/>
  <c r="BE412" i="1"/>
  <c r="BM412" i="1"/>
  <c r="H413" i="1"/>
  <c r="BB413" i="1"/>
  <c r="BJ413" i="1"/>
  <c r="AT413" i="1"/>
  <c r="E152" i="31"/>
  <c r="AX413" i="1"/>
  <c r="BF413" i="1"/>
  <c r="BN413" i="1"/>
  <c r="I152" i="31"/>
  <c r="H414" i="1"/>
  <c r="AT414" i="1"/>
  <c r="BJ414" i="1"/>
  <c r="E151" i="31"/>
  <c r="BB414" i="1"/>
  <c r="BN411" i="1"/>
  <c r="BF411" i="1"/>
  <c r="I150" i="31"/>
  <c r="AX411" i="1"/>
  <c r="H45" i="4"/>
  <c r="M415" i="1"/>
  <c r="F151" i="31"/>
  <c r="BC414" i="1"/>
  <c r="BK414" i="1"/>
  <c r="AU414" i="1"/>
  <c r="BB411" i="1"/>
  <c r="BJ411" i="1"/>
  <c r="D45" i="4"/>
  <c r="E150" i="31"/>
  <c r="AT411" i="1"/>
  <c r="H411" i="1"/>
  <c r="I415" i="1"/>
  <c r="F149" i="31"/>
  <c r="BK412" i="1"/>
  <c r="AU412" i="1"/>
  <c r="BC412" i="1"/>
  <c r="AY413" i="1"/>
  <c r="BG413" i="1"/>
  <c r="BO413" i="1"/>
  <c r="I151" i="31"/>
  <c r="BN414" i="1"/>
  <c r="AX414" i="1"/>
  <c r="BF414" i="1"/>
  <c r="AY411" i="1"/>
  <c r="BG411" i="1"/>
  <c r="BO411" i="1"/>
  <c r="I45" i="4"/>
  <c r="N415" i="1"/>
  <c r="E149" i="31"/>
  <c r="BJ412" i="1"/>
  <c r="AT412" i="1"/>
  <c r="H412" i="1"/>
  <c r="BB412" i="1"/>
  <c r="G151" i="31"/>
  <c r="AV414" i="1"/>
  <c r="BD414" i="1"/>
  <c r="BL414" i="1"/>
  <c r="BK411" i="1"/>
  <c r="AU411" i="1"/>
  <c r="BC411" i="1"/>
  <c r="F150" i="31"/>
  <c r="E45" i="4"/>
  <c r="J415" i="1"/>
  <c r="BN412" i="1"/>
  <c r="BF412" i="1"/>
  <c r="AX412" i="1"/>
  <c r="I149" i="31"/>
  <c r="G152" i="31"/>
  <c r="BD413" i="1"/>
  <c r="AV413" i="1"/>
  <c r="BL413" i="1"/>
  <c r="BO412" i="1"/>
  <c r="AY412" i="1"/>
  <c r="BG412" i="1"/>
  <c r="H152" i="31"/>
  <c r="BE413" i="1"/>
  <c r="BM413" i="1"/>
  <c r="AW413" i="1"/>
  <c r="AW414" i="1"/>
  <c r="H151" i="31"/>
  <c r="BM414" i="1"/>
  <c r="BE414" i="1"/>
  <c r="AL415" i="1"/>
  <c r="AL417" i="1" s="1"/>
  <c r="AL433" i="1" s="1"/>
  <c r="AL131" i="1" s="1"/>
  <c r="AK411" i="1"/>
  <c r="AV412" i="1"/>
  <c r="G149" i="31"/>
  <c r="BD412" i="1"/>
  <c r="BL412" i="1"/>
  <c r="F152" i="31"/>
  <c r="BC413" i="1"/>
  <c r="BK413" i="1"/>
  <c r="AU413" i="1"/>
  <c r="BG414" i="1"/>
  <c r="AY414" i="1"/>
  <c r="BO414" i="1"/>
  <c r="AI415" i="1"/>
  <c r="R417" i="1"/>
  <c r="E153" i="31" l="1"/>
  <c r="E155" i="31" s="1"/>
  <c r="H354" i="4"/>
  <c r="H99" i="4"/>
  <c r="H100" i="4" s="1"/>
  <c r="C82" i="4"/>
  <c r="H484" i="4"/>
  <c r="H477" i="4"/>
  <c r="H491" i="4"/>
  <c r="H347" i="4"/>
  <c r="AX415" i="1"/>
  <c r="AX417" i="1" s="1"/>
  <c r="AX433" i="1" s="1"/>
  <c r="F155" i="4"/>
  <c r="F148" i="4"/>
  <c r="F150" i="4" s="1"/>
  <c r="G484" i="4"/>
  <c r="G99" i="4"/>
  <c r="G100" i="4" s="1"/>
  <c r="G347" i="4"/>
  <c r="G491" i="4"/>
  <c r="G354" i="4"/>
  <c r="G477" i="4"/>
  <c r="G361" i="4"/>
  <c r="J150" i="31"/>
  <c r="D477" i="4"/>
  <c r="D484" i="4"/>
  <c r="D347" i="4"/>
  <c r="D99" i="4"/>
  <c r="D100" i="4" s="1"/>
  <c r="D491" i="4"/>
  <c r="D361" i="4"/>
  <c r="D354" i="4"/>
  <c r="E477" i="4"/>
  <c r="E361" i="4"/>
  <c r="E354" i="4"/>
  <c r="E99" i="4"/>
  <c r="E100" i="4" s="1"/>
  <c r="E484" i="4"/>
  <c r="E491" i="4"/>
  <c r="E347" i="4"/>
  <c r="G153" i="31"/>
  <c r="G155" i="31" s="1"/>
  <c r="BI413" i="1"/>
  <c r="H153" i="31"/>
  <c r="H155" i="31" s="1"/>
  <c r="F11" i="35" s="1"/>
  <c r="AV415" i="1"/>
  <c r="AV417" i="1" s="1"/>
  <c r="AV433" i="1" s="1"/>
  <c r="BO415" i="1"/>
  <c r="BO417" i="1" s="1"/>
  <c r="BO433" i="1" s="1"/>
  <c r="F153" i="31"/>
  <c r="F155" i="31" s="1"/>
  <c r="D11" i="35" s="1"/>
  <c r="BF415" i="1"/>
  <c r="BF417" i="1" s="1"/>
  <c r="BF433" i="1" s="1"/>
  <c r="BA413" i="1"/>
  <c r="AW415" i="1"/>
  <c r="AW417" i="1" s="1"/>
  <c r="AW433" i="1" s="1"/>
  <c r="I153" i="31"/>
  <c r="I155" i="31" s="1"/>
  <c r="G11" i="35" s="1"/>
  <c r="BA412" i="1"/>
  <c r="BG415" i="1"/>
  <c r="BG417" i="1" s="1"/>
  <c r="BG433" i="1" s="1"/>
  <c r="BN415" i="1"/>
  <c r="BN417" i="1" s="1"/>
  <c r="BN433" i="1" s="1"/>
  <c r="BL415" i="1"/>
  <c r="BL417" i="1" s="1"/>
  <c r="BL433" i="1" s="1"/>
  <c r="BC415" i="1"/>
  <c r="BC417" i="1" s="1"/>
  <c r="BC433" i="1" s="1"/>
  <c r="AY415" i="1"/>
  <c r="AY417" i="1" s="1"/>
  <c r="AY433" i="1" s="1"/>
  <c r="BA414" i="1"/>
  <c r="AU415" i="1"/>
  <c r="AU417" i="1" s="1"/>
  <c r="AU433" i="1" s="1"/>
  <c r="AS412" i="1"/>
  <c r="J151" i="31"/>
  <c r="BM415" i="1"/>
  <c r="BM417" i="1" s="1"/>
  <c r="BM433" i="1" s="1"/>
  <c r="AS413" i="1"/>
  <c r="BK415" i="1"/>
  <c r="BK417" i="1" s="1"/>
  <c r="BK433" i="1" s="1"/>
  <c r="BI412" i="1"/>
  <c r="BI414" i="1"/>
  <c r="BD415" i="1"/>
  <c r="BD417" i="1" s="1"/>
  <c r="BD433" i="1" s="1"/>
  <c r="J149" i="31"/>
  <c r="AS414" i="1"/>
  <c r="J152" i="31"/>
  <c r="BE415" i="1"/>
  <c r="BE417" i="1" s="1"/>
  <c r="BE433" i="1" s="1"/>
  <c r="AK415" i="1"/>
  <c r="AK417" i="1" s="1"/>
  <c r="AK433" i="1" s="1"/>
  <c r="I407" i="4"/>
  <c r="I409" i="4" s="1"/>
  <c r="I410" i="4" s="1"/>
  <c r="I187" i="4" s="1"/>
  <c r="I298" i="4"/>
  <c r="I300" i="4" s="1"/>
  <c r="I301" i="4" s="1"/>
  <c r="I111" i="4" s="1"/>
  <c r="I425" i="4"/>
  <c r="I427" i="4" s="1"/>
  <c r="I428" i="4" s="1"/>
  <c r="I189" i="4" s="1"/>
  <c r="I287" i="4"/>
  <c r="I416" i="4"/>
  <c r="I418" i="4" s="1"/>
  <c r="I419" i="4" s="1"/>
  <c r="I188" i="4" s="1"/>
  <c r="N417" i="1"/>
  <c r="I307" i="4"/>
  <c r="I309" i="4" s="1"/>
  <c r="I310" i="4" s="1"/>
  <c r="I112" i="4" s="1"/>
  <c r="AT415" i="1"/>
  <c r="AT417" i="1" s="1"/>
  <c r="AT433" i="1" s="1"/>
  <c r="AS411" i="1"/>
  <c r="G307" i="4"/>
  <c r="G416" i="4"/>
  <c r="G425" i="4"/>
  <c r="G407" i="4"/>
  <c r="G287" i="4"/>
  <c r="G298" i="4"/>
  <c r="L417" i="1"/>
  <c r="BJ415" i="1"/>
  <c r="BJ417" i="1" s="1"/>
  <c r="BJ433" i="1" s="1"/>
  <c r="BI411" i="1"/>
  <c r="BB415" i="1"/>
  <c r="BB417" i="1" s="1"/>
  <c r="BB433" i="1" s="1"/>
  <c r="BA411" i="1"/>
  <c r="F407" i="4"/>
  <c r="F307" i="4"/>
  <c r="F309" i="4" s="1"/>
  <c r="F310" i="4" s="1"/>
  <c r="F112" i="4" s="1"/>
  <c r="F121" i="4" s="1"/>
  <c r="F298" i="4"/>
  <c r="F300" i="4" s="1"/>
  <c r="F301" i="4" s="1"/>
  <c r="F111" i="4" s="1"/>
  <c r="F120" i="4" s="1"/>
  <c r="K417" i="1"/>
  <c r="F425" i="4"/>
  <c r="F427" i="4" s="1"/>
  <c r="F428" i="4" s="1"/>
  <c r="F189" i="4" s="1"/>
  <c r="F201" i="4" s="1"/>
  <c r="F416" i="4"/>
  <c r="F418" i="4" s="1"/>
  <c r="F419" i="4" s="1"/>
  <c r="F188" i="4" s="1"/>
  <c r="F287" i="4"/>
  <c r="D287" i="4"/>
  <c r="D307" i="4"/>
  <c r="D407" i="4"/>
  <c r="D425" i="4"/>
  <c r="D416" i="4"/>
  <c r="D298" i="4"/>
  <c r="I417" i="1"/>
  <c r="AI417" i="1"/>
  <c r="R433" i="1"/>
  <c r="AI433" i="1" s="1"/>
  <c r="E425" i="4"/>
  <c r="E298" i="4"/>
  <c r="E416" i="4"/>
  <c r="E307" i="4"/>
  <c r="E407" i="4"/>
  <c r="E287" i="4"/>
  <c r="J417" i="1"/>
  <c r="C45" i="4"/>
  <c r="H415" i="1"/>
  <c r="H417" i="1" s="1"/>
  <c r="H298" i="4"/>
  <c r="H407" i="4"/>
  <c r="H416" i="4"/>
  <c r="H287" i="4"/>
  <c r="H307" i="4"/>
  <c r="H425" i="4"/>
  <c r="M417" i="1"/>
  <c r="E157" i="31" l="1"/>
  <c r="C11" i="35"/>
  <c r="C13" i="35" s="1"/>
  <c r="G101" i="4"/>
  <c r="C83" i="4"/>
  <c r="H353" i="4"/>
  <c r="H355" i="4" s="1"/>
  <c r="H356" i="4" s="1"/>
  <c r="H146" i="4" s="1"/>
  <c r="H155" i="4" s="1"/>
  <c r="H360" i="4"/>
  <c r="H362" i="4" s="1"/>
  <c r="H363" i="4" s="1"/>
  <c r="H147" i="4" s="1"/>
  <c r="H156" i="4" s="1"/>
  <c r="H346" i="4"/>
  <c r="H348" i="4" s="1"/>
  <c r="H349" i="4" s="1"/>
  <c r="H145" i="4" s="1"/>
  <c r="H490" i="4"/>
  <c r="H492" i="4" s="1"/>
  <c r="H493" i="4" s="1"/>
  <c r="H226" i="4" s="1"/>
  <c r="H232" i="4" s="1"/>
  <c r="H476" i="4"/>
  <c r="H478" i="4" s="1"/>
  <c r="H483" i="4"/>
  <c r="H485" i="4" s="1"/>
  <c r="H486" i="4" s="1"/>
  <c r="H225" i="4" s="1"/>
  <c r="H231" i="4" s="1"/>
  <c r="I101" i="4"/>
  <c r="F101" i="4"/>
  <c r="E101" i="4"/>
  <c r="D101" i="4"/>
  <c r="D84" i="4"/>
  <c r="H101" i="4"/>
  <c r="H498" i="4"/>
  <c r="H497" i="4" s="1"/>
  <c r="G157" i="31"/>
  <c r="E11" i="35"/>
  <c r="H11" i="35" s="1"/>
  <c r="E437" i="4"/>
  <c r="H437" i="4"/>
  <c r="D437" i="4"/>
  <c r="F409" i="4"/>
  <c r="F437" i="4"/>
  <c r="G437" i="4"/>
  <c r="C361" i="4"/>
  <c r="G498" i="4"/>
  <c r="G497" i="4" s="1"/>
  <c r="C477" i="4"/>
  <c r="D498" i="4"/>
  <c r="D497" i="4" s="1"/>
  <c r="C354" i="4"/>
  <c r="E490" i="4"/>
  <c r="E492" i="4" s="1"/>
  <c r="E493" i="4" s="1"/>
  <c r="E226" i="4" s="1"/>
  <c r="E483" i="4"/>
  <c r="E485" i="4" s="1"/>
  <c r="E486" i="4" s="1"/>
  <c r="E225" i="4" s="1"/>
  <c r="E360" i="4"/>
  <c r="E362" i="4" s="1"/>
  <c r="E363" i="4" s="1"/>
  <c r="E147" i="4" s="1"/>
  <c r="E156" i="4" s="1"/>
  <c r="E353" i="4"/>
  <c r="E355" i="4" s="1"/>
  <c r="E356" i="4" s="1"/>
  <c r="E146" i="4" s="1"/>
  <c r="E155" i="4" s="1"/>
  <c r="E346" i="4"/>
  <c r="E476" i="4"/>
  <c r="C491" i="4"/>
  <c r="G476" i="4"/>
  <c r="G346" i="4"/>
  <c r="G360" i="4"/>
  <c r="G362" i="4" s="1"/>
  <c r="G363" i="4" s="1"/>
  <c r="G147" i="4" s="1"/>
  <c r="G156" i="4" s="1"/>
  <c r="G353" i="4"/>
  <c r="G355" i="4" s="1"/>
  <c r="G356" i="4" s="1"/>
  <c r="G146" i="4" s="1"/>
  <c r="G155" i="4" s="1"/>
  <c r="G483" i="4"/>
  <c r="G485" i="4" s="1"/>
  <c r="G486" i="4" s="1"/>
  <c r="G225" i="4" s="1"/>
  <c r="G490" i="4"/>
  <c r="G492" i="4" s="1"/>
  <c r="G493" i="4" s="1"/>
  <c r="G226" i="4" s="1"/>
  <c r="D490" i="4"/>
  <c r="D476" i="4"/>
  <c r="D483" i="4"/>
  <c r="D360" i="4"/>
  <c r="D346" i="4"/>
  <c r="D353" i="4"/>
  <c r="C347" i="4"/>
  <c r="E498" i="4"/>
  <c r="E497" i="4" s="1"/>
  <c r="C484" i="4"/>
  <c r="C287" i="4"/>
  <c r="F157" i="31"/>
  <c r="C298" i="4"/>
  <c r="F289" i="4"/>
  <c r="F290" i="4" s="1"/>
  <c r="F110" i="4" s="1"/>
  <c r="F113" i="4" s="1"/>
  <c r="F115" i="4" s="1"/>
  <c r="I289" i="4"/>
  <c r="I290" i="4" s="1"/>
  <c r="I110" i="4" s="1"/>
  <c r="I113" i="4" s="1"/>
  <c r="I115" i="4" s="1"/>
  <c r="J155" i="31"/>
  <c r="J153" i="31"/>
  <c r="C425" i="4"/>
  <c r="I157" i="31"/>
  <c r="C407" i="4"/>
  <c r="I190" i="4"/>
  <c r="F13" i="35"/>
  <c r="H157" i="31"/>
  <c r="C416" i="4"/>
  <c r="C307" i="4"/>
  <c r="AK434" i="1"/>
  <c r="AK131" i="1"/>
  <c r="BI415" i="1"/>
  <c r="BI417" i="1" s="1"/>
  <c r="BI433" i="1" s="1"/>
  <c r="AS415" i="1"/>
  <c r="AS417" i="1" s="1"/>
  <c r="AS433" i="1" s="1"/>
  <c r="BA415" i="1"/>
  <c r="BA417" i="1" s="1"/>
  <c r="BA433" i="1" s="1"/>
  <c r="D46" i="4"/>
  <c r="I433" i="1"/>
  <c r="I46" i="4"/>
  <c r="N433" i="1"/>
  <c r="I48" i="4" s="1"/>
  <c r="H433" i="1"/>
  <c r="H131" i="1" s="1"/>
  <c r="C49" i="4" s="1"/>
  <c r="C46" i="4"/>
  <c r="H418" i="1"/>
  <c r="M433" i="1"/>
  <c r="M131" i="1" s="1"/>
  <c r="H49" i="4" s="1"/>
  <c r="H46" i="4"/>
  <c r="F46" i="4"/>
  <c r="K433" i="1"/>
  <c r="F48" i="4" s="1"/>
  <c r="E46" i="4"/>
  <c r="J433" i="1"/>
  <c r="G46" i="4"/>
  <c r="L433" i="1"/>
  <c r="H238" i="4" l="1"/>
  <c r="H237" i="4"/>
  <c r="H499" i="4"/>
  <c r="H500" i="4" s="1"/>
  <c r="H479" i="4"/>
  <c r="H224" i="4" s="1"/>
  <c r="H227" i="4" s="1"/>
  <c r="H233" i="4" s="1"/>
  <c r="E521" i="4"/>
  <c r="D378" i="4"/>
  <c r="H84" i="4"/>
  <c r="I521" i="4"/>
  <c r="G84" i="4"/>
  <c r="E378" i="4"/>
  <c r="F84" i="4"/>
  <c r="H514" i="4"/>
  <c r="C84" i="4"/>
  <c r="E514" i="4"/>
  <c r="I514" i="4"/>
  <c r="I84" i="4"/>
  <c r="G385" i="4"/>
  <c r="H385" i="4"/>
  <c r="H392" i="4"/>
  <c r="F385" i="4"/>
  <c r="G507" i="4"/>
  <c r="E507" i="4"/>
  <c r="I507" i="4"/>
  <c r="G392" i="4"/>
  <c r="I392" i="4"/>
  <c r="G521" i="4"/>
  <c r="E84" i="4"/>
  <c r="E392" i="4"/>
  <c r="D521" i="4"/>
  <c r="I378" i="4"/>
  <c r="F514" i="4"/>
  <c r="H521" i="4"/>
  <c r="H9" i="35"/>
  <c r="D9" i="35" s="1"/>
  <c r="D10" i="35" s="1"/>
  <c r="I385" i="4"/>
  <c r="D392" i="4"/>
  <c r="G514" i="4"/>
  <c r="C99" i="4"/>
  <c r="C100" i="4" s="1"/>
  <c r="F507" i="4"/>
  <c r="H378" i="4"/>
  <c r="F392" i="4"/>
  <c r="F378" i="4"/>
  <c r="E385" i="4"/>
  <c r="D514" i="4"/>
  <c r="D385" i="4"/>
  <c r="G378" i="4"/>
  <c r="H507" i="4"/>
  <c r="D507" i="4"/>
  <c r="F521" i="4"/>
  <c r="E13" i="35"/>
  <c r="E14" i="35" s="1"/>
  <c r="E15" i="35" s="1"/>
  <c r="F410" i="4"/>
  <c r="F439" i="4"/>
  <c r="H50" i="4"/>
  <c r="C476" i="4"/>
  <c r="D478" i="4"/>
  <c r="E232" i="4"/>
  <c r="E238" i="4"/>
  <c r="C490" i="4"/>
  <c r="D492" i="4"/>
  <c r="C492" i="4" s="1"/>
  <c r="G232" i="4"/>
  <c r="G238" i="4"/>
  <c r="C497" i="4"/>
  <c r="G237" i="4"/>
  <c r="G231" i="4"/>
  <c r="E478" i="4"/>
  <c r="E499" i="4" s="1"/>
  <c r="E500" i="4" s="1"/>
  <c r="C353" i="4"/>
  <c r="D355" i="4"/>
  <c r="C355" i="4" s="1"/>
  <c r="E348" i="4"/>
  <c r="E349" i="4" s="1"/>
  <c r="E145" i="4" s="1"/>
  <c r="H148" i="4"/>
  <c r="H150" i="4" s="1"/>
  <c r="H157" i="4" s="1"/>
  <c r="H154" i="4"/>
  <c r="C346" i="4"/>
  <c r="D348" i="4"/>
  <c r="D349" i="4" s="1"/>
  <c r="D145" i="4" s="1"/>
  <c r="C360" i="4"/>
  <c r="D362" i="4"/>
  <c r="C362" i="4" s="1"/>
  <c r="G348" i="4"/>
  <c r="G349" i="4" s="1"/>
  <c r="G145" i="4" s="1"/>
  <c r="C498" i="4"/>
  <c r="C483" i="4"/>
  <c r="D485" i="4"/>
  <c r="C485" i="4" s="1"/>
  <c r="G478" i="4"/>
  <c r="G499" i="4" s="1"/>
  <c r="G500" i="4" s="1"/>
  <c r="E231" i="4"/>
  <c r="E237" i="4"/>
  <c r="J157" i="31"/>
  <c r="D13" i="35"/>
  <c r="H48" i="4"/>
  <c r="D48" i="4"/>
  <c r="I131" i="1"/>
  <c r="D49" i="4" s="1"/>
  <c r="G48" i="4"/>
  <c r="L131" i="1"/>
  <c r="G49" i="4" s="1"/>
  <c r="G13" i="35"/>
  <c r="E48" i="4"/>
  <c r="J131" i="1"/>
  <c r="E49" i="4" s="1"/>
  <c r="C437" i="4"/>
  <c r="F447" i="4"/>
  <c r="G454" i="4"/>
  <c r="F317" i="4"/>
  <c r="D331" i="4"/>
  <c r="H454" i="4"/>
  <c r="E461" i="4"/>
  <c r="H447" i="4"/>
  <c r="D317" i="4"/>
  <c r="F324" i="4"/>
  <c r="D447" i="4"/>
  <c r="E324" i="4"/>
  <c r="C50" i="4"/>
  <c r="E317" i="4"/>
  <c r="F454" i="4"/>
  <c r="H324" i="4"/>
  <c r="E454" i="4"/>
  <c r="E447" i="4"/>
  <c r="G447" i="4"/>
  <c r="D324" i="4"/>
  <c r="G461" i="4"/>
  <c r="F50" i="4"/>
  <c r="D454" i="4"/>
  <c r="G317" i="4"/>
  <c r="H317" i="4"/>
  <c r="H331" i="4"/>
  <c r="F461" i="4"/>
  <c r="D461" i="4"/>
  <c r="I50" i="4"/>
  <c r="I324" i="4"/>
  <c r="I447" i="4"/>
  <c r="G324" i="4"/>
  <c r="I454" i="4"/>
  <c r="E331" i="4"/>
  <c r="I331" i="4"/>
  <c r="F331" i="4"/>
  <c r="I461" i="4"/>
  <c r="H461" i="4"/>
  <c r="G331" i="4"/>
  <c r="I317" i="4"/>
  <c r="M436" i="1"/>
  <c r="K436" i="1"/>
  <c r="L436" i="1"/>
  <c r="J436" i="1"/>
  <c r="N436" i="1"/>
  <c r="H434" i="1"/>
  <c r="I436" i="1"/>
  <c r="H436" i="1"/>
  <c r="H230" i="4" l="1"/>
  <c r="H236" i="4" s="1"/>
  <c r="E528" i="4"/>
  <c r="E527" i="4" s="1"/>
  <c r="E377" i="4"/>
  <c r="E379" i="4" s="1"/>
  <c r="E380" i="4" s="1"/>
  <c r="E161" i="4" s="1"/>
  <c r="E170" i="4" s="1"/>
  <c r="I528" i="4"/>
  <c r="I527" i="4" s="1"/>
  <c r="G384" i="4"/>
  <c r="G386" i="4" s="1"/>
  <c r="G387" i="4" s="1"/>
  <c r="G162" i="4" s="1"/>
  <c r="G171" i="4" s="1"/>
  <c r="H384" i="4"/>
  <c r="H386" i="4" s="1"/>
  <c r="H387" i="4" s="1"/>
  <c r="H162" i="4" s="1"/>
  <c r="H171" i="4" s="1"/>
  <c r="G528" i="4"/>
  <c r="G527" i="4" s="1"/>
  <c r="C385" i="4"/>
  <c r="E391" i="4"/>
  <c r="E393" i="4" s="1"/>
  <c r="E394" i="4" s="1"/>
  <c r="E163" i="4" s="1"/>
  <c r="E172" i="4" s="1"/>
  <c r="I513" i="4"/>
  <c r="I515" i="4" s="1"/>
  <c r="I516" i="4" s="1"/>
  <c r="I242" i="4" s="1"/>
  <c r="F9" i="35"/>
  <c r="F10" i="35" s="1"/>
  <c r="F14" i="35" s="1"/>
  <c r="F16" i="35" s="1"/>
  <c r="D520" i="4"/>
  <c r="D522" i="4" s="1"/>
  <c r="G513" i="4"/>
  <c r="G515" i="4" s="1"/>
  <c r="G516" i="4" s="1"/>
  <c r="G242" i="4" s="1"/>
  <c r="G248" i="4" s="1"/>
  <c r="I520" i="4"/>
  <c r="I522" i="4" s="1"/>
  <c r="I523" i="4" s="1"/>
  <c r="I243" i="4" s="1"/>
  <c r="I384" i="4"/>
  <c r="I386" i="4" s="1"/>
  <c r="I387" i="4" s="1"/>
  <c r="I162" i="4" s="1"/>
  <c r="G377" i="4"/>
  <c r="G379" i="4" s="1"/>
  <c r="G380" i="4" s="1"/>
  <c r="G161" i="4" s="1"/>
  <c r="G520" i="4"/>
  <c r="G522" i="4" s="1"/>
  <c r="G523" i="4" s="1"/>
  <c r="G243" i="4" s="1"/>
  <c r="G391" i="4"/>
  <c r="G393" i="4" s="1"/>
  <c r="G394" i="4" s="1"/>
  <c r="G163" i="4" s="1"/>
  <c r="G172" i="4" s="1"/>
  <c r="I506" i="4"/>
  <c r="I508" i="4" s="1"/>
  <c r="H513" i="4"/>
  <c r="H515" i="4" s="1"/>
  <c r="H516" i="4" s="1"/>
  <c r="H242" i="4" s="1"/>
  <c r="H248" i="4" s="1"/>
  <c r="D391" i="4"/>
  <c r="D393" i="4" s="1"/>
  <c r="H391" i="4"/>
  <c r="H393" i="4" s="1"/>
  <c r="H394" i="4" s="1"/>
  <c r="H163" i="4" s="1"/>
  <c r="H172" i="4" s="1"/>
  <c r="E513" i="4"/>
  <c r="E515" i="4" s="1"/>
  <c r="E516" i="4" s="1"/>
  <c r="E242" i="4" s="1"/>
  <c r="E248" i="4" s="1"/>
  <c r="F506" i="4"/>
  <c r="F508" i="4" s="1"/>
  <c r="E506" i="4"/>
  <c r="E508" i="4" s="1"/>
  <c r="E520" i="4"/>
  <c r="E522" i="4" s="1"/>
  <c r="E523" i="4" s="1"/>
  <c r="E243" i="4" s="1"/>
  <c r="D506" i="4"/>
  <c r="D508" i="4" s="1"/>
  <c r="H377" i="4"/>
  <c r="H379" i="4" s="1"/>
  <c r="H380" i="4" s="1"/>
  <c r="H161" i="4" s="1"/>
  <c r="F384" i="4"/>
  <c r="F386" i="4" s="1"/>
  <c r="F387" i="4" s="1"/>
  <c r="F162" i="4" s="1"/>
  <c r="F171" i="4" s="1"/>
  <c r="D377" i="4"/>
  <c r="D379" i="4" s="1"/>
  <c r="D380" i="4" s="1"/>
  <c r="D161" i="4" s="1"/>
  <c r="C9" i="35"/>
  <c r="C10" i="35" s="1"/>
  <c r="H506" i="4"/>
  <c r="H508" i="4" s="1"/>
  <c r="I377" i="4"/>
  <c r="I379" i="4" s="1"/>
  <c r="I380" i="4" s="1"/>
  <c r="I161" i="4" s="1"/>
  <c r="G506" i="4"/>
  <c r="G508" i="4" s="1"/>
  <c r="D384" i="4"/>
  <c r="D386" i="4" s="1"/>
  <c r="F377" i="4"/>
  <c r="F379" i="4" s="1"/>
  <c r="F380" i="4" s="1"/>
  <c r="F161" i="4" s="1"/>
  <c r="D513" i="4"/>
  <c r="D515" i="4" s="1"/>
  <c r="I391" i="4"/>
  <c r="I393" i="4" s="1"/>
  <c r="I394" i="4" s="1"/>
  <c r="I163" i="4" s="1"/>
  <c r="E384" i="4"/>
  <c r="E386" i="4" s="1"/>
  <c r="E387" i="4" s="1"/>
  <c r="E162" i="4" s="1"/>
  <c r="E171" i="4" s="1"/>
  <c r="G9" i="35"/>
  <c r="G10" i="35" s="1"/>
  <c r="C521" i="4"/>
  <c r="C392" i="4"/>
  <c r="H520" i="4"/>
  <c r="H522" i="4" s="1"/>
  <c r="H523" i="4" s="1"/>
  <c r="H243" i="4" s="1"/>
  <c r="H528" i="4"/>
  <c r="H527" i="4" s="1"/>
  <c r="F528" i="4"/>
  <c r="F527" i="4" s="1"/>
  <c r="F391" i="4"/>
  <c r="F393" i="4" s="1"/>
  <c r="F394" i="4" s="1"/>
  <c r="F163" i="4" s="1"/>
  <c r="F172" i="4" s="1"/>
  <c r="F520" i="4"/>
  <c r="F522" i="4" s="1"/>
  <c r="C507" i="4"/>
  <c r="C378" i="4"/>
  <c r="F513" i="4"/>
  <c r="F515" i="4" s="1"/>
  <c r="F516" i="4" s="1"/>
  <c r="F242" i="4" s="1"/>
  <c r="D528" i="4"/>
  <c r="D527" i="4" s="1"/>
  <c r="C514" i="4"/>
  <c r="E16" i="35"/>
  <c r="E17" i="35" s="1"/>
  <c r="F187" i="4"/>
  <c r="F190" i="4" s="1"/>
  <c r="F196" i="4" s="1"/>
  <c r="F430" i="4"/>
  <c r="F440" i="4"/>
  <c r="D14" i="35"/>
  <c r="D15" i="35" s="1"/>
  <c r="C48" i="4"/>
  <c r="C53" i="4" s="1"/>
  <c r="E330" i="4" s="1"/>
  <c r="D486" i="4"/>
  <c r="D225" i="4" s="1"/>
  <c r="D231" i="4" s="1"/>
  <c r="G479" i="4"/>
  <c r="G224" i="4" s="1"/>
  <c r="G227" i="4" s="1"/>
  <c r="G233" i="4" s="1"/>
  <c r="D493" i="4"/>
  <c r="D226" i="4" s="1"/>
  <c r="D232" i="4" s="1"/>
  <c r="G154" i="4"/>
  <c r="G148" i="4"/>
  <c r="G150" i="4" s="1"/>
  <c r="G157" i="4" s="1"/>
  <c r="E154" i="4"/>
  <c r="E148" i="4"/>
  <c r="E150" i="4" s="1"/>
  <c r="E157" i="4" s="1"/>
  <c r="D356" i="4"/>
  <c r="D146" i="4" s="1"/>
  <c r="D154" i="4"/>
  <c r="C145" i="4"/>
  <c r="C348" i="4"/>
  <c r="C349" i="4" s="1"/>
  <c r="E479" i="4"/>
  <c r="E224" i="4" s="1"/>
  <c r="D479" i="4"/>
  <c r="D224" i="4" s="1"/>
  <c r="C478" i="4"/>
  <c r="D499" i="4"/>
  <c r="D363" i="4"/>
  <c r="D147" i="4" s="1"/>
  <c r="E468" i="4"/>
  <c r="F468" i="4"/>
  <c r="H468" i="4"/>
  <c r="C317" i="4"/>
  <c r="E308" i="4"/>
  <c r="E309" i="4" s="1"/>
  <c r="E310" i="4" s="1"/>
  <c r="E112" i="4" s="1"/>
  <c r="E121" i="4" s="1"/>
  <c r="E426" i="4"/>
  <c r="E427" i="4" s="1"/>
  <c r="E428" i="4" s="1"/>
  <c r="E189" i="4" s="1"/>
  <c r="E408" i="4"/>
  <c r="E417" i="4"/>
  <c r="E418" i="4" s="1"/>
  <c r="E419" i="4" s="1"/>
  <c r="E188" i="4" s="1"/>
  <c r="E288" i="4"/>
  <c r="E50" i="4"/>
  <c r="E299" i="4"/>
  <c r="E300" i="4" s="1"/>
  <c r="E301" i="4" s="1"/>
  <c r="E111" i="4" s="1"/>
  <c r="E120" i="4" s="1"/>
  <c r="H299" i="4"/>
  <c r="H300" i="4" s="1"/>
  <c r="H301" i="4" s="1"/>
  <c r="H111" i="4" s="1"/>
  <c r="H120" i="4" s="1"/>
  <c r="H408" i="4"/>
  <c r="H417" i="4"/>
  <c r="H418" i="4" s="1"/>
  <c r="H419" i="4" s="1"/>
  <c r="H188" i="4" s="1"/>
  <c r="H308" i="4"/>
  <c r="H309" i="4" s="1"/>
  <c r="H310" i="4" s="1"/>
  <c r="H112" i="4" s="1"/>
  <c r="H121" i="4" s="1"/>
  <c r="H288" i="4"/>
  <c r="H426" i="4"/>
  <c r="H427" i="4" s="1"/>
  <c r="H428" i="4" s="1"/>
  <c r="H189" i="4" s="1"/>
  <c r="D50" i="4"/>
  <c r="D299" i="4"/>
  <c r="D288" i="4"/>
  <c r="D426" i="4"/>
  <c r="D417" i="4"/>
  <c r="D408" i="4"/>
  <c r="D308" i="4"/>
  <c r="I468" i="4"/>
  <c r="C454" i="4"/>
  <c r="G408" i="4"/>
  <c r="G50" i="4"/>
  <c r="G308" i="4"/>
  <c r="G309" i="4" s="1"/>
  <c r="G310" i="4" s="1"/>
  <c r="G112" i="4" s="1"/>
  <c r="G121" i="4" s="1"/>
  <c r="G288" i="4"/>
  <c r="G417" i="4"/>
  <c r="G418" i="4" s="1"/>
  <c r="G419" i="4" s="1"/>
  <c r="G188" i="4" s="1"/>
  <c r="G299" i="4"/>
  <c r="G300" i="4" s="1"/>
  <c r="G301" i="4" s="1"/>
  <c r="G111" i="4" s="1"/>
  <c r="G120" i="4" s="1"/>
  <c r="G426" i="4"/>
  <c r="G427" i="4" s="1"/>
  <c r="G428" i="4" s="1"/>
  <c r="G189" i="4" s="1"/>
  <c r="C331" i="4"/>
  <c r="H13" i="35"/>
  <c r="C461" i="4"/>
  <c r="C324" i="4"/>
  <c r="G468" i="4"/>
  <c r="D468" i="4"/>
  <c r="C447" i="4"/>
  <c r="H255" i="4" l="1"/>
  <c r="E249" i="4"/>
  <c r="G39" i="6"/>
  <c r="G40" i="6" s="1"/>
  <c r="G14" i="35"/>
  <c r="G16" i="35" s="1"/>
  <c r="H10" i="35"/>
  <c r="H39" i="6"/>
  <c r="H40" i="6" s="1"/>
  <c r="H254" i="4"/>
  <c r="C14" i="35"/>
  <c r="H529" i="4"/>
  <c r="H530" i="4" s="1"/>
  <c r="F509" i="4"/>
  <c r="F241" i="4" s="1"/>
  <c r="G255" i="4"/>
  <c r="G249" i="4"/>
  <c r="I509" i="4"/>
  <c r="I241" i="4" s="1"/>
  <c r="I244" i="4" s="1"/>
  <c r="I257" i="4" s="1"/>
  <c r="F15" i="35"/>
  <c r="F17" i="35" s="1"/>
  <c r="F25" i="35" s="1"/>
  <c r="G529" i="4"/>
  <c r="G530" i="4" s="1"/>
  <c r="G254" i="4"/>
  <c r="H249" i="4"/>
  <c r="I529" i="4"/>
  <c r="I530" i="4" s="1"/>
  <c r="I164" i="4"/>
  <c r="I166" i="4" s="1"/>
  <c r="I175" i="4" s="1"/>
  <c r="E529" i="4"/>
  <c r="E530" i="4" s="1"/>
  <c r="E254" i="4"/>
  <c r="C377" i="4"/>
  <c r="G509" i="4"/>
  <c r="G241" i="4" s="1"/>
  <c r="G247" i="4" s="1"/>
  <c r="G253" i="4" s="1"/>
  <c r="C520" i="4"/>
  <c r="C506" i="4"/>
  <c r="E255" i="4"/>
  <c r="E39" i="6"/>
  <c r="E40" i="6" s="1"/>
  <c r="E164" i="4"/>
  <c r="E166" i="4" s="1"/>
  <c r="E175" i="4" s="1"/>
  <c r="C528" i="4"/>
  <c r="C391" i="4"/>
  <c r="C384" i="4"/>
  <c r="C527" i="4"/>
  <c r="F529" i="4"/>
  <c r="F530" i="4" s="1"/>
  <c r="C513" i="4"/>
  <c r="F164" i="4"/>
  <c r="F166" i="4" s="1"/>
  <c r="F175" i="4" s="1"/>
  <c r="G409" i="4"/>
  <c r="G438" i="4"/>
  <c r="D438" i="4"/>
  <c r="E409" i="4"/>
  <c r="E438" i="4"/>
  <c r="H409" i="4"/>
  <c r="H438" i="4"/>
  <c r="D16" i="35"/>
  <c r="G15" i="35"/>
  <c r="G17" i="35" s="1"/>
  <c r="G27" i="35" s="1"/>
  <c r="G467" i="4"/>
  <c r="D330" i="4"/>
  <c r="D332" i="4" s="1"/>
  <c r="D333" i="4" s="1"/>
  <c r="D128" i="4" s="1"/>
  <c r="I446" i="4"/>
  <c r="I448" i="4" s="1"/>
  <c r="I449" i="4" s="1"/>
  <c r="I204" i="4" s="1"/>
  <c r="F446" i="4"/>
  <c r="F448" i="4" s="1"/>
  <c r="F449" i="4" s="1"/>
  <c r="F204" i="4" s="1"/>
  <c r="G446" i="4"/>
  <c r="G448" i="4" s="1"/>
  <c r="E460" i="4"/>
  <c r="E462" i="4" s="1"/>
  <c r="E463" i="4" s="1"/>
  <c r="E206" i="4" s="1"/>
  <c r="H467" i="4"/>
  <c r="H316" i="4"/>
  <c r="H318" i="4" s="1"/>
  <c r="H319" i="4" s="1"/>
  <c r="H126" i="4" s="1"/>
  <c r="F460" i="4"/>
  <c r="F462" i="4" s="1"/>
  <c r="F463" i="4" s="1"/>
  <c r="F206" i="4" s="1"/>
  <c r="F218" i="4" s="1"/>
  <c r="H330" i="4"/>
  <c r="H332" i="4" s="1"/>
  <c r="H333" i="4" s="1"/>
  <c r="H128" i="4" s="1"/>
  <c r="H137" i="4" s="1"/>
  <c r="D323" i="4"/>
  <c r="D325" i="4" s="1"/>
  <c r="D326" i="4" s="1"/>
  <c r="D127" i="4" s="1"/>
  <c r="G323" i="4"/>
  <c r="G453" i="4"/>
  <c r="G455" i="4" s="1"/>
  <c r="G456" i="4" s="1"/>
  <c r="G205" i="4" s="1"/>
  <c r="I453" i="4"/>
  <c r="I455" i="4" s="1"/>
  <c r="I456" i="4" s="1"/>
  <c r="I205" i="4" s="1"/>
  <c r="F467" i="4"/>
  <c r="E323" i="4"/>
  <c r="E325" i="4" s="1"/>
  <c r="E326" i="4" s="1"/>
  <c r="E127" i="4" s="1"/>
  <c r="E136" i="4" s="1"/>
  <c r="E316" i="4"/>
  <c r="E318" i="4" s="1"/>
  <c r="E319" i="4" s="1"/>
  <c r="E126" i="4" s="1"/>
  <c r="G460" i="4"/>
  <c r="E467" i="4"/>
  <c r="I330" i="4"/>
  <c r="I332" i="4" s="1"/>
  <c r="I333" i="4" s="1"/>
  <c r="I128" i="4" s="1"/>
  <c r="E446" i="4"/>
  <c r="E448" i="4" s="1"/>
  <c r="E449" i="4" s="1"/>
  <c r="E204" i="4" s="1"/>
  <c r="F316" i="4"/>
  <c r="F318" i="4" s="1"/>
  <c r="F319" i="4" s="1"/>
  <c r="F126" i="4" s="1"/>
  <c r="D316" i="4"/>
  <c r="D318" i="4" s="1"/>
  <c r="D319" i="4" s="1"/>
  <c r="D126" i="4" s="1"/>
  <c r="E453" i="4"/>
  <c r="E455" i="4" s="1"/>
  <c r="E456" i="4" s="1"/>
  <c r="E205" i="4" s="1"/>
  <c r="I467" i="4"/>
  <c r="H453" i="4"/>
  <c r="H455" i="4" s="1"/>
  <c r="H456" i="4" s="1"/>
  <c r="H205" i="4" s="1"/>
  <c r="D460" i="4"/>
  <c r="D462" i="4" s="1"/>
  <c r="D463" i="4" s="1"/>
  <c r="D206" i="4" s="1"/>
  <c r="I316" i="4"/>
  <c r="I318" i="4" s="1"/>
  <c r="I319" i="4" s="1"/>
  <c r="I126" i="4" s="1"/>
  <c r="G316" i="4"/>
  <c r="G318" i="4" s="1"/>
  <c r="G319" i="4" s="1"/>
  <c r="G126" i="4" s="1"/>
  <c r="G330" i="4"/>
  <c r="G332" i="4" s="1"/>
  <c r="G333" i="4" s="1"/>
  <c r="G128" i="4" s="1"/>
  <c r="G137" i="4" s="1"/>
  <c r="H323" i="4"/>
  <c r="H325" i="4" s="1"/>
  <c r="H326" i="4" s="1"/>
  <c r="H127" i="4" s="1"/>
  <c r="H136" i="4" s="1"/>
  <c r="I323" i="4"/>
  <c r="I325" i="4" s="1"/>
  <c r="I326" i="4" s="1"/>
  <c r="I127" i="4" s="1"/>
  <c r="F323" i="4"/>
  <c r="F325" i="4" s="1"/>
  <c r="F326" i="4" s="1"/>
  <c r="F127" i="4" s="1"/>
  <c r="F330" i="4"/>
  <c r="F332" i="4" s="1"/>
  <c r="F333" i="4" s="1"/>
  <c r="F128" i="4" s="1"/>
  <c r="D453" i="4"/>
  <c r="D455" i="4" s="1"/>
  <c r="I460" i="4"/>
  <c r="I462" i="4" s="1"/>
  <c r="I463" i="4" s="1"/>
  <c r="I206" i="4" s="1"/>
  <c r="F453" i="4"/>
  <c r="F455" i="4" s="1"/>
  <c r="F456" i="4" s="1"/>
  <c r="F205" i="4" s="1"/>
  <c r="D446" i="4"/>
  <c r="H460" i="4"/>
  <c r="H462" i="4" s="1"/>
  <c r="H463" i="4" s="1"/>
  <c r="H206" i="4" s="1"/>
  <c r="H446" i="4"/>
  <c r="H448" i="4" s="1"/>
  <c r="H449" i="4" s="1"/>
  <c r="H204" i="4" s="1"/>
  <c r="D467" i="4"/>
  <c r="D237" i="4"/>
  <c r="C486" i="4"/>
  <c r="C225" i="4"/>
  <c r="C231" i="4" s="1"/>
  <c r="G230" i="4"/>
  <c r="G236" i="4" s="1"/>
  <c r="F523" i="4"/>
  <c r="F243" i="4" s="1"/>
  <c r="C226" i="4"/>
  <c r="C238" i="4" s="1"/>
  <c r="E509" i="4"/>
  <c r="E241" i="4" s="1"/>
  <c r="E244" i="4" s="1"/>
  <c r="C493" i="4"/>
  <c r="D238" i="4"/>
  <c r="H509" i="4"/>
  <c r="H241" i="4" s="1"/>
  <c r="H244" i="4" s="1"/>
  <c r="D148" i="4"/>
  <c r="D150" i="4" s="1"/>
  <c r="D157" i="4" s="1"/>
  <c r="C479" i="4"/>
  <c r="C356" i="4"/>
  <c r="G170" i="4"/>
  <c r="G164" i="4"/>
  <c r="G166" i="4" s="1"/>
  <c r="D509" i="4"/>
  <c r="D241" i="4" s="1"/>
  <c r="D529" i="4"/>
  <c r="C508" i="4"/>
  <c r="H170" i="4"/>
  <c r="H164" i="4"/>
  <c r="H166" i="4" s="1"/>
  <c r="D394" i="4"/>
  <c r="D163" i="4" s="1"/>
  <c r="C393" i="4"/>
  <c r="D387" i="4"/>
  <c r="D162" i="4" s="1"/>
  <c r="C386" i="4"/>
  <c r="D523" i="4"/>
  <c r="D243" i="4" s="1"/>
  <c r="C522" i="4"/>
  <c r="C154" i="4"/>
  <c r="C146" i="4"/>
  <c r="C155" i="4" s="1"/>
  <c r="D155" i="4"/>
  <c r="C147" i="4"/>
  <c r="C156" i="4" s="1"/>
  <c r="D156" i="4"/>
  <c r="D516" i="4"/>
  <c r="D242" i="4" s="1"/>
  <c r="C515" i="4"/>
  <c r="C499" i="4"/>
  <c r="D500" i="4"/>
  <c r="C224" i="4"/>
  <c r="E230" i="4"/>
  <c r="E236" i="4" s="1"/>
  <c r="E227" i="4"/>
  <c r="E233" i="4" s="1"/>
  <c r="D170" i="4"/>
  <c r="C161" i="4"/>
  <c r="C363" i="4"/>
  <c r="C379" i="4"/>
  <c r="D230" i="4"/>
  <c r="D236" i="4" s="1"/>
  <c r="D227" i="4"/>
  <c r="D233" i="4" s="1"/>
  <c r="C308" i="4"/>
  <c r="D309" i="4"/>
  <c r="H289" i="4"/>
  <c r="H290" i="4" s="1"/>
  <c r="H110" i="4" s="1"/>
  <c r="E289" i="4"/>
  <c r="E290" i="4" s="1"/>
  <c r="E110" i="4" s="1"/>
  <c r="G194" i="4"/>
  <c r="G200" i="4"/>
  <c r="C408" i="4"/>
  <c r="D409" i="4"/>
  <c r="E194" i="4"/>
  <c r="E200" i="4"/>
  <c r="E332" i="4"/>
  <c r="E333" i="4" s="1"/>
  <c r="E128" i="4" s="1"/>
  <c r="E137" i="4" s="1"/>
  <c r="G289" i="4"/>
  <c r="G290" i="4" s="1"/>
  <c r="G110" i="4" s="1"/>
  <c r="C417" i="4"/>
  <c r="D418" i="4"/>
  <c r="C418" i="4" s="1"/>
  <c r="C468" i="4"/>
  <c r="C426" i="4"/>
  <c r="D427" i="4"/>
  <c r="H200" i="4"/>
  <c r="H194" i="4"/>
  <c r="E195" i="4"/>
  <c r="E201" i="4"/>
  <c r="G201" i="4"/>
  <c r="G195" i="4"/>
  <c r="C288" i="4"/>
  <c r="D289" i="4"/>
  <c r="H201" i="4"/>
  <c r="H195" i="4"/>
  <c r="E25" i="35"/>
  <c r="C299" i="4"/>
  <c r="D300" i="4"/>
  <c r="F255" i="4" l="1"/>
  <c r="C16" i="35"/>
  <c r="H16" i="35" s="1"/>
  <c r="C15" i="35"/>
  <c r="D17" i="35"/>
  <c r="D25" i="35" s="1"/>
  <c r="H14" i="35"/>
  <c r="G244" i="4"/>
  <c r="G257" i="4" s="1"/>
  <c r="E173" i="4"/>
  <c r="E42" i="6"/>
  <c r="E43" i="6" s="1"/>
  <c r="E45" i="6" s="1"/>
  <c r="C380" i="4"/>
  <c r="H410" i="4"/>
  <c r="H439" i="4"/>
  <c r="E410" i="4"/>
  <c r="E439" i="4"/>
  <c r="F19" i="35"/>
  <c r="C409" i="4"/>
  <c r="D439" i="4"/>
  <c r="G410" i="4"/>
  <c r="G439" i="4"/>
  <c r="G25" i="35"/>
  <c r="F27" i="35"/>
  <c r="C446" i="4"/>
  <c r="C453" i="4"/>
  <c r="C460" i="4"/>
  <c r="F244" i="4"/>
  <c r="F257" i="4" s="1"/>
  <c r="C330" i="4"/>
  <c r="C323" i="4"/>
  <c r="D448" i="4"/>
  <c r="D449" i="4" s="1"/>
  <c r="D204" i="4" s="1"/>
  <c r="D210" i="4" s="1"/>
  <c r="D216" i="4" s="1"/>
  <c r="F39" i="6"/>
  <c r="F40" i="6" s="1"/>
  <c r="C316" i="4"/>
  <c r="C467" i="4"/>
  <c r="G462" i="4"/>
  <c r="G463" i="4" s="1"/>
  <c r="G206" i="4" s="1"/>
  <c r="G212" i="4" s="1"/>
  <c r="G325" i="4"/>
  <c r="G326" i="4" s="1"/>
  <c r="G127" i="4" s="1"/>
  <c r="G136" i="4" s="1"/>
  <c r="C237" i="4"/>
  <c r="C232" i="4"/>
  <c r="E247" i="4"/>
  <c r="E253" i="4" s="1"/>
  <c r="C394" i="4"/>
  <c r="C387" i="4"/>
  <c r="H247" i="4"/>
  <c r="H253" i="4" s="1"/>
  <c r="C500" i="4"/>
  <c r="C509" i="4"/>
  <c r="C523" i="4"/>
  <c r="D248" i="4"/>
  <c r="D254" i="4"/>
  <c r="C242" i="4"/>
  <c r="C163" i="4"/>
  <c r="C172" i="4" s="1"/>
  <c r="D172" i="4"/>
  <c r="E257" i="4"/>
  <c r="E250" i="4"/>
  <c r="C230" i="4"/>
  <c r="C236" i="4" s="1"/>
  <c r="C227" i="4"/>
  <c r="C233" i="4" s="1"/>
  <c r="C243" i="4"/>
  <c r="D39" i="6"/>
  <c r="D249" i="4"/>
  <c r="D255" i="4"/>
  <c r="H257" i="4"/>
  <c r="H250" i="4"/>
  <c r="D530" i="4"/>
  <c r="C529" i="4"/>
  <c r="G449" i="4"/>
  <c r="G204" i="4" s="1"/>
  <c r="D247" i="4"/>
  <c r="D253" i="4" s="1"/>
  <c r="C241" i="4"/>
  <c r="C247" i="4" s="1"/>
  <c r="C253" i="4" s="1"/>
  <c r="D244" i="4"/>
  <c r="C170" i="4"/>
  <c r="D171" i="4"/>
  <c r="C162" i="4"/>
  <c r="C171" i="4" s="1"/>
  <c r="H42" i="6"/>
  <c r="H43" i="6" s="1"/>
  <c r="H45" i="6" s="1"/>
  <c r="H173" i="4"/>
  <c r="H175" i="4"/>
  <c r="G42" i="6"/>
  <c r="G43" i="6" s="1"/>
  <c r="G45" i="6" s="1"/>
  <c r="G175" i="4"/>
  <c r="G173" i="4"/>
  <c r="C289" i="4"/>
  <c r="D164" i="4"/>
  <c r="D166" i="4" s="1"/>
  <c r="C516" i="4"/>
  <c r="C148" i="4"/>
  <c r="C150" i="4" s="1"/>
  <c r="C157" i="4" s="1"/>
  <c r="G135" i="4"/>
  <c r="G217" i="4"/>
  <c r="G211" i="4"/>
  <c r="I129" i="4"/>
  <c r="H129" i="4"/>
  <c r="H135" i="4"/>
  <c r="E129" i="4"/>
  <c r="E135" i="4"/>
  <c r="I207" i="4"/>
  <c r="I220" i="4" s="1"/>
  <c r="H211" i="4"/>
  <c r="H217" i="4"/>
  <c r="D135" i="4"/>
  <c r="C126" i="4"/>
  <c r="D129" i="4"/>
  <c r="H212" i="4"/>
  <c r="H218" i="4"/>
  <c r="E212" i="4"/>
  <c r="E218" i="4"/>
  <c r="D410" i="4"/>
  <c r="E119" i="4"/>
  <c r="E113" i="4"/>
  <c r="E115" i="4" s="1"/>
  <c r="E122" i="4" s="1"/>
  <c r="G113" i="4"/>
  <c r="G115" i="4" s="1"/>
  <c r="G122" i="4" s="1"/>
  <c r="G119" i="4"/>
  <c r="E211" i="4"/>
  <c r="E217" i="4"/>
  <c r="C438" i="4"/>
  <c r="C128" i="4"/>
  <c r="C137" i="4" s="1"/>
  <c r="D137" i="4"/>
  <c r="H119" i="4"/>
  <c r="H113" i="4"/>
  <c r="H115" i="4" s="1"/>
  <c r="H122" i="4" s="1"/>
  <c r="D428" i="4"/>
  <c r="D189" i="4" s="1"/>
  <c r="C427" i="4"/>
  <c r="F207" i="4"/>
  <c r="F220" i="4" s="1"/>
  <c r="I469" i="4"/>
  <c r="I470" i="4" s="1"/>
  <c r="D310" i="4"/>
  <c r="D112" i="4" s="1"/>
  <c r="C309" i="4"/>
  <c r="C332" i="4"/>
  <c r="F469" i="4"/>
  <c r="F470" i="4" s="1"/>
  <c r="D456" i="4"/>
  <c r="D205" i="4" s="1"/>
  <c r="C455" i="4"/>
  <c r="E210" i="4"/>
  <c r="E216" i="4" s="1"/>
  <c r="E207" i="4"/>
  <c r="D136" i="4"/>
  <c r="H210" i="4"/>
  <c r="H216" i="4" s="1"/>
  <c r="H207" i="4"/>
  <c r="E469" i="4"/>
  <c r="E470" i="4" s="1"/>
  <c r="H469" i="4"/>
  <c r="H470" i="4" s="1"/>
  <c r="D419" i="4"/>
  <c r="D188" i="4" s="1"/>
  <c r="D218" i="4"/>
  <c r="D212" i="4"/>
  <c r="F129" i="4"/>
  <c r="D301" i="4"/>
  <c r="D111" i="4" s="1"/>
  <c r="C300" i="4"/>
  <c r="C318" i="4"/>
  <c r="D290" i="4"/>
  <c r="D110" i="4" s="1"/>
  <c r="C17" i="35" l="1"/>
  <c r="H17" i="35" s="1"/>
  <c r="D27" i="35"/>
  <c r="D19" i="35"/>
  <c r="H15" i="35"/>
  <c r="G250" i="4"/>
  <c r="C410" i="4"/>
  <c r="D187" i="4"/>
  <c r="D193" i="4" s="1"/>
  <c r="D199" i="4" s="1"/>
  <c r="D430" i="4"/>
  <c r="D440" i="4"/>
  <c r="G187" i="4"/>
  <c r="G440" i="4"/>
  <c r="G430" i="4"/>
  <c r="E187" i="4"/>
  <c r="E430" i="4"/>
  <c r="E440" i="4"/>
  <c r="H187" i="4"/>
  <c r="H440" i="4"/>
  <c r="H430" i="4"/>
  <c r="G19" i="35"/>
  <c r="C462" i="4"/>
  <c r="C463" i="4" s="1"/>
  <c r="C206" i="4"/>
  <c r="C218" i="4" s="1"/>
  <c r="G218" i="4"/>
  <c r="D207" i="4"/>
  <c r="D213" i="4" s="1"/>
  <c r="G469" i="4"/>
  <c r="G470" i="4" s="1"/>
  <c r="C333" i="4"/>
  <c r="C204" i="4"/>
  <c r="C210" i="4" s="1"/>
  <c r="C216" i="4" s="1"/>
  <c r="C448" i="4"/>
  <c r="C449" i="4" s="1"/>
  <c r="D469" i="4"/>
  <c r="C319" i="4"/>
  <c r="F42" i="6"/>
  <c r="F43" i="6" s="1"/>
  <c r="F45" i="6" s="1"/>
  <c r="C325" i="4"/>
  <c r="C326" i="4" s="1"/>
  <c r="C127" i="4"/>
  <c r="C136" i="4" s="1"/>
  <c r="G129" i="4"/>
  <c r="G86" i="4" s="1"/>
  <c r="C456" i="4"/>
  <c r="C301" i="4"/>
  <c r="C530" i="4"/>
  <c r="C428" i="4"/>
  <c r="G210" i="4"/>
  <c r="G216" i="4" s="1"/>
  <c r="C310" i="4"/>
  <c r="G207" i="4"/>
  <c r="G213" i="4" s="1"/>
  <c r="C244" i="4"/>
  <c r="D257" i="4"/>
  <c r="D250" i="4"/>
  <c r="C39" i="6"/>
  <c r="C40" i="6" s="1"/>
  <c r="D40" i="6"/>
  <c r="C249" i="4"/>
  <c r="C255" i="4"/>
  <c r="D173" i="4"/>
  <c r="D42" i="6"/>
  <c r="D43" i="6" s="1"/>
  <c r="D175" i="4"/>
  <c r="C248" i="4"/>
  <c r="C254" i="4"/>
  <c r="C164" i="4"/>
  <c r="C166" i="4" s="1"/>
  <c r="E213" i="4"/>
  <c r="H131" i="4"/>
  <c r="H86" i="4"/>
  <c r="I131" i="4"/>
  <c r="I140" i="4" s="1"/>
  <c r="I86" i="4"/>
  <c r="D120" i="4"/>
  <c r="C111" i="4"/>
  <c r="C120" i="4" s="1"/>
  <c r="D121" i="4"/>
  <c r="C112" i="4"/>
  <c r="C121" i="4" s="1"/>
  <c r="D217" i="4"/>
  <c r="D211" i="4"/>
  <c r="D131" i="4"/>
  <c r="D86" i="4"/>
  <c r="D87" i="4" s="1"/>
  <c r="C135" i="4"/>
  <c r="C205" i="4"/>
  <c r="D194" i="4"/>
  <c r="C188" i="4"/>
  <c r="D200" i="4"/>
  <c r="H213" i="4"/>
  <c r="F86" i="4"/>
  <c r="F131" i="4"/>
  <c r="F140" i="4" s="1"/>
  <c r="C290" i="4"/>
  <c r="D201" i="4"/>
  <c r="D195" i="4"/>
  <c r="C189" i="4"/>
  <c r="C439" i="4"/>
  <c r="E131" i="4"/>
  <c r="E86" i="4"/>
  <c r="C419" i="4"/>
  <c r="D113" i="4"/>
  <c r="D115" i="4" s="1"/>
  <c r="D122" i="4" s="1"/>
  <c r="D119" i="4"/>
  <c r="C110" i="4"/>
  <c r="H27" i="35" l="1"/>
  <c r="F28" i="35" s="1"/>
  <c r="C27" i="35"/>
  <c r="C19" i="35"/>
  <c r="C25" i="35"/>
  <c r="H25" i="35" s="1"/>
  <c r="D190" i="4"/>
  <c r="D196" i="4" s="1"/>
  <c r="D140" i="4"/>
  <c r="C187" i="4"/>
  <c r="C193" i="4" s="1"/>
  <c r="C199" i="4" s="1"/>
  <c r="E190" i="4"/>
  <c r="E193" i="4"/>
  <c r="E199" i="4" s="1"/>
  <c r="G193" i="4"/>
  <c r="G199" i="4" s="1"/>
  <c r="G190" i="4"/>
  <c r="G196" i="4" s="1"/>
  <c r="H193" i="4"/>
  <c r="H199" i="4" s="1"/>
  <c r="H190" i="4"/>
  <c r="C212" i="4"/>
  <c r="C469" i="4"/>
  <c r="G131" i="4"/>
  <c r="G138" i="4" s="1"/>
  <c r="C129" i="4"/>
  <c r="C131" i="4" s="1"/>
  <c r="D470" i="4"/>
  <c r="C430" i="4"/>
  <c r="C431" i="4" s="1"/>
  <c r="C175" i="4"/>
  <c r="C42" i="6"/>
  <c r="C43" i="6" s="1"/>
  <c r="C45" i="6" s="1"/>
  <c r="C173" i="4"/>
  <c r="D45" i="6"/>
  <c r="C257" i="4"/>
  <c r="C250" i="4"/>
  <c r="C194" i="4"/>
  <c r="C200" i="4"/>
  <c r="H140" i="4"/>
  <c r="H138" i="4"/>
  <c r="F87" i="4"/>
  <c r="F88" i="4"/>
  <c r="C440" i="4"/>
  <c r="D88" i="4"/>
  <c r="D138" i="4"/>
  <c r="C113" i="4"/>
  <c r="C119" i="4"/>
  <c r="G87" i="4"/>
  <c r="G88" i="4" s="1"/>
  <c r="E87" i="4"/>
  <c r="E88" i="4" s="1"/>
  <c r="I88" i="4"/>
  <c r="I87" i="4"/>
  <c r="C217" i="4"/>
  <c r="C211" i="4"/>
  <c r="C201" i="4"/>
  <c r="C195" i="4"/>
  <c r="E140" i="4"/>
  <c r="E138" i="4"/>
  <c r="C207" i="4"/>
  <c r="H87" i="4"/>
  <c r="H88" i="4" s="1"/>
  <c r="H19" i="35" l="1"/>
  <c r="G20" i="35" s="1"/>
  <c r="H28" i="35"/>
  <c r="C28" i="35"/>
  <c r="D220" i="4"/>
  <c r="C87" i="4"/>
  <c r="D28" i="35"/>
  <c r="H196" i="4"/>
  <c r="H220" i="4"/>
  <c r="C190" i="4"/>
  <c r="C196" i="4" s="1"/>
  <c r="G220" i="4"/>
  <c r="E196" i="4"/>
  <c r="E220" i="4"/>
  <c r="C470" i="4"/>
  <c r="G140" i="4"/>
  <c r="C132" i="4"/>
  <c r="C86" i="4"/>
  <c r="G28" i="35"/>
  <c r="C138" i="4"/>
  <c r="C115" i="4"/>
  <c r="C122" i="4" s="1"/>
  <c r="C116" i="4"/>
  <c r="C213" i="4"/>
  <c r="C20" i="35" l="1"/>
  <c r="H20" i="35"/>
  <c r="D20" i="35"/>
  <c r="F20" i="35"/>
  <c r="C88" i="4"/>
  <c r="C220" i="4"/>
  <c r="C1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KZX5DR</author>
  </authors>
  <commentList>
    <comment ref="C22" authorId="0" shapeId="0" xr:uid="{00000000-0006-0000-0000-000001000000}">
      <text>
        <r>
          <rPr>
            <sz val="8"/>
            <color indexed="81"/>
            <rFont val="Tahoma"/>
            <family val="2"/>
          </rPr>
          <t>FALSE will let it print as many as it takes; don't have to enter a known fixed quantity.</t>
        </r>
      </text>
    </comment>
    <comment ref="G22" authorId="0" shapeId="0" xr:uid="{00000000-0006-0000-0000-000002000000}">
      <text>
        <r>
          <rPr>
            <sz val="8"/>
            <color indexed="81"/>
            <rFont val="Tahoma"/>
            <family val="2"/>
          </rPr>
          <t>FALSE will let it print as many as it takes; don't have to enter a known fixed quantity.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  <author>gzhkw6</author>
    <author>Anderson, Joel</author>
  </authors>
  <commentList>
    <comment ref="AX200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Misc Property Amort (Line 219)
</t>
        </r>
      </text>
    </comment>
    <comment ref="E213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Leasehold improvement amortization</t>
        </r>
      </text>
    </comment>
    <comment ref="AX295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Difference is customer advances and customer deposits</t>
        </r>
      </text>
    </comment>
    <comment ref="D317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UG Storage Amort</t>
        </r>
      </text>
    </comment>
    <comment ref="E346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leasehold improvement accumulated amortization</t>
        </r>
      </text>
    </comment>
    <comment ref="Z386" authorId="2" shapeId="0" xr:uid="{E8EA1B59-C93D-4956-B4BA-2FEC09C35822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1,761,000 is for Special contract reversal. 148</t>
        </r>
      </text>
    </comment>
    <comment ref="AX386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moved special contract revenue to Other Gas Revenue</t>
        </r>
      </text>
    </comment>
    <comment ref="Z397" authorId="2" shapeId="0" xr:uid="{5D26D2EE-52EF-4554-BEC3-6982AA26216E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1,761,000 is for Special contract reversal. 148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A28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From 122 to 132 (Dec 2012)</t>
        </r>
      </text>
    </comment>
    <comment ref="A32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2 meters</t>
        </r>
      </text>
    </comment>
    <comment ref="A58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Land O'Lakes
</t>
        </r>
      </text>
    </comment>
    <comment ref="A59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Feb of 2012</t>
        </r>
      </text>
    </comment>
    <comment ref="A62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2 Meters</t>
        </r>
      </text>
    </comment>
    <comment ref="A69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opened sept of 2012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KZX5DR</author>
    <author>Joe Miller</author>
  </authors>
  <commentList>
    <comment ref="D34" authorId="0" shapeId="0" xr:uid="{00000000-0006-0000-0D00-000001000000}">
      <text>
        <r>
          <rPr>
            <sz val="11"/>
            <color indexed="81"/>
            <rFont val="Tahoma"/>
            <family val="2"/>
          </rPr>
          <t>(HDD for Pk Dy * Coeff for Sch-Class + Baseload for Sch-Class/Avg Dys in Mo.) * Monthly Cust. for Sch-Class.</t>
        </r>
      </text>
    </comment>
    <comment ref="D39" authorId="0" shapeId="0" xr:uid="{00000000-0006-0000-0D00-000002000000}">
      <text>
        <r>
          <rPr>
            <sz val="11"/>
            <color indexed="81"/>
            <rFont val="Tahoma"/>
            <family val="2"/>
          </rPr>
          <t>Monthly Therms for Sch-Class * Day's HDD / Month's HDD</t>
        </r>
      </text>
    </comment>
    <comment ref="D46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average of monthly usage</t>
        </r>
      </text>
    </comment>
    <comment ref="D54" authorId="0" shapeId="0" xr:uid="{00000000-0006-0000-0D00-000004000000}">
      <text>
        <r>
          <rPr>
            <sz val="11"/>
            <color indexed="81"/>
            <rFont val="Tahoma"/>
            <family val="2"/>
          </rPr>
          <t>from previous tab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F42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switched from 122 Nov 2011</t>
        </r>
      </text>
    </comment>
    <comment ref="F43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switched from 122 in early 2012</t>
        </r>
      </text>
    </comment>
    <comment ref="F44" authorId="0" shapeId="0" xr:uid="{00000000-0006-0000-1000-000004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switched from 111/112 March 1, 2012
</t>
        </r>
      </text>
    </comment>
    <comment ref="F45" authorId="0" shapeId="0" xr:uid="{00000000-0006-0000-1000-000005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switched from 111/112 March 1, 2012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L10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Joel Anderson:</t>
        </r>
        <r>
          <rPr>
            <sz val="9"/>
            <color indexed="81"/>
            <rFont val="Tahoma"/>
            <family val="2"/>
          </rPr>
          <t xml:space="preserve">
Used weighting from prior meter count report to assign meters to 2019</t>
        </r>
      </text>
    </comment>
    <comment ref="A15" authorId="0" shapeId="0" xr:uid="{00000000-0006-0000-1100-000002000000}">
      <text>
        <r>
          <rPr>
            <b/>
            <sz val="8"/>
            <color indexed="81"/>
            <rFont val="Tahoma"/>
            <family val="2"/>
          </rPr>
          <t>Joel Anderson:</t>
        </r>
        <r>
          <rPr>
            <sz val="8"/>
            <color indexed="81"/>
            <rFont val="Tahoma"/>
            <family val="2"/>
          </rPr>
          <t xml:space="preserve">
Total average monthly bills from test period.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8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from revenue study</t>
        </r>
      </text>
    </comment>
  </commentList>
</comments>
</file>

<file path=xl/sharedStrings.xml><?xml version="1.0" encoding="utf-8"?>
<sst xmlns="http://schemas.openxmlformats.org/spreadsheetml/2006/main" count="4324" uniqueCount="1490">
  <si>
    <t>Operation &amp; Maintenance Expenses</t>
  </si>
  <si>
    <t>Supervision &amp; Engineering</t>
  </si>
  <si>
    <t>Rents</t>
  </si>
  <si>
    <t>Proforma</t>
  </si>
  <si>
    <t>Description</t>
  </si>
  <si>
    <t>Totals</t>
  </si>
  <si>
    <t>Distribution Expenses</t>
  </si>
  <si>
    <t>Total Distribution Operation</t>
  </si>
  <si>
    <t>Meters</t>
  </si>
  <si>
    <t>Total Distribution Maintenance</t>
  </si>
  <si>
    <t>Total Distribution Expenses</t>
  </si>
  <si>
    <t>Customer Accounting Expenses</t>
  </si>
  <si>
    <t>901-OP</t>
  </si>
  <si>
    <t>Supervision</t>
  </si>
  <si>
    <t>902-OP</t>
  </si>
  <si>
    <t>Meter Reading</t>
  </si>
  <si>
    <t>903-OP</t>
  </si>
  <si>
    <t>904-OP</t>
  </si>
  <si>
    <t>Uncollectible Accounts</t>
  </si>
  <si>
    <t>905-OP</t>
  </si>
  <si>
    <t>Misc Customer Accounts Expenses</t>
  </si>
  <si>
    <t>Total Customer Accounting Expenses</t>
  </si>
  <si>
    <t>Customer Information Expenses</t>
  </si>
  <si>
    <t>907-OP</t>
  </si>
  <si>
    <t>908-OP</t>
  </si>
  <si>
    <t>Customer Assistance Expenses</t>
  </si>
  <si>
    <t>909-OP</t>
  </si>
  <si>
    <t>Advertising</t>
  </si>
  <si>
    <t>910-OP</t>
  </si>
  <si>
    <t>Total Customer Information Expenses</t>
  </si>
  <si>
    <t>Sales Expenses</t>
  </si>
  <si>
    <t>911-OP</t>
  </si>
  <si>
    <t>912-OP</t>
  </si>
  <si>
    <t>Demonstrating &amp; Selling Expenses</t>
  </si>
  <si>
    <t>913-OP</t>
  </si>
  <si>
    <t>Advertising Expenses</t>
  </si>
  <si>
    <t>916-OP</t>
  </si>
  <si>
    <t>Misc Sales Expenses</t>
  </si>
  <si>
    <t>Total Sales Expenses</t>
  </si>
  <si>
    <t>Subtotal Expenses</t>
  </si>
  <si>
    <t>Administrative &amp; General Expenses</t>
  </si>
  <si>
    <t>920-OP</t>
  </si>
  <si>
    <t>Admin &amp; General Salaries</t>
  </si>
  <si>
    <t>921-OP</t>
  </si>
  <si>
    <t>Office Supplies &amp; Expenses</t>
  </si>
  <si>
    <t>922-OP</t>
  </si>
  <si>
    <t>Admin Expenses Transferred - CR</t>
  </si>
  <si>
    <t>923-OP</t>
  </si>
  <si>
    <t>Outside Services Employed</t>
  </si>
  <si>
    <t>924-OP</t>
  </si>
  <si>
    <t>Property Insurance Premium</t>
  </si>
  <si>
    <t>925-OP</t>
  </si>
  <si>
    <t>Injuries &amp; Damages</t>
  </si>
  <si>
    <t>926-OP</t>
  </si>
  <si>
    <t>Employee Pension &amp; Benefits</t>
  </si>
  <si>
    <t>927-OP</t>
  </si>
  <si>
    <t>Franchise Requirements</t>
  </si>
  <si>
    <t>928-OP</t>
  </si>
  <si>
    <t>Regulatory Commission Expenses</t>
  </si>
  <si>
    <t>930-OP</t>
  </si>
  <si>
    <t>Miscellaneous &amp; General Expense</t>
  </si>
  <si>
    <t>931-OP</t>
  </si>
  <si>
    <t>935-MT</t>
  </si>
  <si>
    <t>Maintenance of General Plant</t>
  </si>
  <si>
    <t>Total Administrative &amp; General Expenses</t>
  </si>
  <si>
    <t>Total Operating &amp; Maintenance Expenses</t>
  </si>
  <si>
    <t>Taxes Other Than Income Taxes</t>
  </si>
  <si>
    <t>Excise</t>
  </si>
  <si>
    <t>Total Taxes Other Than Income Taxes</t>
  </si>
  <si>
    <t>Depreciation Expense</t>
  </si>
  <si>
    <t>Distribution Plant Depreciation Expense</t>
  </si>
  <si>
    <t>General Plant Depreciation Expense</t>
  </si>
  <si>
    <t>Total Depreciation Expense</t>
  </si>
  <si>
    <t>Amortization</t>
  </si>
  <si>
    <t>Total Amortization Expense</t>
  </si>
  <si>
    <t>Total Income Tax- Federal</t>
  </si>
  <si>
    <t>Total Deferred Income Tax Expense</t>
  </si>
  <si>
    <t>Total Operating Expenses</t>
  </si>
  <si>
    <t>Operating Revenues</t>
  </si>
  <si>
    <t>Other Operating Revenues</t>
  </si>
  <si>
    <t>Miscellaneous Service Revenues</t>
  </si>
  <si>
    <t>Total Other Operating Revenues</t>
  </si>
  <si>
    <t>Total Operating Revenues</t>
  </si>
  <si>
    <t>Rate Base</t>
  </si>
  <si>
    <t>Plant In Service</t>
  </si>
  <si>
    <t>Intangible Plant</t>
  </si>
  <si>
    <t>Miscellaneous - Computer Software</t>
  </si>
  <si>
    <t>Total Intangible Plant</t>
  </si>
  <si>
    <t>Land &amp; Land Rights</t>
  </si>
  <si>
    <t>Structures &amp; Improvements</t>
  </si>
  <si>
    <t>Distribution Plant</t>
  </si>
  <si>
    <t>Services</t>
  </si>
  <si>
    <t>Total Distribution Plant</t>
  </si>
  <si>
    <t>General Plant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</si>
  <si>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</si>
  <si>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</si>
  <si>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</si>
  <si>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</si>
  <si>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</si>
  <si>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</si>
  <si>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</si>
  <si>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</si>
  <si>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</si>
  <si>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Plant In Service</t>
  </si>
  <si>
    <t>Accumulated Reserve For Depreciation</t>
  </si>
  <si>
    <t>Distribution Plant Accumulated Depreciation</t>
  </si>
  <si>
    <t>General Plant Accumulated Depreciation</t>
  </si>
  <si>
    <t>Total Accumulated Reserve for Depreciation</t>
  </si>
  <si>
    <t>Total Amortization</t>
  </si>
  <si>
    <t>Total Net Plant</t>
  </si>
  <si>
    <t>Total Rate Base</t>
  </si>
  <si>
    <t>DEMAND</t>
  </si>
  <si>
    <t>D02</t>
  </si>
  <si>
    <t>R01</t>
  </si>
  <si>
    <t>C01</t>
  </si>
  <si>
    <t>Total Other Rate Base Items</t>
  </si>
  <si>
    <t>Production</t>
  </si>
  <si>
    <t>Income Tax Items</t>
  </si>
  <si>
    <t>Distribution</t>
  </si>
  <si>
    <t>Pre-Tax Operating Income</t>
  </si>
  <si>
    <t>Total</t>
  </si>
  <si>
    <t>CUSTOMER</t>
  </si>
  <si>
    <t>REVENUE</t>
  </si>
  <si>
    <t>derived classif.</t>
  </si>
  <si>
    <t>as all other Dist Ops Exp</t>
  </si>
  <si>
    <t>D01</t>
  </si>
  <si>
    <t>D06</t>
  </si>
  <si>
    <t>D07</t>
  </si>
  <si>
    <t>C02</t>
  </si>
  <si>
    <t>C03</t>
  </si>
  <si>
    <t>C04</t>
  </si>
  <si>
    <t>C06</t>
  </si>
  <si>
    <t>Direct Assigned to Handbilled Customers</t>
  </si>
  <si>
    <t>Input Revenue From Rates</t>
  </si>
  <si>
    <t>allocation basis</t>
  </si>
  <si>
    <t>Customer Weightings</t>
  </si>
  <si>
    <t>Rate of Return</t>
  </si>
  <si>
    <t>Accum Depreciation</t>
  </si>
  <si>
    <t>Net Plant</t>
  </si>
  <si>
    <t>Accumulated Deferred FIT</t>
  </si>
  <si>
    <t>Miscellaneous Rate Base</t>
  </si>
  <si>
    <t>Revenue From Retail Rates</t>
  </si>
  <si>
    <t>Operating Expenses</t>
  </si>
  <si>
    <t>Income Tax</t>
  </si>
  <si>
    <t>Return Ratio</t>
  </si>
  <si>
    <t>Interest Expense</t>
  </si>
  <si>
    <t>Functional Cost Components at Current Return by Schedule</t>
  </si>
  <si>
    <t xml:space="preserve">Distribution </t>
  </si>
  <si>
    <t>Common</t>
  </si>
  <si>
    <t>Functional Cost Components at Uniform Current Return</t>
  </si>
  <si>
    <t>Functional Cost Components at Proposed Return by Schedule</t>
  </si>
  <si>
    <t>Functional Cost Components at Uniform Requested Return</t>
  </si>
  <si>
    <t>O</t>
  </si>
  <si>
    <t>Func</t>
  </si>
  <si>
    <t>P</t>
  </si>
  <si>
    <t>D</t>
  </si>
  <si>
    <t>R</t>
  </si>
  <si>
    <t>C</t>
  </si>
  <si>
    <t>Demand</t>
  </si>
  <si>
    <t>Customer</t>
  </si>
  <si>
    <t>Revenue</t>
  </si>
  <si>
    <t>General</t>
  </si>
  <si>
    <t>Rev. Related items</t>
  </si>
  <si>
    <t>Return on Rate Base</t>
  </si>
  <si>
    <t>Net Production Cost</t>
  </si>
  <si>
    <t>Distribution Exp</t>
  </si>
  <si>
    <t>Net Distribution Cost</t>
  </si>
  <si>
    <t>Distribution Related Rate Base</t>
  </si>
  <si>
    <t>Common Exp</t>
  </si>
  <si>
    <t>Net Common Cost</t>
  </si>
  <si>
    <t>Common Related Rate Base</t>
  </si>
  <si>
    <t>Total Uniform Current Cost</t>
  </si>
  <si>
    <t>Total Current Rate Revenue</t>
  </si>
  <si>
    <t>Total Proposed Rate Revenue</t>
  </si>
  <si>
    <t>Total Accumulated Depreciation</t>
  </si>
  <si>
    <t>Total Revenues</t>
  </si>
  <si>
    <t>Total O&amp;M Expenses</t>
  </si>
  <si>
    <t>Subtotal Production Cost</t>
  </si>
  <si>
    <t>Subtotal Distribution Cost</t>
  </si>
  <si>
    <t>Subtotal Common Cost</t>
  </si>
  <si>
    <t>Non-Revenue related Distrib cost</t>
  </si>
  <si>
    <t>Uncollectibles</t>
  </si>
  <si>
    <t>Commission Fees</t>
  </si>
  <si>
    <t>Washington ExciseTax</t>
  </si>
  <si>
    <t>Proposed Return</t>
  </si>
  <si>
    <t>Proposed Rate Revenue Increase</t>
  </si>
  <si>
    <t>Proposed Misc Revenue Increase</t>
  </si>
  <si>
    <t>Cost Classifications at Current Return by Schedule</t>
  </si>
  <si>
    <t>Cost Classifications at Uniform Current Return</t>
  </si>
  <si>
    <t>Cost Classifications at Proposed Return by Schedule</t>
  </si>
  <si>
    <t>Cost Classifications at Uniform Requested Return</t>
  </si>
  <si>
    <t>Subtotal Demand Cost</t>
  </si>
  <si>
    <t>Demand Related Rate Base</t>
  </si>
  <si>
    <t>Subtotal Customer Cost</t>
  </si>
  <si>
    <t>Customer Related Rate Base</t>
  </si>
  <si>
    <t>Net Energy Cost</t>
  </si>
  <si>
    <t>Net Demand Cost</t>
  </si>
  <si>
    <t>Net Customer Cost</t>
  </si>
  <si>
    <t>Total Cost</t>
  </si>
  <si>
    <t>Adj. Revenue Conversion Items</t>
  </si>
  <si>
    <t>Adj. Revenue Conversion Ratio</t>
  </si>
  <si>
    <t>Adj. Income Tax Items</t>
  </si>
  <si>
    <t>Adj. Return</t>
  </si>
  <si>
    <t>Adj. Income Tax Ratio</t>
  </si>
  <si>
    <t>Adj. Rate Rev. excl Conversion Items</t>
  </si>
  <si>
    <t>Non-Revenue related Energy cost</t>
  </si>
  <si>
    <t>Non-Revenue related Demand cost</t>
  </si>
  <si>
    <t>Non-Revenue related cost</t>
  </si>
  <si>
    <t>Net Cost</t>
  </si>
  <si>
    <t>Non-Revenue related Cust cost</t>
  </si>
  <si>
    <t>Amortization of Misc Intangible Plant</t>
  </si>
  <si>
    <t>Interest Expenses</t>
  </si>
  <si>
    <t>Admin &amp; General Expenses</t>
  </si>
  <si>
    <t>Distribution Plant Depreciation</t>
  </si>
  <si>
    <t>General Plant Depreciation</t>
  </si>
  <si>
    <t>Amortization Expense</t>
  </si>
  <si>
    <t>Current Revenue Requirements</t>
  </si>
  <si>
    <t>classif. basis (line)</t>
  </si>
  <si>
    <t>Total Income Taxes</t>
  </si>
  <si>
    <t>Acct</t>
  </si>
  <si>
    <t>Total Transmission Plant Accum Depr</t>
  </si>
  <si>
    <t>Total General Plant Accum Depreciation</t>
  </si>
  <si>
    <t>Total Distribution Plant Accum Depr</t>
  </si>
  <si>
    <t>Total Transmission Plant Depr Expense</t>
  </si>
  <si>
    <t>Total Distribution Plant Depr Expense</t>
  </si>
  <si>
    <t>Total General Plant Depr Expense</t>
  </si>
  <si>
    <t>Operating Exp before Income Tax items</t>
  </si>
  <si>
    <t>Total Depr &amp; Amort Expense</t>
  </si>
  <si>
    <t>Accum Amort of Intangible Plant-Software</t>
  </si>
  <si>
    <t>Total Accum Reserve for Depr &amp; Amort</t>
  </si>
  <si>
    <t>source</t>
  </si>
  <si>
    <t>input</t>
  </si>
  <si>
    <t>Allocation Factor</t>
  </si>
  <si>
    <t>Abbrev</t>
  </si>
  <si>
    <t>Allocated Dollars - Rate Base</t>
  </si>
  <si>
    <t>Pre-Tax Op Inc (R03)</t>
  </si>
  <si>
    <t>Allocated Dollars - Pre-tax Operating Expenses</t>
  </si>
  <si>
    <t>Underground Storage Plant</t>
  </si>
  <si>
    <t>Wells</t>
  </si>
  <si>
    <t>Lines</t>
  </si>
  <si>
    <t>Compressor Station Equipment</t>
  </si>
  <si>
    <t>Measuring &amp; Regulating Equipment</t>
  </si>
  <si>
    <t>Purification Equipment</t>
  </si>
  <si>
    <t>Other Equipment</t>
  </si>
  <si>
    <t>Total Underground Storage Plant</t>
  </si>
  <si>
    <t>Mains</t>
  </si>
  <si>
    <t>Meas &amp; Reg Station Equip-General</t>
  </si>
  <si>
    <t>Meas &amp; Reg Station Equip-City Gate</t>
  </si>
  <si>
    <t>Meter Installations</t>
  </si>
  <si>
    <t>House Regulators</t>
  </si>
  <si>
    <t>House Regulator Installations</t>
  </si>
  <si>
    <t>Industrial Meas &amp; Reg Station Equip</t>
  </si>
  <si>
    <t>Underground Storage Plant Accumulated Depreciation</t>
  </si>
  <si>
    <t>Land &amp; Land Rights Accum. Depr.</t>
  </si>
  <si>
    <t>Structures &amp; Improvements Accum. Depr.</t>
  </si>
  <si>
    <t>Wells Accum. Depr.</t>
  </si>
  <si>
    <t>Lines Accum. Depr.</t>
  </si>
  <si>
    <t>Compressor Station Equip. Accum. Depr.</t>
  </si>
  <si>
    <t>Measuring &amp; Regulating Equip. Accum. Depr.</t>
  </si>
  <si>
    <t>Purification Equipment Accum. Depr.</t>
  </si>
  <si>
    <t>Other Equipment Accum. Depr.</t>
  </si>
  <si>
    <t>Mains Accum. Depr.</t>
  </si>
  <si>
    <t>Meas &amp; Reg Station Equip-Gen. Accum. Depr.</t>
  </si>
  <si>
    <t>Meas &amp; Reg Station Equip-City Gate Accum. Depr.</t>
  </si>
  <si>
    <t>Services Accum. Depr.</t>
  </si>
  <si>
    <t>Meters Accum. Depr.</t>
  </si>
  <si>
    <t>Meter Installations Accum. Depr.</t>
  </si>
  <si>
    <t>House Regulators Accum. Depr.</t>
  </si>
  <si>
    <t>House Regulator Installations Accum. Depr.</t>
  </si>
  <si>
    <t>Industrial Meas &amp; Reg Station Equip Accum. Depr.</t>
  </si>
  <si>
    <t>Office Furniture &amp; Equipment Accum. Depr.</t>
  </si>
  <si>
    <t>Transportation Equipment Accum. Depr.</t>
  </si>
  <si>
    <t>Stores Equipment Accum. Depr.</t>
  </si>
  <si>
    <t>Tools, Shop &amp; Garage Equip. Accum. Depr.</t>
  </si>
  <si>
    <t>Laboratory Equipment Accum. Depr.</t>
  </si>
  <si>
    <t>Power Operated Equipment Accum. Depr.</t>
  </si>
  <si>
    <t>Communication Equipment Accum. Depr.</t>
  </si>
  <si>
    <t>Miscellaneous Equipment Accum. Depr.</t>
  </si>
  <si>
    <t>Intangible Gas Plant</t>
  </si>
  <si>
    <t>Intangible Distribution Plant</t>
  </si>
  <si>
    <t>Miscellaneous Rate Base Items</t>
  </si>
  <si>
    <t>Gas Inventory</t>
  </si>
  <si>
    <t>Open</t>
  </si>
  <si>
    <t>Purchased Gas Expenses</t>
  </si>
  <si>
    <t>Gas Research Contributions</t>
  </si>
  <si>
    <t>Proforma Purchased Gas Expense</t>
  </si>
  <si>
    <t>Other Gas Expenses</t>
  </si>
  <si>
    <t>Total Purchased Gas Expenses</t>
  </si>
  <si>
    <t>Underground Storage Expenses</t>
  </si>
  <si>
    <t>Total Underground Storage Operation</t>
  </si>
  <si>
    <t>Maps &amp; Records</t>
  </si>
  <si>
    <t>Wells Expenses</t>
  </si>
  <si>
    <t>Lines Expenses</t>
  </si>
  <si>
    <t>Compressor Station Expenses</t>
  </si>
  <si>
    <t>Compressor Station Fuel &amp; Power</t>
  </si>
  <si>
    <t>Measuring &amp; Regulator Station</t>
  </si>
  <si>
    <t>Purification Expenses</t>
  </si>
  <si>
    <t>Other Expenses</t>
  </si>
  <si>
    <t>Storage Well Royalties &amp; Rents</t>
  </si>
  <si>
    <t>814-OP</t>
  </si>
  <si>
    <t>815-OP</t>
  </si>
  <si>
    <t>816-OP</t>
  </si>
  <si>
    <t>817-OP</t>
  </si>
  <si>
    <t>818-OP</t>
  </si>
  <si>
    <t>819-OP</t>
  </si>
  <si>
    <t>820-OP</t>
  </si>
  <si>
    <t>821-OP</t>
  </si>
  <si>
    <t>824-OP</t>
  </si>
  <si>
    <t>825-OP</t>
  </si>
  <si>
    <t>826-OP</t>
  </si>
  <si>
    <t>830-MT</t>
  </si>
  <si>
    <t>831-MT</t>
  </si>
  <si>
    <t>832-MT</t>
  </si>
  <si>
    <t>833-MT</t>
  </si>
  <si>
    <t>834-MT</t>
  </si>
  <si>
    <t>835-MT</t>
  </si>
  <si>
    <t>836-MT</t>
  </si>
  <si>
    <t>837-MT</t>
  </si>
  <si>
    <t>Measuring and Regulator Station Expenses</t>
  </si>
  <si>
    <t>Total Underground Storage Maintenance</t>
  </si>
  <si>
    <t>Total Underground Storage Expenses</t>
  </si>
  <si>
    <t>870-OP</t>
  </si>
  <si>
    <t>871-OP</t>
  </si>
  <si>
    <t>874-OP</t>
  </si>
  <si>
    <t>875-OP</t>
  </si>
  <si>
    <t>876-OP</t>
  </si>
  <si>
    <t>877-OP</t>
  </si>
  <si>
    <t>878-OP</t>
  </si>
  <si>
    <t>879-OP</t>
  </si>
  <si>
    <t>880-OP</t>
  </si>
  <si>
    <t>881-OP</t>
  </si>
  <si>
    <t>Distribution Load Dispatching</t>
  </si>
  <si>
    <t>Mains &amp; Services Expense</t>
  </si>
  <si>
    <t>Measuring &amp; Regulating Stations-General</t>
  </si>
  <si>
    <t>Measuring &amp; Regulating Stations-Industrial</t>
  </si>
  <si>
    <t>Measuring &amp; Regulating Stations-City Gate</t>
  </si>
  <si>
    <t>Meters &amp; House Regulators Expenses</t>
  </si>
  <si>
    <t>Customer Installations</t>
  </si>
  <si>
    <t>Other Distribution Expense</t>
  </si>
  <si>
    <t>Meters &amp; House Regulators</t>
  </si>
  <si>
    <t>885-MT</t>
  </si>
  <si>
    <t>886-MT</t>
  </si>
  <si>
    <t>887-MT</t>
  </si>
  <si>
    <t>889-MT</t>
  </si>
  <si>
    <t>890-MT</t>
  </si>
  <si>
    <t>891-MT</t>
  </si>
  <si>
    <t>892-MT</t>
  </si>
  <si>
    <t>893-MT</t>
  </si>
  <si>
    <t>894-MT</t>
  </si>
  <si>
    <t>Customer Records &amp; Collection</t>
  </si>
  <si>
    <t>Misc Customer Service &amp; Info Expense</t>
  </si>
  <si>
    <t>Revenues From Retail Rates</t>
  </si>
  <si>
    <t>Admin &amp; Gen Exp Alloc</t>
  </si>
  <si>
    <t>Throughput</t>
  </si>
  <si>
    <t>Plant in Service</t>
  </si>
  <si>
    <t>All Customers</t>
  </si>
  <si>
    <t>Labor Expense</t>
  </si>
  <si>
    <t>Underground Storage</t>
  </si>
  <si>
    <t>Underground Storage Plant Depreciation Expense</t>
  </si>
  <si>
    <t>Land &amp; Land Rights Depr. Exp.</t>
  </si>
  <si>
    <t>Structures &amp; Improvements Depr. Exp.</t>
  </si>
  <si>
    <t>Wells Depr. Exp.</t>
  </si>
  <si>
    <t>Lines Depr. Exp.</t>
  </si>
  <si>
    <t>Compressor Station Equip. Depr. Exp.</t>
  </si>
  <si>
    <t>Measuring &amp; Regulating Equip. Depr. Exp.</t>
  </si>
  <si>
    <t>Purification Equipment Depr. Exp.</t>
  </si>
  <si>
    <t>Other Equipment Depr. Exp.</t>
  </si>
  <si>
    <t>Mains Depr. Exp.</t>
  </si>
  <si>
    <t>Meas &amp; Reg Station Equip-Gen Depr. Exp.</t>
  </si>
  <si>
    <t>Meas &amp; Reg Station Equip-City Gate Depr. Exp.</t>
  </si>
  <si>
    <t>Services Depr. Exp.</t>
  </si>
  <si>
    <t>Meters Depr. Exp.</t>
  </si>
  <si>
    <t>Meter Installations Depr. Exp.</t>
  </si>
  <si>
    <t>House Regulators Depr. Exp.</t>
  </si>
  <si>
    <t>House Regulator Installations Depr. Exp.</t>
  </si>
  <si>
    <t>Industrial Meas &amp; Reg Station Equip. Depr. Exp.</t>
  </si>
  <si>
    <t>Office Furniture &amp; Equipment Depr. Exp.</t>
  </si>
  <si>
    <t>Transportation Equipment Depr. Exp.</t>
  </si>
  <si>
    <t>Stores Equipment Depr. Exp.</t>
  </si>
  <si>
    <t>Tools, Shop &amp; Garage Equipment Depr. Exp.</t>
  </si>
  <si>
    <t>Laboratory Equipment Depr. Exp.</t>
  </si>
  <si>
    <t>Power Operated Equipment Depr. Exp.</t>
  </si>
  <si>
    <t>Communication Equipment Depr. Exp.</t>
  </si>
  <si>
    <t>Miscellaneous Equipment Depr. Exp.</t>
  </si>
  <si>
    <t>Misc Property Gain/Loss Amortization Exp.</t>
  </si>
  <si>
    <t>Intangible Distribution Plant Amortization Exp.</t>
  </si>
  <si>
    <t>Intangible Plant - Software Amortization Exp.</t>
  </si>
  <si>
    <t>Investment Tax Credit Adjustment (Net)</t>
  </si>
  <si>
    <t>48X</t>
  </si>
  <si>
    <t>Total Revenue From Retail Rates</t>
  </si>
  <si>
    <t>Off System Sales</t>
  </si>
  <si>
    <t>Rent From Gas Property</t>
  </si>
  <si>
    <t>Other Gas Revenue - JP Releases</t>
  </si>
  <si>
    <t>Other Gas Rev - Misc &amp; Spec Cont Rev</t>
  </si>
  <si>
    <t>483/484</t>
  </si>
  <si>
    <t>U</t>
  </si>
  <si>
    <t>Accumulated Deferred Income Taxes</t>
  </si>
  <si>
    <t>E01</t>
  </si>
  <si>
    <t>Sch 101</t>
  </si>
  <si>
    <t>Sch 111</t>
  </si>
  <si>
    <t>Sch 121</t>
  </si>
  <si>
    <t>Sch 131</t>
  </si>
  <si>
    <t>Sch 146</t>
  </si>
  <si>
    <t>UG/D Plant</t>
  </si>
  <si>
    <t>UG/D Plant (S03)</t>
  </si>
  <si>
    <t>E04</t>
  </si>
  <si>
    <t>Sales</t>
  </si>
  <si>
    <t>E06</t>
  </si>
  <si>
    <t>Therms - Small Mains</t>
  </si>
  <si>
    <t>Coincident Peak - Small Mains</t>
  </si>
  <si>
    <t>Coincident Peak - All</t>
  </si>
  <si>
    <t>DA 131</t>
  </si>
  <si>
    <t>DA 146</t>
  </si>
  <si>
    <t>Service Cost</t>
  </si>
  <si>
    <t>Meter Cost</t>
  </si>
  <si>
    <t>Regulator Cost</t>
  </si>
  <si>
    <t>Installations Cost</t>
  </si>
  <si>
    <t>Ind Meas &amp; Reg Cost</t>
  </si>
  <si>
    <t>Plant in Service (S17)</t>
  </si>
  <si>
    <t>UG Storage Plant (S14)</t>
  </si>
  <si>
    <t>Distrib Plant (S15)</t>
  </si>
  <si>
    <t>as Distrib Plant (40)</t>
  </si>
  <si>
    <t>Net Plant (S18)</t>
  </si>
  <si>
    <t>C10</t>
  </si>
  <si>
    <t>DA 101</t>
  </si>
  <si>
    <t>E07</t>
  </si>
  <si>
    <t xml:space="preserve"> Purchased Gas - Commodity</t>
  </si>
  <si>
    <t>Purchased Gas - Demand</t>
  </si>
  <si>
    <t>D05</t>
  </si>
  <si>
    <t>Purchased Gas - Commodity</t>
  </si>
  <si>
    <t>E08</t>
  </si>
  <si>
    <t>GTI Expense</t>
  </si>
  <si>
    <t>oth Dist Plt (S05); (S08)</t>
  </si>
  <si>
    <t>oth Dist Plt (S05); (S09)</t>
  </si>
  <si>
    <t>oth Dist Plt (S05); (S19)</t>
  </si>
  <si>
    <t>oth Dist Plt (S05); (S07)</t>
  </si>
  <si>
    <t>all oth Dist Exp (S04)</t>
  </si>
  <si>
    <t>(S04)</t>
  </si>
  <si>
    <t>oth Dist Plt (S05); (S06); (S21)</t>
  </si>
  <si>
    <t>oth Dist Plt (S05); (S06); (S20)</t>
  </si>
  <si>
    <t>Subtotal Expenses, excl PG/Uncollect</t>
  </si>
  <si>
    <t>Exp b4 A&amp;G x Gas/Uncoll(S02)</t>
  </si>
  <si>
    <t>100% C01</t>
  </si>
  <si>
    <t>input - DA 101</t>
  </si>
  <si>
    <t>Input - 100% GTI</t>
  </si>
  <si>
    <t>Input - 100% Throughput</t>
  </si>
  <si>
    <t>Input - 100% Install cost</t>
  </si>
  <si>
    <t>Input - 100% Svcs cost</t>
  </si>
  <si>
    <t>Input - 100% Mtrs cost</t>
  </si>
  <si>
    <t>Input - 100% Reg. cost</t>
  </si>
  <si>
    <t>Input - 100% Ind Meas cost</t>
  </si>
  <si>
    <t>Input - 100% Cust</t>
  </si>
  <si>
    <t>Input - 100% Rev</t>
  </si>
  <si>
    <t>Input - 100% Sales</t>
  </si>
  <si>
    <t>Total Rate Base (S01)</t>
  </si>
  <si>
    <t>Purchased Gas Costs</t>
  </si>
  <si>
    <t>Underground Storage Plant Depreciation</t>
  </si>
  <si>
    <t>SUMMARY BY FUNCTION WITH MARGIN ANALYSIS</t>
  </si>
  <si>
    <t>Exclude Cost of Gas w / Revenue Exp.</t>
  </si>
  <si>
    <t>Total Margin Revenue at Current Rates</t>
  </si>
  <si>
    <t>Underground Storage Related Rate Base</t>
  </si>
  <si>
    <t>UG Storage Exp</t>
  </si>
  <si>
    <t>Subtotal UG Storage Cost</t>
  </si>
  <si>
    <t>Net UG Storage Cost</t>
  </si>
  <si>
    <t>COMMODITY</t>
  </si>
  <si>
    <t>Commodity</t>
  </si>
  <si>
    <t>M</t>
  </si>
  <si>
    <t>DSM</t>
  </si>
  <si>
    <t>A</t>
  </si>
  <si>
    <t>Allocated</t>
  </si>
  <si>
    <t>Allocated Rate Base - ADFIT</t>
  </si>
  <si>
    <t>Total Allocated Rate Base</t>
  </si>
  <si>
    <t>Purchased Gas Cost - Commodity</t>
  </si>
  <si>
    <t>Purchased Gas Cost - Capacity</t>
  </si>
  <si>
    <t>Other Production Costs</t>
  </si>
  <si>
    <t>Rate Base by Function</t>
  </si>
  <si>
    <t>Allocated Net Expense</t>
  </si>
  <si>
    <t>Total Allocated Net Expense</t>
  </si>
  <si>
    <t>UG Storage Rev</t>
  </si>
  <si>
    <t>Margin per Therm at Current Rates</t>
  </si>
  <si>
    <t>Total Curr. Margin Melded Rate per Therm</t>
  </si>
  <si>
    <t>DSM Exp</t>
  </si>
  <si>
    <t>Cust Svc, Cust Info, Sales Exp</t>
  </si>
  <si>
    <t>Distribution Rev</t>
  </si>
  <si>
    <t>Common Rev</t>
  </si>
  <si>
    <t>Total Uniform Current Margin</t>
  </si>
  <si>
    <t>Non-Revenue related UG Storage cost</t>
  </si>
  <si>
    <t>Margin per Therm at Uniform Current Return</t>
  </si>
  <si>
    <t>Margin per Therm at Proposed Rates</t>
  </si>
  <si>
    <t>Margin per Therm at Uniform Proposed Return</t>
  </si>
  <si>
    <t>Total Margin Revenue at Proposed Rates</t>
  </si>
  <si>
    <t>Total Uniform Proposed Cost</t>
  </si>
  <si>
    <t>Total Uniform Proposed Margin</t>
  </si>
  <si>
    <t>Adj. Income Tax Items - Uniform</t>
  </si>
  <si>
    <t>Functional Cost Components at Current Rates</t>
  </si>
  <si>
    <t>Total Curr. Uniform Margin @ Melded Rate</t>
  </si>
  <si>
    <t>Margin to Cost Ratio at Current Rates</t>
  </si>
  <si>
    <t>Functional Cost Components at Proposed Rates</t>
  </si>
  <si>
    <t>Total Proposed Margin @ Melded Rates</t>
  </si>
  <si>
    <t>Functional Cost Components at Uniform Proposed Return</t>
  </si>
  <si>
    <t>Total Prop. Uniform Margin @ Melded Rates</t>
  </si>
  <si>
    <t>Margin to Cost Ratio at Proposed Rates</t>
  </si>
  <si>
    <t>SUMMARY BY CLASSIFICATION WITH UNIT COST ANALYSIS</t>
  </si>
  <si>
    <t xml:space="preserve">Cost by Classification at Curr. Return by Schedule </t>
  </si>
  <si>
    <t>Revenue per Therm at Current Rates</t>
  </si>
  <si>
    <t>Total Revenue per Therm at Current Rates</t>
  </si>
  <si>
    <t>Cost per Unit at Current Rates</t>
  </si>
  <si>
    <t xml:space="preserve">Cost by Classification at Uniform Current Return </t>
  </si>
  <si>
    <t>Cost per Therm at Current Return</t>
  </si>
  <si>
    <t xml:space="preserve">Commodity </t>
  </si>
  <si>
    <t xml:space="preserve">Demand </t>
  </si>
  <si>
    <t>Total Cost per Therm at Current Return</t>
  </si>
  <si>
    <t>Cost per Unit at Uniform Current Return</t>
  </si>
  <si>
    <t xml:space="preserve">Cost by Classification at Proposed Return by Schedule </t>
  </si>
  <si>
    <t>Revenue per Therm at Proposed Rates</t>
  </si>
  <si>
    <t>Total Revenue per Therm at Prop. Rates</t>
  </si>
  <si>
    <t>Cost per Unit at Proposed Rates</t>
  </si>
  <si>
    <t xml:space="preserve">Cost by Classification at Uniform Proposed Return </t>
  </si>
  <si>
    <t>Cost per Therm at Proposed Return</t>
  </si>
  <si>
    <t>Total Cost per Therm at Proposed Return</t>
  </si>
  <si>
    <t>Cost per Unit at Uniform Proposed Return</t>
  </si>
  <si>
    <t>Throughput Therms</t>
  </si>
  <si>
    <t>Number of Customers (Annualized)</t>
  </si>
  <si>
    <t>Peak Therms</t>
  </si>
  <si>
    <t>No. of Cust. Bills--Annual</t>
  </si>
  <si>
    <t>Commodity Related Rate Base</t>
  </si>
  <si>
    <t>Subtotal Commodity Cost</t>
  </si>
  <si>
    <t>Net Commodity Cost</t>
  </si>
  <si>
    <t>Commodity Exp</t>
  </si>
  <si>
    <t>Demand Exp</t>
  </si>
  <si>
    <t>Customer Exp</t>
  </si>
  <si>
    <t>Customer Rev</t>
  </si>
  <si>
    <t>Demand Rev</t>
  </si>
  <si>
    <t>Commodity Rev</t>
  </si>
  <si>
    <t>Expense</t>
  </si>
  <si>
    <t>Subtotal Net Expense</t>
  </si>
  <si>
    <t>Non-Revenue related Commodity cost</t>
  </si>
  <si>
    <t>Direct Assigned to Residential</t>
  </si>
  <si>
    <t>range name:  AllocFactors_E</t>
  </si>
  <si>
    <t>range name:  AllocFactors_D</t>
  </si>
  <si>
    <t>range name:  AllocFactors_C</t>
  </si>
  <si>
    <t>Input from Proforma Revenue Study</t>
  </si>
  <si>
    <t>Input GTI Contributions</t>
  </si>
  <si>
    <t>Input from Peak Study</t>
  </si>
  <si>
    <t>Direct Assignment Schedule 146</t>
  </si>
  <si>
    <t>Unweighted Customers</t>
  </si>
  <si>
    <t>Wtd Avg Service Cost</t>
  </si>
  <si>
    <t>Weighted Average Meter Cost</t>
  </si>
  <si>
    <t>all 3 ranges + R01, range name:  AllocFactors</t>
  </si>
  <si>
    <t>Input - Peak &amp; Avg Calc</t>
  </si>
  <si>
    <t>Input - Settlement</t>
  </si>
  <si>
    <t>Input - Peak &amp; Avg w/131&amp;146</t>
  </si>
  <si>
    <t>present conversion items, new spread</t>
  </si>
  <si>
    <t>incremental conversion items, new spread</t>
  </si>
  <si>
    <t>less: FIT--present</t>
  </si>
  <si>
    <t>less: FIT--incremental</t>
  </si>
  <si>
    <t>less: DFIT, SIT, ITC--present</t>
  </si>
  <si>
    <t>Present Return b4 conversion items</t>
  </si>
  <si>
    <t>Total Revenue Increase</t>
  </si>
  <si>
    <t>Proposed Rate Revenue</t>
  </si>
  <si>
    <t>Revenue Related Op Exp., current</t>
  </si>
  <si>
    <t>Rate Rev. excl Rev. Conversion Items, current</t>
  </si>
  <si>
    <t>Revenue Conversion Item Ratio, current</t>
  </si>
  <si>
    <t>Proposed Return b4 Tax, new spread</t>
  </si>
  <si>
    <t>allocated Misc Rev increase</t>
  </si>
  <si>
    <t>allocation basis - Dist Plant</t>
  </si>
  <si>
    <t>Peak-Average Energy</t>
  </si>
  <si>
    <t>Peak-Average Demand</t>
  </si>
  <si>
    <t>Input - purch vs. sched analysis</t>
  </si>
  <si>
    <t>Input - from PF Gas Costs</t>
  </si>
  <si>
    <t>same as Throughput, less Transport</t>
  </si>
  <si>
    <t>Labor Totals</t>
  </si>
  <si>
    <t>(see below)</t>
  </si>
  <si>
    <t>Total $ By Schedule</t>
  </si>
  <si>
    <t>Classification %'s</t>
  </si>
  <si>
    <t>Demand $/Customer $</t>
  </si>
  <si>
    <t>Classif. $'s/Commodity $</t>
  </si>
  <si>
    <t>Print Area</t>
  </si>
  <si>
    <t>GoTo</t>
  </si>
  <si>
    <t>Print Title Rows</t>
  </si>
  <si>
    <t>Print Title Columns</t>
  </si>
  <si>
    <t>Fit Pgs Wide</t>
  </si>
  <si>
    <t>Fit Pgs Tall</t>
  </si>
  <si>
    <t>Zoom</t>
  </si>
  <si>
    <t>Orientation</t>
  </si>
  <si>
    <t>Landscape</t>
  </si>
  <si>
    <t>Left Header</t>
  </si>
  <si>
    <t>Center Header</t>
  </si>
  <si>
    <t>Right Header</t>
  </si>
  <si>
    <t>Left Footer</t>
  </si>
  <si>
    <t>Center Footer</t>
  </si>
  <si>
    <t>Right Footer</t>
  </si>
  <si>
    <t>RATE BASE</t>
  </si>
  <si>
    <t>Scenario Title</t>
  </si>
  <si>
    <t>Base Case</t>
  </si>
  <si>
    <t>"&amp;F" &amp; Chr(10) &amp; "&amp;A"</t>
  </si>
  <si>
    <t>H/F examples:</t>
  </si>
  <si>
    <t>"Page &amp;P of &amp;N"</t>
  </si>
  <si>
    <t>would print: Page 1 of 3</t>
  </si>
  <si>
    <t>would print FileName on one line and TabName on next</t>
  </si>
  <si>
    <t>"&amp;D , &amp;T"</t>
  </si>
  <si>
    <t>would print: 1/31/08, 18:00 in whatever format</t>
  </si>
  <si>
    <t>1st Pg #</t>
  </si>
  <si>
    <t>$1:$6</t>
  </si>
  <si>
    <t>$A:$D</t>
  </si>
  <si>
    <t>$E$7:$P$148</t>
  </si>
  <si>
    <t>$Q$7:$AH$148</t>
  </si>
  <si>
    <t>$BA$7:$BO$148</t>
  </si>
  <si>
    <t>Zoom % w/print to fit</t>
  </si>
  <si>
    <t>WA Gas</t>
  </si>
  <si>
    <t>$AK$7:$AY$148</t>
  </si>
  <si>
    <t>REVENUE REQUIREMENTS</t>
  </si>
  <si>
    <t>$E$165:$P$433</t>
  </si>
  <si>
    <t>$159:$164</t>
  </si>
  <si>
    <t>$Q$165:$AH$433</t>
  </si>
  <si>
    <t>$AK$165:$AY$433</t>
  </si>
  <si>
    <t>$BA$165:$BO$433</t>
  </si>
  <si>
    <t>as all other Dist Ops Labor Exp</t>
  </si>
  <si>
    <t>$BQ$165:$CK$333</t>
  </si>
  <si>
    <t>$CK$165:$CR$333</t>
  </si>
  <si>
    <t>$BQ:$BR</t>
  </si>
  <si>
    <t>Labor $ and Classif. %'s</t>
  </si>
  <si>
    <t>Labor $ by Schedule</t>
  </si>
  <si>
    <t>SUMMARY PAGES</t>
  </si>
  <si>
    <t>General Summary</t>
  </si>
  <si>
    <t>$1:$4</t>
  </si>
  <si>
    <t>Portrait</t>
  </si>
  <si>
    <t>Total Pages</t>
  </si>
  <si>
    <t>Allocation Factors</t>
  </si>
  <si>
    <t>$1:$3</t>
  </si>
  <si>
    <t>$A$4:$Q$51,$A$67:$J$107</t>
  </si>
  <si>
    <t>Cost of Service Model Printing</t>
  </si>
  <si>
    <t>This worksheet has the Page Setup properties used by the print macros which are triggered by the buttons on the other worksheets.</t>
  </si>
  <si>
    <t>RB1</t>
  </si>
  <si>
    <t>RB2</t>
  </si>
  <si>
    <t>RB3</t>
  </si>
  <si>
    <t>RB4</t>
  </si>
  <si>
    <t>RR1</t>
  </si>
  <si>
    <t>RR2</t>
  </si>
  <si>
    <t>RR3</t>
  </si>
  <si>
    <t>RR4</t>
  </si>
  <si>
    <t>RR5</t>
  </si>
  <si>
    <t>RR6</t>
  </si>
  <si>
    <t>SUM1</t>
  </si>
  <si>
    <t>SUM2</t>
  </si>
  <si>
    <t>For example, when Rate Base button is hit, macro will print RB1 and RB2 below.</t>
  </si>
  <si>
    <t>There are 5 print buttons on Detail tab, 1 on Summary tab, 1 on Factors tab.</t>
  </si>
  <si>
    <t>1 print button</t>
  </si>
  <si>
    <t>Preview (False=Print)</t>
  </si>
  <si>
    <t>% Change to get to Uniform Rates</t>
  </si>
  <si>
    <t>Rate Revenues at Uniform Present Rates</t>
  </si>
  <si>
    <t>Rate Change to get to Uniform Present Rates</t>
  </si>
  <si>
    <t>Proposed Rate of Return</t>
  </si>
  <si>
    <t>Proposed Return Ratio</t>
  </si>
  <si>
    <t>Net Operating Income</t>
  </si>
  <si>
    <t>Income Tax / Net Oper Income</t>
  </si>
  <si>
    <t>addback: Interest Expense</t>
  </si>
  <si>
    <t>less: Interest Expense</t>
  </si>
  <si>
    <t>$A$5:$K$52,$A$105:$K$179,$A$183:$K$257</t>
  </si>
  <si>
    <t>Path of Filename</t>
  </si>
  <si>
    <t>Length of Path</t>
  </si>
  <si>
    <t>Filename start pt</t>
  </si>
  <si>
    <t>Filename end pt</t>
  </si>
  <si>
    <t>Filename length</t>
  </si>
  <si>
    <t>Tab Name</t>
  </si>
  <si>
    <t>Detail</t>
  </si>
  <si>
    <t>Summary</t>
  </si>
  <si>
    <t>Factors</t>
  </si>
  <si>
    <t>Customer Advances and Deposits</t>
  </si>
  <si>
    <t>as Plant in Service (56)</t>
  </si>
  <si>
    <t>WASHINGTON GAS</t>
  </si>
  <si>
    <t>Total Services</t>
  </si>
  <si>
    <t>Total Meters</t>
  </si>
  <si>
    <t>Meter, Services, Meter Reading &amp; Billing Costs by Schedule at Proposed Rate of Return</t>
  </si>
  <si>
    <t>Revenue Conversion Factor</t>
  </si>
  <si>
    <t xml:space="preserve">   Services Depr Exp</t>
  </si>
  <si>
    <t xml:space="preserve">   Meters Depr Exp</t>
  </si>
  <si>
    <t xml:space="preserve">   Services Exp</t>
  </si>
  <si>
    <t xml:space="preserve">   Meters Exp</t>
  </si>
  <si>
    <t xml:space="preserve">   Meter Reading</t>
  </si>
  <si>
    <t xml:space="preserve">   Revenue Conversion Factor </t>
  </si>
  <si>
    <t xml:space="preserve">   Expense Revenue Requirement</t>
  </si>
  <si>
    <t xml:space="preserve">   Total Customer Costs</t>
  </si>
  <si>
    <t xml:space="preserve">   Total Customers Bills</t>
  </si>
  <si>
    <t xml:space="preserve">   Avg Unit Cost</t>
  </si>
  <si>
    <t xml:space="preserve">   Total Expenses</t>
  </si>
  <si>
    <t>Rate Base Revenue Requirement</t>
  </si>
  <si>
    <t xml:space="preserve">   Billing Exp</t>
  </si>
  <si>
    <t>Input from Meter Cost Study</t>
  </si>
  <si>
    <t>813-010</t>
  </si>
  <si>
    <t>Gas Research Institute Expense</t>
  </si>
  <si>
    <t>Input from Typical Service Cost Study</t>
  </si>
  <si>
    <t>Other</t>
  </si>
  <si>
    <t>Debt Interest</t>
  </si>
  <si>
    <t>Crossfoot Error Test</t>
  </si>
  <si>
    <t xml:space="preserve"> -Interest Expense</t>
  </si>
  <si>
    <t>Non-Additive Input Items</t>
  </si>
  <si>
    <t>Diff</t>
  </si>
  <si>
    <t>from Case Pro Forma Total</t>
  </si>
  <si>
    <t>Net Income</t>
  </si>
  <si>
    <t>From Transportation of Gas</t>
  </si>
  <si>
    <t>489.9X</t>
  </si>
  <si>
    <t>Total Miscellaneous Rate Base Items</t>
  </si>
  <si>
    <t>Working Capital</t>
  </si>
  <si>
    <t>Customer Deposits</t>
  </si>
  <si>
    <t>Customer Advances</t>
  </si>
  <si>
    <t>per Books</t>
  </si>
  <si>
    <t>Balance</t>
  </si>
  <si>
    <t>Miscellaneous Rate Base Items and Revenues</t>
  </si>
  <si>
    <t>Natural Gas Utility</t>
  </si>
  <si>
    <t>Total Accumulated Amortization</t>
  </si>
  <si>
    <t>Miscellaneous-Computer Software</t>
  </si>
  <si>
    <t>303.1X</t>
  </si>
  <si>
    <t>Accumulated Amortization</t>
  </si>
  <si>
    <t>Total General Plant Accumulated Depreciaton</t>
  </si>
  <si>
    <t>Total Distribution Plant Accumulated Depreciation</t>
  </si>
  <si>
    <t>Total Underground Storage Plant Accum. Depr.</t>
  </si>
  <si>
    <t>Underground Storage Plant Accum. Depr.</t>
  </si>
  <si>
    <t>Accumulated Reserve for Depreciation</t>
  </si>
  <si>
    <t>Total Operating Expense</t>
  </si>
  <si>
    <t>Amortization of Deferred Income Taxes</t>
  </si>
  <si>
    <t>Income Tax - Federal</t>
  </si>
  <si>
    <t>Income Tax - State</t>
  </si>
  <si>
    <t>Total Operating Expense Before Income Tax Items</t>
  </si>
  <si>
    <t>Total Depreciation and Amortization Expense</t>
  </si>
  <si>
    <t>Total General Plant Depreciation Expense</t>
  </si>
  <si>
    <t>Total Distribution Plant Depreciation Expense</t>
  </si>
  <si>
    <t>Depreciation Expense &amp; Income Tax</t>
  </si>
  <si>
    <t>Total Underground Storage Plant Depr. Exp.</t>
  </si>
  <si>
    <t xml:space="preserve"> -Distribution</t>
  </si>
  <si>
    <t>Miscellaneous</t>
  </si>
  <si>
    <t>Total Business &amp; Occupation</t>
  </si>
  <si>
    <t xml:space="preserve"> -Open</t>
  </si>
  <si>
    <t>Business &amp; Occupation</t>
  </si>
  <si>
    <t>State Excise</t>
  </si>
  <si>
    <t>Total Property Related</t>
  </si>
  <si>
    <t xml:space="preserve"> -Administrative &amp; General</t>
  </si>
  <si>
    <t xml:space="preserve"> -Underground Storage</t>
  </si>
  <si>
    <t xml:space="preserve"> -Production</t>
  </si>
  <si>
    <t>Property Related</t>
  </si>
  <si>
    <t>Admin. Expenses Transferred - Credit</t>
  </si>
  <si>
    <t>Admin. &amp; General Salaries</t>
  </si>
  <si>
    <t>Admin, &amp; General, Other Taxes &amp; Depreciation Expense</t>
  </si>
  <si>
    <t>Total Customer Information Expense</t>
  </si>
  <si>
    <t>Customer Information Expense</t>
  </si>
  <si>
    <t>Total Distribution Expense</t>
  </si>
  <si>
    <t>Total Distribution Maintenance Expense</t>
  </si>
  <si>
    <t>888-MT</t>
  </si>
  <si>
    <t>Maintenance Expense</t>
  </si>
  <si>
    <t>Total Distribution Operation Expense</t>
  </si>
  <si>
    <t>Compressor Station Labor &amp; Expenses</t>
  </si>
  <si>
    <t>872-OP</t>
  </si>
  <si>
    <t>Operation Expense</t>
  </si>
  <si>
    <t>Operation and Maintenance Expenses</t>
  </si>
  <si>
    <t>813-xxx</t>
  </si>
  <si>
    <t>GTI Expenses</t>
  </si>
  <si>
    <t>Gas Used for Products Extraction</t>
  </si>
  <si>
    <t>811-00</t>
  </si>
  <si>
    <t>Total Purchased Gas Cost</t>
  </si>
  <si>
    <t>804.xx</t>
  </si>
  <si>
    <t>Net Natural Gas Storage Transactions</t>
  </si>
  <si>
    <t>808-xxx</t>
  </si>
  <si>
    <t>Gas Expense - Estimated Deferrals</t>
  </si>
  <si>
    <t>805-990</t>
  </si>
  <si>
    <t>Gas Expense - Estimated Amortizations</t>
  </si>
  <si>
    <t>805-980</t>
  </si>
  <si>
    <t>Gas Expense - Rate Deferrals</t>
  </si>
  <si>
    <t>805-120</t>
  </si>
  <si>
    <t>Gas Exp - Rate Amortizations</t>
  </si>
  <si>
    <t>805-110</t>
  </si>
  <si>
    <t>Gas Costs - Fixed Hedge</t>
  </si>
  <si>
    <t>804-010</t>
  </si>
  <si>
    <t>Off System Bookout Offset</t>
  </si>
  <si>
    <t>804-711</t>
  </si>
  <si>
    <t>Off System Gas Purchases - Bookout</t>
  </si>
  <si>
    <t>804-700</t>
  </si>
  <si>
    <t>Gas Purchases - Financial</t>
  </si>
  <si>
    <t>804-600</t>
  </si>
  <si>
    <t>Gas Transaction Fees</t>
  </si>
  <si>
    <t>804-170</t>
  </si>
  <si>
    <t>Gas Costs - Intracompany LDC Gas</t>
  </si>
  <si>
    <t>804-730</t>
  </si>
  <si>
    <t>Transaction Fees</t>
  </si>
  <si>
    <t>804-017</t>
  </si>
  <si>
    <t>Transport Variable Charges</t>
  </si>
  <si>
    <t>804-002</t>
  </si>
  <si>
    <t>Pipeline Demand Costs</t>
  </si>
  <si>
    <t>804-001</t>
  </si>
  <si>
    <t>Gas Purchases</t>
  </si>
  <si>
    <t>Pro Forma</t>
  </si>
  <si>
    <t>in bold</t>
  </si>
  <si>
    <t>Adjustments</t>
  </si>
  <si>
    <t xml:space="preserve"> </t>
  </si>
  <si>
    <t>G-PEB</t>
  </si>
  <si>
    <t>G-PLE</t>
  </si>
  <si>
    <t>G-PLN</t>
  </si>
  <si>
    <t>G-RI</t>
  </si>
  <si>
    <t>G-MR</t>
  </si>
  <si>
    <t>G-RET</t>
  </si>
  <si>
    <t>G-OSC</t>
  </si>
  <si>
    <t>G-NGL</t>
  </si>
  <si>
    <t>G-FIT</t>
  </si>
  <si>
    <t>G-ID</t>
  </si>
  <si>
    <t>G-RE</t>
  </si>
  <si>
    <t>G-UE</t>
  </si>
  <si>
    <t>G-EBO</t>
  </si>
  <si>
    <t>G-DDC</t>
  </si>
  <si>
    <t>G-DFIT</t>
  </si>
  <si>
    <t>Adj G-ROO</t>
  </si>
  <si>
    <t>Case</t>
  </si>
  <si>
    <t>$000's</t>
  </si>
  <si>
    <t>of All</t>
  </si>
  <si>
    <t>Property Tax</t>
  </si>
  <si>
    <t>Empl. Benefits</t>
  </si>
  <si>
    <t>Exec Labor</t>
  </si>
  <si>
    <t>Non-Exec Labor</t>
  </si>
  <si>
    <t>Excise Tax</t>
  </si>
  <si>
    <t>Charges to Subs</t>
  </si>
  <si>
    <t>Losses</t>
  </si>
  <si>
    <t>Damages</t>
  </si>
  <si>
    <t>B &amp; O Taxes</t>
  </si>
  <si>
    <t>and Credits</t>
  </si>
  <si>
    <t>Report</t>
  </si>
  <si>
    <t>Account</t>
  </si>
  <si>
    <t>check</t>
  </si>
  <si>
    <t>Net Total</t>
  </si>
  <si>
    <t>O&amp;M</t>
  </si>
  <si>
    <t>Restate</t>
  </si>
  <si>
    <t>Misc. Restating</t>
  </si>
  <si>
    <t>Office Space</t>
  </si>
  <si>
    <t>Eliminate</t>
  </si>
  <si>
    <t>Net Gains/</t>
  </si>
  <si>
    <t>FIT/DFIT</t>
  </si>
  <si>
    <t>Injuries &amp;</t>
  </si>
  <si>
    <t>Regulatory</t>
  </si>
  <si>
    <t>Uncollectible</t>
  </si>
  <si>
    <t>Deferred Debits</t>
  </si>
  <si>
    <t>Deferred FIT</t>
  </si>
  <si>
    <t>Per Results</t>
  </si>
  <si>
    <t>Notes</t>
  </si>
  <si>
    <t>Company Base Case</t>
  </si>
  <si>
    <t>Pro Forma Results of Operations</t>
  </si>
  <si>
    <t>Washington</t>
  </si>
  <si>
    <t>Veterans Hospital</t>
  </si>
  <si>
    <t>Valley Hosp &amp; Med Ctr</t>
  </si>
  <si>
    <t>Travis Pattern</t>
  </si>
  <si>
    <t>Spokane Steel</t>
  </si>
  <si>
    <t>Shamrock Paving</t>
  </si>
  <si>
    <t>Quarry Tile</t>
  </si>
  <si>
    <t>Purina Mills</t>
  </si>
  <si>
    <t>Lane Mt. Silica</t>
  </si>
  <si>
    <t>Lamb Weston</t>
  </si>
  <si>
    <t>Lakeland Village</t>
  </si>
  <si>
    <t>Inland NW Dairies</t>
  </si>
  <si>
    <t>Inland Empire Paper</t>
  </si>
  <si>
    <t>Inland Asphalt - Sullivan</t>
  </si>
  <si>
    <t>Huntwood Industries</t>
  </si>
  <si>
    <t>Franz Bakery</t>
  </si>
  <si>
    <t>Creach Greenhouse</t>
  </si>
  <si>
    <t>Boise Cascade</t>
  </si>
  <si>
    <t>BF Goodrich</t>
  </si>
  <si>
    <t>Baker Commodities</t>
  </si>
  <si>
    <t>American Linen</t>
  </si>
  <si>
    <t>Schedule 146</t>
  </si>
  <si>
    <t>Schedule 131/132</t>
  </si>
  <si>
    <t>4" P.E. cost per foot is avg. of trench installation and boring installation cost.</t>
  </si>
  <si>
    <t>3/4" cost per foot assume missile as "standard" installation method</t>
  </si>
  <si>
    <t>Assumptions:</t>
  </si>
  <si>
    <t>Lg Customers Add</t>
  </si>
  <si>
    <t>Typical Small Customer Fixed Cost</t>
  </si>
  <si>
    <t>Asphalt Cut</t>
  </si>
  <si>
    <t xml:space="preserve">Bell Hole </t>
  </si>
  <si>
    <t>Fixed Costs consist of :</t>
  </si>
  <si>
    <t>Weight</t>
  </si>
  <si>
    <t>Acct 380</t>
  </si>
  <si>
    <t>Service Cost (Fixed+Variable)</t>
  </si>
  <si>
    <t>Fixed Cost of Gas Service Pipe</t>
  </si>
  <si>
    <t>Variable Cost of Gas Service Pipe</t>
  </si>
  <si>
    <t xml:space="preserve">Cost per Foot </t>
  </si>
  <si>
    <t>ft.</t>
  </si>
  <si>
    <t xml:space="preserve">Typical Length of Service </t>
  </si>
  <si>
    <t>6" Steel</t>
  </si>
  <si>
    <t>4" Plastic</t>
  </si>
  <si>
    <t>3/4" Plastic</t>
  </si>
  <si>
    <t>Type and Size of Service Pipe</t>
  </si>
  <si>
    <t>IND/ROT/TBN</t>
  </si>
  <si>
    <t>COM</t>
  </si>
  <si>
    <t>DOM</t>
  </si>
  <si>
    <t>Type of Meter</t>
  </si>
  <si>
    <t>Peak Hr. Therm Requirements</t>
  </si>
  <si>
    <t>Schedule 121</t>
  </si>
  <si>
    <t>Schedule 111</t>
  </si>
  <si>
    <t>Schedule 101</t>
  </si>
  <si>
    <t>Transportation</t>
  </si>
  <si>
    <t>Interruptible</t>
  </si>
  <si>
    <t>Lg Gen Srvc</t>
  </si>
  <si>
    <t>Residential</t>
  </si>
  <si>
    <t>Lg Gen Srvc - High Load Factor</t>
  </si>
  <si>
    <t>Washington Jurisdiction</t>
  </si>
  <si>
    <t>Current Typical Services Cost</t>
  </si>
  <si>
    <t>Natural Gas System</t>
  </si>
  <si>
    <t>AVISTA UTILITIES</t>
  </si>
  <si>
    <t>ROT</t>
  </si>
  <si>
    <t>Community Colleges of Spokane</t>
  </si>
  <si>
    <t>IND</t>
  </si>
  <si>
    <t>Franz Bakery Spokane</t>
  </si>
  <si>
    <t>TBN</t>
  </si>
  <si>
    <t>Central Premix</t>
  </si>
  <si>
    <t>Gonzaga</t>
  </si>
  <si>
    <t>146</t>
  </si>
  <si>
    <t>121/122</t>
  </si>
  <si>
    <t>Sacred Heart Med. Ctr</t>
  </si>
  <si>
    <t>Inland Asphalt- Perry</t>
  </si>
  <si>
    <t>Eastern WA Univ</t>
  </si>
  <si>
    <t>Eastern St Hospital</t>
  </si>
  <si>
    <t>SPOKANE COUNTY COURTHOUSE</t>
  </si>
  <si>
    <t>Deaconness Med Ctr</t>
  </si>
  <si>
    <t>Whitworth College</t>
  </si>
  <si>
    <t>JOHANNA BEVERAGE CO</t>
  </si>
  <si>
    <t>Boise Cascade (Old Stimson)</t>
  </si>
  <si>
    <t>Western State Asphalt Thor</t>
  </si>
  <si>
    <t>Western State Asphalt Euclid</t>
  </si>
  <si>
    <t>Holy Family Hospital</t>
  </si>
  <si>
    <t>Schedule 121/122</t>
  </si>
  <si>
    <t xml:space="preserve">Meter Information from CSS </t>
  </si>
  <si>
    <t xml:space="preserve">Schedule 121, 131and 146 </t>
  </si>
  <si>
    <t>Install Cost</t>
  </si>
  <si>
    <t>Orig Cost</t>
  </si>
  <si>
    <t>Equip Type</t>
  </si>
  <si>
    <t>Sch 131/132</t>
  </si>
  <si>
    <t>Sch 121/122</t>
  </si>
  <si>
    <t>Sch 111/112</t>
  </si>
  <si>
    <t>Schedule Average</t>
  </si>
  <si>
    <t>Weighted Current Cost</t>
  </si>
  <si>
    <t>Number</t>
  </si>
  <si>
    <t>Equipment</t>
  </si>
  <si>
    <t>Schedule</t>
  </si>
  <si>
    <t xml:space="preserve">Washington Jurisdiction Natural Gas Distribution Cost Study </t>
  </si>
  <si>
    <t>Weighted Cost of Installed Meters</t>
  </si>
  <si>
    <t>Results of Operations</t>
  </si>
  <si>
    <t>Natural Gas Cost of Service Study</t>
  </si>
  <si>
    <t xml:space="preserve">     Other Regulatory Expenses</t>
  </si>
  <si>
    <t xml:space="preserve">     Pro Forma Commission Fees</t>
  </si>
  <si>
    <t xml:space="preserve">Revenue Adjustment </t>
  </si>
  <si>
    <t xml:space="preserve">     Pro Forma Account 928 Total</t>
  </si>
  <si>
    <t>Commission Fee Portion of Account 928</t>
  </si>
  <si>
    <t>* Percent of Scheduling labor compared to all Acct. 813 costs.</t>
  </si>
  <si>
    <t>Sales classification % for Acct. 813</t>
  </si>
  <si>
    <t>Throughput classification % for Acct. 813</t>
  </si>
  <si>
    <t>Pro forma Total Acct 813</t>
  </si>
  <si>
    <t>Purchasing</t>
  </si>
  <si>
    <t>Scheduling</t>
  </si>
  <si>
    <t>to Scheduling</t>
  </si>
  <si>
    <t>% assigned *</t>
  </si>
  <si>
    <t>is spent on dispatch which includes transportation customer gas.</t>
  </si>
  <si>
    <t>Per Interview with Gas Scheduling Staff:</t>
  </si>
  <si>
    <t>Account 813 Analysis</t>
  </si>
  <si>
    <t>Schedule 111/112</t>
  </si>
  <si>
    <t>$ by Sch</t>
  </si>
  <si>
    <t>PF Therms</t>
  </si>
  <si>
    <t>GTI Rate</t>
  </si>
  <si>
    <t>Pro forma</t>
  </si>
  <si>
    <t>GTI Voluntary Collections</t>
  </si>
  <si>
    <t>cost of service study as the Demand allocator by schedule.</t>
  </si>
  <si>
    <t>and Commodity respectively in the gas cost of service study.  The avg. peak for the schedule is used in the gas</t>
  </si>
  <si>
    <t>process (or the cost of service study.)  Peak usage divided by Average usage yields the %'s to be used for Demand</t>
  </si>
  <si>
    <t>pro-forma test year therms).  Schedule 148-Transportation is then removed since they aren't part of the rate-setting</t>
  </si>
  <si>
    <t>The average peak-day usage from the latest 3 heating seasons is compared to the average daily usage (from the</t>
  </si>
  <si>
    <t>-</t>
  </si>
  <si>
    <t>PK-AVG</t>
  </si>
  <si>
    <t>Once all of this is complete, the pro-forma Firm Peak Day usage by schedule is available by state.</t>
  </si>
  <si>
    <t>customers, peak day usage = avg daily usage.</t>
  </si>
  <si>
    <t>HDD x respective weather coefficient + [# of cust x base usage/cust] will yield est peak-day usage.  For non-weather</t>
  </si>
  <si>
    <t>Two methods are used to estimate the Firm Peak by schedule.  For weather-sensitive schedules 101 &amp; 111, peak-day</t>
  </si>
  <si>
    <t>is spread based on estimated peak day usage.</t>
  </si>
  <si>
    <t>this sum with the Firm Peak Day total from the 'Firm Peak' worksheet.  The +/- error, typically between 5-10%,</t>
  </si>
  <si>
    <t>The 'Firm Peak by Sch' worksheet estimates peak day usage by schedule for all firm schedules, and then compares</t>
  </si>
  <si>
    <t>FIRM PEAK BY SCH</t>
  </si>
  <si>
    <t>Firm Peak' worksheet.)</t>
  </si>
  <si>
    <t>Transportation totals, thereby increasing the amount of Firm peak usage.  In addition, any Sch 146 customers that have</t>
  </si>
  <si>
    <t>FIRM PEAK</t>
  </si>
  <si>
    <t>usage is weather-related.</t>
  </si>
  <si>
    <t>weather-sensitive, do a correlation of HDD to monthly usage for 3+ years.  If r-squared and/or correlation is &gt; 0.5 or 0.6,</t>
  </si>
  <si>
    <t>If their usage is not weather-sensitive, average day usage x 5 days is adequate.  To determine whether they  are</t>
  </si>
  <si>
    <t>their estimated peak-day usage is based on their monthly usage x % of HDD that occurred on the 5 peak days.</t>
  </si>
  <si>
    <t>have been metered.  This takes place on the 'Sch 146 adj' worksheet.  If the customer's usage is weather-sensitive,</t>
  </si>
  <si>
    <t>In the previous example, the Sch 146 customer's peak usage would have to be estimated since they would not</t>
  </si>
  <si>
    <t>SCH 146 ADJ</t>
  </si>
  <si>
    <t>to the Transportation amount as if they had been Sch 146 all 3 years.  Firm peak usage would decrease accordingly.</t>
  </si>
  <si>
    <t>For example, a customer that switched to Sch 146 after the 3rd heating season dates would need to be added</t>
  </si>
  <si>
    <t>For each state: Firm daily peak = total usage minus Transportation &amp; Interruptible customers (individually metered).</t>
  </si>
  <si>
    <t>for the 5 peak days of the heating season.  State allocations are determined by delivery point by pipeline.</t>
  </si>
  <si>
    <t>Use the sheet titled 'Consecutive 5-day Peak Firm Requirement'.  This sheet shows the daily usage by state</t>
  </si>
  <si>
    <t>Usage</t>
  </si>
  <si>
    <t>HDD</t>
  </si>
  <si>
    <t>Bill Hist</t>
  </si>
  <si>
    <t>correlation between HDD and Usage</t>
  </si>
  <si>
    <t>**   Not Weather Sensitive</t>
  </si>
  <si>
    <t>r-squared = weather-related</t>
  </si>
  <si>
    <t>Deg Dys</t>
  </si>
  <si>
    <t>Dys Svc</t>
  </si>
  <si>
    <t>Read Date</t>
  </si>
  <si>
    <t>Avg Daily Usage</t>
  </si>
  <si>
    <t xml:space="preserve">Usage </t>
  </si>
  <si>
    <t xml:space="preserve">Date </t>
  </si>
  <si>
    <t>**   Weather Sensitive</t>
  </si>
  <si>
    <t>SFCC-- weather related; use HDD/THDD * Mo. Usage</t>
  </si>
  <si>
    <t>Community Colleges of Spokane - SFCC --  Avg. Daily Usage</t>
  </si>
  <si>
    <t>Estimated Daily Usage on Peak Days</t>
  </si>
  <si>
    <t>Total Non-Firm</t>
  </si>
  <si>
    <t>Total Sch 146</t>
  </si>
  <si>
    <t>Total Sch 132</t>
  </si>
  <si>
    <t>After adjustment:</t>
  </si>
  <si>
    <t>Revised Interrupt + Transport</t>
  </si>
  <si>
    <t>Adjustments to Int/Transp:</t>
  </si>
  <si>
    <t>less: Interrupt + Transport</t>
  </si>
  <si>
    <t>actual from Craig's worksheet</t>
  </si>
  <si>
    <t>Less: Transportation Customers</t>
  </si>
  <si>
    <t>Less: Interruptible Sales</t>
  </si>
  <si>
    <t>Total Sch 148</t>
  </si>
  <si>
    <t>Whitworth Univ</t>
  </si>
  <si>
    <t>Veterans Adm Hospital</t>
  </si>
  <si>
    <t>Valley Hosp &amp; Medical Ctr (from 111)</t>
  </si>
  <si>
    <t>Sacred Heart Medical Ctr</t>
  </si>
  <si>
    <t>Lane Mountain</t>
  </si>
  <si>
    <t>Lamb Weston-Firm</t>
  </si>
  <si>
    <t>Inland Asphalt</t>
  </si>
  <si>
    <t>Holy Family</t>
  </si>
  <si>
    <t>Gonzaga (switched from 122 - 2009)</t>
  </si>
  <si>
    <t>Eastern Washington Univ</t>
  </si>
  <si>
    <t>Eastern State Hospital</t>
  </si>
  <si>
    <t>Empire Health (formerly Deaconess)</t>
  </si>
  <si>
    <t xml:space="preserve">Central Pre-Mix </t>
  </si>
  <si>
    <t>Washington Transportation Cust</t>
  </si>
  <si>
    <t>Airway Heights Corr. Center</t>
  </si>
  <si>
    <t>Washington Interruptible Customers</t>
  </si>
  <si>
    <t>WA Firm Req., Adjusted</t>
  </si>
  <si>
    <t>Washington, adjusted</t>
  </si>
  <si>
    <t>plus Adj. to Firm:</t>
  </si>
  <si>
    <t>Washington Firm Requirements</t>
  </si>
  <si>
    <t>WASHINGTON</t>
  </si>
  <si>
    <t>Sch</t>
  </si>
  <si>
    <t>b -  usage based on day's HDD:Total</t>
  </si>
  <si>
    <t>a -  usage based on weather factors</t>
  </si>
  <si>
    <t>Total Transportation</t>
  </si>
  <si>
    <t>Schedule 159</t>
  </si>
  <si>
    <t>Schedule 147</t>
  </si>
  <si>
    <t>Total Sales Peak Therms</t>
  </si>
  <si>
    <t>Total Firm Sales Peak Therms</t>
  </si>
  <si>
    <t>Total Schedule 121/122</t>
  </si>
  <si>
    <t>Total Schedule 111/112</t>
  </si>
  <si>
    <t>Total Schedule 101</t>
  </si>
  <si>
    <t>Adjusted Estimated Peak Therms</t>
  </si>
  <si>
    <t xml:space="preserve"> % of Firm Requirement</t>
  </si>
  <si>
    <t>Losses &amp; Estimation Error</t>
  </si>
  <si>
    <t>Firm Requirement</t>
  </si>
  <si>
    <t>Consecutive 5-Day Peak</t>
  </si>
  <si>
    <t>TOTAL FIRM SCHEDULES:</t>
  </si>
  <si>
    <t>x</t>
  </si>
  <si>
    <t>Mo. Usage * Day's HDD / Month's HDD</t>
  </si>
  <si>
    <t>b</t>
  </si>
  <si>
    <t>Industrial 121/122</t>
  </si>
  <si>
    <t>Commercial 121/122</t>
  </si>
  <si>
    <t>Residential 121/122</t>
  </si>
  <si>
    <t>Industrial 111/112</t>
  </si>
  <si>
    <t>usage based on weather factors</t>
  </si>
  <si>
    <t>a</t>
  </si>
  <si>
    <t>Commercial 111/112</t>
  </si>
  <si>
    <t>Residential 111/112</t>
  </si>
  <si>
    <t>Industrial 101</t>
  </si>
  <si>
    <t>Commercial 101</t>
  </si>
  <si>
    <t>Residential 101</t>
  </si>
  <si>
    <t>Estimated Daily Firm Therms</t>
  </si>
  <si>
    <t>Reference Column - Peak Day</t>
  </si>
  <si>
    <t>Reference Column - Therms</t>
  </si>
  <si>
    <t>Reference Column - Customers</t>
  </si>
  <si>
    <t>Days in Month</t>
  </si>
  <si>
    <t>Total Calendar DDH for month</t>
  </si>
  <si>
    <t>Heating Degree Days</t>
  </si>
  <si>
    <t>Peak Day</t>
  </si>
  <si>
    <t>5-day Totals</t>
  </si>
  <si>
    <t>Column</t>
  </si>
  <si>
    <t>Therms</t>
  </si>
  <si>
    <t>Cust</t>
  </si>
  <si>
    <t>per Cust</t>
  </si>
  <si>
    <t>Baseload</t>
  </si>
  <si>
    <t xml:space="preserve">Per </t>
  </si>
  <si>
    <t>Monthly</t>
  </si>
  <si>
    <t>Firm Sales Schedule 101, 111, and 121 Estimating Factors</t>
  </si>
  <si>
    <t>Idaho Jurisdiction</t>
  </si>
  <si>
    <t>c -  usage based on avg. daily usage</t>
  </si>
  <si>
    <t>WA Total Peak Throughput</t>
  </si>
  <si>
    <t>Schedule 148</t>
  </si>
  <si>
    <t>Usage / days in mo.</t>
  </si>
  <si>
    <t>c</t>
  </si>
  <si>
    <t xml:space="preserve">- </t>
  </si>
  <si>
    <t>Average Daily Usage</t>
  </si>
  <si>
    <t>Days in Yr</t>
  </si>
  <si>
    <t>Pro forma Test Yr Usage (000's of therms)</t>
  </si>
  <si>
    <t xml:space="preserve">Proforma Test Yr Usage </t>
  </si>
  <si>
    <t>Average</t>
  </si>
  <si>
    <t>Peak</t>
  </si>
  <si>
    <t>Tot %</t>
  </si>
  <si>
    <t>147/159</t>
  </si>
  <si>
    <t>Subtotal</t>
  </si>
  <si>
    <t>less</t>
  </si>
  <si>
    <t>less Special Contract (Sch 147/159)</t>
  </si>
  <si>
    <t>Idaho Total Peak Throughput</t>
  </si>
  <si>
    <t>Schedule 111/112 (incl old 121/122)</t>
  </si>
  <si>
    <t>Jurisdiction</t>
  </si>
  <si>
    <t>average</t>
  </si>
  <si>
    <t>% of</t>
  </si>
  <si>
    <t>3-yr, 5-day</t>
  </si>
  <si>
    <t>less 148</t>
  </si>
  <si>
    <t>Washington Total Peak Throughput</t>
  </si>
  <si>
    <t>Costs</t>
  </si>
  <si>
    <t>Throughput - All Schedules</t>
  </si>
  <si>
    <t>Sales - Excludes 146</t>
  </si>
  <si>
    <t>same as Throughput, less Transport &amp; Interruptible</t>
  </si>
  <si>
    <t>131/132</t>
  </si>
  <si>
    <t>STATE OF WA CORRECTIONS</t>
  </si>
  <si>
    <t>Waste Mgmt of Spokane</t>
  </si>
  <si>
    <t>Spokane County Courthouse</t>
  </si>
  <si>
    <t>Waste Management of Spokane</t>
  </si>
  <si>
    <t>2012-2013 Heating Season</t>
  </si>
  <si>
    <t>Lamb Weston (ConAgra)</t>
  </si>
  <si>
    <t>less Special Contract (Sch 148)</t>
  </si>
  <si>
    <t>Spokane County Courthouse -- weather related; use HDD/THDD * Mo. Usage</t>
  </si>
  <si>
    <t>Community Colleges of Spokane (SCC)</t>
  </si>
  <si>
    <t>Community Colleges of Spokane (SFCC)</t>
  </si>
  <si>
    <t>Start with 5DayPeakvol worksheets from Annette for last 3 heating seasons.</t>
  </si>
  <si>
    <t>Copy Annette's data into 'Firm Peak' worksheet.</t>
  </si>
  <si>
    <t>Because customers come &amp; go from Sch 146-Interruptible, adjustments need to be made to Annette's source data.</t>
  </si>
  <si>
    <t>There are also adjustments for customers that have left Sch 146.  Their readings would be removed from Annette's</t>
  </si>
  <si>
    <t>closed would be deducted from both the state total and the Transportation total from Annette's data.</t>
  </si>
  <si>
    <t>Airway Heights Correction Center -- weather related; use HDD/THDD * Mo. Usage</t>
  </si>
  <si>
    <t>**  Weather Sensitive</t>
  </si>
  <si>
    <t>Lamb Weston - Sch 146 -- weather related; use HDD/THDD * Mo. Usage</t>
  </si>
  <si>
    <t>Valley Hosp &amp; Medical Center - Sch 146 -- weather related; use HDD/THDD * Mo. Usage</t>
  </si>
  <si>
    <t>804/805-000</t>
  </si>
  <si>
    <t xml:space="preserve">Working </t>
  </si>
  <si>
    <t>Capital</t>
  </si>
  <si>
    <t>G-WC</t>
  </si>
  <si>
    <t>Property Taxes</t>
  </si>
  <si>
    <t>G-RPT</t>
  </si>
  <si>
    <t>Sch 132</t>
  </si>
  <si>
    <t>Adjustment 2.04 (G-RE)</t>
  </si>
  <si>
    <t>G-PPT</t>
  </si>
  <si>
    <t>Normalization</t>
  </si>
  <si>
    <t xml:space="preserve">Cross Check </t>
  </si>
  <si>
    <t xml:space="preserve">         </t>
  </si>
  <si>
    <t>376-All</t>
  </si>
  <si>
    <t>Net UG/D Plant</t>
  </si>
  <si>
    <t>Net UG/Dist Plant</t>
  </si>
  <si>
    <t>O&amp;M (less PG/Uncoll/Labor)</t>
  </si>
  <si>
    <t>O&amp;M Labor</t>
  </si>
  <si>
    <t>Customers</t>
  </si>
  <si>
    <t>Corporate Cost Allocator</t>
  </si>
  <si>
    <t>COMMON</t>
  </si>
  <si>
    <t>4-Factor</t>
  </si>
  <si>
    <t>Corporate Cost Allocator (4-Factor)</t>
  </si>
  <si>
    <t>- not used -</t>
  </si>
  <si>
    <t xml:space="preserve">Genl Plant </t>
  </si>
  <si>
    <t>Total Customer Related Costs</t>
  </si>
  <si>
    <t>Customer Related Unit Cost per Month</t>
  </si>
  <si>
    <t>Other Non-Gas Costs</t>
  </si>
  <si>
    <t>Other Non-Gas Unit Cost per Month</t>
  </si>
  <si>
    <t>Total Fixed Unit Cost per Month</t>
  </si>
  <si>
    <t>Fixed Costs Per Customer</t>
  </si>
  <si>
    <t>**  4-Factor consists of multiple functions so is calculated in the detail tab</t>
  </si>
  <si>
    <t>DA 131/132</t>
  </si>
  <si>
    <t>A&amp;G</t>
  </si>
  <si>
    <t>2013-2014 Heating Season</t>
  </si>
  <si>
    <t>Inland Empire Paper --  Avg. Daily Usage</t>
  </si>
  <si>
    <t>**Not  Weather Sensitive</t>
  </si>
  <si>
    <t>Adder Schedules</t>
  </si>
  <si>
    <t>G-EAS</t>
  </si>
  <si>
    <t>G-PREV</t>
  </si>
  <si>
    <t>Pro Forma Revenue</t>
  </si>
  <si>
    <t>Tax Benefit of Interest Expense</t>
  </si>
  <si>
    <t>2014-2015 Heating Season</t>
  </si>
  <si>
    <t>Johanna Beverage Company</t>
  </si>
  <si>
    <t>detail from Annette's worksheet:</t>
  </si>
  <si>
    <t>Johanna Beverage Company --  Avg. Daily Usage</t>
  </si>
  <si>
    <t>Weather Normalization</t>
  </si>
  <si>
    <t>Gas Cost Adjust</t>
  </si>
  <si>
    <t>G-WNGC</t>
  </si>
  <si>
    <t xml:space="preserve">Pro Forma </t>
  </si>
  <si>
    <t>Weather Norm Adj</t>
  </si>
  <si>
    <t>Adjustment 2.10 (G-WNGC)</t>
  </si>
  <si>
    <t>Eliminate Adder Schedules</t>
  </si>
  <si>
    <t>Adjustment 2.11 (G-EAS)</t>
  </si>
  <si>
    <t>Margin to Cost Ratio at Prop. Rates</t>
  </si>
  <si>
    <t xml:space="preserve">Restating </t>
  </si>
  <si>
    <t>Incentives</t>
  </si>
  <si>
    <t xml:space="preserve">Restate </t>
  </si>
  <si>
    <t>Debt Int</t>
  </si>
  <si>
    <t>G-DI</t>
  </si>
  <si>
    <t>G-PLEAP</t>
  </si>
  <si>
    <t>2015-2016 Heating Season</t>
  </si>
  <si>
    <t xml:space="preserve">Misc Restating </t>
  </si>
  <si>
    <t>Non Exec Labor</t>
  </si>
  <si>
    <t>Adjustment 2.12 (G-MR)</t>
  </si>
  <si>
    <t>Northern Quest Casino</t>
  </si>
  <si>
    <t>Hollister Stier Laboratories</t>
  </si>
  <si>
    <t>Hollister Stier Laboratories --  Avg. Daily Usage</t>
  </si>
  <si>
    <t>Other (LEAP Program - Sch 101 only)</t>
  </si>
  <si>
    <t>DA 132</t>
  </si>
  <si>
    <t>Direct Assignment Schedule 131/132</t>
  </si>
  <si>
    <t>2016-2017 Heating Season</t>
  </si>
  <si>
    <t>2017-2018 Heating Season</t>
  </si>
  <si>
    <t>Spokane Industries</t>
  </si>
  <si>
    <t>Western State Asphalt</t>
  </si>
  <si>
    <t>input from Miller "ROR" tab</t>
  </si>
  <si>
    <t xml:space="preserve">Hollister-Stier </t>
  </si>
  <si>
    <t>Natural Gas Line Extension</t>
  </si>
  <si>
    <t>Tax Reform Amortization</t>
  </si>
  <si>
    <t>Excess Natural Gas Line Extension</t>
  </si>
  <si>
    <t>FISERVE Payment Processing</t>
  </si>
  <si>
    <t>Misc Amortization</t>
  </si>
  <si>
    <t>407.XXX</t>
  </si>
  <si>
    <t>Remove</t>
  </si>
  <si>
    <t>AMI Rate Base</t>
  </si>
  <si>
    <t>G-AMI</t>
  </si>
  <si>
    <t xml:space="preserve">Other Gas Rev </t>
  </si>
  <si>
    <t>496.xx</t>
  </si>
  <si>
    <t>Other Gas Rev - Misc</t>
  </si>
  <si>
    <t>G-PFEE</t>
  </si>
  <si>
    <t>DA Sch 101</t>
  </si>
  <si>
    <t>Adjustment 3.01 (G-PREV)</t>
  </si>
  <si>
    <t>PF Labor, Non-Exec 3.03 (G-PLN)</t>
  </si>
  <si>
    <t>PF Empl. Benefits 3.05 (G-PEB)</t>
  </si>
  <si>
    <t>PF Labor, Exec 3.04 (G-PLE)</t>
  </si>
  <si>
    <t>LEAP/Fee Free</t>
  </si>
  <si>
    <t>Avg. Residential Service Length from Annual Report - Gas Engineering</t>
  </si>
  <si>
    <t>N. Thorson and L. Burger utilizing "GAS SERVICE COSTS WORKSHEET - WA"</t>
  </si>
  <si>
    <t>Twelve Months Ended December 31, 2019</t>
  </si>
  <si>
    <t>Approximately 75% of their time (booked to Account 813)</t>
  </si>
  <si>
    <t>2019 Total Cost</t>
  </si>
  <si>
    <t>Total Washington CBR/ROO</t>
  </si>
  <si>
    <t>Total adjustments</t>
  </si>
  <si>
    <t>Line No.</t>
  </si>
  <si>
    <t>Residential sales</t>
  </si>
  <si>
    <t>Commercial and industrial sales</t>
  </si>
  <si>
    <t>Total distribution expenses</t>
  </si>
  <si>
    <t>Total customer account expenses</t>
  </si>
  <si>
    <t>Intangible plant</t>
  </si>
  <si>
    <t>Total amortization expenses</t>
  </si>
  <si>
    <t xml:space="preserve">Taxes other than income </t>
  </si>
  <si>
    <t>Income taxes - federal taxes utility operating income</t>
  </si>
  <si>
    <t>Income taxes - other taxes utility operating income</t>
  </si>
  <si>
    <t>Provision for deferred income taxes</t>
  </si>
  <si>
    <t>Investment tax credit adjustment</t>
  </si>
  <si>
    <t>Total taxes</t>
  </si>
  <si>
    <t>Total natural gas plant in service</t>
  </si>
  <si>
    <t>Revenue Requirement</t>
  </si>
  <si>
    <t>FERC Acct #</t>
  </si>
  <si>
    <t>Total natural gas operating revenues</t>
  </si>
  <si>
    <t>Total sales of gas</t>
  </si>
  <si>
    <t>Total other operating revenues</t>
  </si>
  <si>
    <t>Total other gas supply expenses</t>
  </si>
  <si>
    <t>Total underground storage expenses - operation</t>
  </si>
  <si>
    <t>Total underground storage expenses - maintenance</t>
  </si>
  <si>
    <t>Total distribution expenses - operation</t>
  </si>
  <si>
    <t>Total distribution expenses - maintenance</t>
  </si>
  <si>
    <t>Customer account expenses</t>
  </si>
  <si>
    <t>403, 403.1</t>
  </si>
  <si>
    <t>Taxes</t>
  </si>
  <si>
    <t>410.1 - 411.1</t>
  </si>
  <si>
    <t xml:space="preserve">Total Intangible plant </t>
  </si>
  <si>
    <t>Underground storage plant</t>
  </si>
  <si>
    <t>Structures and improvements</t>
  </si>
  <si>
    <t>Other equipment</t>
  </si>
  <si>
    <t>Total underground storage plant</t>
  </si>
  <si>
    <t>Land and land rights</t>
  </si>
  <si>
    <t>Communication equipment</t>
  </si>
  <si>
    <t>Distribution plant</t>
  </si>
  <si>
    <t>Measuring and regulating station equipment - general</t>
  </si>
  <si>
    <t>Measuring and regulating station equipment - city gate check stations</t>
  </si>
  <si>
    <t>Meter installations</t>
  </si>
  <si>
    <t>House regulators</t>
  </si>
  <si>
    <t>House regulatory installations</t>
  </si>
  <si>
    <t>Industrial measuring and regulating station equipment</t>
  </si>
  <si>
    <t xml:space="preserve">Total distribution plant 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</si>
  <si>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</si>
  <si>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</si>
  <si>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</si>
  <si>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</si>
  <si>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</si>
  <si>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</si>
  <si>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</si>
  <si>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</si>
  <si>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 xml:space="preserve">Total general plant </t>
  </si>
  <si>
    <t>Acronym</t>
  </si>
  <si>
    <t>TOTAL</t>
  </si>
  <si>
    <t>B</t>
  </si>
  <si>
    <t>Natural gas operating revenues</t>
  </si>
  <si>
    <t>Adjustment Number</t>
  </si>
  <si>
    <t>2019 Rate Base</t>
  </si>
  <si>
    <t>G-EOP19</t>
  </si>
  <si>
    <t xml:space="preserve">Pro Forma Def. </t>
  </si>
  <si>
    <t>ARAM</t>
  </si>
  <si>
    <t>Debits &amp; Credits</t>
  </si>
  <si>
    <t>G-PRA</t>
  </si>
  <si>
    <t>G-ARAM</t>
  </si>
  <si>
    <t>Insurance Exp</t>
  </si>
  <si>
    <t>G-PINS</t>
  </si>
  <si>
    <t>IS/IT</t>
  </si>
  <si>
    <t>G-PIT</t>
  </si>
  <si>
    <t>Fee Free Amort</t>
  </si>
  <si>
    <t>2020 Customer AT Center</t>
  </si>
  <si>
    <t>G-PCAP1</t>
  </si>
  <si>
    <t>2020 Large &amp; Distinct</t>
  </si>
  <si>
    <t>G-PCAP2</t>
  </si>
  <si>
    <t>2020 Programmatic</t>
  </si>
  <si>
    <t>G-PCAP3</t>
  </si>
  <si>
    <t>G-PCAP4</t>
  </si>
  <si>
    <t>G-PCAP5</t>
  </si>
  <si>
    <t>G-PAMI</t>
  </si>
  <si>
    <t>G-PTAX</t>
  </si>
  <si>
    <t>2020 Mandatory</t>
  </si>
  <si>
    <t>2020 Short Lived</t>
  </si>
  <si>
    <t>AMI Capital Adds</t>
  </si>
  <si>
    <t>LEAP Def. Amort</t>
  </si>
  <si>
    <t>Tax Repairs</t>
  </si>
  <si>
    <t>Total Restating adjustments</t>
  </si>
  <si>
    <t>Sum of restating adjustments</t>
  </si>
  <si>
    <t>Total Proforma adjustments</t>
  </si>
  <si>
    <t>Sum of proforma adjustments</t>
  </si>
  <si>
    <t>D+E</t>
  </si>
  <si>
    <t>Adjusted ROO</t>
  </si>
  <si>
    <t>C+F</t>
  </si>
  <si>
    <t>Revenue change to base rates</t>
  </si>
  <si>
    <t>RR Input and revenue sensitive items</t>
  </si>
  <si>
    <t>ROO after rate change</t>
  </si>
  <si>
    <t>G+H</t>
  </si>
  <si>
    <t>Residential Sales</t>
  </si>
  <si>
    <t>Commercial Sales</t>
  </si>
  <si>
    <t>Interdepartmental Revenue</t>
  </si>
  <si>
    <t>Unbilled Revenue</t>
  </si>
  <si>
    <t>Transportation for others</t>
  </si>
  <si>
    <t>Other Gas Revenue</t>
  </si>
  <si>
    <t>Adjustment 3.04 (G-PLN)</t>
  </si>
  <si>
    <t>2018-2019 Heating Season</t>
  </si>
  <si>
    <t>E</t>
  </si>
  <si>
    <t>F</t>
  </si>
  <si>
    <t>G</t>
  </si>
  <si>
    <t>H</t>
  </si>
  <si>
    <t>I</t>
  </si>
  <si>
    <t>Transportation for Others</t>
  </si>
  <si>
    <t>Rent from Gas Property</t>
  </si>
  <si>
    <t>Other Gas Revenue - Misc</t>
  </si>
  <si>
    <t>Natural Gas Purchases</t>
  </si>
  <si>
    <t>804/805</t>
  </si>
  <si>
    <t>Total Purchased Gas Costs</t>
  </si>
  <si>
    <t xml:space="preserve">Gas Used for Products Extraction  </t>
  </si>
  <si>
    <t>Underground Storage Expenses - Operation</t>
  </si>
  <si>
    <t>Underground Storage Expenses - Maintenance</t>
  </si>
  <si>
    <t>Distribution Expenses - Operation</t>
  </si>
  <si>
    <t>Distribution Expenses - Maintenance</t>
  </si>
  <si>
    <t>Total Administrative &amp; General  Expenses</t>
  </si>
  <si>
    <t>Total Underground Storage Plant Depr. Exp</t>
  </si>
  <si>
    <t>Total Distribution Plant Depr. Exp</t>
  </si>
  <si>
    <t>Total General Plant Dpreciation Expense</t>
  </si>
  <si>
    <t>Distribution Plant Accum. Depr.</t>
  </si>
  <si>
    <t>General Plant Accum. Depr.</t>
  </si>
  <si>
    <t>Schedule 131</t>
  </si>
  <si>
    <t>Revenue Requirement Impact</t>
  </si>
  <si>
    <t>Change in Rate Base</t>
  </si>
  <si>
    <t>ROR</t>
  </si>
  <si>
    <t>Customer Expenses</t>
  </si>
  <si>
    <t>Common Expenses</t>
  </si>
  <si>
    <t>Transmission Expenses</t>
  </si>
  <si>
    <t>UTILITY COMPANY</t>
  </si>
  <si>
    <t>Summary of Adjustments</t>
  </si>
  <si>
    <t>Service territory : Washington</t>
  </si>
  <si>
    <t>Time period : Twelve Months ended December 31, 2019</t>
  </si>
  <si>
    <t>Restating Adjustments</t>
  </si>
  <si>
    <t>Work paper reference</t>
  </si>
  <si>
    <t>Description of Adjustment</t>
  </si>
  <si>
    <t xml:space="preserve">NOI   </t>
  </si>
  <si>
    <t>Proforma Adjustments</t>
  </si>
  <si>
    <t>Service: Natural Gas</t>
  </si>
  <si>
    <t>Washington Natural Gas</t>
  </si>
  <si>
    <t>Restated Total</t>
  </si>
  <si>
    <t>Proforma Total</t>
  </si>
  <si>
    <t>Total Adjustments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</si>
  <si>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</si>
  <si>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</si>
  <si>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</si>
  <si>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</si>
  <si>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</si>
  <si>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</si>
  <si>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</si>
  <si>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</si>
  <si>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</si>
  <si>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</si>
  <si>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Revenue from Rates</t>
  </si>
  <si>
    <t>Variance from Unity</t>
  </si>
  <si>
    <t>Revenue-to Cost Ratio at Proposed Rates</t>
  </si>
  <si>
    <t>Parity Ratio at Proposed Rates</t>
  </si>
  <si>
    <t>from conversion factor</t>
  </si>
  <si>
    <t>Total Cost for Rate Schedule</t>
  </si>
  <si>
    <t>Number of Meters/Modules</t>
  </si>
  <si>
    <t>N/A</t>
  </si>
  <si>
    <t>Average installed cost for new AMI meter module</t>
  </si>
  <si>
    <t>Average AMI module cost</t>
  </si>
  <si>
    <t>Average new meter cost per customer</t>
  </si>
  <si>
    <t>Purina Mills / Land O' Lakes</t>
  </si>
  <si>
    <t>Fairchild</t>
  </si>
  <si>
    <t>Kaiser Trentwood</t>
  </si>
  <si>
    <t>Mutual Materials</t>
  </si>
  <si>
    <t>Triumph Composite</t>
  </si>
  <si>
    <t>Washington Potato</t>
  </si>
  <si>
    <t>Washington State Univ</t>
  </si>
  <si>
    <t>1-yr, 5-day</t>
  </si>
  <si>
    <t>Return on Rate Base @ 7.43%</t>
  </si>
  <si>
    <t>WUTC Docket No. UE-20____</t>
  </si>
  <si>
    <t>Normalized Usage by Month</t>
  </si>
  <si>
    <t>WASHINGTON GAS SYSTEM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</si>
  <si>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</si>
  <si>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</si>
  <si>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</si>
  <si>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</si>
  <si>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</si>
  <si>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</si>
  <si>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</si>
  <si>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</si>
  <si>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</si>
  <si>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</si>
  <si>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</si>
  <si>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</si>
  <si>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</si>
  <si>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Revenue Run Billed Usage</t>
  </si>
  <si>
    <t>Small Service Schedule 101</t>
  </si>
  <si>
    <t>Large Service Schedule 111/112</t>
  </si>
  <si>
    <t>Extra Large Service Schedule 121/122</t>
  </si>
  <si>
    <t>Interrupt Service Schedule 131/132</t>
  </si>
  <si>
    <t>Transport Service Schedule 146</t>
  </si>
  <si>
    <t>Special Contract Transport</t>
  </si>
  <si>
    <t>Total Revenue Run Billed Usage</t>
  </si>
  <si>
    <t>Adjustments to Revenue Runs</t>
  </si>
  <si>
    <t>Schedule 111/112 Adjustments</t>
  </si>
  <si>
    <t>Schedule 121/122 to 111/112</t>
  </si>
  <si>
    <t>Schedule 146 to 112 shifting</t>
  </si>
  <si>
    <t>Schedule 146 Adjustments</t>
  </si>
  <si>
    <t>Special Contract Adjustments</t>
  </si>
  <si>
    <t>Total Adjustments to Revenue Runs</t>
  </si>
  <si>
    <t>Net Unbilled Usage</t>
  </si>
  <si>
    <t>Weather Adjustment</t>
  </si>
  <si>
    <t>Total Weather Adjustment</t>
  </si>
  <si>
    <t>Normalized Test Year Usage</t>
  </si>
  <si>
    <t>Total Normalized Test Year Usage</t>
  </si>
  <si>
    <t>Winter Month Average</t>
  </si>
  <si>
    <t>Summer Month Average</t>
  </si>
  <si>
    <t>Winter</t>
  </si>
  <si>
    <t>Summer</t>
  </si>
  <si>
    <t>Winter 5 Month Total</t>
  </si>
  <si>
    <t>Summer 4 Month Total</t>
  </si>
  <si>
    <t>Winter Therms</t>
  </si>
  <si>
    <t>Excess Winter over Summer Therms</t>
  </si>
  <si>
    <t>Excess winter over summer</t>
  </si>
  <si>
    <t>303.12X</t>
  </si>
  <si>
    <t>AMI Software</t>
  </si>
  <si>
    <t>AMI Costs and Benefits Embedded in Cost of Service Study</t>
  </si>
  <si>
    <t>AMI/MDM Software</t>
  </si>
  <si>
    <t>AMI/MDM Software Accum. Amort.</t>
  </si>
  <si>
    <t>Total AMI/MDM Software</t>
  </si>
  <si>
    <t>AMI Regulatory Asset</t>
  </si>
  <si>
    <t>Subset of Accum Deferred Income Tax</t>
  </si>
  <si>
    <t xml:space="preserve">  AMI Existing Meters/ERTs Deferral A/D</t>
  </si>
  <si>
    <t>Rate Base Componants</t>
  </si>
  <si>
    <t>Expense Components</t>
  </si>
  <si>
    <t>AMI/MDM Software Amort. Exp.</t>
  </si>
  <si>
    <t>AMI Communication Equip. Depr. Exp.</t>
  </si>
  <si>
    <t>Corporate Cost Allocators (4 factor)</t>
  </si>
  <si>
    <t>wtd cost of debt</t>
  </si>
  <si>
    <t>tax rate</t>
  </si>
  <si>
    <t>AMI Comunications Equipment</t>
  </si>
  <si>
    <t>AMI Comunications Equipment Accum. Depr.</t>
  </si>
  <si>
    <t xml:space="preserve">   Total AMI/MDM Revenue Requirements</t>
  </si>
  <si>
    <t>Rate Year O&amp;M Savings/Offsets</t>
  </si>
  <si>
    <t>Revenue Requirement Offset</t>
  </si>
  <si>
    <t xml:space="preserve"> Total AMI Rate Year Net Costs </t>
  </si>
  <si>
    <t>Source: 3) AMI Report Benefits Workbook_Updated 09_01_2020</t>
  </si>
  <si>
    <t>Revenue Requirement Reductions Grand Total</t>
  </si>
  <si>
    <t>12 ME 09.30.2022</t>
  </si>
  <si>
    <t>Electric Share</t>
  </si>
  <si>
    <t>Natural Gas Share</t>
  </si>
  <si>
    <t>Benefits Allocated by Common Cost Allocator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</si>
</sst>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#,##0.0000;\-#,##0.0000;"/>
    <numFmt numFmtId="167" formatCode="0.0%"/>
    <numFmt numFmtId="168" formatCode="#,##0;\-#,##0;"/>
    <numFmt numFmtId="169" formatCode="0.0000%"/>
    <numFmt numFmtId="170" formatCode="&quot;$&quot;#,##0.00000"/>
    <numFmt numFmtId="171" formatCode="#,##0.000000"/>
    <numFmt numFmtId="172" formatCode="&quot;$&quot;#,##0.00"/>
    <numFmt numFmtId="173" formatCode="0.000"/>
    <numFmt numFmtId="174" formatCode="m\-d\-yy"/>
    <numFmt numFmtId="175" formatCode="_(&quot;$&quot;* #,##0.00000_);_(&quot;$&quot;* \(#,##0.00000\);_(&quot;$&quot;* &quot;-&quot;?????_);_(@_)"/>
    <numFmt numFmtId="176" formatCode="_(&quot;$&quot;* #,##0.000000_);_(&quot;$&quot;* \(#,##0.000000\);_(&quot;$&quot;* &quot;-&quot;??????_);_(@_)"/>
    <numFmt numFmtId="177" formatCode="#,##0\ ;\(#,##0\)"/>
    <numFmt numFmtId="178" formatCode="&quot;&quot;"/>
    <numFmt numFmtId="179" formatCode="&quot;(&quot;0&quot;)&quot;"/>
    <numFmt numFmtId="180" formatCode="#,##0.00\ ;\(#,##0.00\)"/>
    <numFmt numFmtId="181" formatCode="_(* #,##0_);_(* \(#,##0\);_(* &quot;-&quot;??_);_(@_)"/>
    <numFmt numFmtId="182" formatCode="0.000%"/>
    <numFmt numFmtId="183" formatCode="[$-409]mmmm\-yy;@"/>
    <numFmt numFmtId="184" formatCode="mmm\ d\,\ yy"/>
    <numFmt numFmtId="185" formatCode="#,##0.000"/>
    <numFmt numFmtId="186" formatCode="_(&quot;$&quot;* #,##0_);_(&quot;$&quot;* \(#,##0\);_(&quot;$&quot;* &quot;-&quot;??_);_(@_)"/>
    <numFmt numFmtId="187" formatCode="#,##0.0"/>
    <numFmt numFmtId="188" formatCode="_(* #,##0.0_);_(* \(#,##0.0\);_(* &quot;-&quot;??_);_(@_)"/>
    <numFmt numFmtId="189" formatCode="_(* #,##0.000000_);_(* \(#,##0.000000\);_(* &quot;-&quot;??_);_(@_)"/>
    <numFmt numFmtId="190" formatCode="&quot;$&quot;#,##0"/>
    <numFmt numFmtId="191" formatCode="_(&quot;$&quot;* #,##0.00000_);_(&quot;$&quot;* \(#,##0.00000\);_(&quot;$&quot;* &quot;-&quot;??????_);_(@_)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8.5"/>
      <color indexed="12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Geneva"/>
    </font>
    <font>
      <sz val="10"/>
      <color indexed="14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10"/>
      <color rgb="FF0000FF"/>
      <name val="Arial Narrow"/>
      <family val="2"/>
    </font>
    <font>
      <b/>
      <sz val="10"/>
      <color indexed="12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0"/>
      <color indexed="16"/>
      <name val="Arial Narrow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indexed="81"/>
      <name val="Tahoma"/>
      <family val="2"/>
    </font>
    <font>
      <b/>
      <u/>
      <sz val="10"/>
      <name val="Times New Roman"/>
      <family val="1"/>
    </font>
    <font>
      <sz val="10"/>
      <color indexed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50"/>
      <name val="Arial Narrow"/>
      <family val="2"/>
    </font>
    <font>
      <sz val="10"/>
      <color rgb="FF00B05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Times New Roman"/>
      <family val="1"/>
    </font>
    <font>
      <sz val="10"/>
      <color rgb="FF0000FF"/>
      <name val="Times New Roman"/>
      <family val="1"/>
    </font>
    <font>
      <sz val="10"/>
      <color rgb="FF00B050"/>
      <name val="Times New Roman"/>
      <family val="1"/>
    </font>
    <font>
      <sz val="10"/>
      <color rgb="FFFF00FF"/>
      <name val="Arial Narrow"/>
      <family val="2"/>
    </font>
    <font>
      <b/>
      <sz val="10"/>
      <color rgb="FF00B050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u/>
      <sz val="12"/>
      <name val="Times New Roman"/>
      <family val="1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DE9D9"/>
        <bgColor rgb="FF000000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30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6" fillId="4" borderId="0" applyFont="0" applyFill="0" applyBorder="0" applyAlignment="0" applyProtection="0"/>
    <xf numFmtId="5" fontId="6" fillId="4" borderId="0" applyFont="0" applyFill="0" applyBorder="0" applyAlignment="0" applyProtection="0"/>
    <xf numFmtId="0" fontId="6" fillId="4" borderId="0" applyFont="0" applyFill="0" applyBorder="0" applyAlignment="0" applyProtection="0"/>
    <xf numFmtId="2" fontId="6" fillId="4" borderId="0" applyFont="0" applyFill="0" applyBorder="0" applyAlignment="0" applyProtection="0"/>
    <xf numFmtId="41" fontId="50" fillId="5" borderId="26">
      <alignment horizontal="left"/>
      <protection locked="0"/>
    </xf>
    <xf numFmtId="44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29" applyNumberFormat="0" applyFill="0" applyAlignment="0" applyProtection="0"/>
    <xf numFmtId="0" fontId="56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31" applyNumberFormat="0" applyAlignment="0" applyProtection="0"/>
    <xf numFmtId="0" fontId="61" fillId="10" borderId="32" applyNumberFormat="0" applyAlignment="0" applyProtection="0"/>
    <xf numFmtId="0" fontId="62" fillId="10" borderId="31" applyNumberFormat="0" applyAlignment="0" applyProtection="0"/>
    <xf numFmtId="0" fontId="63" fillId="0" borderId="33" applyNumberFormat="0" applyFill="0" applyAlignment="0" applyProtection="0"/>
    <xf numFmtId="0" fontId="64" fillId="11" borderId="3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6" applyNumberFormat="0" applyFill="0" applyAlignment="0" applyProtection="0"/>
    <xf numFmtId="0" fontId="6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68" fillId="36" borderId="0" applyNumberFormat="0" applyBorder="0" applyAlignment="0" applyProtection="0"/>
    <xf numFmtId="0" fontId="5" fillId="0" borderId="0"/>
    <xf numFmtId="0" fontId="5" fillId="12" borderId="35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2" borderId="35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3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0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819">
    <xf numFmtId="0" fontId="0" fillId="0" borderId="0" xfId="0"/>
    <xf numFmtId="0" fontId="7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9" fillId="0" borderId="0" xfId="0" applyFont="1" applyProtection="1"/>
    <xf numFmtId="3" fontId="10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0" fillId="0" borderId="0" xfId="0" applyFont="1"/>
    <xf numFmtId="166" fontId="10" fillId="0" borderId="0" xfId="0" applyNumberFormat="1" applyFont="1"/>
    <xf numFmtId="166" fontId="6" fillId="0" borderId="2" xfId="0" applyNumberFormat="1" applyFont="1" applyBorder="1"/>
    <xf numFmtId="166" fontId="0" fillId="0" borderId="0" xfId="0" applyNumberFormat="1"/>
    <xf numFmtId="166" fontId="6" fillId="0" borderId="0" xfId="0" applyNumberFormat="1" applyFont="1"/>
    <xf numFmtId="166" fontId="0" fillId="0" borderId="2" xfId="0" applyNumberFormat="1" applyBorder="1"/>
    <xf numFmtId="0" fontId="12" fillId="0" borderId="0" xfId="0" applyFont="1"/>
    <xf numFmtId="3" fontId="0" fillId="0" borderId="4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3" fontId="0" fillId="0" borderId="0" xfId="0" applyNumberFormat="1" applyFill="1"/>
    <xf numFmtId="166" fontId="0" fillId="0" borderId="1" xfId="0" applyNumberFormat="1" applyBorder="1"/>
    <xf numFmtId="3" fontId="10" fillId="0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/>
    <xf numFmtId="10" fontId="6" fillId="0" borderId="0" xfId="0" applyNumberFormat="1" applyFont="1"/>
    <xf numFmtId="10" fontId="11" fillId="0" borderId="0" xfId="0" applyNumberFormat="1" applyFont="1"/>
    <xf numFmtId="168" fontId="0" fillId="0" borderId="0" xfId="0" applyNumberFormat="1"/>
    <xf numFmtId="0" fontId="7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6" fillId="0" borderId="2" xfId="0" applyNumberFormat="1" applyFont="1" applyBorder="1"/>
    <xf numFmtId="3" fontId="6" fillId="0" borderId="0" xfId="0" applyNumberFormat="1" applyFont="1" applyBorder="1"/>
    <xf numFmtId="166" fontId="0" fillId="0" borderId="0" xfId="0" applyNumberFormat="1" applyBorder="1"/>
    <xf numFmtId="169" fontId="0" fillId="0" borderId="0" xfId="0" applyNumberFormat="1"/>
    <xf numFmtId="170" fontId="0" fillId="0" borderId="0" xfId="0" applyNumberFormat="1"/>
    <xf numFmtId="170" fontId="0" fillId="0" borderId="2" xfId="0" applyNumberFormat="1" applyBorder="1"/>
    <xf numFmtId="10" fontId="0" fillId="0" borderId="2" xfId="0" applyNumberFormat="1" applyBorder="1"/>
    <xf numFmtId="172" fontId="0" fillId="0" borderId="0" xfId="0" applyNumberFormat="1"/>
    <xf numFmtId="3" fontId="0" fillId="0" borderId="2" xfId="0" applyNumberFormat="1" applyFill="1" applyBorder="1"/>
    <xf numFmtId="0" fontId="0" fillId="0" borderId="0" xfId="0" applyFill="1"/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3" fontId="6" fillId="0" borderId="3" xfId="0" applyNumberFormat="1" applyFont="1" applyBorder="1"/>
    <xf numFmtId="0" fontId="7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left" indent="1"/>
    </xf>
    <xf numFmtId="3" fontId="15" fillId="0" borderId="0" xfId="0" applyNumberFormat="1" applyFont="1"/>
    <xf numFmtId="0" fontId="15" fillId="0" borderId="0" xfId="0" applyFont="1"/>
    <xf numFmtId="3" fontId="15" fillId="0" borderId="0" xfId="0" applyNumberFormat="1" applyFont="1" applyBorder="1"/>
    <xf numFmtId="3" fontId="16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/>
    <xf numFmtId="10" fontId="0" fillId="0" borderId="0" xfId="0" applyNumberFormat="1" applyBorder="1"/>
    <xf numFmtId="170" fontId="0" fillId="0" borderId="0" xfId="0" applyNumberFormat="1" applyBorder="1"/>
    <xf numFmtId="3" fontId="17" fillId="0" borderId="0" xfId="0" applyNumberFormat="1" applyFont="1" applyAlignment="1">
      <alignment horizontal="left"/>
    </xf>
    <xf numFmtId="3" fontId="17" fillId="0" borderId="0" xfId="0" applyNumberFormat="1" applyFont="1" applyBorder="1" applyAlignment="1">
      <alignment horizontal="left"/>
    </xf>
    <xf numFmtId="168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3" fontId="0" fillId="0" borderId="3" xfId="0" applyNumberFormat="1" applyFill="1" applyBorder="1"/>
    <xf numFmtId="168" fontId="0" fillId="0" borderId="0" xfId="0" applyNumberFormat="1" applyAlignment="1">
      <alignment horizontal="center"/>
    </xf>
    <xf numFmtId="165" fontId="0" fillId="0" borderId="0" xfId="0" applyNumberFormat="1" applyFill="1" applyBorder="1"/>
    <xf numFmtId="3" fontId="0" fillId="0" borderId="0" xfId="0" applyNumberFormat="1" applyFill="1" applyBorder="1"/>
    <xf numFmtId="166" fontId="10" fillId="0" borderId="0" xfId="0" applyNumberFormat="1" applyFont="1" applyFill="1"/>
    <xf numFmtId="173" fontId="0" fillId="0" borderId="0" xfId="0" applyNumberFormat="1" applyFill="1"/>
    <xf numFmtId="0" fontId="18" fillId="0" borderId="0" xfId="0" applyFont="1" applyAlignment="1" applyProtection="1">
      <alignment horizontal="left"/>
    </xf>
    <xf numFmtId="3" fontId="6" fillId="0" borderId="0" xfId="0" applyNumberFormat="1" applyFont="1" applyFill="1"/>
    <xf numFmtId="0" fontId="11" fillId="0" borderId="0" xfId="0" applyFont="1" applyAlignment="1"/>
    <xf numFmtId="164" fontId="0" fillId="0" borderId="0" xfId="0" applyNumberFormat="1"/>
    <xf numFmtId="168" fontId="0" fillId="0" borderId="0" xfId="0" applyNumberFormat="1" applyBorder="1" applyAlignment="1">
      <alignment horizontal="center"/>
    </xf>
    <xf numFmtId="0" fontId="0" fillId="0" borderId="0" xfId="0" applyBorder="1"/>
    <xf numFmtId="0" fontId="14" fillId="0" borderId="0" xfId="0" applyFont="1" applyAlignment="1"/>
    <xf numFmtId="4" fontId="7" fillId="0" borderId="0" xfId="0" applyNumberFormat="1" applyFont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19" fillId="0" borderId="0" xfId="0" applyNumberFormat="1" applyFont="1"/>
    <xf numFmtId="3" fontId="6" fillId="0" borderId="2" xfId="0" applyNumberFormat="1" applyFont="1" applyFill="1" applyBorder="1"/>
    <xf numFmtId="3" fontId="7" fillId="0" borderId="0" xfId="0" applyNumberFormat="1" applyFont="1"/>
    <xf numFmtId="3" fontId="7" fillId="0" borderId="2" xfId="0" applyNumberFormat="1" applyFont="1" applyBorder="1"/>
    <xf numFmtId="10" fontId="7" fillId="0" borderId="0" xfId="0" applyNumberFormat="1" applyFont="1" applyBorder="1"/>
    <xf numFmtId="10" fontId="7" fillId="0" borderId="0" xfId="0" applyNumberFormat="1" applyFont="1"/>
    <xf numFmtId="165" fontId="0" fillId="0" borderId="0" xfId="0" applyNumberFormat="1"/>
    <xf numFmtId="0" fontId="20" fillId="0" borderId="0" xfId="0" applyFont="1" applyAlignment="1">
      <alignment horizontal="left" indent="1"/>
    </xf>
    <xf numFmtId="0" fontId="20" fillId="0" borderId="0" xfId="0" applyFont="1"/>
    <xf numFmtId="0" fontId="21" fillId="0" borderId="0" xfId="0" applyFont="1"/>
    <xf numFmtId="171" fontId="10" fillId="0" borderId="0" xfId="0" applyNumberFormat="1" applyFont="1" applyFill="1"/>
    <xf numFmtId="0" fontId="17" fillId="0" borderId="0" xfId="0" applyFont="1" applyFill="1" applyAlignment="1">
      <alignment horizontal="left"/>
    </xf>
    <xf numFmtId="166" fontId="6" fillId="0" borderId="0" xfId="0" applyNumberFormat="1" applyFont="1" applyFill="1"/>
    <xf numFmtId="3" fontId="22" fillId="0" borderId="0" xfId="0" applyNumberFormat="1" applyFont="1"/>
    <xf numFmtId="0" fontId="23" fillId="0" borderId="0" xfId="1" applyAlignment="1" applyProtection="1"/>
    <xf numFmtId="20" fontId="0" fillId="0" borderId="0" xfId="0" quotePrefix="1" applyNumberFormat="1" applyAlignment="1">
      <alignment horizontal="center"/>
    </xf>
    <xf numFmtId="0" fontId="10" fillId="0" borderId="0" xfId="0" applyFont="1" applyAlignment="1">
      <alignment horizontal="center"/>
    </xf>
    <xf numFmtId="20" fontId="10" fillId="0" borderId="0" xfId="0" quotePrefix="1" applyNumberFormat="1" applyFont="1" applyAlignment="1">
      <alignment horizontal="center"/>
    </xf>
    <xf numFmtId="0" fontId="24" fillId="0" borderId="0" xfId="0" applyFont="1"/>
    <xf numFmtId="0" fontId="22" fillId="0" borderId="0" xfId="0" applyFont="1"/>
    <xf numFmtId="174" fontId="6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6" fontId="6" fillId="0" borderId="0" xfId="0" applyNumberFormat="1" applyFont="1" applyBorder="1"/>
    <xf numFmtId="166" fontId="15" fillId="0" borderId="0" xfId="0" applyNumberFormat="1" applyFont="1"/>
    <xf numFmtId="0" fontId="26" fillId="0" borderId="0" xfId="0" applyFont="1"/>
    <xf numFmtId="0" fontId="27" fillId="0" borderId="0" xfId="0" applyFont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167" fontId="6" fillId="0" borderId="0" xfId="0" applyNumberFormat="1" applyFont="1"/>
    <xf numFmtId="0" fontId="20" fillId="0" borderId="0" xfId="0" applyFont="1" applyAlignment="1"/>
    <xf numFmtId="0" fontId="10" fillId="0" borderId="0" xfId="0" applyFont="1" applyAlignment="1">
      <alignment horizontal="right"/>
    </xf>
    <xf numFmtId="166" fontId="6" fillId="0" borderId="2" xfId="0" applyNumberFormat="1" applyFont="1" applyFill="1" applyBorder="1"/>
    <xf numFmtId="168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10" fillId="0" borderId="0" xfId="0" applyFont="1" applyFill="1"/>
    <xf numFmtId="3" fontId="15" fillId="0" borderId="0" xfId="0" applyNumberFormat="1" applyFont="1" applyFill="1"/>
    <xf numFmtId="42" fontId="0" fillId="0" borderId="0" xfId="0" applyNumberFormat="1"/>
    <xf numFmtId="42" fontId="0" fillId="0" borderId="10" xfId="0" applyNumberFormat="1" applyBorder="1"/>
    <xf numFmtId="0" fontId="28" fillId="0" borderId="0" xfId="0" applyFont="1"/>
    <xf numFmtId="1" fontId="0" fillId="0" borderId="0" xfId="0" applyNumberFormat="1"/>
    <xf numFmtId="44" fontId="7" fillId="0" borderId="0" xfId="0" applyNumberFormat="1" applyFont="1"/>
    <xf numFmtId="175" fontId="6" fillId="0" borderId="10" xfId="0" applyNumberFormat="1" applyFont="1" applyFill="1" applyBorder="1"/>
    <xf numFmtId="176" fontId="6" fillId="0" borderId="10" xfId="0" applyNumberFormat="1" applyFont="1" applyFill="1" applyBorder="1"/>
    <xf numFmtId="42" fontId="0" fillId="0" borderId="0" xfId="0" applyNumberFormat="1" applyFill="1"/>
    <xf numFmtId="10" fontId="0" fillId="0" borderId="0" xfId="3" applyNumberFormat="1" applyFont="1"/>
    <xf numFmtId="3" fontId="10" fillId="0" borderId="0" xfId="2" applyNumberFormat="1" applyFont="1" applyFill="1"/>
    <xf numFmtId="0" fontId="1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5" fillId="0" borderId="0" xfId="0" applyFont="1" applyFill="1"/>
    <xf numFmtId="168" fontId="6" fillId="0" borderId="0" xfId="0" applyNumberFormat="1" applyFont="1" applyFill="1" applyAlignment="1">
      <alignment horizontal="center"/>
    </xf>
    <xf numFmtId="3" fontId="29" fillId="0" borderId="0" xfId="0" applyNumberFormat="1" applyFont="1" applyFill="1"/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center"/>
      <protection locked="0"/>
    </xf>
    <xf numFmtId="0" fontId="33" fillId="0" borderId="0" xfId="4"/>
    <xf numFmtId="0" fontId="9" fillId="0" borderId="0" xfId="4" applyFont="1" applyFill="1" applyProtection="1">
      <protection locked="0"/>
    </xf>
    <xf numFmtId="3" fontId="9" fillId="0" borderId="0" xfId="4" applyNumberFormat="1" applyFont="1" applyAlignment="1" applyProtection="1">
      <protection locked="0"/>
    </xf>
    <xf numFmtId="177" fontId="9" fillId="0" borderId="0" xfId="4" applyNumberFormat="1" applyFont="1" applyProtection="1">
      <protection locked="0"/>
    </xf>
    <xf numFmtId="177" fontId="9" fillId="0" borderId="0" xfId="4" applyNumberFormat="1" applyFont="1" applyFill="1" applyProtection="1">
      <protection locked="0"/>
    </xf>
    <xf numFmtId="0" fontId="9" fillId="0" borderId="0" xfId="4" applyFont="1" applyAlignment="1" applyProtection="1">
      <alignment horizontal="left"/>
    </xf>
    <xf numFmtId="0" fontId="9" fillId="0" borderId="0" xfId="4" applyFont="1" applyProtection="1"/>
    <xf numFmtId="0" fontId="9" fillId="0" borderId="0" xfId="4" applyFont="1" applyAlignment="1" applyProtection="1">
      <alignment horizontal="center"/>
    </xf>
    <xf numFmtId="3" fontId="9" fillId="0" borderId="0" xfId="4" applyNumberFormat="1" applyFont="1" applyAlignment="1" applyProtection="1"/>
    <xf numFmtId="3" fontId="34" fillId="0" borderId="0" xfId="4" applyNumberFormat="1" applyFont="1" applyAlignment="1" applyProtection="1"/>
    <xf numFmtId="177" fontId="35" fillId="0" borderId="0" xfId="4" applyNumberFormat="1" applyFont="1" applyProtection="1"/>
    <xf numFmtId="177" fontId="9" fillId="0" borderId="0" xfId="4" applyNumberFormat="1" applyFont="1" applyProtection="1"/>
    <xf numFmtId="177" fontId="36" fillId="0" borderId="0" xfId="4" applyNumberFormat="1" applyFont="1" applyFill="1" applyProtection="1">
      <protection locked="0"/>
    </xf>
    <xf numFmtId="10" fontId="9" fillId="0" borderId="0" xfId="5" applyNumberFormat="1" applyFont="1" applyProtection="1">
      <protection locked="0"/>
    </xf>
    <xf numFmtId="0" fontId="35" fillId="0" borderId="0" xfId="4" applyFont="1" applyAlignment="1" applyProtection="1">
      <alignment horizontal="center"/>
    </xf>
    <xf numFmtId="177" fontId="34" fillId="0" borderId="0" xfId="4" applyNumberFormat="1" applyFont="1" applyFill="1" applyProtection="1">
      <protection locked="0"/>
    </xf>
    <xf numFmtId="0" fontId="35" fillId="0" borderId="0" xfId="4" applyFont="1" applyProtection="1">
      <protection locked="0"/>
    </xf>
    <xf numFmtId="177" fontId="35" fillId="0" borderId="0" xfId="4" applyNumberFormat="1" applyFont="1" applyFill="1" applyProtection="1"/>
    <xf numFmtId="177" fontId="35" fillId="0" borderId="0" xfId="4" applyNumberFormat="1" applyFont="1" applyProtection="1">
      <protection locked="0"/>
    </xf>
    <xf numFmtId="0" fontId="35" fillId="0" borderId="0" xfId="4" applyFont="1" applyProtection="1"/>
    <xf numFmtId="177" fontId="35" fillId="0" borderId="2" xfId="4" applyNumberFormat="1" applyFont="1" applyBorder="1" applyProtection="1"/>
    <xf numFmtId="177" fontId="35" fillId="0" borderId="2" xfId="4" applyNumberFormat="1" applyFont="1" applyFill="1" applyBorder="1" applyProtection="1"/>
    <xf numFmtId="2" fontId="9" fillId="0" borderId="0" xfId="4" applyNumberFormat="1" applyFont="1" applyAlignment="1" applyProtection="1">
      <alignment horizontal="left"/>
    </xf>
    <xf numFmtId="3" fontId="9" fillId="0" borderId="0" xfId="4" quotePrefix="1" applyNumberFormat="1" applyFont="1" applyAlignment="1" applyProtection="1">
      <alignment horizontal="left"/>
    </xf>
    <xf numFmtId="177" fontId="9" fillId="0" borderId="2" xfId="4" applyNumberFormat="1" applyFont="1" applyBorder="1" applyProtection="1"/>
    <xf numFmtId="177" fontId="9" fillId="0" borderId="2" xfId="4" applyNumberFormat="1" applyFont="1" applyBorder="1" applyProtection="1">
      <protection locked="0"/>
    </xf>
    <xf numFmtId="177" fontId="9" fillId="0" borderId="2" xfId="4" applyNumberFormat="1" applyFont="1" applyFill="1" applyBorder="1" applyProtection="1">
      <protection locked="0"/>
    </xf>
    <xf numFmtId="0" fontId="35" fillId="0" borderId="0" xfId="4" applyFont="1" applyAlignment="1" applyProtection="1">
      <alignment horizontal="left"/>
    </xf>
    <xf numFmtId="177" fontId="37" fillId="0" borderId="0" xfId="4" applyNumberFormat="1" applyFont="1" applyFill="1" applyProtection="1">
      <protection locked="0"/>
    </xf>
    <xf numFmtId="3" fontId="9" fillId="0" borderId="0" xfId="4" applyNumberFormat="1" applyFont="1" applyAlignment="1" applyProtection="1">
      <alignment horizontal="center"/>
    </xf>
    <xf numFmtId="178" fontId="9" fillId="0" borderId="0" xfId="4" applyNumberFormat="1" applyFont="1" applyAlignment="1" applyProtection="1">
      <alignment horizontal="center"/>
    </xf>
    <xf numFmtId="178" fontId="9" fillId="0" borderId="0" xfId="4" applyNumberFormat="1" applyFont="1" applyAlignment="1" applyProtection="1"/>
    <xf numFmtId="178" fontId="9" fillId="0" borderId="0" xfId="4" applyNumberFormat="1" applyFont="1" applyAlignment="1" applyProtection="1">
      <alignment horizontal="left"/>
    </xf>
    <xf numFmtId="179" fontId="9" fillId="0" borderId="0" xfId="4" applyNumberFormat="1" applyFont="1" applyAlignment="1" applyProtection="1">
      <alignment horizontal="center"/>
    </xf>
    <xf numFmtId="2" fontId="9" fillId="0" borderId="0" xfId="4" applyNumberFormat="1" applyFont="1" applyAlignment="1" applyProtection="1">
      <alignment horizontal="center"/>
    </xf>
    <xf numFmtId="177" fontId="9" fillId="0" borderId="0" xfId="4" applyNumberFormat="1" applyFont="1" applyFill="1" applyProtection="1"/>
    <xf numFmtId="18" fontId="9" fillId="0" borderId="0" xfId="4" applyNumberFormat="1" applyFont="1" applyProtection="1"/>
    <xf numFmtId="15" fontId="9" fillId="0" borderId="0" xfId="4" applyNumberFormat="1" applyFont="1" applyProtection="1"/>
    <xf numFmtId="15" fontId="9" fillId="0" borderId="0" xfId="4" applyNumberFormat="1" applyFont="1" applyFill="1" applyProtection="1"/>
    <xf numFmtId="177" fontId="9" fillId="0" borderId="0" xfId="4" applyNumberFormat="1" applyFont="1" applyAlignment="1" applyProtection="1">
      <alignment horizontal="right"/>
    </xf>
    <xf numFmtId="2" fontId="35" fillId="0" borderId="0" xfId="4" applyNumberFormat="1" applyFont="1" applyAlignment="1" applyProtection="1">
      <alignment horizontal="left"/>
    </xf>
    <xf numFmtId="177" fontId="35" fillId="0" borderId="2" xfId="4" applyNumberFormat="1" applyFont="1" applyFill="1" applyBorder="1" applyProtection="1">
      <protection locked="0"/>
    </xf>
    <xf numFmtId="177" fontId="38" fillId="0" borderId="0" xfId="4" applyNumberFormat="1" applyFont="1" applyProtection="1">
      <protection locked="0"/>
    </xf>
    <xf numFmtId="4" fontId="9" fillId="0" borderId="0" xfId="4" applyNumberFormat="1" applyFont="1" applyAlignment="1" applyProtection="1">
      <alignment horizontal="center"/>
    </xf>
    <xf numFmtId="0" fontId="39" fillId="0" borderId="0" xfId="4" applyFont="1" applyProtection="1"/>
    <xf numFmtId="0" fontId="33" fillId="0" borderId="0" xfId="4" applyFill="1"/>
    <xf numFmtId="10" fontId="9" fillId="0" borderId="0" xfId="5" applyNumberFormat="1" applyFont="1" applyFill="1" applyProtection="1">
      <protection locked="0"/>
    </xf>
    <xf numFmtId="1" fontId="9" fillId="0" borderId="0" xfId="4" applyNumberFormat="1" applyFont="1" applyAlignment="1" applyProtection="1">
      <alignment horizontal="left"/>
    </xf>
    <xf numFmtId="177" fontId="9" fillId="0" borderId="0" xfId="4" applyNumberFormat="1" applyFont="1" applyAlignment="1" applyProtection="1">
      <alignment horizontal="center"/>
    </xf>
    <xf numFmtId="180" fontId="9" fillId="0" borderId="0" xfId="4" applyNumberFormat="1" applyFont="1" applyAlignment="1" applyProtection="1">
      <alignment horizontal="left"/>
    </xf>
    <xf numFmtId="3" fontId="9" fillId="0" borderId="0" xfId="4" applyNumberFormat="1" applyFont="1" applyProtection="1">
      <protection locked="0"/>
    </xf>
    <xf numFmtId="177" fontId="35" fillId="0" borderId="0" xfId="4" applyNumberFormat="1" applyFont="1" applyBorder="1" applyProtection="1"/>
    <xf numFmtId="177" fontId="35" fillId="0" borderId="0" xfId="4" applyNumberFormat="1" applyFont="1" applyFill="1" applyBorder="1" applyProtection="1"/>
    <xf numFmtId="177" fontId="9" fillId="0" borderId="0" xfId="4" applyNumberFormat="1" applyFont="1" applyBorder="1" applyProtection="1"/>
    <xf numFmtId="177" fontId="9" fillId="0" borderId="0" xfId="4" applyNumberFormat="1" applyFont="1" applyFill="1" applyBorder="1" applyProtection="1"/>
    <xf numFmtId="177" fontId="40" fillId="0" borderId="0" xfId="4" applyNumberFormat="1" applyFont="1" applyProtection="1">
      <protection locked="0"/>
    </xf>
    <xf numFmtId="3" fontId="9" fillId="0" borderId="0" xfId="4" applyNumberFormat="1" applyFont="1" applyProtection="1"/>
    <xf numFmtId="3" fontId="35" fillId="0" borderId="0" xfId="4" applyNumberFormat="1" applyFont="1" applyProtection="1"/>
    <xf numFmtId="0" fontId="9" fillId="0" borderId="0" xfId="4" applyFont="1" applyFill="1" applyProtection="1"/>
    <xf numFmtId="177" fontId="35" fillId="0" borderId="2" xfId="4" applyNumberFormat="1" applyFont="1" applyBorder="1" applyProtection="1">
      <protection locked="0"/>
    </xf>
    <xf numFmtId="0" fontId="9" fillId="0" borderId="0" xfId="4" applyFont="1" applyFill="1" applyAlignment="1" applyProtection="1">
      <alignment horizontal="center"/>
      <protection locked="0"/>
    </xf>
    <xf numFmtId="178" fontId="9" fillId="0" borderId="0" xfId="4" applyNumberFormat="1" applyFont="1" applyAlignment="1" applyProtection="1">
      <alignment horizontal="center"/>
      <protection locked="0"/>
    </xf>
    <xf numFmtId="2" fontId="9" fillId="0" borderId="0" xfId="6" applyNumberFormat="1" applyFont="1" applyAlignment="1" applyProtection="1">
      <alignment horizontal="center" vertical="center"/>
    </xf>
    <xf numFmtId="0" fontId="9" fillId="0" borderId="0" xfId="4" applyFont="1" applyBorder="1" applyProtection="1">
      <protection locked="0"/>
    </xf>
    <xf numFmtId="0" fontId="9" fillId="0" borderId="0" xfId="4" applyFont="1" applyFill="1" applyAlignment="1" applyProtection="1">
      <alignment horizontal="right"/>
      <protection locked="0"/>
    </xf>
    <xf numFmtId="0" fontId="6" fillId="0" borderId="0" xfId="2"/>
    <xf numFmtId="10" fontId="6" fillId="0" borderId="0" xfId="2" applyNumberFormat="1"/>
    <xf numFmtId="0" fontId="6" fillId="0" borderId="0" xfId="2" applyAlignment="1">
      <alignment horizontal="center"/>
    </xf>
    <xf numFmtId="0" fontId="6" fillId="0" borderId="0" xfId="2" applyFont="1"/>
    <xf numFmtId="0" fontId="6" fillId="0" borderId="0" xfId="2" applyFill="1"/>
    <xf numFmtId="0" fontId="6" fillId="0" borderId="0" xfId="2" applyBorder="1"/>
    <xf numFmtId="0" fontId="7" fillId="0" borderId="0" xfId="2" applyFont="1"/>
    <xf numFmtId="0" fontId="6" fillId="0" borderId="0" xfId="2" applyAlignment="1">
      <alignment horizontal="right"/>
    </xf>
    <xf numFmtId="0" fontId="6" fillId="0" borderId="0" xfId="2" applyAlignment="1">
      <alignment horizontal="left"/>
    </xf>
    <xf numFmtId="7" fontId="6" fillId="0" borderId="0" xfId="2" applyNumberFormat="1"/>
    <xf numFmtId="0" fontId="24" fillId="0" borderId="0" xfId="2" applyFont="1"/>
    <xf numFmtId="7" fontId="6" fillId="0" borderId="0" xfId="2" applyNumberFormat="1" applyFill="1"/>
    <xf numFmtId="7" fontId="7" fillId="0" borderId="0" xfId="2" applyNumberFormat="1" applyFont="1" applyFill="1"/>
    <xf numFmtId="9" fontId="6" fillId="0" borderId="0" xfId="2" applyNumberFormat="1" applyFill="1"/>
    <xf numFmtId="7" fontId="10" fillId="0" borderId="0" xfId="2" applyNumberFormat="1" applyFont="1" applyFill="1"/>
    <xf numFmtId="0" fontId="10" fillId="0" borderId="0" xfId="2" applyFont="1" applyFill="1"/>
    <xf numFmtId="0" fontId="6" fillId="0" borderId="2" xfId="2" applyFill="1" applyBorder="1"/>
    <xf numFmtId="0" fontId="6" fillId="0" borderId="2" xfId="2" applyFill="1" applyBorder="1" applyAlignment="1">
      <alignment horizontal="center"/>
    </xf>
    <xf numFmtId="0" fontId="18" fillId="0" borderId="0" xfId="12"/>
    <xf numFmtId="0" fontId="18" fillId="0" borderId="0" xfId="12" applyAlignment="1">
      <alignment horizontal="center"/>
    </xf>
    <xf numFmtId="0" fontId="18" fillId="0" borderId="0" xfId="12" applyFill="1"/>
    <xf numFmtId="0" fontId="18" fillId="0" borderId="0" xfId="12" applyFill="1" applyAlignment="1">
      <alignment horizontal="center"/>
    </xf>
    <xf numFmtId="0" fontId="18" fillId="0" borderId="11" xfId="12" applyBorder="1"/>
    <xf numFmtId="0" fontId="18" fillId="0" borderId="10" xfId="12" applyBorder="1"/>
    <xf numFmtId="0" fontId="18" fillId="0" borderId="9" xfId="12" applyBorder="1"/>
    <xf numFmtId="0" fontId="18" fillId="0" borderId="8" xfId="12" applyBorder="1"/>
    <xf numFmtId="0" fontId="18" fillId="0" borderId="0" xfId="12" applyBorder="1"/>
    <xf numFmtId="0" fontId="18" fillId="0" borderId="7" xfId="12" applyBorder="1"/>
    <xf numFmtId="0" fontId="45" fillId="0" borderId="8" xfId="12" quotePrefix="1" applyFont="1" applyBorder="1" applyAlignment="1">
      <alignment horizontal="right"/>
    </xf>
    <xf numFmtId="0" fontId="45" fillId="0" borderId="0" xfId="12" quotePrefix="1" applyFont="1" applyBorder="1" applyAlignment="1">
      <alignment horizontal="right"/>
    </xf>
    <xf numFmtId="0" fontId="18" fillId="0" borderId="6" xfId="12" applyBorder="1"/>
    <xf numFmtId="0" fontId="18" fillId="0" borderId="2" xfId="12" applyBorder="1"/>
    <xf numFmtId="0" fontId="45" fillId="0" borderId="5" xfId="12" applyFont="1" applyBorder="1"/>
    <xf numFmtId="0" fontId="47" fillId="0" borderId="0" xfId="12" applyFont="1" applyAlignment="1">
      <alignment horizontal="left"/>
    </xf>
    <xf numFmtId="0" fontId="47" fillId="0" borderId="0" xfId="12" applyFont="1" applyAlignment="1">
      <alignment horizontal="right"/>
    </xf>
    <xf numFmtId="0" fontId="47" fillId="0" borderId="0" xfId="12" applyFont="1"/>
    <xf numFmtId="43" fontId="18" fillId="0" borderId="0" xfId="12" applyNumberFormat="1" applyBorder="1"/>
    <xf numFmtId="181" fontId="0" fillId="0" borderId="0" xfId="14" applyNumberFormat="1" applyFont="1"/>
    <xf numFmtId="43" fontId="18" fillId="0" borderId="0" xfId="12" applyNumberFormat="1"/>
    <xf numFmtId="43" fontId="48" fillId="0" borderId="0" xfId="14" applyFont="1"/>
    <xf numFmtId="43" fontId="18" fillId="0" borderId="2" xfId="12" applyNumberFormat="1" applyBorder="1"/>
    <xf numFmtId="181" fontId="46" fillId="0" borderId="0" xfId="14" applyNumberFormat="1" applyFont="1" applyFill="1"/>
    <xf numFmtId="0" fontId="48" fillId="0" borderId="0" xfId="12" applyFont="1"/>
    <xf numFmtId="181" fontId="18" fillId="0" borderId="0" xfId="14" applyNumberFormat="1" applyFont="1"/>
    <xf numFmtId="0" fontId="48" fillId="0" borderId="0" xfId="12" quotePrefix="1" applyFont="1" applyAlignment="1">
      <alignment horizontal="left"/>
    </xf>
    <xf numFmtId="4" fontId="48" fillId="0" borderId="0" xfId="12" applyNumberFormat="1" applyFont="1"/>
    <xf numFmtId="0" fontId="18" fillId="0" borderId="0" xfId="12" applyAlignment="1">
      <alignment horizontal="right"/>
    </xf>
    <xf numFmtId="0" fontId="18" fillId="0" borderId="0" xfId="12" applyAlignment="1">
      <alignment horizontal="left"/>
    </xf>
    <xf numFmtId="0" fontId="18" fillId="0" borderId="0" xfId="12" quotePrefix="1" applyAlignment="1">
      <alignment horizontal="left"/>
    </xf>
    <xf numFmtId="172" fontId="0" fillId="0" borderId="0" xfId="13" applyNumberFormat="1" applyFont="1"/>
    <xf numFmtId="43" fontId="18" fillId="0" borderId="0" xfId="14"/>
    <xf numFmtId="181" fontId="18" fillId="0" borderId="0" xfId="14" applyNumberFormat="1"/>
    <xf numFmtId="43" fontId="18" fillId="0" borderId="0" xfId="14" applyBorder="1"/>
    <xf numFmtId="43" fontId="18" fillId="0" borderId="2" xfId="14" applyBorder="1"/>
    <xf numFmtId="181" fontId="18" fillId="0" borderId="0" xfId="14" applyNumberFormat="1" applyFont="1" applyBorder="1"/>
    <xf numFmtId="0" fontId="18" fillId="0" borderId="0" xfId="12" applyFill="1" applyBorder="1"/>
    <xf numFmtId="181" fontId="18" fillId="0" borderId="2" xfId="12" applyNumberFormat="1" applyBorder="1"/>
    <xf numFmtId="181" fontId="0" fillId="0" borderId="2" xfId="14" applyNumberFormat="1" applyFont="1" applyBorder="1"/>
    <xf numFmtId="10" fontId="48" fillId="0" borderId="0" xfId="12" applyNumberFormat="1" applyFont="1"/>
    <xf numFmtId="181" fontId="18" fillId="0" borderId="0" xfId="12" applyNumberFormat="1" applyBorder="1"/>
    <xf numFmtId="182" fontId="0" fillId="0" borderId="0" xfId="15" applyNumberFormat="1" applyFont="1" applyBorder="1"/>
    <xf numFmtId="9" fontId="18" fillId="0" borderId="0" xfId="12" applyNumberFormat="1"/>
    <xf numFmtId="181" fontId="0" fillId="0" borderId="0" xfId="14" applyNumberFormat="1" applyFont="1" applyBorder="1"/>
    <xf numFmtId="0" fontId="18" fillId="0" borderId="0" xfId="12" applyBorder="1" applyAlignment="1">
      <alignment horizontal="right"/>
    </xf>
    <xf numFmtId="0" fontId="18" fillId="0" borderId="0" xfId="12" applyFont="1" applyBorder="1"/>
    <xf numFmtId="0" fontId="6" fillId="0" borderId="0" xfId="2" quotePrefix="1" applyAlignment="1">
      <alignment horizontal="center"/>
    </xf>
    <xf numFmtId="0" fontId="6" fillId="0" borderId="0" xfId="2" applyAlignment="1"/>
    <xf numFmtId="0" fontId="6" fillId="0" borderId="0" xfId="2" quotePrefix="1"/>
    <xf numFmtId="3" fontId="6" fillId="0" borderId="0" xfId="2" applyNumberFormat="1" applyFill="1"/>
    <xf numFmtId="3" fontId="6" fillId="0" borderId="0" xfId="2" applyNumberFormat="1"/>
    <xf numFmtId="0" fontId="49" fillId="0" borderId="0" xfId="2" applyFont="1"/>
    <xf numFmtId="0" fontId="6" fillId="0" borderId="0" xfId="2" applyFill="1" applyBorder="1"/>
    <xf numFmtId="3" fontId="6" fillId="0" borderId="0" xfId="2" applyNumberFormat="1" applyFill="1" applyBorder="1"/>
    <xf numFmtId="3" fontId="10" fillId="0" borderId="0" xfId="2" applyNumberFormat="1" applyFont="1" applyFill="1" applyBorder="1"/>
    <xf numFmtId="14" fontId="6" fillId="0" borderId="0" xfId="2" applyNumberFormat="1" applyFill="1" applyBorder="1"/>
    <xf numFmtId="10" fontId="6" fillId="0" borderId="0" xfId="2" applyNumberFormat="1" applyFill="1" applyBorder="1"/>
    <xf numFmtId="165" fontId="6" fillId="0" borderId="0" xfId="2" applyNumberFormat="1" applyFill="1" applyBorder="1"/>
    <xf numFmtId="0" fontId="7" fillId="0" borderId="0" xfId="2" applyFont="1" applyAlignment="1">
      <alignment horizontal="right"/>
    </xf>
    <xf numFmtId="14" fontId="7" fillId="0" borderId="0" xfId="2" applyNumberFormat="1" applyFont="1"/>
    <xf numFmtId="165" fontId="6" fillId="0" borderId="0" xfId="2" applyNumberFormat="1"/>
    <xf numFmtId="0" fontId="32" fillId="0" borderId="0" xfId="2" applyFont="1"/>
    <xf numFmtId="0" fontId="6" fillId="0" borderId="2" xfId="2" applyBorder="1"/>
    <xf numFmtId="3" fontId="29" fillId="0" borderId="0" xfId="2" applyNumberFormat="1" applyFont="1" applyFill="1"/>
    <xf numFmtId="14" fontId="10" fillId="0" borderId="0" xfId="2" applyNumberFormat="1" applyFont="1" applyFill="1"/>
    <xf numFmtId="0" fontId="14" fillId="0" borderId="0" xfId="2" applyFont="1" applyAlignment="1">
      <alignment horizontal="right"/>
    </xf>
    <xf numFmtId="3" fontId="10" fillId="0" borderId="0" xfId="2" applyNumberFormat="1" applyFont="1"/>
    <xf numFmtId="0" fontId="7" fillId="0" borderId="0" xfId="2" quotePrefix="1" applyFont="1" applyAlignment="1"/>
    <xf numFmtId="3" fontId="6" fillId="0" borderId="22" xfId="2" applyNumberFormat="1" applyFill="1" applyBorder="1"/>
    <xf numFmtId="183" fontId="6" fillId="0" borderId="24" xfId="2" applyNumberFormat="1" applyBorder="1"/>
    <xf numFmtId="3" fontId="6" fillId="0" borderId="17" xfId="2" applyNumberFormat="1" applyFill="1" applyBorder="1"/>
    <xf numFmtId="183" fontId="6" fillId="0" borderId="18" xfId="2" applyNumberFormat="1" applyBorder="1"/>
    <xf numFmtId="10" fontId="6" fillId="0" borderId="0" xfId="2" applyNumberFormat="1" applyBorder="1"/>
    <xf numFmtId="14" fontId="6" fillId="0" borderId="0" xfId="2" applyNumberFormat="1"/>
    <xf numFmtId="3" fontId="6" fillId="0" borderId="19" xfId="2" applyNumberFormat="1" applyFill="1" applyBorder="1"/>
    <xf numFmtId="0" fontId="6" fillId="0" borderId="20" xfId="2" applyFill="1" applyBorder="1"/>
    <xf numFmtId="3" fontId="6" fillId="0" borderId="21" xfId="2" applyNumberFormat="1" applyBorder="1"/>
    <xf numFmtId="3" fontId="6" fillId="0" borderId="2" xfId="2" applyNumberFormat="1" applyBorder="1"/>
    <xf numFmtId="10" fontId="6" fillId="0" borderId="2" xfId="2" applyNumberFormat="1" applyBorder="1"/>
    <xf numFmtId="14" fontId="6" fillId="0" borderId="0" xfId="2" applyNumberFormat="1"/>
    <xf numFmtId="168" fontId="6" fillId="0" borderId="0" xfId="2" applyNumberFormat="1" applyFill="1"/>
    <xf numFmtId="168" fontId="6" fillId="0" borderId="0" xfId="2" applyNumberFormat="1"/>
    <xf numFmtId="3" fontId="6" fillId="0" borderId="3" xfId="2" applyNumberFormat="1" applyFill="1" applyBorder="1"/>
    <xf numFmtId="3" fontId="6" fillId="0" borderId="3" xfId="2" applyNumberFormat="1" applyBorder="1"/>
    <xf numFmtId="3" fontId="10" fillId="0" borderId="0" xfId="2" applyNumberFormat="1" applyFont="1" applyAlignment="1">
      <alignment horizontal="center"/>
    </xf>
    <xf numFmtId="0" fontId="6" fillId="0" borderId="0" xfId="2" applyAlignment="1">
      <alignment horizontal="left" indent="1"/>
    </xf>
    <xf numFmtId="3" fontId="6" fillId="0" borderId="2" xfId="2" applyNumberFormat="1" applyFill="1" applyBorder="1"/>
    <xf numFmtId="3" fontId="6" fillId="0" borderId="0" xfId="2" applyNumberFormat="1" applyFont="1" applyFill="1"/>
    <xf numFmtId="3" fontId="6" fillId="0" borderId="0" xfId="2" applyNumberFormat="1" applyFont="1"/>
    <xf numFmtId="0" fontId="14" fillId="0" borderId="0" xfId="2" applyFont="1"/>
    <xf numFmtId="3" fontId="6" fillId="0" borderId="2" xfId="2" applyNumberFormat="1" applyFont="1" applyFill="1" applyBorder="1"/>
    <xf numFmtId="3" fontId="6" fillId="0" borderId="2" xfId="2" applyNumberFormat="1" applyFont="1" applyBorder="1"/>
    <xf numFmtId="0" fontId="7" fillId="0" borderId="0" xfId="2" quotePrefix="1" applyFont="1" applyFill="1" applyAlignment="1">
      <alignment horizontal="center"/>
    </xf>
    <xf numFmtId="0" fontId="7" fillId="0" borderId="0" xfId="2" quotePrefix="1" applyFont="1" applyAlignment="1">
      <alignment horizontal="center"/>
    </xf>
    <xf numFmtId="0" fontId="7" fillId="0" borderId="0" xfId="2" applyFont="1" applyAlignment="1"/>
    <xf numFmtId="3" fontId="6" fillId="0" borderId="1" xfId="2" applyNumberFormat="1" applyFont="1" applyFill="1" applyBorder="1"/>
    <xf numFmtId="3" fontId="6" fillId="0" borderId="1" xfId="2" applyNumberFormat="1" applyFont="1" applyBorder="1"/>
    <xf numFmtId="0" fontId="6" fillId="0" borderId="0" xfId="2" applyFont="1" applyAlignment="1">
      <alignment horizontal="left" indent="1"/>
    </xf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6" fillId="0" borderId="0" xfId="2" applyFont="1" applyFill="1" applyAlignment="1">
      <alignment horizontal="left" indent="1"/>
    </xf>
    <xf numFmtId="0" fontId="6" fillId="0" borderId="23" xfId="2" applyFill="1" applyBorder="1"/>
    <xf numFmtId="184" fontId="9" fillId="0" borderId="23" xfId="2" applyNumberFormat="1" applyFont="1" applyFill="1" applyBorder="1" applyAlignment="1">
      <alignment horizontal="center"/>
    </xf>
    <xf numFmtId="184" fontId="9" fillId="0" borderId="23" xfId="2" applyNumberFormat="1" applyFont="1" applyBorder="1"/>
    <xf numFmtId="0" fontId="6" fillId="0" borderId="23" xfId="2" applyBorder="1"/>
    <xf numFmtId="184" fontId="9" fillId="0" borderId="23" xfId="2" applyNumberFormat="1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6" fillId="0" borderId="0" xfId="2" applyFill="1" applyAlignment="1">
      <alignment horizontal="centerContinuous"/>
    </xf>
    <xf numFmtId="0" fontId="22" fillId="0" borderId="0" xfId="2" quotePrefix="1" applyFont="1" applyFill="1" applyAlignment="1">
      <alignment horizontal="centerContinuous"/>
    </xf>
    <xf numFmtId="0" fontId="6" fillId="0" borderId="0" xfId="2" applyAlignment="1">
      <alignment horizontal="centerContinuous"/>
    </xf>
    <xf numFmtId="0" fontId="22" fillId="0" borderId="0" xfId="2" quotePrefix="1" applyFont="1" applyAlignment="1">
      <alignment horizontal="centerContinuous"/>
    </xf>
    <xf numFmtId="181" fontId="6" fillId="0" borderId="0" xfId="2" applyNumberFormat="1"/>
    <xf numFmtId="181" fontId="6" fillId="0" borderId="0" xfId="2" applyNumberFormat="1" applyBorder="1"/>
    <xf numFmtId="3" fontId="6" fillId="0" borderId="0" xfId="2" applyNumberFormat="1" applyBorder="1"/>
    <xf numFmtId="181" fontId="6" fillId="0" borderId="0" xfId="11" applyNumberFormat="1" applyBorder="1"/>
    <xf numFmtId="3" fontId="6" fillId="0" borderId="2" xfId="2" applyNumberFormat="1" applyBorder="1" applyAlignment="1"/>
    <xf numFmtId="181" fontId="6" fillId="0" borderId="2" xfId="11" applyNumberFormat="1" applyFont="1" applyBorder="1"/>
    <xf numFmtId="3" fontId="6" fillId="0" borderId="0" xfId="2" applyNumberFormat="1" applyAlignment="1"/>
    <xf numFmtId="181" fontId="6" fillId="0" borderId="2" xfId="2" applyNumberFormat="1" applyBorder="1"/>
    <xf numFmtId="181" fontId="6" fillId="0" borderId="0" xfId="11" applyNumberFormat="1" applyFont="1"/>
    <xf numFmtId="3" fontId="6" fillId="0" borderId="0" xfId="2" applyNumberFormat="1" applyAlignment="1">
      <alignment horizontal="right"/>
    </xf>
    <xf numFmtId="181" fontId="6" fillId="0" borderId="0" xfId="11" applyNumberFormat="1"/>
    <xf numFmtId="0" fontId="14" fillId="0" borderId="0" xfId="2" applyFont="1" applyAlignment="1"/>
    <xf numFmtId="3" fontId="6" fillId="0" borderId="0" xfId="2" applyNumberFormat="1" applyAlignment="1">
      <alignment horizontal="center"/>
    </xf>
    <xf numFmtId="3" fontId="6" fillId="0" borderId="0" xfId="2" applyNumberFormat="1" applyFont="1" applyAlignment="1">
      <alignment horizontal="center"/>
    </xf>
    <xf numFmtId="14" fontId="6" fillId="0" borderId="0" xfId="2" applyNumberFormat="1" applyFont="1" applyAlignment="1">
      <alignment horizontal="center"/>
    </xf>
    <xf numFmtId="0" fontId="6" fillId="0" borderId="13" xfId="2" applyBorder="1" applyAlignment="1">
      <alignment horizontal="centerContinuous"/>
    </xf>
    <xf numFmtId="0" fontId="6" fillId="0" borderId="1" xfId="2" applyBorder="1" applyAlignment="1">
      <alignment horizontal="centerContinuous"/>
    </xf>
    <xf numFmtId="0" fontId="7" fillId="0" borderId="12" xfId="2" applyFont="1" applyBorder="1" applyAlignment="1">
      <alignment horizontal="centerContinuous"/>
    </xf>
    <xf numFmtId="3" fontId="10" fillId="0" borderId="8" xfId="2" applyNumberFormat="1" applyFont="1" applyFill="1" applyBorder="1" applyAlignment="1">
      <alignment horizontal="right"/>
    </xf>
    <xf numFmtId="3" fontId="10" fillId="0" borderId="7" xfId="2" applyNumberFormat="1" applyFont="1" applyFill="1" applyBorder="1"/>
    <xf numFmtId="3" fontId="6" fillId="0" borderId="8" xfId="2" applyNumberFormat="1" applyFont="1" applyFill="1" applyBorder="1"/>
    <xf numFmtId="3" fontId="6" fillId="0" borderId="7" xfId="2" applyNumberFormat="1" applyFont="1" applyFill="1" applyBorder="1"/>
    <xf numFmtId="3" fontId="6" fillId="0" borderId="7" xfId="2" applyNumberFormat="1" applyFont="1" applyBorder="1"/>
    <xf numFmtId="3" fontId="10" fillId="0" borderId="8" xfId="2" applyNumberFormat="1" applyFont="1" applyFill="1" applyBorder="1"/>
    <xf numFmtId="0" fontId="6" fillId="0" borderId="8" xfId="2" applyBorder="1"/>
    <xf numFmtId="0" fontId="6" fillId="0" borderId="7" xfId="2" applyBorder="1"/>
    <xf numFmtId="0" fontId="7" fillId="0" borderId="8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6" fillId="0" borderId="0" xfId="2" applyBorder="1" applyAlignment="1">
      <alignment horizontal="center"/>
    </xf>
    <xf numFmtId="0" fontId="6" fillId="0" borderId="0" xfId="2" applyFill="1" applyBorder="1" applyAlignment="1">
      <alignment horizontal="center"/>
    </xf>
    <xf numFmtId="0" fontId="6" fillId="0" borderId="11" xfId="2" applyBorder="1" applyAlignment="1">
      <alignment horizontal="center"/>
    </xf>
    <xf numFmtId="0" fontId="6" fillId="0" borderId="9" xfId="2" applyBorder="1" applyAlignment="1">
      <alignment horizontal="center"/>
    </xf>
    <xf numFmtId="17" fontId="6" fillId="0" borderId="0" xfId="2" applyNumberFormat="1" applyAlignment="1">
      <alignment horizontal="center"/>
    </xf>
    <xf numFmtId="17" fontId="6" fillId="0" borderId="8" xfId="2" applyNumberFormat="1" applyBorder="1" applyAlignment="1">
      <alignment horizontal="center"/>
    </xf>
    <xf numFmtId="17" fontId="10" fillId="0" borderId="7" xfId="2" applyNumberFormat="1" applyFont="1" applyBorder="1" applyAlignment="1">
      <alignment horizontal="center"/>
    </xf>
    <xf numFmtId="0" fontId="6" fillId="0" borderId="8" xfId="2" applyBorder="1" applyAlignment="1">
      <alignment horizontal="center"/>
    </xf>
    <xf numFmtId="0" fontId="6" fillId="0" borderId="7" xfId="2" applyBorder="1" applyAlignment="1">
      <alignment horizontal="center"/>
    </xf>
    <xf numFmtId="0" fontId="6" fillId="0" borderId="6" xfId="2" applyBorder="1"/>
    <xf numFmtId="0" fontId="6" fillId="0" borderId="5" xfId="2" applyBorder="1"/>
    <xf numFmtId="0" fontId="28" fillId="0" borderId="0" xfId="2" applyFont="1"/>
    <xf numFmtId="3" fontId="6" fillId="0" borderId="0" xfId="2" applyNumberFormat="1" applyFont="1" applyFill="1" applyAlignment="1">
      <alignment horizontal="center"/>
    </xf>
    <xf numFmtId="3" fontId="10" fillId="0" borderId="0" xfId="2" applyNumberFormat="1" applyFont="1" applyFill="1" applyAlignment="1">
      <alignment horizontal="center"/>
    </xf>
    <xf numFmtId="14" fontId="10" fillId="0" borderId="0" xfId="2" applyNumberFormat="1" applyFont="1" applyFill="1" applyAlignment="1">
      <alignment horizontal="center"/>
    </xf>
    <xf numFmtId="14" fontId="10" fillId="0" borderId="0" xfId="2" applyNumberFormat="1" applyFont="1" applyAlignment="1">
      <alignment horizontal="center"/>
    </xf>
    <xf numFmtId="3" fontId="6" fillId="0" borderId="11" xfId="2" applyNumberFormat="1" applyFill="1" applyBorder="1"/>
    <xf numFmtId="3" fontId="6" fillId="0" borderId="9" xfId="2" applyNumberFormat="1" applyFill="1" applyBorder="1"/>
    <xf numFmtId="3" fontId="29" fillId="0" borderId="0" xfId="2" applyNumberFormat="1" applyFont="1" applyBorder="1"/>
    <xf numFmtId="0" fontId="6" fillId="0" borderId="11" xfId="2" applyBorder="1"/>
    <xf numFmtId="0" fontId="6" fillId="0" borderId="10" xfId="2" applyBorder="1"/>
    <xf numFmtId="0" fontId="6" fillId="0" borderId="9" xfId="2" applyBorder="1"/>
    <xf numFmtId="10" fontId="7" fillId="0" borderId="8" xfId="7" applyNumberFormat="1" applyFont="1" applyBorder="1"/>
    <xf numFmtId="3" fontId="10" fillId="3" borderId="0" xfId="11" applyNumberFormat="1" applyFont="1" applyFill="1" applyBorder="1"/>
    <xf numFmtId="3" fontId="10" fillId="3" borderId="0" xfId="2" applyNumberFormat="1" applyFont="1" applyFill="1" applyBorder="1"/>
    <xf numFmtId="0" fontId="14" fillId="0" borderId="8" xfId="2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6" fillId="0" borderId="2" xfId="2" applyBorder="1" applyAlignment="1">
      <alignment horizontal="center"/>
    </xf>
    <xf numFmtId="10" fontId="0" fillId="0" borderId="0" xfId="7" applyNumberFormat="1" applyFont="1"/>
    <xf numFmtId="3" fontId="6" fillId="0" borderId="8" xfId="2" applyNumberFormat="1" applyBorder="1"/>
    <xf numFmtId="3" fontId="6" fillId="0" borderId="7" xfId="2" applyNumberFormat="1" applyBorder="1"/>
    <xf numFmtId="10" fontId="0" fillId="0" borderId="2" xfId="7" applyNumberFormat="1" applyFont="1" applyBorder="1"/>
    <xf numFmtId="3" fontId="6" fillId="0" borderId="5" xfId="2" applyNumberFormat="1" applyBorder="1"/>
    <xf numFmtId="3" fontId="6" fillId="0" borderId="6" xfId="2" applyNumberFormat="1" applyBorder="1"/>
    <xf numFmtId="3" fontId="0" fillId="0" borderId="8" xfId="11" applyNumberFormat="1" applyFont="1" applyBorder="1"/>
    <xf numFmtId="3" fontId="0" fillId="0" borderId="0" xfId="11" applyNumberFormat="1" applyFont="1"/>
    <xf numFmtId="3" fontId="0" fillId="0" borderId="7" xfId="11" applyNumberFormat="1" applyFont="1" applyBorder="1"/>
    <xf numFmtId="3" fontId="7" fillId="0" borderId="7" xfId="2" applyNumberFormat="1" applyFont="1" applyBorder="1"/>
    <xf numFmtId="10" fontId="0" fillId="0" borderId="1" xfId="7" applyNumberFormat="1" applyFont="1" applyBorder="1"/>
    <xf numFmtId="3" fontId="6" fillId="0" borderId="12" xfId="2" applyNumberFormat="1" applyBorder="1"/>
    <xf numFmtId="3" fontId="6" fillId="0" borderId="13" xfId="2" applyNumberFormat="1" applyBorder="1"/>
    <xf numFmtId="3" fontId="6" fillId="0" borderId="1" xfId="2" applyNumberFormat="1" applyBorder="1"/>
    <xf numFmtId="14" fontId="6" fillId="0" borderId="8" xfId="2" applyNumberFormat="1" applyBorder="1"/>
    <xf numFmtId="14" fontId="6" fillId="0" borderId="7" xfId="2" applyNumberFormat="1" applyBorder="1"/>
    <xf numFmtId="3" fontId="6" fillId="0" borderId="0" xfId="11" applyNumberFormat="1" applyFont="1" applyFill="1" applyBorder="1"/>
    <xf numFmtId="3" fontId="6" fillId="0" borderId="0" xfId="2" applyNumberFormat="1" applyFont="1" applyFill="1" applyBorder="1"/>
    <xf numFmtId="14" fontId="6" fillId="0" borderId="8" xfId="2" applyNumberFormat="1" applyBorder="1"/>
    <xf numFmtId="14" fontId="6" fillId="0" borderId="7" xfId="2" applyNumberFormat="1" applyBorder="1"/>
    <xf numFmtId="0" fontId="7" fillId="0" borderId="8" xfId="2" applyFont="1" applyBorder="1" applyAlignment="1">
      <alignment horizontal="centerContinuous"/>
    </xf>
    <xf numFmtId="0" fontId="7" fillId="0" borderId="0" xfId="2" applyFont="1" applyAlignment="1">
      <alignment horizontal="centerContinuous"/>
    </xf>
    <xf numFmtId="0" fontId="49" fillId="0" borderId="0" xfId="2" applyFont="1" applyAlignment="1">
      <alignment horizontal="centerContinuous"/>
    </xf>
    <xf numFmtId="0" fontId="32" fillId="0" borderId="9" xfId="2" applyFont="1" applyBorder="1"/>
    <xf numFmtId="0" fontId="32" fillId="0" borderId="10" xfId="2" applyFont="1" applyBorder="1"/>
    <xf numFmtId="0" fontId="32" fillId="0" borderId="11" xfId="2" applyFont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3" fontId="70" fillId="0" borderId="0" xfId="0" applyNumberFormat="1" applyFont="1"/>
    <xf numFmtId="10" fontId="69" fillId="0" borderId="0" xfId="5" applyNumberFormat="1" applyFont="1" applyFill="1" applyProtection="1">
      <protection locked="0"/>
    </xf>
    <xf numFmtId="166" fontId="70" fillId="0" borderId="0" xfId="0" applyNumberFormat="1" applyFont="1" applyFill="1"/>
    <xf numFmtId="0" fontId="6" fillId="0" borderId="0" xfId="2" applyFont="1" applyFill="1"/>
    <xf numFmtId="3" fontId="70" fillId="0" borderId="0" xfId="0" applyNumberFormat="1" applyFont="1" applyFill="1"/>
    <xf numFmtId="43" fontId="70" fillId="0" borderId="0" xfId="0" applyNumberFormat="1" applyFont="1" applyFill="1"/>
    <xf numFmtId="0" fontId="70" fillId="0" borderId="0" xfId="0" applyFont="1" applyFill="1"/>
    <xf numFmtId="43" fontId="6" fillId="0" borderId="0" xfId="22" applyFont="1"/>
    <xf numFmtId="166" fontId="15" fillId="0" borderId="0" xfId="0" applyNumberFormat="1" applyFont="1" applyFill="1"/>
    <xf numFmtId="0" fontId="6" fillId="0" borderId="6" xfId="2" applyFont="1" applyBorder="1"/>
    <xf numFmtId="0" fontId="6" fillId="0" borderId="5" xfId="2" applyFont="1" applyBorder="1"/>
    <xf numFmtId="3" fontId="6" fillId="0" borderId="0" xfId="2" applyNumberFormat="1" applyFont="1" applyBorder="1"/>
    <xf numFmtId="0" fontId="6" fillId="0" borderId="7" xfId="2" applyFont="1" applyBorder="1"/>
    <xf numFmtId="0" fontId="6" fillId="0" borderId="2" xfId="2" applyFont="1" applyBorder="1"/>
    <xf numFmtId="14" fontId="6" fillId="0" borderId="0" xfId="2" applyNumberFormat="1" applyFill="1"/>
    <xf numFmtId="14" fontId="6" fillId="0" borderId="16" xfId="2" applyNumberFormat="1" applyFill="1" applyBorder="1"/>
    <xf numFmtId="14" fontId="6" fillId="0" borderId="25" xfId="2" applyNumberFormat="1" applyFill="1" applyBorder="1"/>
    <xf numFmtId="14" fontId="6" fillId="0" borderId="15" xfId="2" applyNumberFormat="1" applyFill="1" applyBorder="1"/>
    <xf numFmtId="10" fontId="6" fillId="0" borderId="0" xfId="2" applyNumberFormat="1" applyFill="1"/>
    <xf numFmtId="10" fontId="6" fillId="0" borderId="0" xfId="3" applyNumberFormat="1" applyFont="1" applyFill="1"/>
    <xf numFmtId="181" fontId="6" fillId="0" borderId="0" xfId="22" applyNumberFormat="1" applyFont="1" applyFill="1"/>
    <xf numFmtId="181" fontId="6" fillId="3" borderId="0" xfId="22" applyNumberFormat="1" applyFont="1" applyFill="1"/>
    <xf numFmtId="165" fontId="6" fillId="0" borderId="0" xfId="2" applyNumberFormat="1" applyFill="1"/>
    <xf numFmtId="14" fontId="6" fillId="0" borderId="37" xfId="2" applyNumberFormat="1" applyFill="1" applyBorder="1"/>
    <xf numFmtId="14" fontId="6" fillId="0" borderId="38" xfId="2" applyNumberFormat="1" applyFill="1" applyBorder="1"/>
    <xf numFmtId="14" fontId="6" fillId="0" borderId="39" xfId="2" applyNumberFormat="1" applyFill="1" applyBorder="1"/>
    <xf numFmtId="3" fontId="6" fillId="0" borderId="3" xfId="2" applyNumberFormat="1" applyFont="1" applyBorder="1"/>
    <xf numFmtId="3" fontId="6" fillId="0" borderId="3" xfId="2" applyNumberFormat="1" applyFont="1" applyFill="1" applyBorder="1"/>
    <xf numFmtId="0" fontId="29" fillId="0" borderId="0" xfId="2" applyFont="1" applyAlignment="1">
      <alignment horizontal="center"/>
    </xf>
    <xf numFmtId="181" fontId="6" fillId="0" borderId="0" xfId="65" applyNumberFormat="1" applyFont="1" applyFill="1"/>
    <xf numFmtId="3" fontId="58" fillId="7" borderId="0" xfId="29" applyNumberFormat="1"/>
    <xf numFmtId="3" fontId="57" fillId="6" borderId="0" xfId="28" applyNumberFormat="1"/>
    <xf numFmtId="0" fontId="57" fillId="6" borderId="0" xfId="28"/>
    <xf numFmtId="177" fontId="57" fillId="6" borderId="0" xfId="28" applyNumberFormat="1" applyProtection="1">
      <protection locked="0"/>
    </xf>
    <xf numFmtId="181" fontId="0" fillId="0" borderId="0" xfId="14" applyNumberFormat="1" applyFont="1" applyFill="1"/>
    <xf numFmtId="0" fontId="6" fillId="0" borderId="0" xfId="2" applyFont="1" applyAlignment="1">
      <alignment horizontal="left"/>
    </xf>
    <xf numFmtId="181" fontId="71" fillId="0" borderId="0" xfId="14" applyNumberFormat="1" applyFont="1" applyFill="1"/>
    <xf numFmtId="181" fontId="18" fillId="0" borderId="0" xfId="12" applyNumberFormat="1"/>
    <xf numFmtId="175" fontId="72" fillId="0" borderId="10" xfId="0" applyNumberFormat="1" applyFont="1" applyFill="1" applyBorder="1"/>
    <xf numFmtId="176" fontId="72" fillId="0" borderId="10" xfId="0" applyNumberFormat="1" applyFont="1" applyFill="1" applyBorder="1"/>
    <xf numFmtId="177" fontId="36" fillId="0" borderId="0" xfId="4" applyNumberFormat="1" applyFont="1" applyFill="1" applyProtection="1"/>
    <xf numFmtId="2" fontId="9" fillId="0" borderId="0" xfId="4" applyNumberFormat="1" applyFont="1" applyFill="1" applyAlignment="1" applyProtection="1">
      <alignment horizontal="left"/>
    </xf>
    <xf numFmtId="0" fontId="32" fillId="0" borderId="0" xfId="0" applyFont="1"/>
    <xf numFmtId="3" fontId="32" fillId="0" borderId="0" xfId="0" applyNumberFormat="1" applyFont="1"/>
    <xf numFmtId="167" fontId="0" fillId="0" borderId="0" xfId="3" applyNumberFormat="1" applyFont="1"/>
    <xf numFmtId="0" fontId="73" fillId="0" borderId="0" xfId="0" applyFont="1"/>
    <xf numFmtId="0" fontId="73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5" fillId="0" borderId="0" xfId="0" applyFont="1" applyProtection="1"/>
    <xf numFmtId="0" fontId="32" fillId="0" borderId="0" xfId="0" quotePrefix="1" applyFont="1" applyAlignment="1">
      <alignment horizontal="left" indent="1"/>
    </xf>
    <xf numFmtId="0" fontId="6" fillId="0" borderId="0" xfId="83"/>
    <xf numFmtId="3" fontId="6" fillId="0" borderId="0" xfId="83" applyNumberFormat="1"/>
    <xf numFmtId="44" fontId="7" fillId="0" borderId="0" xfId="83" applyNumberFormat="1" applyFont="1"/>
    <xf numFmtId="44" fontId="6" fillId="0" borderId="0" xfId="84" applyFont="1"/>
    <xf numFmtId="0" fontId="7" fillId="0" borderId="0" xfId="0" applyFont="1" applyAlignment="1">
      <alignment horizontal="center"/>
    </xf>
    <xf numFmtId="43" fontId="0" fillId="0" borderId="0" xfId="22" applyFont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0" fillId="0" borderId="8" xfId="0" applyNumberFormat="1" applyBorder="1"/>
    <xf numFmtId="10" fontId="0" fillId="0" borderId="0" xfId="3" applyNumberFormat="1" applyFont="1" applyBorder="1"/>
    <xf numFmtId="10" fontId="0" fillId="0" borderId="8" xfId="3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 applyAlignment="1">
      <alignment horizontal="left" indent="1"/>
    </xf>
    <xf numFmtId="181" fontId="0" fillId="0" borderId="0" xfId="22" applyNumberFormat="1" applyFont="1" applyBorder="1"/>
    <xf numFmtId="181" fontId="0" fillId="0" borderId="8" xfId="22" applyNumberFormat="1" applyFont="1" applyBorder="1"/>
    <xf numFmtId="3" fontId="22" fillId="0" borderId="0" xfId="0" applyNumberFormat="1" applyFont="1" applyFill="1"/>
    <xf numFmtId="3" fontId="7" fillId="0" borderId="0" xfId="0" applyNumberFormat="1" applyFont="1" applyFill="1"/>
    <xf numFmtId="10" fontId="7" fillId="0" borderId="0" xfId="0" applyNumberFormat="1" applyFont="1" applyFill="1"/>
    <xf numFmtId="4" fontId="0" fillId="0" borderId="0" xfId="0" applyNumberFormat="1" applyFill="1"/>
    <xf numFmtId="4" fontId="6" fillId="0" borderId="0" xfId="0" applyNumberFormat="1" applyFont="1" applyFill="1"/>
    <xf numFmtId="168" fontId="6" fillId="0" borderId="0" xfId="0" applyNumberFormat="1" applyFont="1" applyFill="1"/>
    <xf numFmtId="181" fontId="6" fillId="0" borderId="0" xfId="2" applyNumberFormat="1" applyFill="1"/>
    <xf numFmtId="181" fontId="29" fillId="0" borderId="0" xfId="22" applyNumberFormat="1" applyFont="1" applyFill="1" applyBorder="1"/>
    <xf numFmtId="181" fontId="29" fillId="0" borderId="23" xfId="22" applyNumberFormat="1" applyFont="1" applyFill="1" applyBorder="1"/>
    <xf numFmtId="0" fontId="6" fillId="0" borderId="0" xfId="2" applyFill="1" applyAlignment="1"/>
    <xf numFmtId="0" fontId="14" fillId="0" borderId="0" xfId="2" applyFont="1" applyFill="1" applyAlignment="1">
      <alignment horizontal="right"/>
    </xf>
    <xf numFmtId="10" fontId="6" fillId="0" borderId="2" xfId="2" applyNumberFormat="1" applyFill="1" applyBorder="1"/>
    <xf numFmtId="0" fontId="7" fillId="0" borderId="0" xfId="2" applyFont="1" applyFill="1" applyAlignment="1">
      <alignment horizontal="right"/>
    </xf>
    <xf numFmtId="4" fontId="7" fillId="0" borderId="0" xfId="0" applyNumberFormat="1" applyFont="1" applyFill="1"/>
    <xf numFmtId="0" fontId="15" fillId="0" borderId="0" xfId="0" applyFont="1" applyFill="1" applyAlignment="1">
      <alignment horizontal="left"/>
    </xf>
    <xf numFmtId="0" fontId="47" fillId="0" borderId="0" xfId="12" applyFont="1" applyFill="1" applyAlignment="1">
      <alignment horizontal="left"/>
    </xf>
    <xf numFmtId="9" fontId="0" fillId="0" borderId="0" xfId="3" applyFont="1"/>
    <xf numFmtId="9" fontId="46" fillId="0" borderId="0" xfId="12" applyNumberFormat="1" applyFont="1" applyFill="1"/>
    <xf numFmtId="10" fontId="46" fillId="0" borderId="0" xfId="12" applyNumberFormat="1" applyFont="1" applyFill="1"/>
    <xf numFmtId="166" fontId="29" fillId="0" borderId="0" xfId="0" applyNumberFormat="1" applyFont="1"/>
    <xf numFmtId="3" fontId="15" fillId="0" borderId="0" xfId="2" applyNumberFormat="1" applyFont="1"/>
    <xf numFmtId="0" fontId="0" fillId="0" borderId="0" xfId="0" applyFill="1" applyAlignment="1">
      <alignment horizontal="center"/>
    </xf>
    <xf numFmtId="166" fontId="0" fillId="0" borderId="0" xfId="0" applyNumberFormat="1" applyFill="1"/>
    <xf numFmtId="166" fontId="15" fillId="0" borderId="24" xfId="0" applyNumberFormat="1" applyFont="1" applyFill="1" applyBorder="1"/>
    <xf numFmtId="0" fontId="0" fillId="0" borderId="23" xfId="0" applyFill="1" applyBorder="1"/>
    <xf numFmtId="0" fontId="0" fillId="0" borderId="22" xfId="0" applyFill="1" applyBorder="1"/>
    <xf numFmtId="0" fontId="78" fillId="0" borderId="0" xfId="12" applyFont="1" applyFill="1"/>
    <xf numFmtId="0" fontId="78" fillId="0" borderId="0" xfId="12" applyFont="1"/>
    <xf numFmtId="0" fontId="18" fillId="0" borderId="0" xfId="12" applyFont="1" applyFill="1"/>
    <xf numFmtId="181" fontId="79" fillId="0" borderId="0" xfId="14" applyNumberFormat="1" applyFont="1" applyFill="1"/>
    <xf numFmtId="171" fontId="0" fillId="0" borderId="0" xfId="0" applyNumberFormat="1"/>
    <xf numFmtId="0" fontId="9" fillId="0" borderId="0" xfId="6" applyNumberFormat="1" applyFont="1" applyFill="1" applyAlignment="1" applyProtection="1">
      <alignment horizontal="center" vertical="center"/>
    </xf>
    <xf numFmtId="2" fontId="9" fillId="0" borderId="0" xfId="4" applyNumberFormat="1" applyFont="1" applyFill="1" applyAlignment="1" applyProtection="1">
      <alignment horizontal="center"/>
    </xf>
    <xf numFmtId="178" fontId="9" fillId="0" borderId="0" xfId="4" applyNumberFormat="1" applyFont="1" applyFill="1" applyAlignment="1" applyProtection="1">
      <alignment horizontal="center"/>
    </xf>
    <xf numFmtId="177" fontId="57" fillId="0" borderId="0" xfId="28" applyNumberFormat="1" applyFill="1" applyProtection="1">
      <protection locked="0"/>
    </xf>
    <xf numFmtId="0" fontId="9" fillId="0" borderId="0" xfId="4" applyFont="1" applyFill="1" applyAlignment="1" applyProtection="1">
      <alignment horizontal="right"/>
    </xf>
    <xf numFmtId="22" fontId="9" fillId="0" borderId="0" xfId="4" applyNumberFormat="1" applyFont="1" applyFill="1" applyProtection="1"/>
    <xf numFmtId="177" fontId="9" fillId="0" borderId="0" xfId="4" applyNumberFormat="1" applyFont="1" applyFill="1" applyAlignment="1" applyProtection="1">
      <alignment horizontal="right"/>
    </xf>
    <xf numFmtId="18" fontId="9" fillId="0" borderId="0" xfId="4" applyNumberFormat="1" applyFont="1" applyFill="1" applyProtection="1"/>
    <xf numFmtId="0" fontId="0" fillId="0" borderId="0" xfId="0" applyAlignment="1">
      <alignment shrinkToFit="1"/>
    </xf>
    <xf numFmtId="2" fontId="9" fillId="0" borderId="0" xfId="6" applyNumberFormat="1" applyFont="1" applyFill="1" applyAlignment="1" applyProtection="1">
      <alignment horizontal="center" vertical="center"/>
    </xf>
    <xf numFmtId="0" fontId="9" fillId="0" borderId="0" xfId="4" applyFont="1" applyFill="1" applyAlignment="1" applyProtection="1">
      <alignment horizontal="center"/>
    </xf>
    <xf numFmtId="177" fontId="41" fillId="0" borderId="0" xfId="4" applyNumberFormat="1" applyFont="1" applyFill="1" applyProtection="1">
      <protection locked="0"/>
    </xf>
    <xf numFmtId="0" fontId="75" fillId="0" borderId="0" xfId="4" applyFont="1" applyFill="1" applyAlignment="1" applyProtection="1">
      <alignment horizontal="center"/>
      <protection locked="0"/>
    </xf>
    <xf numFmtId="177" fontId="37" fillId="0" borderId="0" xfId="4" applyNumberFormat="1" applyFont="1" applyFill="1" applyProtection="1"/>
    <xf numFmtId="177" fontId="9" fillId="0" borderId="0" xfId="4" applyNumberFormat="1" applyFont="1" applyFill="1" applyAlignment="1" applyProtection="1">
      <alignment horizontal="left"/>
    </xf>
    <xf numFmtId="177" fontId="37" fillId="0" borderId="0" xfId="4" applyNumberFormat="1" applyFont="1" applyFill="1" applyBorder="1" applyProtection="1"/>
    <xf numFmtId="181" fontId="80" fillId="0" borderId="0" xfId="14" applyNumberFormat="1" applyFont="1" applyFill="1"/>
    <xf numFmtId="10" fontId="18" fillId="0" borderId="0" xfId="12" applyNumberFormat="1" applyFont="1" applyFill="1"/>
    <xf numFmtId="10" fontId="0" fillId="0" borderId="0" xfId="3" applyNumberFormat="1" applyFont="1" applyFill="1"/>
    <xf numFmtId="186" fontId="0" fillId="0" borderId="0" xfId="21" applyNumberFormat="1" applyFont="1" applyFill="1"/>
    <xf numFmtId="0" fontId="29" fillId="0" borderId="0" xfId="0" applyFont="1" applyFill="1"/>
    <xf numFmtId="167" fontId="0" fillId="0" borderId="0" xfId="3" applyNumberFormat="1" applyFont="1" applyFill="1"/>
    <xf numFmtId="14" fontId="6" fillId="0" borderId="0" xfId="2" applyNumberFormat="1" applyFont="1" applyFill="1" applyAlignment="1">
      <alignment horizontal="center"/>
    </xf>
    <xf numFmtId="17" fontId="29" fillId="0" borderId="7" xfId="2" applyNumberFormat="1" applyFont="1" applyFill="1" applyBorder="1" applyAlignment="1">
      <alignment horizontal="center"/>
    </xf>
    <xf numFmtId="0" fontId="75" fillId="0" borderId="0" xfId="4" applyFont="1" applyFill="1" applyProtection="1"/>
    <xf numFmtId="0" fontId="10" fillId="0" borderId="5" xfId="2" applyFont="1" applyFill="1" applyBorder="1" applyAlignment="1">
      <alignment horizontal="centerContinuous"/>
    </xf>
    <xf numFmtId="0" fontId="6" fillId="0" borderId="6" xfId="2" applyFill="1" applyBorder="1" applyAlignment="1">
      <alignment horizontal="centerContinuous"/>
    </xf>
    <xf numFmtId="0" fontId="6" fillId="0" borderId="7" xfId="2" applyFill="1" applyBorder="1" applyAlignment="1">
      <alignment horizontal="center"/>
    </xf>
    <xf numFmtId="0" fontId="6" fillId="0" borderId="8" xfId="2" applyFill="1" applyBorder="1" applyAlignment="1">
      <alignment horizontal="center"/>
    </xf>
    <xf numFmtId="0" fontId="6" fillId="0" borderId="9" xfId="2" applyFill="1" applyBorder="1" applyAlignment="1">
      <alignment horizontal="center"/>
    </xf>
    <xf numFmtId="0" fontId="6" fillId="0" borderId="11" xfId="2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6" fillId="0" borderId="7" xfId="2" applyFill="1" applyBorder="1"/>
    <xf numFmtId="0" fontId="6" fillId="0" borderId="8" xfId="2" applyFill="1" applyBorder="1"/>
    <xf numFmtId="3" fontId="81" fillId="0" borderId="0" xfId="4" applyNumberFormat="1" applyFont="1" applyAlignment="1" applyProtection="1"/>
    <xf numFmtId="181" fontId="6" fillId="0" borderId="0" xfId="2" applyNumberFormat="1" applyFont="1"/>
    <xf numFmtId="14" fontId="6" fillId="0" borderId="10" xfId="2" applyNumberFormat="1" applyBorder="1"/>
    <xf numFmtId="14" fontId="6" fillId="0" borderId="16" xfId="2" applyNumberFormat="1" applyBorder="1"/>
    <xf numFmtId="14" fontId="6" fillId="0" borderId="25" xfId="2" applyNumberFormat="1" applyBorder="1"/>
    <xf numFmtId="14" fontId="6" fillId="0" borderId="15" xfId="2" applyNumberFormat="1" applyBorder="1"/>
    <xf numFmtId="0" fontId="46" fillId="0" borderId="0" xfId="12" applyFont="1" applyFill="1"/>
    <xf numFmtId="3" fontId="0" fillId="0" borderId="1" xfId="0" applyNumberFormat="1" applyFill="1" applyBorder="1"/>
    <xf numFmtId="177" fontId="36" fillId="0" borderId="0" xfId="4" applyNumberFormat="1" applyFont="1" applyFill="1" applyBorder="1" applyProtection="1"/>
    <xf numFmtId="0" fontId="48" fillId="0" borderId="0" xfId="12" quotePrefix="1" applyFont="1" applyFill="1" applyAlignment="1">
      <alignment horizontal="left"/>
    </xf>
    <xf numFmtId="166" fontId="29" fillId="0" borderId="0" xfId="0" applyNumberFormat="1" applyFont="1" applyFill="1"/>
    <xf numFmtId="17" fontId="10" fillId="0" borderId="7" xfId="2" applyNumberFormat="1" applyFont="1" applyFill="1" applyBorder="1" applyAlignment="1">
      <alignment horizontal="center"/>
    </xf>
    <xf numFmtId="14" fontId="6" fillId="0" borderId="0" xfId="2" applyNumberFormat="1" applyBorder="1"/>
    <xf numFmtId="181" fontId="6" fillId="37" borderId="0" xfId="22" applyNumberFormat="1" applyFont="1" applyFill="1"/>
    <xf numFmtId="1" fontId="0" fillId="0" borderId="0" xfId="0" applyNumberFormat="1" applyFill="1"/>
    <xf numFmtId="0" fontId="18" fillId="0" borderId="0" xfId="12" applyFont="1"/>
    <xf numFmtId="10" fontId="18" fillId="0" borderId="0" xfId="3" applyNumberFormat="1" applyFont="1"/>
    <xf numFmtId="3" fontId="34" fillId="0" borderId="0" xfId="4" applyNumberFormat="1" applyFont="1" applyFill="1" applyAlignment="1" applyProtection="1"/>
    <xf numFmtId="177" fontId="69" fillId="0" borderId="0" xfId="4" applyNumberFormat="1" applyFont="1" applyProtection="1"/>
    <xf numFmtId="177" fontId="82" fillId="0" borderId="0" xfId="4" applyNumberFormat="1" applyFont="1" applyProtection="1"/>
    <xf numFmtId="0" fontId="0" fillId="0" borderId="21" xfId="0" applyFill="1" applyBorder="1"/>
    <xf numFmtId="3" fontId="0" fillId="0" borderId="20" xfId="0" applyNumberFormat="1" applyFill="1" applyBorder="1"/>
    <xf numFmtId="3" fontId="0" fillId="0" borderId="19" xfId="0" applyNumberFormat="1" applyFill="1" applyBorder="1"/>
    <xf numFmtId="166" fontId="15" fillId="0" borderId="18" xfId="0" applyNumberFormat="1" applyFont="1" applyFill="1" applyBorder="1"/>
    <xf numFmtId="3" fontId="0" fillId="0" borderId="10" xfId="0" applyNumberFormat="1" applyFill="1" applyBorder="1"/>
    <xf numFmtId="3" fontId="0" fillId="0" borderId="27" xfId="0" applyNumberFormat="1" applyFill="1" applyBorder="1"/>
    <xf numFmtId="3" fontId="0" fillId="0" borderId="17" xfId="0" applyNumberFormat="1" applyFill="1" applyBorder="1"/>
    <xf numFmtId="43" fontId="46" fillId="0" borderId="0" xfId="14" applyFont="1"/>
    <xf numFmtId="10" fontId="72" fillId="0" borderId="0" xfId="0" applyNumberFormat="1" applyFont="1"/>
    <xf numFmtId="10" fontId="70" fillId="0" borderId="0" xfId="3" applyNumberFormat="1" applyFont="1" applyFill="1"/>
    <xf numFmtId="10" fontId="29" fillId="0" borderId="0" xfId="3" applyNumberFormat="1" applyFont="1" applyFill="1"/>
    <xf numFmtId="0" fontId="86" fillId="0" borderId="0" xfId="0" applyFont="1"/>
    <xf numFmtId="0" fontId="86" fillId="0" borderId="0" xfId="0" applyFont="1" applyAlignment="1">
      <alignment vertical="center" wrapText="1"/>
    </xf>
    <xf numFmtId="181" fontId="18" fillId="0" borderId="0" xfId="22" applyNumberFormat="1" applyFont="1"/>
    <xf numFmtId="0" fontId="84" fillId="0" borderId="41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/>
    </xf>
    <xf numFmtId="3" fontId="86" fillId="0" borderId="0" xfId="0" applyNumberFormat="1" applyFont="1" applyFill="1" applyBorder="1" applyAlignment="1">
      <alignment horizontal="center" wrapText="1"/>
    </xf>
    <xf numFmtId="0" fontId="85" fillId="0" borderId="0" xfId="0" applyFont="1" applyFill="1" applyBorder="1" applyAlignment="1"/>
    <xf numFmtId="0" fontId="86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Border="1" applyAlignment="1"/>
    <xf numFmtId="0" fontId="87" fillId="0" borderId="0" xfId="0" applyFont="1" applyFill="1" applyBorder="1" applyAlignment="1">
      <alignment horizontal="center" vertical="center"/>
    </xf>
    <xf numFmtId="177" fontId="9" fillId="0" borderId="40" xfId="4" applyNumberFormat="1" applyFont="1" applyFill="1" applyBorder="1" applyProtection="1">
      <protection locked="0"/>
    </xf>
    <xf numFmtId="0" fontId="86" fillId="0" borderId="14" xfId="0" applyFont="1" applyBorder="1" applyAlignment="1">
      <alignment horizontal="center" vertical="center" wrapText="1"/>
    </xf>
    <xf numFmtId="0" fontId="84" fillId="38" borderId="14" xfId="131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86" fillId="0" borderId="0" xfId="0" applyFont="1" applyFill="1"/>
    <xf numFmtId="0" fontId="85" fillId="40" borderId="43" xfId="0" applyFont="1" applyFill="1" applyBorder="1" applyAlignment="1">
      <alignment horizontal="center" vertical="center" wrapText="1"/>
    </xf>
    <xf numFmtId="0" fontId="84" fillId="40" borderId="14" xfId="0" applyFont="1" applyFill="1" applyBorder="1" applyAlignment="1">
      <alignment horizontal="center" vertical="center" wrapText="1"/>
    </xf>
    <xf numFmtId="0" fontId="84" fillId="41" borderId="14" xfId="131" applyFont="1" applyFill="1" applyBorder="1" applyAlignment="1">
      <alignment horizontal="center" vertical="center" wrapText="1"/>
    </xf>
    <xf numFmtId="0" fontId="84" fillId="41" borderId="14" xfId="0" applyFont="1" applyFill="1" applyBorder="1" applyAlignment="1">
      <alignment horizontal="center" vertical="center" wrapText="1"/>
    </xf>
    <xf numFmtId="0" fontId="84" fillId="41" borderId="12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 wrapText="1"/>
    </xf>
    <xf numFmtId="0" fontId="84" fillId="0" borderId="0" xfId="0" quotePrefix="1" applyFont="1" applyBorder="1" applyAlignment="1"/>
    <xf numFmtId="0" fontId="83" fillId="0" borderId="0" xfId="0" quotePrefix="1" applyFont="1" applyBorder="1" applyAlignment="1">
      <alignment horizontal="center"/>
    </xf>
    <xf numFmtId="0" fontId="85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 wrapText="1"/>
    </xf>
    <xf numFmtId="0" fontId="86" fillId="0" borderId="0" xfId="0" applyFont="1" applyBorder="1" applyAlignment="1">
      <alignment horizontal="center" wrapText="1"/>
    </xf>
    <xf numFmtId="0" fontId="85" fillId="0" borderId="0" xfId="0" applyFont="1" applyBorder="1" applyAlignment="1">
      <alignment vertical="center" wrapText="1"/>
    </xf>
    <xf numFmtId="0" fontId="87" fillId="39" borderId="0" xfId="0" applyFont="1" applyFill="1" applyBorder="1" applyAlignment="1">
      <alignment vertical="center"/>
    </xf>
    <xf numFmtId="0" fontId="87" fillId="39" borderId="0" xfId="0" applyFont="1" applyFill="1" applyBorder="1" applyAlignment="1"/>
    <xf numFmtId="181" fontId="7" fillId="0" borderId="0" xfId="11" applyNumberFormat="1" applyFont="1" applyFill="1"/>
    <xf numFmtId="181" fontId="0" fillId="0" borderId="0" xfId="11" applyNumberFormat="1" applyFont="1" applyFill="1"/>
    <xf numFmtId="7" fontId="29" fillId="0" borderId="0" xfId="2" applyNumberFormat="1" applyFont="1" applyFill="1"/>
    <xf numFmtId="0" fontId="7" fillId="0" borderId="0" xfId="2" applyFont="1" applyFill="1"/>
    <xf numFmtId="9" fontId="10" fillId="0" borderId="0" xfId="2" applyNumberFormat="1" applyFont="1" applyFill="1"/>
    <xf numFmtId="6" fontId="10" fillId="0" borderId="0" xfId="2" applyNumberFormat="1" applyFont="1" applyFill="1"/>
    <xf numFmtId="0" fontId="85" fillId="0" borderId="0" xfId="0" applyFont="1" applyAlignment="1">
      <alignment horizontal="center"/>
    </xf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181" fontId="83" fillId="0" borderId="0" xfId="22" quotePrefix="1" applyNumberFormat="1" applyFont="1" applyFill="1" applyBorder="1" applyAlignment="1">
      <alignment horizontal="center"/>
    </xf>
    <xf numFmtId="181" fontId="86" fillId="0" borderId="0" xfId="22" applyNumberFormat="1" applyFont="1"/>
    <xf numFmtId="181" fontId="83" fillId="0" borderId="0" xfId="22" quotePrefix="1" applyNumberFormat="1" applyFont="1" applyFill="1" applyAlignment="1">
      <alignment horizontal="center" vertical="center"/>
    </xf>
    <xf numFmtId="181" fontId="83" fillId="0" borderId="0" xfId="22" quotePrefix="1" applyNumberFormat="1" applyFont="1" applyFill="1" applyAlignment="1">
      <alignment horizontal="center"/>
    </xf>
    <xf numFmtId="181" fontId="84" fillId="0" borderId="0" xfId="22" quotePrefix="1" applyNumberFormat="1" applyFont="1" applyFill="1" applyBorder="1" applyAlignment="1"/>
    <xf numFmtId="181" fontId="85" fillId="0" borderId="0" xfId="22" applyNumberFormat="1" applyFont="1" applyFill="1" applyBorder="1" applyAlignment="1">
      <alignment vertical="center"/>
    </xf>
    <xf numFmtId="181" fontId="86" fillId="0" borderId="0" xfId="22" applyNumberFormat="1" applyFont="1" applyFill="1" applyAlignment="1">
      <alignment horizontal="center" wrapText="1"/>
    </xf>
    <xf numFmtId="181" fontId="86" fillId="0" borderId="0" xfId="22" applyNumberFormat="1" applyFont="1" applyFill="1" applyBorder="1" applyAlignment="1">
      <alignment horizontal="center" wrapText="1"/>
    </xf>
    <xf numFmtId="181" fontId="85" fillId="0" borderId="0" xfId="22" applyNumberFormat="1" applyFont="1" applyFill="1" applyBorder="1" applyAlignment="1"/>
    <xf numFmtId="181" fontId="86" fillId="0" borderId="0" xfId="22" applyNumberFormat="1" applyFont="1" applyFill="1"/>
    <xf numFmtId="0" fontId="86" fillId="41" borderId="42" xfId="0" applyFont="1" applyFill="1" applyBorder="1" applyAlignment="1">
      <alignment horizontal="center" vertical="center" wrapText="1"/>
    </xf>
    <xf numFmtId="0" fontId="83" fillId="0" borderId="0" xfId="0" quotePrefix="1" applyFont="1" applyBorder="1" applyAlignment="1">
      <alignment horizontal="center" vertical="center"/>
    </xf>
    <xf numFmtId="0" fontId="86" fillId="0" borderId="0" xfId="0" applyNumberFormat="1" applyFont="1" applyBorder="1" applyAlignment="1">
      <alignment horizontal="center" wrapText="1"/>
    </xf>
    <xf numFmtId="0" fontId="83" fillId="0" borderId="0" xfId="0" quotePrefix="1" applyFont="1" applyBorder="1" applyAlignment="1"/>
    <xf numFmtId="3" fontId="86" fillId="0" borderId="0" xfId="0" applyNumberFormat="1" applyFont="1" applyBorder="1" applyAlignment="1">
      <alignment horizontal="center" wrapText="1"/>
    </xf>
    <xf numFmtId="0" fontId="85" fillId="38" borderId="0" xfId="0" applyFont="1" applyFill="1" applyBorder="1" applyAlignment="1"/>
    <xf numFmtId="0" fontId="86" fillId="38" borderId="0" xfId="0" applyFont="1" applyFill="1" applyBorder="1" applyAlignment="1">
      <alignment vertical="center" wrapText="1"/>
    </xf>
    <xf numFmtId="3" fontId="86" fillId="38" borderId="0" xfId="0" applyNumberFormat="1" applyFont="1" applyFill="1" applyBorder="1" applyAlignment="1">
      <alignment horizontal="center" wrapText="1"/>
    </xf>
    <xf numFmtId="187" fontId="86" fillId="0" borderId="0" xfId="0" applyNumberFormat="1" applyFont="1" applyBorder="1" applyAlignment="1">
      <alignment horizontal="center" wrapText="1"/>
    </xf>
    <xf numFmtId="0" fontId="86" fillId="38" borderId="0" xfId="0" applyFont="1" applyFill="1" applyBorder="1" applyAlignment="1"/>
    <xf numFmtId="0" fontId="86" fillId="38" borderId="0" xfId="0" applyFont="1" applyFill="1" applyBorder="1" applyAlignment="1">
      <alignment horizontal="center"/>
    </xf>
    <xf numFmtId="181" fontId="85" fillId="0" borderId="0" xfId="22" applyNumberFormat="1" applyFont="1" applyFill="1" applyBorder="1" applyAlignment="1">
      <alignment horizontal="center" wrapText="1"/>
    </xf>
    <xf numFmtId="0" fontId="85" fillId="39" borderId="0" xfId="0" applyFont="1" applyFill="1" applyBorder="1" applyAlignment="1"/>
    <xf numFmtId="0" fontId="85" fillId="38" borderId="0" xfId="0" quotePrefix="1" applyFont="1" applyFill="1" applyBorder="1" applyAlignment="1"/>
    <xf numFmtId="0" fontId="86" fillId="38" borderId="0" xfId="0" quotePrefix="1" applyFont="1" applyFill="1" applyBorder="1" applyAlignment="1"/>
    <xf numFmtId="0" fontId="86" fillId="0" borderId="0" xfId="0" applyFont="1" applyFill="1" applyBorder="1" applyAlignment="1"/>
    <xf numFmtId="181" fontId="86" fillId="0" borderId="0" xfId="22" applyNumberFormat="1" applyFont="1" applyFill="1" applyBorder="1" applyAlignment="1"/>
    <xf numFmtId="0" fontId="85" fillId="37" borderId="0" xfId="0" applyFont="1" applyFill="1" applyBorder="1" applyAlignment="1"/>
    <xf numFmtId="3" fontId="86" fillId="39" borderId="0" xfId="0" applyNumberFormat="1" applyFont="1" applyFill="1" applyBorder="1" applyAlignment="1">
      <alignment horizontal="center" wrapText="1"/>
    </xf>
    <xf numFmtId="0" fontId="87" fillId="39" borderId="0" xfId="0" applyFont="1" applyFill="1" applyBorder="1" applyAlignment="1">
      <alignment horizontal="left" vertical="center"/>
    </xf>
    <xf numFmtId="0" fontId="87" fillId="39" borderId="0" xfId="0" applyFont="1" applyFill="1" applyBorder="1" applyAlignment="1">
      <alignment vertical="center" wrapText="1"/>
    </xf>
    <xf numFmtId="4" fontId="86" fillId="0" borderId="0" xfId="0" applyNumberFormat="1" applyFont="1" applyBorder="1" applyAlignment="1">
      <alignment horizontal="center" wrapText="1"/>
    </xf>
    <xf numFmtId="185" fontId="86" fillId="0" borderId="0" xfId="0" applyNumberFormat="1" applyFont="1" applyBorder="1" applyAlignment="1">
      <alignment horizontal="center" wrapText="1"/>
    </xf>
    <xf numFmtId="0" fontId="87" fillId="38" borderId="0" xfId="0" applyFont="1" applyFill="1" applyBorder="1" applyAlignment="1"/>
    <xf numFmtId="0" fontId="87" fillId="37" borderId="0" xfId="0" applyFont="1" applyFill="1" applyBorder="1" applyAlignment="1"/>
    <xf numFmtId="0" fontId="85" fillId="42" borderId="0" xfId="0" applyFont="1" applyFill="1" applyBorder="1" applyAlignment="1"/>
    <xf numFmtId="0" fontId="87" fillId="42" borderId="0" xfId="0" applyFont="1" applyFill="1" applyBorder="1" applyAlignment="1"/>
    <xf numFmtId="0" fontId="86" fillId="38" borderId="0" xfId="0" applyFont="1" applyFill="1" applyBorder="1" applyAlignment="1">
      <alignment horizontal="left" vertical="top" wrapText="1"/>
    </xf>
    <xf numFmtId="0" fontId="37" fillId="0" borderId="0" xfId="4" applyFont="1" applyFill="1" applyProtection="1">
      <protection locked="0"/>
    </xf>
    <xf numFmtId="0" fontId="84" fillId="0" borderId="14" xfId="0" applyFont="1" applyBorder="1" applyAlignment="1">
      <alignment horizontal="center" vertical="center" wrapText="1"/>
    </xf>
    <xf numFmtId="0" fontId="87" fillId="42" borderId="0" xfId="0" applyFont="1" applyFill="1" applyBorder="1" applyAlignment="1">
      <alignment horizontal="center" vertical="center" wrapText="1"/>
    </xf>
    <xf numFmtId="0" fontId="86" fillId="42" borderId="0" xfId="0" applyFont="1" applyFill="1" applyBorder="1" applyAlignment="1">
      <alignment horizontal="center" vertical="center" wrapText="1"/>
    </xf>
    <xf numFmtId="181" fontId="83" fillId="0" borderId="10" xfId="22" quotePrefix="1" applyNumberFormat="1" applyFont="1" applyFill="1" applyBorder="1" applyAlignment="1">
      <alignment horizontal="center"/>
    </xf>
    <xf numFmtId="181" fontId="86" fillId="0" borderId="10" xfId="22" applyNumberFormat="1" applyFont="1" applyFill="1" applyBorder="1" applyAlignment="1">
      <alignment horizontal="center" wrapText="1"/>
    </xf>
    <xf numFmtId="181" fontId="85" fillId="0" borderId="1" xfId="22" applyNumberFormat="1" applyFont="1" applyFill="1" applyBorder="1" applyAlignment="1">
      <alignment vertical="center"/>
    </xf>
    <xf numFmtId="181" fontId="84" fillId="0" borderId="10" xfId="22" quotePrefix="1" applyNumberFormat="1" applyFont="1" applyFill="1" applyBorder="1" applyAlignment="1"/>
    <xf numFmtId="181" fontId="86" fillId="0" borderId="10" xfId="22" applyNumberFormat="1" applyFont="1" applyFill="1" applyBorder="1" applyAlignment="1"/>
    <xf numFmtId="181" fontId="85" fillId="0" borderId="10" xfId="22" applyNumberFormat="1" applyFont="1" applyFill="1" applyBorder="1" applyAlignment="1"/>
    <xf numFmtId="181" fontId="84" fillId="0" borderId="0" xfId="22" quotePrefix="1" applyNumberFormat="1" applyFont="1" applyFill="1" applyBorder="1" applyAlignment="1">
      <alignment horizontal="center"/>
    </xf>
    <xf numFmtId="181" fontId="84" fillId="0" borderId="10" xfId="22" quotePrefix="1" applyNumberFormat="1" applyFont="1" applyFill="1" applyBorder="1" applyAlignment="1">
      <alignment horizontal="center"/>
    </xf>
    <xf numFmtId="181" fontId="86" fillId="0" borderId="10" xfId="22" applyNumberFormat="1" applyFont="1" applyBorder="1"/>
    <xf numFmtId="181" fontId="85" fillId="0" borderId="0" xfId="22" applyNumberFormat="1" applyFont="1"/>
    <xf numFmtId="181" fontId="85" fillId="0" borderId="10" xfId="22" applyNumberFormat="1" applyFont="1" applyBorder="1"/>
    <xf numFmtId="0" fontId="85" fillId="38" borderId="0" xfId="0" applyFont="1" applyFill="1" applyBorder="1" applyAlignment="1">
      <alignment horizontal="right"/>
    </xf>
    <xf numFmtId="10" fontId="85" fillId="0" borderId="0" xfId="3" applyNumberFormat="1" applyFont="1" applyFill="1" applyBorder="1" applyAlignment="1"/>
    <xf numFmtId="38" fontId="84" fillId="0" borderId="0" xfId="132" applyNumberFormat="1" applyFont="1"/>
    <xf numFmtId="10" fontId="84" fillId="0" borderId="0" xfId="133" applyNumberFormat="1" applyFont="1"/>
    <xf numFmtId="10" fontId="85" fillId="0" borderId="0" xfId="3" applyNumberFormat="1" applyFont="1"/>
    <xf numFmtId="10" fontId="84" fillId="0" borderId="0" xfId="3" applyNumberFormat="1" applyFont="1"/>
    <xf numFmtId="0" fontId="85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9" fontId="6" fillId="0" borderId="0" xfId="3" applyFont="1"/>
    <xf numFmtId="0" fontId="85" fillId="0" borderId="0" xfId="135" applyFont="1" applyAlignment="1"/>
    <xf numFmtId="0" fontId="86" fillId="0" borderId="0" xfId="135" applyFont="1" applyAlignment="1"/>
    <xf numFmtId="0" fontId="88" fillId="0" borderId="0" xfId="135" applyFont="1" applyAlignment="1"/>
    <xf numFmtId="0" fontId="86" fillId="0" borderId="0" xfId="135" applyFont="1" applyBorder="1" applyAlignment="1">
      <alignment horizontal="center"/>
    </xf>
    <xf numFmtId="0" fontId="86" fillId="0" borderId="10" xfId="135" applyFont="1" applyBorder="1" applyAlignment="1">
      <alignment horizontal="center"/>
    </xf>
    <xf numFmtId="0" fontId="86" fillId="0" borderId="10" xfId="135" applyFont="1" applyBorder="1" applyAlignment="1">
      <alignment horizontal="left"/>
    </xf>
    <xf numFmtId="41" fontId="86" fillId="0" borderId="10" xfId="135" applyNumberFormat="1" applyFont="1" applyBorder="1" applyAlignment="1">
      <alignment horizontal="center"/>
    </xf>
    <xf numFmtId="4" fontId="86" fillId="0" borderId="0" xfId="135" applyNumberFormat="1" applyFont="1" applyAlignment="1">
      <alignment horizontal="center"/>
    </xf>
    <xf numFmtId="0" fontId="86" fillId="0" borderId="0" xfId="0" applyFont="1" applyFill="1" applyBorder="1"/>
    <xf numFmtId="181" fontId="86" fillId="0" borderId="0" xfId="22" applyNumberFormat="1" applyFont="1" applyFill="1" applyBorder="1"/>
    <xf numFmtId="181" fontId="86" fillId="0" borderId="3" xfId="22" applyNumberFormat="1" applyFont="1" applyFill="1" applyBorder="1"/>
    <xf numFmtId="10" fontId="86" fillId="0" borderId="0" xfId="3" applyNumberFormat="1" applyFont="1" applyFill="1" applyBorder="1"/>
    <xf numFmtId="10" fontId="86" fillId="0" borderId="3" xfId="3" applyNumberFormat="1" applyFont="1" applyFill="1" applyBorder="1"/>
    <xf numFmtId="10" fontId="83" fillId="0" borderId="0" xfId="134" applyNumberFormat="1" applyFont="1"/>
    <xf numFmtId="181" fontId="86" fillId="0" borderId="44" xfId="0" applyNumberFormat="1" applyFont="1" applyFill="1" applyBorder="1"/>
    <xf numFmtId="181" fontId="86" fillId="0" borderId="41" xfId="0" applyNumberFormat="1" applyFont="1" applyFill="1" applyBorder="1"/>
    <xf numFmtId="10" fontId="86" fillId="0" borderId="43" xfId="3" applyNumberFormat="1" applyFont="1" applyFill="1" applyBorder="1"/>
    <xf numFmtId="43" fontId="18" fillId="0" borderId="0" xfId="22" applyNumberFormat="1" applyFont="1"/>
    <xf numFmtId="181" fontId="86" fillId="0" borderId="0" xfId="0" applyNumberFormat="1" applyFont="1"/>
    <xf numFmtId="10" fontId="86" fillId="0" borderId="0" xfId="3" applyNumberFormat="1" applyFont="1"/>
    <xf numFmtId="189" fontId="86" fillId="0" borderId="0" xfId="0" applyNumberFormat="1" applyFont="1"/>
    <xf numFmtId="43" fontId="86" fillId="0" borderId="0" xfId="22" applyNumberFormat="1" applyFont="1"/>
    <xf numFmtId="43" fontId="86" fillId="0" borderId="0" xfId="0" applyNumberFormat="1" applyFont="1"/>
    <xf numFmtId="2" fontId="86" fillId="0" borderId="0" xfId="22" applyNumberFormat="1" applyFont="1"/>
    <xf numFmtId="0" fontId="86" fillId="42" borderId="0" xfId="0" applyFont="1" applyFill="1" applyBorder="1"/>
    <xf numFmtId="0" fontId="86" fillId="38" borderId="0" xfId="0" applyFont="1" applyFill="1"/>
    <xf numFmtId="0" fontId="86" fillId="0" borderId="0" xfId="0" applyFont="1" applyAlignment="1"/>
    <xf numFmtId="186" fontId="29" fillId="0" borderId="0" xfId="21" applyNumberFormat="1" applyFont="1" applyFill="1"/>
    <xf numFmtId="3" fontId="29" fillId="0" borderId="0" xfId="2" applyNumberFormat="1" applyFont="1" applyFill="1" applyBorder="1"/>
    <xf numFmtId="1" fontId="70" fillId="3" borderId="0" xfId="22" applyNumberFormat="1" applyFont="1" applyFill="1"/>
    <xf numFmtId="188" fontId="18" fillId="0" borderId="0" xfId="14" applyNumberFormat="1"/>
    <xf numFmtId="43" fontId="46" fillId="0" borderId="10" xfId="14" applyFont="1" applyBorder="1"/>
    <xf numFmtId="0" fontId="18" fillId="0" borderId="0" xfId="12" applyFont="1" applyAlignment="1">
      <alignment horizontal="left"/>
    </xf>
    <xf numFmtId="0" fontId="18" fillId="0" borderId="0" xfId="12" quotePrefix="1" applyFont="1" applyAlignment="1">
      <alignment horizontal="left"/>
    </xf>
    <xf numFmtId="43" fontId="18" fillId="0" borderId="0" xfId="14" applyFont="1"/>
    <xf numFmtId="43" fontId="18" fillId="0" borderId="2" xfId="14" applyFont="1" applyBorder="1"/>
    <xf numFmtId="10" fontId="18" fillId="0" borderId="0" xfId="12" applyNumberFormat="1" applyFont="1"/>
    <xf numFmtId="43" fontId="18" fillId="0" borderId="0" xfId="14" applyFont="1" applyBorder="1"/>
    <xf numFmtId="43" fontId="18" fillId="0" borderId="2" xfId="12" applyNumberFormat="1" applyFont="1" applyBorder="1"/>
    <xf numFmtId="43" fontId="18" fillId="0" borderId="0" xfId="12" applyNumberFormat="1" applyFont="1"/>
    <xf numFmtId="43" fontId="18" fillId="0" borderId="0" xfId="12" applyNumberFormat="1" applyFont="1" applyBorder="1"/>
    <xf numFmtId="0" fontId="18" fillId="0" borderId="0" xfId="12" applyFont="1" applyAlignment="1">
      <alignment horizontal="left" indent="1"/>
    </xf>
    <xf numFmtId="43" fontId="18" fillId="0" borderId="10" xfId="14" applyFont="1" applyBorder="1"/>
    <xf numFmtId="9" fontId="18" fillId="0" borderId="0" xfId="3" applyFont="1"/>
    <xf numFmtId="9" fontId="18" fillId="0" borderId="0" xfId="12" applyNumberFormat="1" applyFont="1"/>
    <xf numFmtId="0" fontId="18" fillId="0" borderId="0" xfId="12" applyFont="1" applyAlignment="1">
      <alignment wrapText="1"/>
    </xf>
    <xf numFmtId="0" fontId="18" fillId="0" borderId="0" xfId="12" applyFont="1" applyFill="1" applyAlignment="1">
      <alignment horizontal="left" wrapText="1"/>
    </xf>
    <xf numFmtId="0" fontId="18" fillId="0" borderId="0" xfId="12" applyFont="1" applyAlignment="1">
      <alignment horizontal="right" wrapText="1"/>
    </xf>
    <xf numFmtId="43" fontId="18" fillId="0" borderId="0" xfId="14" applyNumberFormat="1" applyFont="1"/>
    <xf numFmtId="0" fontId="89" fillId="0" borderId="0" xfId="8" applyFont="1" applyFill="1" applyAlignment="1">
      <alignment vertical="top"/>
    </xf>
    <xf numFmtId="0" fontId="90" fillId="0" borderId="0" xfId="8" applyFont="1" applyFill="1" applyAlignment="1">
      <alignment vertical="top"/>
    </xf>
    <xf numFmtId="181" fontId="79" fillId="0" borderId="0" xfId="22" applyNumberFormat="1" applyFont="1"/>
    <xf numFmtId="165" fontId="10" fillId="0" borderId="7" xfId="2" applyNumberFormat="1" applyFont="1" applyFill="1" applyBorder="1"/>
    <xf numFmtId="165" fontId="10" fillId="0" borderId="7" xfId="2" applyNumberFormat="1" applyFont="1" applyFill="1" applyBorder="1" applyAlignment="1"/>
    <xf numFmtId="3" fontId="10" fillId="0" borderId="8" xfId="2" applyNumberFormat="1" applyFont="1" applyFill="1" applyBorder="1" applyAlignment="1"/>
    <xf numFmtId="185" fontId="10" fillId="0" borderId="7" xfId="2" applyNumberFormat="1" applyFont="1" applyFill="1" applyBorder="1"/>
    <xf numFmtId="185" fontId="10" fillId="0" borderId="8" xfId="2" applyNumberFormat="1" applyFont="1" applyFill="1" applyBorder="1"/>
    <xf numFmtId="185" fontId="10" fillId="0" borderId="7" xfId="2" applyNumberFormat="1" applyFont="1" applyFill="1" applyBorder="1" applyAlignment="1">
      <alignment horizontal="center"/>
    </xf>
    <xf numFmtId="185" fontId="10" fillId="0" borderId="8" xfId="2" applyNumberFormat="1" applyFont="1" applyFill="1" applyBorder="1" applyAlignment="1">
      <alignment horizontal="center"/>
    </xf>
    <xf numFmtId="0" fontId="10" fillId="0" borderId="9" xfId="2" applyFont="1" applyFill="1" applyBorder="1"/>
    <xf numFmtId="0" fontId="10" fillId="0" borderId="11" xfId="2" applyFont="1" applyFill="1" applyBorder="1"/>
    <xf numFmtId="0" fontId="6" fillId="0" borderId="23" xfId="2" applyFont="1" applyBorder="1"/>
    <xf numFmtId="0" fontId="6" fillId="0" borderId="0" xfId="2" applyFont="1" applyAlignment="1"/>
    <xf numFmtId="0" fontId="6" fillId="0" borderId="0" xfId="2" applyFont="1" applyFill="1" applyAlignment="1" applyProtection="1">
      <alignment horizontal="left" indent="1"/>
    </xf>
    <xf numFmtId="0" fontId="6" fillId="0" borderId="0" xfId="2" applyFont="1" applyAlignment="1">
      <alignment horizontal="left" indent="2"/>
    </xf>
    <xf numFmtId="181" fontId="6" fillId="0" borderId="0" xfId="65" applyNumberFormat="1" applyFont="1"/>
    <xf numFmtId="181" fontId="70" fillId="0" borderId="0" xfId="22" applyNumberFormat="1" applyFont="1" applyFill="1"/>
    <xf numFmtId="4" fontId="70" fillId="0" borderId="0" xfId="0" applyNumberFormat="1" applyFont="1" applyFill="1"/>
    <xf numFmtId="0" fontId="6" fillId="0" borderId="1" xfId="2" applyBorder="1" applyAlignment="1">
      <alignment horizontal="center"/>
    </xf>
    <xf numFmtId="0" fontId="6" fillId="0" borderId="16" xfId="2" applyBorder="1" applyAlignment="1">
      <alignment horizontal="center"/>
    </xf>
    <xf numFmtId="0" fontId="6" fillId="0" borderId="15" xfId="2" applyBorder="1" applyAlignment="1">
      <alignment horizontal="center"/>
    </xf>
    <xf numFmtId="0" fontId="85" fillId="0" borderId="10" xfId="0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22" applyNumberFormat="1" applyFont="1" applyAlignment="1">
      <alignment horizontal="center"/>
    </xf>
    <xf numFmtId="181" fontId="0" fillId="0" borderId="0" xfId="22" applyNumberFormat="1" applyFont="1"/>
    <xf numFmtId="181" fontId="0" fillId="0" borderId="10" xfId="22" applyNumberFormat="1" applyFont="1" applyBorder="1"/>
    <xf numFmtId="181" fontId="0" fillId="0" borderId="0" xfId="22" applyNumberFormat="1" applyFont="1" applyAlignment="1">
      <alignment horizontal="center" wrapText="1"/>
    </xf>
    <xf numFmtId="181" fontId="0" fillId="0" borderId="0" xfId="0" applyNumberFormat="1"/>
    <xf numFmtId="181" fontId="0" fillId="0" borderId="10" xfId="0" applyNumberFormat="1" applyBorder="1"/>
    <xf numFmtId="181" fontId="0" fillId="0" borderId="0" xfId="0" applyNumberFormat="1" applyBorder="1"/>
    <xf numFmtId="181" fontId="6" fillId="0" borderId="0" xfId="22" applyNumberFormat="1" applyFont="1" applyAlignment="1">
      <alignment horizontal="center" wrapText="1"/>
    </xf>
    <xf numFmtId="181" fontId="6" fillId="0" borderId="10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9" fontId="0" fillId="0" borderId="0" xfId="3" applyFont="1" applyBorder="1"/>
    <xf numFmtId="10" fontId="0" fillId="0" borderId="0" xfId="3" applyNumberFormat="1" applyFont="1" applyBorder="1" applyAlignment="1">
      <alignment horizontal="center"/>
    </xf>
    <xf numFmtId="0" fontId="0" fillId="0" borderId="0" xfId="3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181" fontId="85" fillId="0" borderId="0" xfId="22" applyNumberFormat="1" applyFont="1" applyBorder="1"/>
    <xf numFmtId="181" fontId="86" fillId="0" borderId="0" xfId="22" applyNumberFormat="1" applyFont="1" applyBorder="1"/>
    <xf numFmtId="0" fontId="6" fillId="0" borderId="0" xfId="0" applyFont="1" applyAlignment="1">
      <alignment horizontal="left"/>
    </xf>
    <xf numFmtId="0" fontId="91" fillId="0" borderId="0" xfId="0" applyFont="1"/>
    <xf numFmtId="42" fontId="6" fillId="0" borderId="0" xfId="0" applyNumberFormat="1" applyFont="1"/>
    <xf numFmtId="190" fontId="0" fillId="0" borderId="0" xfId="0" applyNumberFormat="1"/>
    <xf numFmtId="191" fontId="29" fillId="0" borderId="10" xfId="0" applyNumberFormat="1" applyFont="1" applyBorder="1"/>
    <xf numFmtId="191" fontId="6" fillId="0" borderId="10" xfId="0" applyNumberFormat="1" applyFont="1" applyBorder="1"/>
    <xf numFmtId="191" fontId="6" fillId="0" borderId="0" xfId="0" applyNumberFormat="1" applyFont="1" applyBorder="1"/>
    <xf numFmtId="190" fontId="92" fillId="43" borderId="0" xfId="0" applyNumberFormat="1" applyFont="1" applyFill="1"/>
    <xf numFmtId="190" fontId="7" fillId="0" borderId="0" xfId="0" applyNumberFormat="1" applyFont="1"/>
    <xf numFmtId="0" fontId="85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135" applyFont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0" xfId="135" applyFont="1" applyAlignment="1">
      <alignment horizontal="center"/>
    </xf>
    <xf numFmtId="0" fontId="88" fillId="0" borderId="0" xfId="135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2" applyAlignment="1">
      <alignment horizontal="center" wrapText="1"/>
    </xf>
  </cellXfs>
  <cellStyles count="137">
    <cellStyle name="20% - Accent1" xfId="40" builtinId="30" customBuiltin="1"/>
    <cellStyle name="20% - Accent1 2" xfId="67" xr:uid="{00000000-0005-0000-0000-000001000000}"/>
    <cellStyle name="20% - Accent1 2 2" xfId="85" xr:uid="{00000000-0005-0000-0000-000002000000}"/>
    <cellStyle name="20% - Accent1 2 3" xfId="115" xr:uid="{00000000-0005-0000-0000-000003000000}"/>
    <cellStyle name="20% - Accent1 3" xfId="97" xr:uid="{00000000-0005-0000-0000-000004000000}"/>
    <cellStyle name="20% - Accent2" xfId="44" builtinId="34" customBuiltin="1"/>
    <cellStyle name="20% - Accent2 2" xfId="69" xr:uid="{00000000-0005-0000-0000-000006000000}"/>
    <cellStyle name="20% - Accent2 2 2" xfId="87" xr:uid="{00000000-0005-0000-0000-000007000000}"/>
    <cellStyle name="20% - Accent2 2 3" xfId="117" xr:uid="{00000000-0005-0000-0000-000008000000}"/>
    <cellStyle name="20% - Accent2 3" xfId="99" xr:uid="{00000000-0005-0000-0000-000009000000}"/>
    <cellStyle name="20% - Accent3" xfId="48" builtinId="38" customBuiltin="1"/>
    <cellStyle name="20% - Accent3 2" xfId="71" xr:uid="{00000000-0005-0000-0000-00000B000000}"/>
    <cellStyle name="20% - Accent3 2 2" xfId="89" xr:uid="{00000000-0005-0000-0000-00000C000000}"/>
    <cellStyle name="20% - Accent3 2 3" xfId="119" xr:uid="{00000000-0005-0000-0000-00000D000000}"/>
    <cellStyle name="20% - Accent3 3" xfId="101" xr:uid="{00000000-0005-0000-0000-00000E000000}"/>
    <cellStyle name="20% - Accent4" xfId="52" builtinId="42" customBuiltin="1"/>
    <cellStyle name="20% - Accent4 2" xfId="73" xr:uid="{00000000-0005-0000-0000-000010000000}"/>
    <cellStyle name="20% - Accent4 2 2" xfId="91" xr:uid="{00000000-0005-0000-0000-000011000000}"/>
    <cellStyle name="20% - Accent4 2 3" xfId="121" xr:uid="{00000000-0005-0000-0000-000012000000}"/>
    <cellStyle name="20% - Accent4 3" xfId="103" xr:uid="{00000000-0005-0000-0000-000013000000}"/>
    <cellStyle name="20% - Accent5" xfId="56" builtinId="46" customBuiltin="1"/>
    <cellStyle name="20% - Accent5 2" xfId="75" xr:uid="{00000000-0005-0000-0000-000015000000}"/>
    <cellStyle name="20% - Accent5 2 2" xfId="93" xr:uid="{00000000-0005-0000-0000-000016000000}"/>
    <cellStyle name="20% - Accent5 2 3" xfId="123" xr:uid="{00000000-0005-0000-0000-000017000000}"/>
    <cellStyle name="20% - Accent5 3" xfId="105" xr:uid="{00000000-0005-0000-0000-000018000000}"/>
    <cellStyle name="20% - Accent6" xfId="60" builtinId="50" customBuiltin="1"/>
    <cellStyle name="20% - Accent6 2" xfId="77" xr:uid="{00000000-0005-0000-0000-00001A000000}"/>
    <cellStyle name="20% - Accent6 2 2" xfId="95" xr:uid="{00000000-0005-0000-0000-00001B000000}"/>
    <cellStyle name="20% - Accent6 2 3" xfId="125" xr:uid="{00000000-0005-0000-0000-00001C000000}"/>
    <cellStyle name="20% - Accent6 3" xfId="107" xr:uid="{00000000-0005-0000-0000-00001D000000}"/>
    <cellStyle name="40% - Accent1" xfId="41" builtinId="31" customBuiltin="1"/>
    <cellStyle name="40% - Accent1 2" xfId="68" xr:uid="{00000000-0005-0000-0000-00001F000000}"/>
    <cellStyle name="40% - Accent1 2 2" xfId="86" xr:uid="{00000000-0005-0000-0000-000020000000}"/>
    <cellStyle name="40% - Accent1 2 3" xfId="116" xr:uid="{00000000-0005-0000-0000-000021000000}"/>
    <cellStyle name="40% - Accent1 3" xfId="98" xr:uid="{00000000-0005-0000-0000-000022000000}"/>
    <cellStyle name="40% - Accent2" xfId="45" builtinId="35" customBuiltin="1"/>
    <cellStyle name="40% - Accent2 2" xfId="70" xr:uid="{00000000-0005-0000-0000-000024000000}"/>
    <cellStyle name="40% - Accent2 2 2" xfId="88" xr:uid="{00000000-0005-0000-0000-000025000000}"/>
    <cellStyle name="40% - Accent2 2 3" xfId="118" xr:uid="{00000000-0005-0000-0000-000026000000}"/>
    <cellStyle name="40% - Accent2 3" xfId="100" xr:uid="{00000000-0005-0000-0000-000027000000}"/>
    <cellStyle name="40% - Accent3" xfId="49" builtinId="39" customBuiltin="1"/>
    <cellStyle name="40% - Accent3 2" xfId="72" xr:uid="{00000000-0005-0000-0000-000029000000}"/>
    <cellStyle name="40% - Accent3 2 2" xfId="90" xr:uid="{00000000-0005-0000-0000-00002A000000}"/>
    <cellStyle name="40% - Accent3 2 3" xfId="120" xr:uid="{00000000-0005-0000-0000-00002B000000}"/>
    <cellStyle name="40% - Accent3 3" xfId="102" xr:uid="{00000000-0005-0000-0000-00002C000000}"/>
    <cellStyle name="40% - Accent4" xfId="53" builtinId="43" customBuiltin="1"/>
    <cellStyle name="40% - Accent4 2" xfId="74" xr:uid="{00000000-0005-0000-0000-00002E000000}"/>
    <cellStyle name="40% - Accent4 2 2" xfId="92" xr:uid="{00000000-0005-0000-0000-00002F000000}"/>
    <cellStyle name="40% - Accent4 2 3" xfId="122" xr:uid="{00000000-0005-0000-0000-000030000000}"/>
    <cellStyle name="40% - Accent4 3" xfId="104" xr:uid="{00000000-0005-0000-0000-000031000000}"/>
    <cellStyle name="40% - Accent5" xfId="57" builtinId="47" customBuiltin="1"/>
    <cellStyle name="40% - Accent5 2" xfId="76" xr:uid="{00000000-0005-0000-0000-000033000000}"/>
    <cellStyle name="40% - Accent5 2 2" xfId="94" xr:uid="{00000000-0005-0000-0000-000034000000}"/>
    <cellStyle name="40% - Accent5 2 3" xfId="124" xr:uid="{00000000-0005-0000-0000-000035000000}"/>
    <cellStyle name="40% - Accent5 3" xfId="106" xr:uid="{00000000-0005-0000-0000-000036000000}"/>
    <cellStyle name="40% - Accent6" xfId="61" builtinId="51" customBuiltin="1"/>
    <cellStyle name="40% - Accent6 2" xfId="78" xr:uid="{00000000-0005-0000-0000-000038000000}"/>
    <cellStyle name="40% - Accent6 2 2" xfId="96" xr:uid="{00000000-0005-0000-0000-000039000000}"/>
    <cellStyle name="40% - Accent6 2 3" xfId="126" xr:uid="{00000000-0005-0000-0000-00003A000000}"/>
    <cellStyle name="40% - Accent6 3" xfId="108" xr:uid="{00000000-0005-0000-0000-00003B000000}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9" builtinId="27" customBuiltin="1"/>
    <cellStyle name="Calculation" xfId="33" builtinId="22" customBuiltin="1"/>
    <cellStyle name="Check Cell" xfId="35" builtinId="23" customBuiltin="1"/>
    <cellStyle name="Comma" xfId="22" builtinId="3"/>
    <cellStyle name="Comma 2" xfId="6" xr:uid="{00000000-0005-0000-0000-00004C000000}"/>
    <cellStyle name="Comma 209" xfId="132" xr:uid="{BBB99FCE-22E6-410D-9D0B-CBAF47310DB0}"/>
    <cellStyle name="Comma 3" xfId="11" xr:uid="{00000000-0005-0000-0000-00004D000000}"/>
    <cellStyle name="Comma 4" xfId="14" xr:uid="{00000000-0005-0000-0000-00004E000000}"/>
    <cellStyle name="Comma 5" xfId="65" xr:uid="{00000000-0005-0000-0000-00004F000000}"/>
    <cellStyle name="Comma 5 2" xfId="81" xr:uid="{00000000-0005-0000-0000-000050000000}"/>
    <cellStyle name="Comma 5 2 2" xfId="129" xr:uid="{00000000-0005-0000-0000-000051000000}"/>
    <cellStyle name="Comma 5 3" xfId="111" xr:uid="{00000000-0005-0000-0000-000052000000}"/>
    <cellStyle name="Comma0" xfId="16" xr:uid="{00000000-0005-0000-0000-000053000000}"/>
    <cellStyle name="Currency" xfId="21" builtinId="4"/>
    <cellStyle name="Currency 2" xfId="10" xr:uid="{00000000-0005-0000-0000-000055000000}"/>
    <cellStyle name="Currency 2 2" xfId="136" xr:uid="{13B64062-68EF-41DA-B284-CB8F155101E4}"/>
    <cellStyle name="Currency 3" xfId="13" xr:uid="{00000000-0005-0000-0000-000056000000}"/>
    <cellStyle name="Currency 4" xfId="114" xr:uid="{00000000-0005-0000-0000-000057000000}"/>
    <cellStyle name="Currency 4 2" xfId="84" xr:uid="{00000000-0005-0000-0000-000058000000}"/>
    <cellStyle name="Currency0" xfId="17" xr:uid="{00000000-0005-0000-0000-000059000000}"/>
    <cellStyle name="Date" xfId="18" xr:uid="{00000000-0005-0000-0000-00005A000000}"/>
    <cellStyle name="Explanatory Text" xfId="37" builtinId="53" customBuiltin="1"/>
    <cellStyle name="Fixed" xfId="19" xr:uid="{00000000-0005-0000-0000-00005C000000}"/>
    <cellStyle name="Good" xfId="28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Hyperlink" xfId="1" builtinId="8"/>
    <cellStyle name="Input" xfId="31" builtinId="20" customBuiltin="1"/>
    <cellStyle name="Input Cells_EXTERNAL" xfId="20" xr:uid="{00000000-0005-0000-0000-000064000000}"/>
    <cellStyle name="Linked Cell" xfId="34" builtinId="24" customBuiltin="1"/>
    <cellStyle name="Neutral" xfId="30" builtinId="28" customBuiltin="1"/>
    <cellStyle name="Normal" xfId="0" builtinId="0"/>
    <cellStyle name="Normal 2" xfId="2" xr:uid="{00000000-0005-0000-0000-000068000000}"/>
    <cellStyle name="Normal 2 2" xfId="8" xr:uid="{00000000-0005-0000-0000-000069000000}"/>
    <cellStyle name="Normal 2 2 2" xfId="135" xr:uid="{461DB5B8-9494-4255-BE00-8F9F85843307}"/>
    <cellStyle name="Normal 2 28" xfId="131" xr:uid="{7096942C-3B0D-4228-ABF3-180EFDB0BC41}"/>
    <cellStyle name="Normal 3" xfId="4" xr:uid="{00000000-0005-0000-0000-00006A000000}"/>
    <cellStyle name="Normal 4" xfId="12" xr:uid="{00000000-0005-0000-0000-00006B000000}"/>
    <cellStyle name="Normal 4 39" xfId="134" xr:uid="{DBF67E5A-F7C9-4A6E-BF83-0CA390F1A015}"/>
    <cellStyle name="Normal 5" xfId="63" xr:uid="{00000000-0005-0000-0000-00006C000000}"/>
    <cellStyle name="Normal 5 2" xfId="79" xr:uid="{00000000-0005-0000-0000-00006D000000}"/>
    <cellStyle name="Normal 5 2 2" xfId="127" xr:uid="{00000000-0005-0000-0000-00006E000000}"/>
    <cellStyle name="Normal 5 3" xfId="109" xr:uid="{00000000-0005-0000-0000-00006F000000}"/>
    <cellStyle name="Normal 6" xfId="113" xr:uid="{00000000-0005-0000-0000-000070000000}"/>
    <cellStyle name="Normal 6 2" xfId="83" xr:uid="{00000000-0005-0000-0000-000071000000}"/>
    <cellStyle name="Note 2" xfId="64" xr:uid="{00000000-0005-0000-0000-000074000000}"/>
    <cellStyle name="Note 2 2" xfId="80" xr:uid="{00000000-0005-0000-0000-000075000000}"/>
    <cellStyle name="Note 2 2 2" xfId="128" xr:uid="{00000000-0005-0000-0000-000076000000}"/>
    <cellStyle name="Note 2 3" xfId="110" xr:uid="{00000000-0005-0000-0000-000077000000}"/>
    <cellStyle name="Output" xfId="32" builtinId="21" customBuiltin="1"/>
    <cellStyle name="Percent" xfId="3" builtinId="5"/>
    <cellStyle name="Percent 183" xfId="133" xr:uid="{85776ED1-1681-4B5C-81D5-9F522915F654}"/>
    <cellStyle name="Percent 2" xfId="5" xr:uid="{00000000-0005-0000-0000-00007A000000}"/>
    <cellStyle name="Percent 2 2" xfId="9" xr:uid="{00000000-0005-0000-0000-00007B000000}"/>
    <cellStyle name="Percent 3" xfId="7" xr:uid="{00000000-0005-0000-0000-00007C000000}"/>
    <cellStyle name="Percent 4" xfId="15" xr:uid="{00000000-0005-0000-0000-00007D000000}"/>
    <cellStyle name="Percent 5" xfId="66" xr:uid="{00000000-0005-0000-0000-00007E000000}"/>
    <cellStyle name="Percent 5 2" xfId="82" xr:uid="{00000000-0005-0000-0000-00007F000000}"/>
    <cellStyle name="Percent 5 2 2" xfId="130" xr:uid="{00000000-0005-0000-0000-000080000000}"/>
    <cellStyle name="Percent 5 3" xfId="112" xr:uid="{00000000-0005-0000-0000-000081000000}"/>
    <cellStyle name="Title" xfId="23" builtinId="15" customBuiltin="1"/>
    <cellStyle name="Total" xfId="38" builtinId="25" customBuiltin="1"/>
    <cellStyle name="Warning Text" xfId="36" builtinId="11" customBuiltin="1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numFmt numFmtId="0" formatCode="General"/>
    </dxf>
    <dxf>
      <numFmt numFmtId="14" formatCode="0.00%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FF"/>
      <color rgb="FFFF00FF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3</xdr:col>
      <xdr:colOff>276225</xdr:colOff>
      <xdr:row>2</xdr:row>
      <xdr:rowOff>123825</xdr:rowOff>
    </xdr:to>
    <xdr:sp macro="" textlink="">
      <xdr:nvSpPr>
        <xdr:cNvPr id="1508" name="Text Box 484">
          <a:extLst>
            <a:ext uri="{FF2B5EF4-FFF2-40B4-BE49-F238E27FC236}">
              <a16:creationId xmlns:a16="http://schemas.microsoft.com/office/drawing/2014/main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285750" y="219075"/>
          <a:ext cx="111442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AVISTA UTILITIES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6</xdr:row>
          <xdr:rowOff>53340</xdr:rowOff>
        </xdr:from>
        <xdr:to>
          <xdr:col>1</xdr:col>
          <xdr:colOff>525780</xdr:colOff>
          <xdr:row>7</xdr:row>
          <xdr:rowOff>137160</xdr:rowOff>
        </xdr:to>
        <xdr:sp macro="" textlink="">
          <xdr:nvSpPr>
            <xdr:cNvPr id="1505" name="Button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6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15240</xdr:colOff>
          <xdr:row>6</xdr:row>
          <xdr:rowOff>53340</xdr:rowOff>
        </xdr:from>
        <xdr:to>
          <xdr:col>36</xdr:col>
          <xdr:colOff>525780</xdr:colOff>
          <xdr:row>7</xdr:row>
          <xdr:rowOff>137160</xdr:rowOff>
        </xdr:to>
        <xdr:sp macro="" textlink="">
          <xdr:nvSpPr>
            <xdr:cNvPr id="1507" name="Button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6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</xdr:colOff>
          <xdr:row>166</xdr:row>
          <xdr:rowOff>53340</xdr:rowOff>
        </xdr:from>
        <xdr:to>
          <xdr:col>1</xdr:col>
          <xdr:colOff>525780</xdr:colOff>
          <xdr:row>167</xdr:row>
          <xdr:rowOff>137160</xdr:rowOff>
        </xdr:to>
        <xdr:sp macro="" textlink="">
          <xdr:nvSpPr>
            <xdr:cNvPr id="1509" name="Button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6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15240</xdr:colOff>
          <xdr:row>166</xdr:row>
          <xdr:rowOff>53340</xdr:rowOff>
        </xdr:from>
        <xdr:to>
          <xdr:col>36</xdr:col>
          <xdr:colOff>525780</xdr:colOff>
          <xdr:row>167</xdr:row>
          <xdr:rowOff>137160</xdr:rowOff>
        </xdr:to>
        <xdr:sp macro="" textlink="">
          <xdr:nvSpPr>
            <xdr:cNvPr id="1520" name="Button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6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15240</xdr:colOff>
          <xdr:row>166</xdr:row>
          <xdr:rowOff>53340</xdr:rowOff>
        </xdr:from>
        <xdr:to>
          <xdr:col>68</xdr:col>
          <xdr:colOff>525780</xdr:colOff>
          <xdr:row>167</xdr:row>
          <xdr:rowOff>137160</xdr:rowOff>
        </xdr:to>
        <xdr:sp macro="" textlink="">
          <xdr:nvSpPr>
            <xdr:cNvPr id="1521" name="Button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6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1695450</xdr:colOff>
      <xdr:row>2</xdr:row>
      <xdr:rowOff>104775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700-000001100000}"/>
            </a:ext>
          </a:extLst>
        </xdr:cNvPr>
        <xdr:cNvSpPr txBox="1">
          <a:spLocks noChangeArrowheads="1"/>
        </xdr:cNvSpPr>
      </xdr:nvSpPr>
      <xdr:spPr bwMode="auto">
        <a:xfrm>
          <a:off x="352425" y="200025"/>
          <a:ext cx="165735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AVISTA UTILITIES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1851660</xdr:colOff>
          <xdr:row>4</xdr:row>
          <xdr:rowOff>38100</xdr:rowOff>
        </xdr:from>
        <xdr:to>
          <xdr:col>1</xdr:col>
          <xdr:colOff>2362200</xdr:colOff>
          <xdr:row>5</xdr:row>
          <xdr:rowOff>129540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1295400</xdr:colOff>
          <xdr:row>3</xdr:row>
          <xdr:rowOff>38100</xdr:rowOff>
        </xdr:from>
        <xdr:to>
          <xdr:col>1</xdr:col>
          <xdr:colOff>1813560</xdr:colOff>
          <xdr:row>4</xdr:row>
          <xdr:rowOff>129540</xdr:rowOff>
        </xdr:to>
        <xdr:sp macro="" textlink="">
          <xdr:nvSpPr>
            <xdr:cNvPr id="2083" name="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8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63</xdr:row>
          <xdr:rowOff>38100</xdr:rowOff>
        </xdr:from>
        <xdr:to>
          <xdr:col>1</xdr:col>
          <xdr:colOff>586740</xdr:colOff>
          <xdr:row>64</xdr:row>
          <xdr:rowOff>129540</xdr:rowOff>
        </xdr:to>
        <xdr:sp macro="" textlink="">
          <xdr:nvSpPr>
            <xdr:cNvPr id="2084" name="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8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Natural%20Gas%20Cost%20of%20Service/2019%20WA%20Natural%20Gas%20RR%20Model%20AMA%2010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Adjustments/2019%20WA%20Natural%20Gas%20RR%20Model%20AMA%2010.2021%20-%20Revised%20for%20Ta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Adjustments/2019%20WA%20Natural%20Gas%20RR%20Model%20AMA%20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ADJ DETAIL INPUT"/>
      <sheetName val="CF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 refreshError="1"/>
      <sheetData sheetId="1" refreshError="1">
        <row r="12">
          <cell r="P12">
            <v>2.4799999999999999E-2</v>
          </cell>
        </row>
        <row r="15">
          <cell r="N15">
            <v>7.4300000000000005E-2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/>
      <sheetData sheetId="2"/>
      <sheetData sheetId="3">
        <row r="24">
          <cell r="AU24">
            <v>996</v>
          </cell>
        </row>
        <row r="27">
          <cell r="AU27">
            <v>1883</v>
          </cell>
        </row>
        <row r="28">
          <cell r="AU28">
            <v>349.37821571551359</v>
          </cell>
        </row>
        <row r="29">
          <cell r="AU29">
            <v>292</v>
          </cell>
        </row>
        <row r="33">
          <cell r="AU33">
            <v>13249</v>
          </cell>
        </row>
        <row r="34">
          <cell r="AU34">
            <v>13670.183129663727</v>
          </cell>
        </row>
        <row r="35">
          <cell r="AU35">
            <v>7805</v>
          </cell>
        </row>
        <row r="38">
          <cell r="AU38">
            <v>6797</v>
          </cell>
        </row>
        <row r="39">
          <cell r="AU39">
            <v>1205</v>
          </cell>
        </row>
        <row r="40">
          <cell r="AU40">
            <v>0</v>
          </cell>
        </row>
        <row r="43">
          <cell r="AU43">
            <v>17365</v>
          </cell>
        </row>
        <row r="44">
          <cell r="AU44">
            <v>12225</v>
          </cell>
        </row>
        <row r="45">
          <cell r="AU45">
            <v>3818</v>
          </cell>
        </row>
        <row r="46">
          <cell r="AU46">
            <v>0</v>
          </cell>
        </row>
        <row r="48">
          <cell r="AU48">
            <v>79654.561345379247</v>
          </cell>
        </row>
        <row r="53">
          <cell r="AU53">
            <v>-4521.2178825296387</v>
          </cell>
        </row>
        <row r="54">
          <cell r="AU54">
            <v>-220.15596628216448</v>
          </cell>
        </row>
        <row r="55">
          <cell r="AU55">
            <v>7246</v>
          </cell>
        </row>
        <row r="56">
          <cell r="AU56">
            <v>-12</v>
          </cell>
        </row>
        <row r="62">
          <cell r="AU62">
            <v>31756.673382965633</v>
          </cell>
        </row>
        <row r="63">
          <cell r="AU63">
            <v>539767.96958838776</v>
          </cell>
        </row>
        <row r="64">
          <cell r="AU64">
            <v>158510</v>
          </cell>
        </row>
        <row r="65">
          <cell r="AU65">
            <v>730034.64297135337</v>
          </cell>
        </row>
        <row r="68">
          <cell r="AU68">
            <v>-11738.503597459958</v>
          </cell>
        </row>
        <row r="69">
          <cell r="AU69">
            <v>-149330.4883980554</v>
          </cell>
        </row>
        <row r="70">
          <cell r="AU70">
            <v>-41111</v>
          </cell>
        </row>
        <row r="71">
          <cell r="AU71">
            <v>-202179.99199551536</v>
          </cell>
        </row>
        <row r="72">
          <cell r="AU72">
            <v>527854.65097583807</v>
          </cell>
        </row>
        <row r="73">
          <cell r="AU73">
            <v>-111424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/>
      <sheetData sheetId="2"/>
      <sheetData sheetId="3">
        <row r="14">
          <cell r="AU14">
            <v>99831</v>
          </cell>
        </row>
        <row r="15">
          <cell r="AU15">
            <v>5342</v>
          </cell>
        </row>
        <row r="16">
          <cell r="AU16">
            <v>614</v>
          </cell>
        </row>
        <row r="17">
          <cell r="AU17">
            <v>105787</v>
          </cell>
        </row>
        <row r="58">
          <cell r="E58">
            <v>24474</v>
          </cell>
          <cell r="F58">
            <v>-5.1767519999999996</v>
          </cell>
          <cell r="G58">
            <v>-11.855208000000001</v>
          </cell>
          <cell r="H58">
            <v>-5.9579519999999997</v>
          </cell>
          <cell r="I58">
            <v>-95.842823999999993</v>
          </cell>
          <cell r="J58">
            <v>-9.48</v>
          </cell>
          <cell r="K58">
            <v>-188.81</v>
          </cell>
          <cell r="L58">
            <v>-131.13999999999999</v>
          </cell>
          <cell r="M58">
            <v>45.82</v>
          </cell>
          <cell r="N58">
            <v>7.11</v>
          </cell>
          <cell r="O58">
            <v>-53</v>
          </cell>
          <cell r="P58">
            <v>12.64</v>
          </cell>
          <cell r="Q58">
            <v>-0.79</v>
          </cell>
          <cell r="R58">
            <v>8.69</v>
          </cell>
          <cell r="S58">
            <v>-4.74</v>
          </cell>
          <cell r="T58">
            <v>-3.999999999996362E-2</v>
          </cell>
          <cell r="U58">
            <v>-34.76</v>
          </cell>
          <cell r="V58">
            <v>-173.01</v>
          </cell>
          <cell r="W58">
            <v>-222</v>
          </cell>
          <cell r="X58">
            <v>273.28056518919055</v>
          </cell>
          <cell r="AA58">
            <v>8186.77</v>
          </cell>
          <cell r="AB58">
            <v>181.7</v>
          </cell>
          <cell r="AC58">
            <v>-41</v>
          </cell>
          <cell r="AD58">
            <v>-771.83</v>
          </cell>
          <cell r="AE58">
            <v>76.63</v>
          </cell>
          <cell r="AF58">
            <v>-269.39</v>
          </cell>
          <cell r="AG58">
            <v>-852.41</v>
          </cell>
          <cell r="AH58">
            <v>-492.96000000000004</v>
          </cell>
          <cell r="AI58">
            <v>-365.77</v>
          </cell>
          <cell r="AJ58">
            <v>-688.88</v>
          </cell>
          <cell r="AK58">
            <v>-440.60701599999999</v>
          </cell>
          <cell r="AL58">
            <v>-109.84345845262962</v>
          </cell>
          <cell r="AM58">
            <v>-143.41002744296398</v>
          </cell>
          <cell r="AN58">
            <v>-149.81764786103145</v>
          </cell>
          <cell r="AO58">
            <v>-489.43113600000004</v>
          </cell>
          <cell r="AP58">
            <v>-2550.4501439999999</v>
          </cell>
          <cell r="AQ58">
            <v>-1245.1184720000001</v>
          </cell>
          <cell r="AR58">
            <v>-79.307423999999997</v>
          </cell>
          <cell r="AU58">
            <v>23639.812503432557</v>
          </cell>
        </row>
        <row r="75">
          <cell r="AU75">
            <v>10411</v>
          </cell>
        </row>
        <row r="77">
          <cell r="AU77">
            <v>19014</v>
          </cell>
        </row>
        <row r="78">
          <cell r="AU78">
            <v>2350</v>
          </cell>
        </row>
        <row r="81">
          <cell r="E81">
            <v>405933</v>
          </cell>
          <cell r="F81">
            <v>-994</v>
          </cell>
          <cell r="G81">
            <v>-1</v>
          </cell>
          <cell r="H81">
            <v>-1144</v>
          </cell>
          <cell r="I81">
            <v>-18403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12730.523269813853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2923</v>
          </cell>
          <cell r="AL81">
            <v>7190.9119529181771</v>
          </cell>
          <cell r="AM81">
            <v>7194.2062362378601</v>
          </cell>
          <cell r="AN81">
            <v>13123.009516868151</v>
          </cell>
          <cell r="AO81">
            <v>3408</v>
          </cell>
          <cell r="AP81">
            <v>35432</v>
          </cell>
          <cell r="AQ81">
            <v>-3959</v>
          </cell>
          <cell r="AR81">
            <v>-15228</v>
          </cell>
          <cell r="AU81">
            <v>448205.65097583807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4CDA84-6E42-4923-BB50-F0177A282715}" name="Table1" displayName="Table1" ref="B1:J18" totalsRowShown="0">
  <tableColumns count="9">
    <tableColumn id="1" xr3:uid="{C04ABE64-662A-4F89-B755-609B7129A7AD}" name="Costs"/>
    <tableColumn id="7" xr3:uid="{BE031DC4-20D6-4512-ADF2-5CCDD3AC340B}" name="Description" dataDxfId="19">
      <calculatedColumnFormula>Factors!B22</calculatedColumnFormula>
    </tableColumn>
    <tableColumn id="11" xr3:uid="{F1B2C35F-6DA7-49DD-B137-2CEC27F6FBC8}" name="Acronym" dataDxfId="18">
      <calculatedColumnFormula>Factors!C22</calculatedColumnFormula>
    </tableColumn>
    <tableColumn id="2" xr3:uid="{B837B727-F571-41DB-BAA7-EE6E67E4D61B}" name="Schedule 101" dataDxfId="17">
      <calculatedColumnFormula>Factors!E22</calculatedColumnFormula>
    </tableColumn>
    <tableColumn id="3" xr3:uid="{B58627A7-A241-4789-8AD6-6D700FCC4FAE}" name="Schedule 111"/>
    <tableColumn id="4" xr3:uid="{59D1D7B9-EE3F-4827-97F2-BED5B3A86913}" name="Schedule 121"/>
    <tableColumn id="5" xr3:uid="{04FAF7FE-839F-4D23-A70F-988084B1C273}" name="Schedule 131"/>
    <tableColumn id="6" xr3:uid="{DF36C5C3-2F1C-470E-926F-EB6A4D89D209}" name="Schedule 146"/>
    <tableColumn id="12" xr3:uid="{16DEDD25-C3D1-4EC6-B3E1-FE87EA13C668}" name="TOTAL" dataDxfId="16">
      <calculatedColumnFormula>SUM(Table1[[#This Row],[Schedule 101]:[Schedule 146]])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0B1C-B645-49C8-83E5-39E292EAA387}">
  <sheetPr codeName="Sheet7"/>
  <dimension ref="A1:AV259"/>
  <sheetViews>
    <sheetView view="pageBreakPreview" topLeftCell="AI163" zoomScale="60" zoomScaleNormal="100" workbookViewId="0">
      <selection activeCell="AS185" sqref="AS185"/>
    </sheetView>
  </sheetViews>
  <sheetFormatPr defaultColWidth="8.77734375" defaultRowHeight="15.6"/>
  <cols>
    <col min="1" max="1" width="6.6640625" style="641" customWidth="1"/>
    <col min="2" max="2" width="13.88671875" style="601" customWidth="1"/>
    <col min="3" max="3" width="34.21875" style="601" customWidth="1"/>
    <col min="4" max="4" width="21" style="601" customWidth="1"/>
    <col min="5" max="5" width="20.21875" style="617" customWidth="1"/>
    <col min="6" max="6" width="16.44140625" style="601" customWidth="1"/>
    <col min="7" max="8" width="18.21875" style="601" customWidth="1"/>
    <col min="9" max="9" width="19.5546875" style="601" customWidth="1"/>
    <col min="10" max="11" width="18.21875" style="601" customWidth="1"/>
    <col min="12" max="12" width="20.21875" style="601" customWidth="1"/>
    <col min="13" max="13" width="19.21875" style="601" customWidth="1"/>
    <col min="14" max="24" width="18.21875" style="601" customWidth="1"/>
    <col min="25" max="25" width="18.109375" style="601" customWidth="1"/>
    <col min="26" max="26" width="14.5546875" style="601" customWidth="1"/>
    <col min="27" max="43" width="18.77734375" style="601" customWidth="1"/>
    <col min="44" max="44" width="21.21875" style="601" bestFit="1" customWidth="1"/>
    <col min="45" max="45" width="18.109375" style="601" customWidth="1"/>
    <col min="46" max="46" width="20.21875" style="601" customWidth="1"/>
    <col min="47" max="47" width="17" style="601" customWidth="1"/>
    <col min="48" max="48" width="20.33203125" style="601" customWidth="1"/>
    <col min="49" max="16384" width="8.77734375" style="601"/>
  </cols>
  <sheetData>
    <row r="1" spans="1:48" ht="16.2" thickBot="1">
      <c r="A1" s="702" t="s">
        <v>468</v>
      </c>
      <c r="B1" s="702" t="s">
        <v>1295</v>
      </c>
      <c r="C1" s="611"/>
      <c r="E1" s="615" t="s">
        <v>157</v>
      </c>
      <c r="Y1" s="639" t="s">
        <v>155</v>
      </c>
      <c r="AR1" s="639" t="s">
        <v>1344</v>
      </c>
      <c r="AS1" s="639" t="s">
        <v>1345</v>
      </c>
      <c r="AT1" s="639" t="s">
        <v>1346</v>
      </c>
      <c r="AU1" s="639" t="s">
        <v>1347</v>
      </c>
      <c r="AV1" s="639" t="s">
        <v>1348</v>
      </c>
    </row>
    <row r="2" spans="1:48" s="602" customFormat="1" ht="58.5" customHeight="1" thickBot="1">
      <c r="A2" s="701" t="s">
        <v>1241</v>
      </c>
      <c r="B2" s="623"/>
      <c r="C2" s="616"/>
      <c r="D2" s="613" t="s">
        <v>1256</v>
      </c>
      <c r="E2" s="618" t="s">
        <v>1239</v>
      </c>
      <c r="F2" s="614" t="str">
        <f>CONCATENATE(PROFORMA!G6,PROFORMA!G7)</f>
        <v>Deferred FITRate Base</v>
      </c>
      <c r="G2" s="614" t="str">
        <f>CONCATENATE(PROFORMA!H6,PROFORMA!H7)</f>
        <v>Deferred Debitsand Credits</v>
      </c>
      <c r="H2" s="614" t="str">
        <f>CONCATENATE(PROFORMA!I6,PROFORMA!I7)</f>
        <v>Working Capital</v>
      </c>
      <c r="I2" s="614" t="str">
        <f>CONCATENATE(PROFORMA!J6,PROFORMA!J7)</f>
        <v>RemoveAMI Rate Base</v>
      </c>
      <c r="J2" s="614" t="str">
        <f>CONCATENATE(PROFORMA!K6,PROFORMA!K7)</f>
        <v>EliminateB &amp; O Taxes</v>
      </c>
      <c r="K2" s="614" t="str">
        <f>CONCATENATE(PROFORMA!L6,PROFORMA!L7)</f>
        <v>RestateProperty Taxes</v>
      </c>
      <c r="L2" s="614" t="str">
        <f>CONCATENATE(PROFORMA!M6,PROFORMA!M7)</f>
        <v>UncollectibleExpense</v>
      </c>
      <c r="M2" s="614" t="str">
        <f>CONCATENATE(PROFORMA!N6,PROFORMA!N7)</f>
        <v>RegulatoryExpense</v>
      </c>
      <c r="N2" s="614" t="str">
        <f>CONCATENATE(PROFORMA!O6,PROFORMA!O7)</f>
        <v>Injuries &amp;Damages</v>
      </c>
      <c r="O2" s="614" t="str">
        <f>CONCATENATE(PROFORMA!P6,PROFORMA!P7)</f>
        <v>FIT/DFITExpense</v>
      </c>
      <c r="P2" s="614" t="str">
        <f>CONCATENATE(PROFORMA!Q6,PROFORMA!Q7)</f>
        <v>Office SpaceCharges to Subs</v>
      </c>
      <c r="Q2" s="614" t="str">
        <f>CONCATENATE(PROFORMA!R6,PROFORMA!R7)</f>
        <v>RestateExcise Tax</v>
      </c>
      <c r="R2" s="614" t="str">
        <f>CONCATENATE(PROFORMA!S6,PROFORMA!S7)</f>
        <v>Net Gains/Losses</v>
      </c>
      <c r="S2" s="614" t="str">
        <f>CONCATENATE(PROFORMA!T6,PROFORMA!T7)</f>
        <v>Weather NormalizationGas Cost Adjust</v>
      </c>
      <c r="T2" s="614" t="str">
        <f>CONCATENATE(PROFORMA!U6,PROFORMA!U7)</f>
        <v>EliminateAdder Schedules</v>
      </c>
      <c r="U2" s="614" t="str">
        <f>CONCATENATE(PROFORMA!V6,PROFORMA!V7)</f>
        <v>Misc. RestatingAdjustments</v>
      </c>
      <c r="V2" s="614" t="str">
        <f>CONCATENATE(PROFORMA!W6,PROFORMA!W7)</f>
        <v>Restating Incentives</v>
      </c>
      <c r="W2" s="614" t="str">
        <f>CONCATENATE(PROFORMA!X6,PROFORMA!X7)</f>
        <v>Restate Debt Int</v>
      </c>
      <c r="X2" s="614" t="str">
        <f>CONCATENATE(PROFORMA!Y6,PROFORMA!Y7)</f>
        <v>Restate 2019 Rate Base</v>
      </c>
      <c r="Y2" s="619" t="s">
        <v>1325</v>
      </c>
      <c r="Z2" s="614" t="str">
        <f>CONCATENATE(PROFORMA!Z6,PROFORMA!Z7)</f>
        <v>Pro Forma RevenueNormalization</v>
      </c>
      <c r="AA2" s="614" t="str">
        <f>CONCATENATE(PROFORMA!AA6,PROFORMA!AA7)</f>
        <v>Pro Forma Def. Debits &amp; Credits</v>
      </c>
      <c r="AB2" s="614" t="str">
        <f>CONCATENATE(PROFORMA!AB6,PROFORMA!AB7)</f>
        <v>Pro FormaARAM</v>
      </c>
      <c r="AC2" s="614" t="str">
        <f>CONCATENATE(PROFORMA!AC6,PROFORMA!AC7)</f>
        <v>Pro FormaNon-Exec Labor</v>
      </c>
      <c r="AD2" s="614" t="str">
        <f>CONCATENATE(PROFORMA!AD6,PROFORMA!AD7)</f>
        <v>Pro FormaExec Labor</v>
      </c>
      <c r="AE2" s="614" t="str">
        <f>CONCATENATE(PROFORMA!AE6,PROFORMA!AE7)</f>
        <v>Pro FormaEmpl. Benefits</v>
      </c>
      <c r="AF2" s="614" t="str">
        <f>CONCATENATE(PROFORMA!AF6,PROFORMA!AF7)</f>
        <v>Pro FormaInsurance Exp</v>
      </c>
      <c r="AG2" s="614" t="str">
        <f>CONCATENATE(PROFORMA!AG6,PROFORMA!AG7)</f>
        <v>Pro FormaIS/IT</v>
      </c>
      <c r="AH2" s="614" t="str">
        <f>CONCATENATE(PROFORMA!AH6,PROFORMA!AH7)</f>
        <v>Pro FormaProperty Tax</v>
      </c>
      <c r="AI2" s="614" t="str">
        <f>CONCATENATE(PROFORMA!AI6,PROFORMA!AI7)</f>
        <v>Pro Forma Fee Free Amort</v>
      </c>
      <c r="AJ2" s="614" t="str">
        <f>CONCATENATE(PROFORMA!AJ6,PROFORMA!AJ7)</f>
        <v>Pro Forma2020 Customer AT Center</v>
      </c>
      <c r="AK2" s="614" t="str">
        <f>CONCATENATE(PROFORMA!AK6,PROFORMA!AK7)</f>
        <v>Pro Forma2020 Large &amp; Distinct</v>
      </c>
      <c r="AL2" s="614" t="str">
        <f>CONCATENATE(PROFORMA!AL6,PROFORMA!AL7)</f>
        <v>Pro Forma2020 Programmatic</v>
      </c>
      <c r="AM2" s="614" t="str">
        <f>CONCATENATE(PROFORMA!AM6,PROFORMA!AM7)</f>
        <v>Pro Forma2020 Mandatory</v>
      </c>
      <c r="AN2" s="614" t="str">
        <f>CONCATENATE(PROFORMA!AN6,PROFORMA!AN7)</f>
        <v>Pro Forma2020 Short Lived</v>
      </c>
      <c r="AO2" s="614" t="str">
        <f>CONCATENATE(PROFORMA!AO6,PROFORMA!AO7)</f>
        <v>Pro FormaAMI Capital Adds</v>
      </c>
      <c r="AP2" s="614" t="str">
        <f>CONCATENATE(PROFORMA!AP6,PROFORMA!AP7)</f>
        <v>Pro FormaLEAP Def. Amort</v>
      </c>
      <c r="AQ2" s="614" t="str">
        <f>CONCATENATE(PROFORMA!AQ6,PROFORMA!AQ7)</f>
        <v>Pro FormaTax Repairs</v>
      </c>
      <c r="AR2" s="619" t="s">
        <v>1327</v>
      </c>
      <c r="AS2" s="619" t="s">
        <v>1240</v>
      </c>
      <c r="AT2" s="619" t="s">
        <v>1330</v>
      </c>
      <c r="AU2" s="619" t="s">
        <v>1332</v>
      </c>
      <c r="AV2" s="619" t="s">
        <v>1334</v>
      </c>
    </row>
    <row r="3" spans="1:48" s="602" customFormat="1" ht="30" customHeight="1">
      <c r="A3" s="640">
        <v>1</v>
      </c>
      <c r="B3" s="623"/>
      <c r="C3" s="623"/>
      <c r="D3" s="652" t="s">
        <v>1297</v>
      </c>
      <c r="E3" s="620" t="str">
        <f>CONCATENATE(PROFORMA!F5,PROFORMA!F8)</f>
        <v>1Adj G-ROO</v>
      </c>
      <c r="F3" s="620" t="str">
        <f>CONCATENATE(PROFORMA!G5,PROFORMA!G8)</f>
        <v>1.01G-DFIT</v>
      </c>
      <c r="G3" s="620" t="str">
        <f>CONCATENATE(PROFORMA!H5,PROFORMA!H8)</f>
        <v>1.02G-DDC</v>
      </c>
      <c r="H3" s="620" t="str">
        <f>CONCATENATE(PROFORMA!I5,PROFORMA!I8)</f>
        <v>1.03G-WC</v>
      </c>
      <c r="I3" s="620" t="str">
        <f>CONCATENATE(PROFORMA!J5,PROFORMA!J8)</f>
        <v>1.04G-AMI</v>
      </c>
      <c r="J3" s="620" t="str">
        <f>CONCATENATE(PROFORMA!K5,PROFORMA!K8)</f>
        <v>2.01G-EBO</v>
      </c>
      <c r="K3" s="620" t="str">
        <f>CONCATENATE(PROFORMA!L5,PROFORMA!L8)</f>
        <v>2.02G-RPT</v>
      </c>
      <c r="L3" s="620" t="str">
        <f>CONCATENATE(PROFORMA!M5,PROFORMA!M8)</f>
        <v>2.03G-UE</v>
      </c>
      <c r="M3" s="620" t="str">
        <f>CONCATENATE(PROFORMA!N5,PROFORMA!N8)</f>
        <v>2.04G-RE</v>
      </c>
      <c r="N3" s="620" t="str">
        <f>CONCATENATE(PROFORMA!O5,PROFORMA!O8)</f>
        <v>2.05G-ID</v>
      </c>
      <c r="O3" s="620" t="str">
        <f>CONCATENATE(PROFORMA!P5,PROFORMA!P8)</f>
        <v>2.06G-FIT</v>
      </c>
      <c r="P3" s="620" t="str">
        <f>CONCATENATE(PROFORMA!Q5,PROFORMA!Q8)</f>
        <v>2.07G-OSC</v>
      </c>
      <c r="Q3" s="620" t="str">
        <f>CONCATENATE(PROFORMA!R5,PROFORMA!R8)</f>
        <v>2.08G-RET</v>
      </c>
      <c r="R3" s="620" t="str">
        <f>CONCATENATE(PROFORMA!S5,PROFORMA!S8)</f>
        <v>2.09G-NGL</v>
      </c>
      <c r="S3" s="620" t="str">
        <f>CONCATENATE(PROFORMA!T5,PROFORMA!T8)</f>
        <v>2.1G-WNGC</v>
      </c>
      <c r="T3" s="620" t="str">
        <f>CONCATENATE(PROFORMA!U5,PROFORMA!U8)</f>
        <v>2.11G-EAS</v>
      </c>
      <c r="U3" s="620" t="str">
        <f>CONCATENATE(PROFORMA!V5,PROFORMA!V8)</f>
        <v>2.12G-MR</v>
      </c>
      <c r="V3" s="620" t="str">
        <f>CONCATENATE(PROFORMA!W5,PROFORMA!W8)</f>
        <v>2.13G-RI</v>
      </c>
      <c r="W3" s="620" t="str">
        <f>CONCATENATE(PROFORMA!X5,PROFORMA!X8)</f>
        <v>2.14G-DI</v>
      </c>
      <c r="X3" s="620" t="str">
        <f>CONCATENATE(PROFORMA!Y5,PROFORMA!Y8)</f>
        <v>2.15G-EOP19</v>
      </c>
      <c r="Y3" s="621" t="s">
        <v>1326</v>
      </c>
      <c r="Z3" s="620" t="str">
        <f>CONCATENATE(PROFORMA!Z5,PROFORMA!Z8)</f>
        <v>3.01G-PREV</v>
      </c>
      <c r="AA3" s="620" t="str">
        <f>CONCATENATE(PROFORMA!AA5,PROFORMA!AA8)</f>
        <v>3.02G-PRA</v>
      </c>
      <c r="AB3" s="620" t="str">
        <f>CONCATENATE(PROFORMA!AB5,PROFORMA!AB8)</f>
        <v>3.03G-ARAM</v>
      </c>
      <c r="AC3" s="620" t="str">
        <f>CONCATENATE(PROFORMA!AC5,PROFORMA!AC8)</f>
        <v>3.04G-PLN</v>
      </c>
      <c r="AD3" s="620" t="str">
        <f>CONCATENATE(PROFORMA!AD5,PROFORMA!AD8)</f>
        <v>3.05G-PLE</v>
      </c>
      <c r="AE3" s="620" t="str">
        <f>CONCATENATE(PROFORMA!AE5,PROFORMA!AE8)</f>
        <v>3.06G-PEB</v>
      </c>
      <c r="AF3" s="620" t="str">
        <f>CONCATENATE(PROFORMA!AF5,PROFORMA!AF8)</f>
        <v>3.07G-PINS</v>
      </c>
      <c r="AG3" s="620" t="str">
        <f>CONCATENATE(PROFORMA!AG5,PROFORMA!AG8)</f>
        <v>3.08G-PIT</v>
      </c>
      <c r="AH3" s="620" t="str">
        <f>CONCATENATE(PROFORMA!AH5,PROFORMA!AH8)</f>
        <v>3.09G-PPT</v>
      </c>
      <c r="AI3" s="620" t="str">
        <f>CONCATENATE(PROFORMA!AI5,PROFORMA!AI8)</f>
        <v>3.1G-PFEE</v>
      </c>
      <c r="AJ3" s="620" t="str">
        <f>CONCATENATE(PROFORMA!AJ5,PROFORMA!AJ8)</f>
        <v>3.11G-PCAP1</v>
      </c>
      <c r="AK3" s="620" t="str">
        <f>CONCATENATE(PROFORMA!AK5,PROFORMA!AK8)</f>
        <v>3.12G-PCAP2</v>
      </c>
      <c r="AL3" s="620" t="str">
        <f>CONCATENATE(PROFORMA!AL5,PROFORMA!AL8)</f>
        <v>3.13G-PCAP3</v>
      </c>
      <c r="AM3" s="620" t="str">
        <f>CONCATENATE(PROFORMA!AM5,PROFORMA!AM8)</f>
        <v>3.14G-PCAP4</v>
      </c>
      <c r="AN3" s="620" t="str">
        <f>CONCATENATE(PROFORMA!AN5,PROFORMA!AN8)</f>
        <v>3.15G-PCAP5</v>
      </c>
      <c r="AO3" s="620" t="str">
        <f>CONCATENATE(PROFORMA!AO5,PROFORMA!AO8)</f>
        <v>3.16G-PAMI</v>
      </c>
      <c r="AP3" s="620" t="str">
        <f>CONCATENATE(PROFORMA!AP5,PROFORMA!AP8)</f>
        <v>3.17G-PLEAP</v>
      </c>
      <c r="AQ3" s="620" t="str">
        <f>CONCATENATE(PROFORMA!AQ5,PROFORMA!AQ8)</f>
        <v>3.18G-PTAX</v>
      </c>
      <c r="AR3" s="622" t="s">
        <v>1328</v>
      </c>
      <c r="AS3" s="621" t="s">
        <v>1329</v>
      </c>
      <c r="AT3" s="621" t="s">
        <v>1331</v>
      </c>
      <c r="AU3" s="621" t="s">
        <v>1333</v>
      </c>
      <c r="AV3" s="621" t="s">
        <v>1335</v>
      </c>
    </row>
    <row r="4" spans="1:48" ht="15.45" customHeight="1">
      <c r="A4" s="640">
        <v>2</v>
      </c>
      <c r="B4" s="809" t="s">
        <v>1296</v>
      </c>
      <c r="C4" s="624" t="s">
        <v>1242</v>
      </c>
      <c r="D4" s="626">
        <v>480</v>
      </c>
      <c r="E4" s="642">
        <f>PROFORMA!F382</f>
        <v>97151000</v>
      </c>
      <c r="F4" s="642">
        <f>PROFORMA!G382</f>
        <v>0</v>
      </c>
      <c r="G4" s="642">
        <f>PROFORMA!H382</f>
        <v>0</v>
      </c>
      <c r="H4" s="642">
        <f>PROFORMA!I382</f>
        <v>0</v>
      </c>
      <c r="I4" s="642">
        <f>PROFORMA!J382</f>
        <v>0</v>
      </c>
      <c r="J4" s="642">
        <f>PROFORMA!K382</f>
        <v>-5116000</v>
      </c>
      <c r="K4" s="642">
        <f>PROFORMA!L382</f>
        <v>0</v>
      </c>
      <c r="L4" s="642">
        <f>PROFORMA!M382</f>
        <v>0</v>
      </c>
      <c r="M4" s="642">
        <f>PROFORMA!N382</f>
        <v>0</v>
      </c>
      <c r="N4" s="642">
        <f>PROFORMA!O382</f>
        <v>0</v>
      </c>
      <c r="O4" s="642">
        <f>PROFORMA!P382</f>
        <v>0</v>
      </c>
      <c r="P4" s="642">
        <f>PROFORMA!Q382</f>
        <v>0</v>
      </c>
      <c r="Q4" s="642">
        <f>PROFORMA!R382</f>
        <v>0</v>
      </c>
      <c r="R4" s="642">
        <f>PROFORMA!S382</f>
        <v>0</v>
      </c>
      <c r="S4" s="642">
        <f>PROFORMA!T382</f>
        <v>-3931000</v>
      </c>
      <c r="T4" s="642">
        <f>PROFORMA!U382</f>
        <v>8060000</v>
      </c>
      <c r="U4" s="642">
        <f>PROFORMA!V382</f>
        <v>0</v>
      </c>
      <c r="V4" s="642">
        <f>PROFORMA!W382</f>
        <v>0</v>
      </c>
      <c r="W4" s="642">
        <f>PROFORMA!X382</f>
        <v>0</v>
      </c>
      <c r="X4" s="642">
        <f>PROFORMA!Y382</f>
        <v>0</v>
      </c>
      <c r="Y4" s="690">
        <f>SUM(F4:X4)</f>
        <v>-987000</v>
      </c>
      <c r="Z4" s="642">
        <f>PROFORMA!Z382</f>
        <v>-41734000</v>
      </c>
      <c r="AA4" s="642">
        <f>PROFORMA!AA382</f>
        <v>0</v>
      </c>
      <c r="AB4" s="642">
        <f>PROFORMA!AB382</f>
        <v>0</v>
      </c>
      <c r="AC4" s="642">
        <f>PROFORMA!AC382</f>
        <v>0</v>
      </c>
      <c r="AD4" s="642">
        <f>PROFORMA!AD382</f>
        <v>0</v>
      </c>
      <c r="AE4" s="642">
        <f>PROFORMA!AE382</f>
        <v>0</v>
      </c>
      <c r="AF4" s="642">
        <f>PROFORMA!AF382</f>
        <v>0</v>
      </c>
      <c r="AG4" s="642">
        <f>PROFORMA!AG382</f>
        <v>0</v>
      </c>
      <c r="AH4" s="642">
        <f>PROFORMA!AH382</f>
        <v>0</v>
      </c>
      <c r="AI4" s="642">
        <f>PROFORMA!AI382</f>
        <v>0</v>
      </c>
      <c r="AJ4" s="642">
        <f>PROFORMA!AJ382</f>
        <v>0</v>
      </c>
      <c r="AK4" s="642">
        <f>PROFORMA!AK382</f>
        <v>0</v>
      </c>
      <c r="AL4" s="642">
        <f>PROFORMA!AL382</f>
        <v>0</v>
      </c>
      <c r="AM4" s="642">
        <f>PROFORMA!AM382</f>
        <v>0</v>
      </c>
      <c r="AN4" s="642">
        <f>PROFORMA!AN382</f>
        <v>0</v>
      </c>
      <c r="AO4" s="642">
        <f>PROFORMA!AO382</f>
        <v>0</v>
      </c>
      <c r="AP4" s="642">
        <f>PROFORMA!AP382</f>
        <v>0</v>
      </c>
      <c r="AQ4" s="642">
        <f>PROFORMA!AQ382</f>
        <v>0</v>
      </c>
      <c r="AR4" s="693">
        <f>SUM(Z4:AQ4)</f>
        <v>-41734000</v>
      </c>
      <c r="AS4" s="643">
        <f>Y4+AR4</f>
        <v>-42721000</v>
      </c>
      <c r="AT4" s="643">
        <f>E4+AS4</f>
        <v>54430000</v>
      </c>
      <c r="AU4" s="643"/>
      <c r="AV4" s="643">
        <f>AT4+AU4</f>
        <v>54430000</v>
      </c>
    </row>
    <row r="5" spans="1:48">
      <c r="A5" s="640">
        <v>3</v>
      </c>
      <c r="B5" s="809"/>
      <c r="C5" s="624" t="s">
        <v>1243</v>
      </c>
      <c r="D5" s="653">
        <v>481</v>
      </c>
      <c r="E5" s="644">
        <f>PROFORMA!F383</f>
        <v>47979000</v>
      </c>
      <c r="F5" s="644">
        <f>PROFORMA!G383</f>
        <v>0</v>
      </c>
      <c r="G5" s="644">
        <f>PROFORMA!H383</f>
        <v>0</v>
      </c>
      <c r="H5" s="644">
        <f>PROFORMA!I383</f>
        <v>0</v>
      </c>
      <c r="I5" s="644">
        <f>PROFORMA!J383</f>
        <v>0</v>
      </c>
      <c r="J5" s="644">
        <f>PROFORMA!K383</f>
        <v>0</v>
      </c>
      <c r="K5" s="644">
        <f>PROFORMA!L383</f>
        <v>0</v>
      </c>
      <c r="L5" s="644">
        <f>PROFORMA!M383</f>
        <v>0</v>
      </c>
      <c r="M5" s="644">
        <f>PROFORMA!N383</f>
        <v>0</v>
      </c>
      <c r="N5" s="644">
        <f>PROFORMA!O383</f>
        <v>0</v>
      </c>
      <c r="O5" s="644">
        <f>PROFORMA!P383</f>
        <v>0</v>
      </c>
      <c r="P5" s="644">
        <f>PROFORMA!Q383</f>
        <v>0</v>
      </c>
      <c r="Q5" s="644">
        <f>PROFORMA!R383</f>
        <v>0</v>
      </c>
      <c r="R5" s="644">
        <f>PROFORMA!S383</f>
        <v>0</v>
      </c>
      <c r="S5" s="644">
        <f>PROFORMA!T383</f>
        <v>0</v>
      </c>
      <c r="T5" s="644">
        <f>PROFORMA!U383</f>
        <v>0</v>
      </c>
      <c r="U5" s="644">
        <f>PROFORMA!V383</f>
        <v>0</v>
      </c>
      <c r="V5" s="644">
        <f>PROFORMA!W383</f>
        <v>0</v>
      </c>
      <c r="W5" s="644">
        <f>PROFORMA!X383</f>
        <v>0</v>
      </c>
      <c r="X5" s="644">
        <f>PROFORMA!Y383</f>
        <v>0</v>
      </c>
      <c r="Y5" s="690">
        <f t="shared" ref="Y5:Y68" si="0">SUM(F5:X5)</f>
        <v>0</v>
      </c>
      <c r="Z5" s="644">
        <f>PROFORMA!Z383</f>
        <v>0</v>
      </c>
      <c r="AA5" s="644">
        <f>PROFORMA!AA383</f>
        <v>0</v>
      </c>
      <c r="AB5" s="644">
        <f>PROFORMA!AB383</f>
        <v>0</v>
      </c>
      <c r="AC5" s="644">
        <f>PROFORMA!AC383</f>
        <v>0</v>
      </c>
      <c r="AD5" s="644">
        <f>PROFORMA!AD383</f>
        <v>0</v>
      </c>
      <c r="AE5" s="644">
        <f>PROFORMA!AE383</f>
        <v>0</v>
      </c>
      <c r="AF5" s="644">
        <f>PROFORMA!AF383</f>
        <v>0</v>
      </c>
      <c r="AG5" s="644">
        <f>PROFORMA!AG383</f>
        <v>0</v>
      </c>
      <c r="AH5" s="644">
        <f>PROFORMA!AH383</f>
        <v>0</v>
      </c>
      <c r="AI5" s="644">
        <f>PROFORMA!AI383</f>
        <v>0</v>
      </c>
      <c r="AJ5" s="644">
        <f>PROFORMA!AJ383</f>
        <v>0</v>
      </c>
      <c r="AK5" s="644">
        <f>PROFORMA!AK383</f>
        <v>0</v>
      </c>
      <c r="AL5" s="644">
        <f>PROFORMA!AL383</f>
        <v>0</v>
      </c>
      <c r="AM5" s="644">
        <f>PROFORMA!AM383</f>
        <v>0</v>
      </c>
      <c r="AN5" s="644">
        <f>PROFORMA!AN383</f>
        <v>0</v>
      </c>
      <c r="AO5" s="644">
        <f>PROFORMA!AO383</f>
        <v>0</v>
      </c>
      <c r="AP5" s="644">
        <f>PROFORMA!AP383</f>
        <v>0</v>
      </c>
      <c r="AQ5" s="644">
        <f>PROFORMA!AQ383</f>
        <v>0</v>
      </c>
      <c r="AR5" s="693">
        <f t="shared" ref="AR5:AR68" si="1">SUM(Z5:AQ5)</f>
        <v>0</v>
      </c>
      <c r="AS5" s="643">
        <f t="shared" ref="AS5:AS68" si="2">Y5+AR5</f>
        <v>0</v>
      </c>
      <c r="AT5" s="643">
        <f t="shared" ref="AT5:AT68" si="3">E5+AS5</f>
        <v>47979000</v>
      </c>
      <c r="AU5" s="643"/>
      <c r="AV5" s="643">
        <f t="shared" ref="AV5:AV68" si="4">AT5+AU5</f>
        <v>47979000</v>
      </c>
    </row>
    <row r="6" spans="1:48">
      <c r="A6" s="640">
        <v>4</v>
      </c>
      <c r="B6" s="809"/>
      <c r="C6" s="624" t="s">
        <v>1338</v>
      </c>
      <c r="D6" s="653">
        <v>484</v>
      </c>
      <c r="E6" s="644">
        <f>PROFORMA!F384</f>
        <v>210000</v>
      </c>
      <c r="F6" s="644">
        <f>PROFORMA!G384</f>
        <v>0</v>
      </c>
      <c r="G6" s="644">
        <f>PROFORMA!H384</f>
        <v>0</v>
      </c>
      <c r="H6" s="644">
        <f>PROFORMA!I384</f>
        <v>0</v>
      </c>
      <c r="I6" s="644">
        <f>PROFORMA!J384</f>
        <v>0</v>
      </c>
      <c r="J6" s="644">
        <f>PROFORMA!K384</f>
        <v>0</v>
      </c>
      <c r="K6" s="644">
        <f>PROFORMA!L384</f>
        <v>0</v>
      </c>
      <c r="L6" s="644">
        <f>PROFORMA!M384</f>
        <v>0</v>
      </c>
      <c r="M6" s="644">
        <f>PROFORMA!N384</f>
        <v>0</v>
      </c>
      <c r="N6" s="644">
        <f>PROFORMA!O384</f>
        <v>0</v>
      </c>
      <c r="O6" s="644">
        <f>PROFORMA!P384</f>
        <v>0</v>
      </c>
      <c r="P6" s="644">
        <f>PROFORMA!Q384</f>
        <v>0</v>
      </c>
      <c r="Q6" s="644">
        <f>PROFORMA!R384</f>
        <v>0</v>
      </c>
      <c r="R6" s="644">
        <f>PROFORMA!S384</f>
        <v>0</v>
      </c>
      <c r="S6" s="644">
        <f>PROFORMA!T384</f>
        <v>0</v>
      </c>
      <c r="T6" s="644">
        <f>PROFORMA!U384</f>
        <v>0</v>
      </c>
      <c r="U6" s="644">
        <f>PROFORMA!V384</f>
        <v>0</v>
      </c>
      <c r="V6" s="644">
        <f>PROFORMA!W384</f>
        <v>0</v>
      </c>
      <c r="W6" s="644">
        <f>PROFORMA!X384</f>
        <v>0</v>
      </c>
      <c r="X6" s="644">
        <f>PROFORMA!Y384</f>
        <v>0</v>
      </c>
      <c r="Y6" s="690">
        <f t="shared" si="0"/>
        <v>0</v>
      </c>
      <c r="Z6" s="644">
        <f>PROFORMA!Z384</f>
        <v>0</v>
      </c>
      <c r="AA6" s="644">
        <f>PROFORMA!AA384</f>
        <v>0</v>
      </c>
      <c r="AB6" s="644">
        <f>PROFORMA!AB384</f>
        <v>0</v>
      </c>
      <c r="AC6" s="644">
        <f>PROFORMA!AC384</f>
        <v>0</v>
      </c>
      <c r="AD6" s="644">
        <f>PROFORMA!AD384</f>
        <v>0</v>
      </c>
      <c r="AE6" s="644">
        <f>PROFORMA!AE384</f>
        <v>0</v>
      </c>
      <c r="AF6" s="644">
        <f>PROFORMA!AF384</f>
        <v>0</v>
      </c>
      <c r="AG6" s="644">
        <f>PROFORMA!AG384</f>
        <v>0</v>
      </c>
      <c r="AH6" s="644">
        <f>PROFORMA!AH384</f>
        <v>0</v>
      </c>
      <c r="AI6" s="644">
        <f>PROFORMA!AI384</f>
        <v>0</v>
      </c>
      <c r="AJ6" s="644">
        <f>PROFORMA!AJ384</f>
        <v>0</v>
      </c>
      <c r="AK6" s="644">
        <f>PROFORMA!AK384</f>
        <v>0</v>
      </c>
      <c r="AL6" s="644">
        <f>PROFORMA!AL384</f>
        <v>0</v>
      </c>
      <c r="AM6" s="644">
        <f>PROFORMA!AM384</f>
        <v>0</v>
      </c>
      <c r="AN6" s="644">
        <f>PROFORMA!AN384</f>
        <v>0</v>
      </c>
      <c r="AO6" s="644">
        <f>PROFORMA!AO384</f>
        <v>0</v>
      </c>
      <c r="AP6" s="644">
        <f>PROFORMA!AP384</f>
        <v>0</v>
      </c>
      <c r="AQ6" s="644">
        <f>PROFORMA!AQ384</f>
        <v>0</v>
      </c>
      <c r="AR6" s="693">
        <f t="shared" si="1"/>
        <v>0</v>
      </c>
      <c r="AS6" s="643">
        <f t="shared" si="2"/>
        <v>0</v>
      </c>
      <c r="AT6" s="643">
        <f t="shared" si="3"/>
        <v>210000</v>
      </c>
      <c r="AU6" s="643"/>
      <c r="AV6" s="643">
        <f t="shared" si="4"/>
        <v>210000</v>
      </c>
    </row>
    <row r="7" spans="1:48" ht="16.95" customHeight="1">
      <c r="A7" s="640">
        <v>5</v>
      </c>
      <c r="B7" s="809"/>
      <c r="C7" s="624" t="s">
        <v>1339</v>
      </c>
      <c r="D7" s="626">
        <v>499</v>
      </c>
      <c r="E7" s="645">
        <f>PROFORMA!F385</f>
        <v>-2788000</v>
      </c>
      <c r="F7" s="645">
        <f>PROFORMA!G385</f>
        <v>0</v>
      </c>
      <c r="G7" s="645">
        <f>PROFORMA!H385</f>
        <v>0</v>
      </c>
      <c r="H7" s="645">
        <f>PROFORMA!I385</f>
        <v>0</v>
      </c>
      <c r="I7" s="645">
        <f>PROFORMA!J385</f>
        <v>0</v>
      </c>
      <c r="J7" s="645">
        <f>PROFORMA!K385</f>
        <v>0</v>
      </c>
      <c r="K7" s="645">
        <f>PROFORMA!L385</f>
        <v>0</v>
      </c>
      <c r="L7" s="645">
        <f>PROFORMA!M385</f>
        <v>0</v>
      </c>
      <c r="M7" s="645">
        <f>PROFORMA!N385</f>
        <v>0</v>
      </c>
      <c r="N7" s="645">
        <f>PROFORMA!O385</f>
        <v>0</v>
      </c>
      <c r="O7" s="645">
        <f>PROFORMA!P385</f>
        <v>0</v>
      </c>
      <c r="P7" s="645">
        <f>PROFORMA!Q385</f>
        <v>0</v>
      </c>
      <c r="Q7" s="645">
        <f>PROFORMA!R385</f>
        <v>0</v>
      </c>
      <c r="R7" s="645">
        <f>PROFORMA!S385</f>
        <v>0</v>
      </c>
      <c r="S7" s="645">
        <f>PROFORMA!T385</f>
        <v>0</v>
      </c>
      <c r="T7" s="645">
        <f>PROFORMA!U385</f>
        <v>0</v>
      </c>
      <c r="U7" s="645">
        <f>PROFORMA!V385</f>
        <v>0</v>
      </c>
      <c r="V7" s="645">
        <f>PROFORMA!W385</f>
        <v>0</v>
      </c>
      <c r="W7" s="645">
        <f>PROFORMA!X385</f>
        <v>0</v>
      </c>
      <c r="X7" s="645">
        <f>PROFORMA!Y385</f>
        <v>0</v>
      </c>
      <c r="Y7" s="690">
        <f t="shared" si="0"/>
        <v>0</v>
      </c>
      <c r="Z7" s="645">
        <f>PROFORMA!Z385</f>
        <v>0</v>
      </c>
      <c r="AA7" s="645">
        <f>PROFORMA!AA385</f>
        <v>0</v>
      </c>
      <c r="AB7" s="645">
        <f>PROFORMA!AB385</f>
        <v>0</v>
      </c>
      <c r="AC7" s="645">
        <f>PROFORMA!AC385</f>
        <v>0</v>
      </c>
      <c r="AD7" s="645">
        <f>PROFORMA!AD385</f>
        <v>0</v>
      </c>
      <c r="AE7" s="645">
        <f>PROFORMA!AE385</f>
        <v>0</v>
      </c>
      <c r="AF7" s="645">
        <f>PROFORMA!AF385</f>
        <v>0</v>
      </c>
      <c r="AG7" s="645">
        <f>PROFORMA!AG385</f>
        <v>0</v>
      </c>
      <c r="AH7" s="645">
        <f>PROFORMA!AH385</f>
        <v>0</v>
      </c>
      <c r="AI7" s="645">
        <f>PROFORMA!AI385</f>
        <v>0</v>
      </c>
      <c r="AJ7" s="645">
        <f>PROFORMA!AJ385</f>
        <v>0</v>
      </c>
      <c r="AK7" s="645">
        <f>PROFORMA!AK385</f>
        <v>0</v>
      </c>
      <c r="AL7" s="645">
        <f>PROFORMA!AL385</f>
        <v>0</v>
      </c>
      <c r="AM7" s="645">
        <f>PROFORMA!AM385</f>
        <v>0</v>
      </c>
      <c r="AN7" s="645">
        <f>PROFORMA!AN385</f>
        <v>0</v>
      </c>
      <c r="AO7" s="645">
        <f>PROFORMA!AO385</f>
        <v>0</v>
      </c>
      <c r="AP7" s="645">
        <f>PROFORMA!AP385</f>
        <v>0</v>
      </c>
      <c r="AQ7" s="645">
        <f>PROFORMA!AQ385</f>
        <v>0</v>
      </c>
      <c r="AR7" s="693">
        <f t="shared" si="1"/>
        <v>0</v>
      </c>
      <c r="AS7" s="643">
        <f t="shared" si="2"/>
        <v>0</v>
      </c>
      <c r="AT7" s="643">
        <f t="shared" si="3"/>
        <v>-2788000</v>
      </c>
      <c r="AU7" s="643"/>
      <c r="AV7" s="643">
        <f t="shared" si="4"/>
        <v>-2788000</v>
      </c>
    </row>
    <row r="8" spans="1:48">
      <c r="A8" s="640">
        <v>6</v>
      </c>
      <c r="B8" s="809"/>
      <c r="C8" s="624" t="s">
        <v>700</v>
      </c>
      <c r="D8" s="626">
        <v>489.9</v>
      </c>
      <c r="E8" s="684">
        <f>PROFORMA!F386</f>
        <v>5183000</v>
      </c>
      <c r="F8" s="684">
        <f>PROFORMA!G386</f>
        <v>0</v>
      </c>
      <c r="G8" s="684">
        <f>PROFORMA!H386</f>
        <v>0</v>
      </c>
      <c r="H8" s="684">
        <f>PROFORMA!I386</f>
        <v>0</v>
      </c>
      <c r="I8" s="684">
        <f>PROFORMA!J386</f>
        <v>0</v>
      </c>
      <c r="J8" s="684">
        <f>PROFORMA!K386</f>
        <v>-131000</v>
      </c>
      <c r="K8" s="684">
        <f>PROFORMA!L386</f>
        <v>0</v>
      </c>
      <c r="L8" s="684">
        <f>PROFORMA!M386</f>
        <v>0</v>
      </c>
      <c r="M8" s="684">
        <f>PROFORMA!N386</f>
        <v>0</v>
      </c>
      <c r="N8" s="684">
        <f>PROFORMA!O386</f>
        <v>0</v>
      </c>
      <c r="O8" s="684">
        <f>PROFORMA!P386</f>
        <v>0</v>
      </c>
      <c r="P8" s="684">
        <f>PROFORMA!Q386</f>
        <v>0</v>
      </c>
      <c r="Q8" s="684">
        <f>PROFORMA!R386</f>
        <v>0</v>
      </c>
      <c r="R8" s="684">
        <f>PROFORMA!S386</f>
        <v>0</v>
      </c>
      <c r="S8" s="684">
        <f>PROFORMA!T386</f>
        <v>0</v>
      </c>
      <c r="T8" s="684">
        <f>PROFORMA!U386</f>
        <v>0</v>
      </c>
      <c r="U8" s="684">
        <f>PROFORMA!V386</f>
        <v>0</v>
      </c>
      <c r="V8" s="684">
        <f>PROFORMA!W386</f>
        <v>0</v>
      </c>
      <c r="W8" s="684">
        <f>PROFORMA!X386</f>
        <v>0</v>
      </c>
      <c r="X8" s="684">
        <f>PROFORMA!Y386</f>
        <v>0</v>
      </c>
      <c r="Y8" s="691">
        <f t="shared" si="0"/>
        <v>-131000</v>
      </c>
      <c r="Z8" s="684">
        <f>PROFORMA!Z386</f>
        <v>-1471000</v>
      </c>
      <c r="AA8" s="684">
        <f>PROFORMA!AA386</f>
        <v>0</v>
      </c>
      <c r="AB8" s="684">
        <f>PROFORMA!AB386</f>
        <v>0</v>
      </c>
      <c r="AC8" s="684">
        <f>PROFORMA!AC386</f>
        <v>0</v>
      </c>
      <c r="AD8" s="684">
        <f>PROFORMA!AD386</f>
        <v>0</v>
      </c>
      <c r="AE8" s="684">
        <f>PROFORMA!AE386</f>
        <v>0</v>
      </c>
      <c r="AF8" s="684">
        <f>PROFORMA!AF386</f>
        <v>0</v>
      </c>
      <c r="AG8" s="684">
        <f>PROFORMA!AG386</f>
        <v>0</v>
      </c>
      <c r="AH8" s="684">
        <f>PROFORMA!AH386</f>
        <v>0</v>
      </c>
      <c r="AI8" s="684">
        <f>PROFORMA!AI386</f>
        <v>0</v>
      </c>
      <c r="AJ8" s="684">
        <f>PROFORMA!AJ386</f>
        <v>0</v>
      </c>
      <c r="AK8" s="684">
        <f>PROFORMA!AK386</f>
        <v>0</v>
      </c>
      <c r="AL8" s="684">
        <f>PROFORMA!AL386</f>
        <v>0</v>
      </c>
      <c r="AM8" s="684">
        <f>PROFORMA!AM386</f>
        <v>0</v>
      </c>
      <c r="AN8" s="684">
        <f>PROFORMA!AN386</f>
        <v>0</v>
      </c>
      <c r="AO8" s="684">
        <f>PROFORMA!AO386</f>
        <v>0</v>
      </c>
      <c r="AP8" s="684">
        <f>PROFORMA!AP386</f>
        <v>0</v>
      </c>
      <c r="AQ8" s="684">
        <f>PROFORMA!AQ386</f>
        <v>0</v>
      </c>
      <c r="AR8" s="694">
        <f>SUM(Z8:AQ8)</f>
        <v>-1471000</v>
      </c>
      <c r="AS8" s="692">
        <f t="shared" si="2"/>
        <v>-1602000</v>
      </c>
      <c r="AT8" s="692">
        <f t="shared" si="3"/>
        <v>3581000</v>
      </c>
      <c r="AU8" s="692"/>
      <c r="AV8" s="692">
        <f t="shared" si="4"/>
        <v>3581000</v>
      </c>
    </row>
    <row r="9" spans="1:48">
      <c r="A9" s="640">
        <v>7</v>
      </c>
      <c r="B9" s="809"/>
      <c r="C9" s="625" t="s">
        <v>1258</v>
      </c>
      <c r="D9" s="625"/>
      <c r="E9" s="646">
        <f>SUM(E4:E8)</f>
        <v>147735000</v>
      </c>
      <c r="F9" s="646">
        <f t="shared" ref="F9:X9" si="5">SUM(F4:F8)</f>
        <v>0</v>
      </c>
      <c r="G9" s="646">
        <f t="shared" si="5"/>
        <v>0</v>
      </c>
      <c r="H9" s="646">
        <f t="shared" si="5"/>
        <v>0</v>
      </c>
      <c r="I9" s="646">
        <f t="shared" si="5"/>
        <v>0</v>
      </c>
      <c r="J9" s="646">
        <f t="shared" si="5"/>
        <v>-5247000</v>
      </c>
      <c r="K9" s="646">
        <f t="shared" si="5"/>
        <v>0</v>
      </c>
      <c r="L9" s="646">
        <f t="shared" si="5"/>
        <v>0</v>
      </c>
      <c r="M9" s="646">
        <f t="shared" si="5"/>
        <v>0</v>
      </c>
      <c r="N9" s="646">
        <f t="shared" si="5"/>
        <v>0</v>
      </c>
      <c r="O9" s="646">
        <f t="shared" si="5"/>
        <v>0</v>
      </c>
      <c r="P9" s="646">
        <f t="shared" si="5"/>
        <v>0</v>
      </c>
      <c r="Q9" s="646">
        <f t="shared" si="5"/>
        <v>0</v>
      </c>
      <c r="R9" s="646">
        <f t="shared" si="5"/>
        <v>0</v>
      </c>
      <c r="S9" s="646">
        <f t="shared" si="5"/>
        <v>-3931000</v>
      </c>
      <c r="T9" s="646">
        <f t="shared" si="5"/>
        <v>8060000</v>
      </c>
      <c r="U9" s="646">
        <f t="shared" si="5"/>
        <v>0</v>
      </c>
      <c r="V9" s="646">
        <f t="shared" si="5"/>
        <v>0</v>
      </c>
      <c r="W9" s="646">
        <f t="shared" si="5"/>
        <v>0</v>
      </c>
      <c r="X9" s="646">
        <f t="shared" si="5"/>
        <v>0</v>
      </c>
      <c r="Y9" s="690">
        <f t="shared" si="0"/>
        <v>-1118000</v>
      </c>
      <c r="Z9" s="646">
        <f t="shared" ref="Z9:AV9" si="6">SUM(Z4:Z8)</f>
        <v>-43205000</v>
      </c>
      <c r="AA9" s="646">
        <f t="shared" si="6"/>
        <v>0</v>
      </c>
      <c r="AB9" s="646">
        <f t="shared" si="6"/>
        <v>0</v>
      </c>
      <c r="AC9" s="646">
        <f t="shared" si="6"/>
        <v>0</v>
      </c>
      <c r="AD9" s="646">
        <f t="shared" si="6"/>
        <v>0</v>
      </c>
      <c r="AE9" s="646">
        <f t="shared" si="6"/>
        <v>0</v>
      </c>
      <c r="AF9" s="646">
        <f t="shared" si="6"/>
        <v>0</v>
      </c>
      <c r="AG9" s="646">
        <f t="shared" si="6"/>
        <v>0</v>
      </c>
      <c r="AH9" s="646">
        <f t="shared" si="6"/>
        <v>0</v>
      </c>
      <c r="AI9" s="646">
        <f t="shared" si="6"/>
        <v>0</v>
      </c>
      <c r="AJ9" s="646">
        <f t="shared" si="6"/>
        <v>0</v>
      </c>
      <c r="AK9" s="646">
        <f t="shared" si="6"/>
        <v>0</v>
      </c>
      <c r="AL9" s="646">
        <f t="shared" si="6"/>
        <v>0</v>
      </c>
      <c r="AM9" s="646">
        <f t="shared" si="6"/>
        <v>0</v>
      </c>
      <c r="AN9" s="646">
        <f t="shared" si="6"/>
        <v>0</v>
      </c>
      <c r="AO9" s="646">
        <f t="shared" si="6"/>
        <v>0</v>
      </c>
      <c r="AP9" s="646">
        <f t="shared" si="6"/>
        <v>0</v>
      </c>
      <c r="AQ9" s="646">
        <f t="shared" si="6"/>
        <v>0</v>
      </c>
      <c r="AR9" s="646">
        <f t="shared" si="6"/>
        <v>-43205000</v>
      </c>
      <c r="AS9" s="646">
        <f t="shared" si="6"/>
        <v>-44323000</v>
      </c>
      <c r="AT9" s="646">
        <f t="shared" si="6"/>
        <v>103412000</v>
      </c>
      <c r="AU9" s="646">
        <f t="shared" si="6"/>
        <v>0</v>
      </c>
      <c r="AV9" s="646">
        <f t="shared" si="6"/>
        <v>103412000</v>
      </c>
    </row>
    <row r="10" spans="1:48">
      <c r="A10" s="640">
        <v>8</v>
      </c>
      <c r="B10" s="809"/>
      <c r="C10" s="628" t="s">
        <v>390</v>
      </c>
      <c r="D10" s="629" t="s">
        <v>394</v>
      </c>
      <c r="E10" s="648">
        <f>PROFORMA!F393</f>
        <v>55067000</v>
      </c>
      <c r="F10" s="648">
        <f>PROFORMA!G393</f>
        <v>0</v>
      </c>
      <c r="G10" s="648">
        <f>PROFORMA!H393</f>
        <v>0</v>
      </c>
      <c r="H10" s="648">
        <f>PROFORMA!I393</f>
        <v>0</v>
      </c>
      <c r="I10" s="648">
        <f>PROFORMA!J393</f>
        <v>0</v>
      </c>
      <c r="J10" s="648">
        <f>PROFORMA!K393</f>
        <v>0</v>
      </c>
      <c r="K10" s="648">
        <f>PROFORMA!L393</f>
        <v>0</v>
      </c>
      <c r="L10" s="648">
        <f>PROFORMA!M393</f>
        <v>0</v>
      </c>
      <c r="M10" s="648">
        <f>PROFORMA!N393</f>
        <v>0</v>
      </c>
      <c r="N10" s="648">
        <f>PROFORMA!O393</f>
        <v>0</v>
      </c>
      <c r="O10" s="648">
        <f>PROFORMA!P393</f>
        <v>0</v>
      </c>
      <c r="P10" s="648">
        <f>PROFORMA!Q393</f>
        <v>0</v>
      </c>
      <c r="Q10" s="648">
        <f>PROFORMA!R393</f>
        <v>0</v>
      </c>
      <c r="R10" s="648">
        <f>PROFORMA!S393</f>
        <v>0</v>
      </c>
      <c r="S10" s="648">
        <f>PROFORMA!T393</f>
        <v>0</v>
      </c>
      <c r="T10" s="648">
        <f>PROFORMA!U393</f>
        <v>-55067000</v>
      </c>
      <c r="U10" s="648">
        <f>PROFORMA!V393</f>
        <v>0</v>
      </c>
      <c r="V10" s="648">
        <f>PROFORMA!W393</f>
        <v>0</v>
      </c>
      <c r="W10" s="648">
        <f>PROFORMA!X393</f>
        <v>0</v>
      </c>
      <c r="X10" s="648">
        <f>PROFORMA!Y393</f>
        <v>0</v>
      </c>
      <c r="Y10" s="690">
        <f t="shared" si="0"/>
        <v>-55067000</v>
      </c>
      <c r="Z10" s="648">
        <f>PROFORMA!Z393</f>
        <v>0</v>
      </c>
      <c r="AA10" s="648">
        <f>PROFORMA!AA393</f>
        <v>0</v>
      </c>
      <c r="AB10" s="648">
        <f>PROFORMA!AB393</f>
        <v>0</v>
      </c>
      <c r="AC10" s="648">
        <f>PROFORMA!AC393</f>
        <v>0</v>
      </c>
      <c r="AD10" s="648">
        <f>PROFORMA!AD393</f>
        <v>0</v>
      </c>
      <c r="AE10" s="648">
        <f>PROFORMA!AE393</f>
        <v>0</v>
      </c>
      <c r="AF10" s="648">
        <f>PROFORMA!AF393</f>
        <v>0</v>
      </c>
      <c r="AG10" s="648">
        <f>PROFORMA!AG393</f>
        <v>0</v>
      </c>
      <c r="AH10" s="648">
        <f>PROFORMA!AH393</f>
        <v>0</v>
      </c>
      <c r="AI10" s="648">
        <f>PROFORMA!AI393</f>
        <v>0</v>
      </c>
      <c r="AJ10" s="648">
        <f>PROFORMA!AJ393</f>
        <v>0</v>
      </c>
      <c r="AK10" s="648">
        <f>PROFORMA!AK393</f>
        <v>0</v>
      </c>
      <c r="AL10" s="648">
        <f>PROFORMA!AL393</f>
        <v>0</v>
      </c>
      <c r="AM10" s="648">
        <f>PROFORMA!AM393</f>
        <v>0</v>
      </c>
      <c r="AN10" s="648">
        <f>PROFORMA!AN393</f>
        <v>0</v>
      </c>
      <c r="AO10" s="648">
        <f>PROFORMA!AO393</f>
        <v>0</v>
      </c>
      <c r="AP10" s="648">
        <f>PROFORMA!AP393</f>
        <v>0</v>
      </c>
      <c r="AQ10" s="648">
        <f>PROFORMA!AQ393</f>
        <v>0</v>
      </c>
      <c r="AR10" s="693">
        <f t="shared" si="1"/>
        <v>0</v>
      </c>
      <c r="AS10" s="643">
        <f t="shared" si="2"/>
        <v>-55067000</v>
      </c>
      <c r="AT10" s="643">
        <f t="shared" si="3"/>
        <v>0</v>
      </c>
      <c r="AU10" s="643"/>
      <c r="AV10" s="643">
        <f t="shared" si="4"/>
        <v>0</v>
      </c>
    </row>
    <row r="11" spans="1:48">
      <c r="A11" s="640">
        <v>9</v>
      </c>
      <c r="B11" s="809"/>
      <c r="C11" s="628" t="s">
        <v>80</v>
      </c>
      <c r="D11" s="629">
        <v>488</v>
      </c>
      <c r="E11" s="648">
        <f>PROFORMA!F394</f>
        <v>7000</v>
      </c>
      <c r="F11" s="648">
        <f>PROFORMA!G394</f>
        <v>0</v>
      </c>
      <c r="G11" s="648">
        <f>PROFORMA!H394</f>
        <v>0</v>
      </c>
      <c r="H11" s="648">
        <f>PROFORMA!I394</f>
        <v>0</v>
      </c>
      <c r="I11" s="648">
        <f>PROFORMA!J394</f>
        <v>0</v>
      </c>
      <c r="J11" s="648">
        <f>PROFORMA!K394</f>
        <v>0</v>
      </c>
      <c r="K11" s="648">
        <f>PROFORMA!L394</f>
        <v>0</v>
      </c>
      <c r="L11" s="648">
        <f>PROFORMA!M394</f>
        <v>0</v>
      </c>
      <c r="M11" s="648">
        <f>PROFORMA!N394</f>
        <v>0</v>
      </c>
      <c r="N11" s="648">
        <f>PROFORMA!O394</f>
        <v>0</v>
      </c>
      <c r="O11" s="648">
        <f>PROFORMA!P394</f>
        <v>0</v>
      </c>
      <c r="P11" s="648">
        <f>PROFORMA!Q394</f>
        <v>0</v>
      </c>
      <c r="Q11" s="648">
        <f>PROFORMA!R394</f>
        <v>0</v>
      </c>
      <c r="R11" s="648">
        <f>PROFORMA!S394</f>
        <v>0</v>
      </c>
      <c r="S11" s="648">
        <f>PROFORMA!T394</f>
        <v>0</v>
      </c>
      <c r="T11" s="648">
        <f>PROFORMA!U394</f>
        <v>0</v>
      </c>
      <c r="U11" s="648">
        <f>PROFORMA!V394</f>
        <v>0</v>
      </c>
      <c r="V11" s="648">
        <f>PROFORMA!W394</f>
        <v>0</v>
      </c>
      <c r="W11" s="648">
        <f>PROFORMA!X394</f>
        <v>0</v>
      </c>
      <c r="X11" s="648">
        <f>PROFORMA!Y394</f>
        <v>0</v>
      </c>
      <c r="Y11" s="690">
        <f t="shared" si="0"/>
        <v>0</v>
      </c>
      <c r="Z11" s="648">
        <f>PROFORMA!Z394</f>
        <v>0</v>
      </c>
      <c r="AA11" s="648">
        <f>PROFORMA!AA394</f>
        <v>0</v>
      </c>
      <c r="AB11" s="648">
        <f>PROFORMA!AB394</f>
        <v>0</v>
      </c>
      <c r="AC11" s="648">
        <f>PROFORMA!AC394</f>
        <v>0</v>
      </c>
      <c r="AD11" s="648">
        <f>PROFORMA!AD394</f>
        <v>0</v>
      </c>
      <c r="AE11" s="648">
        <f>PROFORMA!AE394</f>
        <v>0</v>
      </c>
      <c r="AF11" s="648">
        <f>PROFORMA!AF394</f>
        <v>0</v>
      </c>
      <c r="AG11" s="648">
        <f>PROFORMA!AG394</f>
        <v>0</v>
      </c>
      <c r="AH11" s="648">
        <f>PROFORMA!AH394</f>
        <v>0</v>
      </c>
      <c r="AI11" s="648">
        <f>PROFORMA!AI394</f>
        <v>0</v>
      </c>
      <c r="AJ11" s="648">
        <f>PROFORMA!AJ394</f>
        <v>0</v>
      </c>
      <c r="AK11" s="648">
        <f>PROFORMA!AK394</f>
        <v>0</v>
      </c>
      <c r="AL11" s="648">
        <f>PROFORMA!AL394</f>
        <v>0</v>
      </c>
      <c r="AM11" s="648">
        <f>PROFORMA!AM394</f>
        <v>0</v>
      </c>
      <c r="AN11" s="648">
        <f>PROFORMA!AN394</f>
        <v>0</v>
      </c>
      <c r="AO11" s="648">
        <f>PROFORMA!AO394</f>
        <v>0</v>
      </c>
      <c r="AP11" s="648">
        <f>PROFORMA!AP394</f>
        <v>0</v>
      </c>
      <c r="AQ11" s="648">
        <f>PROFORMA!AQ394</f>
        <v>0</v>
      </c>
      <c r="AR11" s="693">
        <f t="shared" si="1"/>
        <v>0</v>
      </c>
      <c r="AS11" s="643">
        <f t="shared" si="2"/>
        <v>0</v>
      </c>
      <c r="AT11" s="643">
        <f t="shared" si="3"/>
        <v>7000</v>
      </c>
      <c r="AU11" s="643"/>
      <c r="AV11" s="643">
        <f t="shared" si="4"/>
        <v>7000</v>
      </c>
    </row>
    <row r="12" spans="1:48">
      <c r="A12" s="640">
        <v>10</v>
      </c>
      <c r="B12" s="809"/>
      <c r="C12" s="628" t="s">
        <v>1349</v>
      </c>
      <c r="D12" s="629">
        <v>489.3</v>
      </c>
      <c r="E12" s="648">
        <f>PROFORMA!F395</f>
        <v>0</v>
      </c>
      <c r="F12" s="648">
        <f>PROFORMA!G395</f>
        <v>0</v>
      </c>
      <c r="G12" s="648">
        <f>PROFORMA!H395</f>
        <v>0</v>
      </c>
      <c r="H12" s="648">
        <f>PROFORMA!I395</f>
        <v>0</v>
      </c>
      <c r="I12" s="648">
        <f>PROFORMA!J395</f>
        <v>0</v>
      </c>
      <c r="J12" s="648">
        <f>PROFORMA!K395</f>
        <v>0</v>
      </c>
      <c r="K12" s="648">
        <f>PROFORMA!L395</f>
        <v>0</v>
      </c>
      <c r="L12" s="648">
        <f>PROFORMA!M395</f>
        <v>0</v>
      </c>
      <c r="M12" s="648">
        <f>PROFORMA!N395</f>
        <v>0</v>
      </c>
      <c r="N12" s="648">
        <f>PROFORMA!O395</f>
        <v>0</v>
      </c>
      <c r="O12" s="648">
        <f>PROFORMA!P395</f>
        <v>0</v>
      </c>
      <c r="P12" s="648">
        <f>PROFORMA!Q395</f>
        <v>0</v>
      </c>
      <c r="Q12" s="648">
        <f>PROFORMA!R395</f>
        <v>0</v>
      </c>
      <c r="R12" s="648">
        <f>PROFORMA!S395</f>
        <v>0</v>
      </c>
      <c r="S12" s="648">
        <f>PROFORMA!T395</f>
        <v>0</v>
      </c>
      <c r="T12" s="648">
        <f>PROFORMA!U395</f>
        <v>0</v>
      </c>
      <c r="U12" s="648">
        <f>PROFORMA!V395</f>
        <v>0</v>
      </c>
      <c r="V12" s="648">
        <f>PROFORMA!W395</f>
        <v>0</v>
      </c>
      <c r="W12" s="648">
        <f>PROFORMA!X395</f>
        <v>0</v>
      </c>
      <c r="X12" s="648">
        <f>PROFORMA!Y395</f>
        <v>0</v>
      </c>
      <c r="Y12" s="690">
        <f t="shared" si="0"/>
        <v>0</v>
      </c>
      <c r="Z12" s="648">
        <f>PROFORMA!Z395</f>
        <v>-1153000</v>
      </c>
      <c r="AA12" s="648">
        <f>PROFORMA!AA395</f>
        <v>0</v>
      </c>
      <c r="AB12" s="648">
        <f>PROFORMA!AB395</f>
        <v>0</v>
      </c>
      <c r="AC12" s="648">
        <f>PROFORMA!AC395</f>
        <v>0</v>
      </c>
      <c r="AD12" s="648">
        <f>PROFORMA!AD395</f>
        <v>0</v>
      </c>
      <c r="AE12" s="648">
        <f>PROFORMA!AE395</f>
        <v>0</v>
      </c>
      <c r="AF12" s="648">
        <f>PROFORMA!AF395</f>
        <v>0</v>
      </c>
      <c r="AG12" s="648">
        <f>PROFORMA!AG395</f>
        <v>0</v>
      </c>
      <c r="AH12" s="648">
        <f>PROFORMA!AH395</f>
        <v>0</v>
      </c>
      <c r="AI12" s="648">
        <f>PROFORMA!AI395</f>
        <v>0</v>
      </c>
      <c r="AJ12" s="648">
        <f>PROFORMA!AJ395</f>
        <v>0</v>
      </c>
      <c r="AK12" s="648">
        <f>PROFORMA!AK395</f>
        <v>0</v>
      </c>
      <c r="AL12" s="648">
        <f>PROFORMA!AL395</f>
        <v>0</v>
      </c>
      <c r="AM12" s="648">
        <f>PROFORMA!AM395</f>
        <v>0</v>
      </c>
      <c r="AN12" s="648">
        <f>PROFORMA!AN395</f>
        <v>0</v>
      </c>
      <c r="AO12" s="648">
        <f>PROFORMA!AO395</f>
        <v>0</v>
      </c>
      <c r="AP12" s="648">
        <f>PROFORMA!AP395</f>
        <v>0</v>
      </c>
      <c r="AQ12" s="648">
        <f>PROFORMA!AQ395</f>
        <v>0</v>
      </c>
      <c r="AR12" s="693">
        <f t="shared" si="1"/>
        <v>-1153000</v>
      </c>
      <c r="AS12" s="643">
        <f t="shared" si="2"/>
        <v>-1153000</v>
      </c>
      <c r="AT12" s="643">
        <f t="shared" si="3"/>
        <v>-1153000</v>
      </c>
      <c r="AU12" s="643"/>
      <c r="AV12" s="643">
        <f t="shared" si="4"/>
        <v>-1153000</v>
      </c>
    </row>
    <row r="13" spans="1:48">
      <c r="A13" s="640">
        <v>11</v>
      </c>
      <c r="B13" s="809"/>
      <c r="C13" s="628" t="s">
        <v>1350</v>
      </c>
      <c r="D13" s="629">
        <v>493</v>
      </c>
      <c r="E13" s="648">
        <f>PROFORMA!F396</f>
        <v>3000</v>
      </c>
      <c r="F13" s="648">
        <f>PROFORMA!G396</f>
        <v>0</v>
      </c>
      <c r="G13" s="648">
        <f>PROFORMA!H396</f>
        <v>0</v>
      </c>
      <c r="H13" s="648">
        <f>PROFORMA!I396</f>
        <v>0</v>
      </c>
      <c r="I13" s="648">
        <f>PROFORMA!J396</f>
        <v>0</v>
      </c>
      <c r="J13" s="648">
        <f>PROFORMA!K396</f>
        <v>0</v>
      </c>
      <c r="K13" s="648">
        <f>PROFORMA!L396</f>
        <v>0</v>
      </c>
      <c r="L13" s="648">
        <f>PROFORMA!M396</f>
        <v>0</v>
      </c>
      <c r="M13" s="648">
        <f>PROFORMA!N396</f>
        <v>0</v>
      </c>
      <c r="N13" s="648">
        <f>PROFORMA!O396</f>
        <v>0</v>
      </c>
      <c r="O13" s="648">
        <f>PROFORMA!P396</f>
        <v>0</v>
      </c>
      <c r="P13" s="648">
        <f>PROFORMA!Q396</f>
        <v>0</v>
      </c>
      <c r="Q13" s="648">
        <f>PROFORMA!R396</f>
        <v>0</v>
      </c>
      <c r="R13" s="648">
        <f>PROFORMA!S396</f>
        <v>0</v>
      </c>
      <c r="S13" s="648">
        <f>PROFORMA!T396</f>
        <v>0</v>
      </c>
      <c r="T13" s="648">
        <f>PROFORMA!U396</f>
        <v>0</v>
      </c>
      <c r="U13" s="648">
        <f>PROFORMA!V396</f>
        <v>0</v>
      </c>
      <c r="V13" s="648">
        <f>PROFORMA!W396</f>
        <v>0</v>
      </c>
      <c r="W13" s="648">
        <f>PROFORMA!X396</f>
        <v>0</v>
      </c>
      <c r="X13" s="648">
        <f>PROFORMA!Y396</f>
        <v>0</v>
      </c>
      <c r="Y13" s="690">
        <f t="shared" si="0"/>
        <v>0</v>
      </c>
      <c r="Z13" s="648">
        <f>PROFORMA!Z396</f>
        <v>0</v>
      </c>
      <c r="AA13" s="648">
        <f>PROFORMA!AA396</f>
        <v>0</v>
      </c>
      <c r="AB13" s="648">
        <f>PROFORMA!AB396</f>
        <v>0</v>
      </c>
      <c r="AC13" s="648">
        <f>PROFORMA!AC396</f>
        <v>0</v>
      </c>
      <c r="AD13" s="648">
        <f>PROFORMA!AD396</f>
        <v>0</v>
      </c>
      <c r="AE13" s="648">
        <f>PROFORMA!AE396</f>
        <v>0</v>
      </c>
      <c r="AF13" s="648">
        <f>PROFORMA!AF396</f>
        <v>0</v>
      </c>
      <c r="AG13" s="648">
        <f>PROFORMA!AG396</f>
        <v>0</v>
      </c>
      <c r="AH13" s="648">
        <f>PROFORMA!AH396</f>
        <v>0</v>
      </c>
      <c r="AI13" s="648">
        <f>PROFORMA!AI396</f>
        <v>0</v>
      </c>
      <c r="AJ13" s="648">
        <f>PROFORMA!AJ396</f>
        <v>0</v>
      </c>
      <c r="AK13" s="648">
        <f>PROFORMA!AK396</f>
        <v>0</v>
      </c>
      <c r="AL13" s="648">
        <f>PROFORMA!AL396</f>
        <v>0</v>
      </c>
      <c r="AM13" s="648">
        <f>PROFORMA!AM396</f>
        <v>0</v>
      </c>
      <c r="AN13" s="648">
        <f>PROFORMA!AN396</f>
        <v>0</v>
      </c>
      <c r="AO13" s="648">
        <f>PROFORMA!AO396</f>
        <v>0</v>
      </c>
      <c r="AP13" s="648">
        <f>PROFORMA!AP396</f>
        <v>0</v>
      </c>
      <c r="AQ13" s="648">
        <f>PROFORMA!AQ396</f>
        <v>0</v>
      </c>
      <c r="AR13" s="693">
        <f t="shared" si="1"/>
        <v>0</v>
      </c>
      <c r="AS13" s="643">
        <f t="shared" si="2"/>
        <v>0</v>
      </c>
      <c r="AT13" s="643">
        <f t="shared" si="3"/>
        <v>3000</v>
      </c>
      <c r="AU13" s="643"/>
      <c r="AV13" s="643">
        <f t="shared" si="4"/>
        <v>3000</v>
      </c>
    </row>
    <row r="14" spans="1:48">
      <c r="A14" s="640">
        <v>12</v>
      </c>
      <c r="B14" s="809"/>
      <c r="C14" s="628" t="s">
        <v>1341</v>
      </c>
      <c r="D14" s="629">
        <v>495</v>
      </c>
      <c r="E14" s="648">
        <f>PROFORMA!F397</f>
        <v>4604000</v>
      </c>
      <c r="F14" s="648">
        <f>PROFORMA!G397</f>
        <v>0</v>
      </c>
      <c r="G14" s="648">
        <f>PROFORMA!H397</f>
        <v>0</v>
      </c>
      <c r="H14" s="648">
        <f>PROFORMA!I397</f>
        <v>0</v>
      </c>
      <c r="I14" s="648">
        <f>PROFORMA!J397</f>
        <v>0</v>
      </c>
      <c r="J14" s="648">
        <f>PROFORMA!K397</f>
        <v>0</v>
      </c>
      <c r="K14" s="648">
        <f>PROFORMA!L397</f>
        <v>0</v>
      </c>
      <c r="L14" s="648">
        <f>PROFORMA!M397</f>
        <v>0</v>
      </c>
      <c r="M14" s="648">
        <f>PROFORMA!N397</f>
        <v>0</v>
      </c>
      <c r="N14" s="648">
        <f>PROFORMA!O397</f>
        <v>0</v>
      </c>
      <c r="O14" s="648">
        <f>PROFORMA!P397</f>
        <v>0</v>
      </c>
      <c r="P14" s="648">
        <f>PROFORMA!Q397</f>
        <v>0</v>
      </c>
      <c r="Q14" s="648">
        <f>PROFORMA!R397</f>
        <v>0</v>
      </c>
      <c r="R14" s="648">
        <f>PROFORMA!S397</f>
        <v>0</v>
      </c>
      <c r="S14" s="648">
        <f>PROFORMA!T397</f>
        <v>2095000</v>
      </c>
      <c r="T14" s="648">
        <f>PROFORMA!U397</f>
        <v>-4907000</v>
      </c>
      <c r="U14" s="648">
        <f>PROFORMA!V397</f>
        <v>0</v>
      </c>
      <c r="V14" s="648">
        <f>PROFORMA!W397</f>
        <v>0</v>
      </c>
      <c r="W14" s="648">
        <f>PROFORMA!X397</f>
        <v>0</v>
      </c>
      <c r="X14" s="648">
        <f>PROFORMA!Y397</f>
        <v>0</v>
      </c>
      <c r="Y14" s="690">
        <f t="shared" si="0"/>
        <v>-2812000</v>
      </c>
      <c r="Z14" s="648">
        <f>PROFORMA!Z397</f>
        <v>1761000</v>
      </c>
      <c r="AA14" s="648">
        <f>PROFORMA!AA397</f>
        <v>0</v>
      </c>
      <c r="AB14" s="648">
        <f>PROFORMA!AB397</f>
        <v>0</v>
      </c>
      <c r="AC14" s="648">
        <f>PROFORMA!AC397</f>
        <v>0</v>
      </c>
      <c r="AD14" s="648">
        <f>PROFORMA!AD397</f>
        <v>0</v>
      </c>
      <c r="AE14" s="648">
        <f>PROFORMA!AE397</f>
        <v>0</v>
      </c>
      <c r="AF14" s="648">
        <f>PROFORMA!AF397</f>
        <v>0</v>
      </c>
      <c r="AG14" s="648">
        <f>PROFORMA!AG397</f>
        <v>0</v>
      </c>
      <c r="AH14" s="648">
        <f>PROFORMA!AH397</f>
        <v>0</v>
      </c>
      <c r="AI14" s="648">
        <f>PROFORMA!AI397</f>
        <v>0</v>
      </c>
      <c r="AJ14" s="648">
        <f>PROFORMA!AJ397</f>
        <v>0</v>
      </c>
      <c r="AK14" s="648">
        <f>PROFORMA!AK397</f>
        <v>0</v>
      </c>
      <c r="AL14" s="648">
        <f>PROFORMA!AL397</f>
        <v>0</v>
      </c>
      <c r="AM14" s="648">
        <f>PROFORMA!AM397</f>
        <v>0</v>
      </c>
      <c r="AN14" s="648">
        <f>PROFORMA!AN397</f>
        <v>0</v>
      </c>
      <c r="AO14" s="648">
        <f>PROFORMA!AO397</f>
        <v>0</v>
      </c>
      <c r="AP14" s="648">
        <f>PROFORMA!AP397</f>
        <v>0</v>
      </c>
      <c r="AQ14" s="648">
        <f>PROFORMA!AQ397</f>
        <v>0</v>
      </c>
      <c r="AR14" s="693">
        <f t="shared" si="1"/>
        <v>1761000</v>
      </c>
      <c r="AS14" s="643">
        <f t="shared" si="2"/>
        <v>-1051000</v>
      </c>
      <c r="AT14" s="643">
        <f t="shared" si="3"/>
        <v>3553000</v>
      </c>
      <c r="AU14" s="643"/>
      <c r="AV14" s="643">
        <f t="shared" si="4"/>
        <v>3553000</v>
      </c>
    </row>
    <row r="15" spans="1:48">
      <c r="A15" s="640">
        <v>13</v>
      </c>
      <c r="B15" s="809"/>
      <c r="C15" s="628" t="s">
        <v>1351</v>
      </c>
      <c r="D15" s="629">
        <v>496</v>
      </c>
      <c r="E15" s="685">
        <f>PROFORMA!F398</f>
        <v>409000</v>
      </c>
      <c r="F15" s="685">
        <f>PROFORMA!G398</f>
        <v>0</v>
      </c>
      <c r="G15" s="685">
        <f>PROFORMA!H398</f>
        <v>0</v>
      </c>
      <c r="H15" s="685">
        <f>PROFORMA!I398</f>
        <v>0</v>
      </c>
      <c r="I15" s="685">
        <f>PROFORMA!J398</f>
        <v>0</v>
      </c>
      <c r="J15" s="685">
        <f>PROFORMA!K398</f>
        <v>0</v>
      </c>
      <c r="K15" s="685">
        <f>PROFORMA!L398</f>
        <v>0</v>
      </c>
      <c r="L15" s="685">
        <f>PROFORMA!M398</f>
        <v>0</v>
      </c>
      <c r="M15" s="685">
        <f>PROFORMA!N398</f>
        <v>0</v>
      </c>
      <c r="N15" s="685">
        <f>PROFORMA!O398</f>
        <v>0</v>
      </c>
      <c r="O15" s="685">
        <f>PROFORMA!P398</f>
        <v>0</v>
      </c>
      <c r="P15" s="685">
        <f>PROFORMA!Q398</f>
        <v>0</v>
      </c>
      <c r="Q15" s="685">
        <f>PROFORMA!R398</f>
        <v>0</v>
      </c>
      <c r="R15" s="685">
        <f>PROFORMA!S398</f>
        <v>0</v>
      </c>
      <c r="S15" s="685">
        <f>PROFORMA!T398</f>
        <v>0</v>
      </c>
      <c r="T15" s="685">
        <f>PROFORMA!U398</f>
        <v>0</v>
      </c>
      <c r="U15" s="685">
        <f>PROFORMA!V398</f>
        <v>-444000</v>
      </c>
      <c r="V15" s="685">
        <f>PROFORMA!W398</f>
        <v>0</v>
      </c>
      <c r="W15" s="685">
        <f>PROFORMA!X398</f>
        <v>0</v>
      </c>
      <c r="X15" s="685">
        <f>PROFORMA!Y398</f>
        <v>0</v>
      </c>
      <c r="Y15" s="691">
        <f t="shared" si="0"/>
        <v>-444000</v>
      </c>
      <c r="Z15" s="685">
        <f>PROFORMA!Z398</f>
        <v>0</v>
      </c>
      <c r="AA15" s="685">
        <f>PROFORMA!AA398</f>
        <v>0</v>
      </c>
      <c r="AB15" s="685">
        <f>PROFORMA!AB398</f>
        <v>0</v>
      </c>
      <c r="AC15" s="685">
        <f>PROFORMA!AC398</f>
        <v>0</v>
      </c>
      <c r="AD15" s="685">
        <f>PROFORMA!AD398</f>
        <v>0</v>
      </c>
      <c r="AE15" s="685">
        <f>PROFORMA!AE398</f>
        <v>0</v>
      </c>
      <c r="AF15" s="685">
        <f>PROFORMA!AF398</f>
        <v>0</v>
      </c>
      <c r="AG15" s="685">
        <f>PROFORMA!AG398</f>
        <v>0</v>
      </c>
      <c r="AH15" s="685">
        <f>PROFORMA!AH398</f>
        <v>0</v>
      </c>
      <c r="AI15" s="685">
        <f>PROFORMA!AI398</f>
        <v>0</v>
      </c>
      <c r="AJ15" s="685">
        <f>PROFORMA!AJ398</f>
        <v>0</v>
      </c>
      <c r="AK15" s="685">
        <f>PROFORMA!AK398</f>
        <v>0</v>
      </c>
      <c r="AL15" s="685">
        <f>PROFORMA!AL398</f>
        <v>0</v>
      </c>
      <c r="AM15" s="685">
        <f>PROFORMA!AM398</f>
        <v>0</v>
      </c>
      <c r="AN15" s="685">
        <f>PROFORMA!AN398</f>
        <v>0</v>
      </c>
      <c r="AO15" s="685">
        <f>PROFORMA!AO398</f>
        <v>0</v>
      </c>
      <c r="AP15" s="685">
        <f>PROFORMA!AP398</f>
        <v>0</v>
      </c>
      <c r="AQ15" s="685">
        <f>PROFORMA!AQ398</f>
        <v>0</v>
      </c>
      <c r="AR15" s="694">
        <f>SUM(Z15:AQ15)</f>
        <v>0</v>
      </c>
      <c r="AS15" s="643">
        <f t="shared" si="2"/>
        <v>-444000</v>
      </c>
      <c r="AT15" s="643">
        <f t="shared" si="3"/>
        <v>-35000</v>
      </c>
      <c r="AU15" s="643"/>
      <c r="AV15" s="643">
        <f t="shared" si="4"/>
        <v>-35000</v>
      </c>
    </row>
    <row r="16" spans="1:48">
      <c r="A16" s="640">
        <v>14</v>
      </c>
      <c r="B16" s="809"/>
      <c r="C16" s="627" t="s">
        <v>1259</v>
      </c>
      <c r="D16" s="627"/>
      <c r="E16" s="686">
        <f>SUM(E10:E15)</f>
        <v>60090000</v>
      </c>
      <c r="F16" s="686">
        <f t="shared" ref="F16:X16" si="7">SUM(F10:F15)</f>
        <v>0</v>
      </c>
      <c r="G16" s="686">
        <f t="shared" si="7"/>
        <v>0</v>
      </c>
      <c r="H16" s="686">
        <f t="shared" si="7"/>
        <v>0</v>
      </c>
      <c r="I16" s="686">
        <f t="shared" si="7"/>
        <v>0</v>
      </c>
      <c r="J16" s="686">
        <f t="shared" si="7"/>
        <v>0</v>
      </c>
      <c r="K16" s="686">
        <f t="shared" si="7"/>
        <v>0</v>
      </c>
      <c r="L16" s="686">
        <f t="shared" si="7"/>
        <v>0</v>
      </c>
      <c r="M16" s="686">
        <f t="shared" si="7"/>
        <v>0</v>
      </c>
      <c r="N16" s="686">
        <f t="shared" si="7"/>
        <v>0</v>
      </c>
      <c r="O16" s="686">
        <f t="shared" si="7"/>
        <v>0</v>
      </c>
      <c r="P16" s="686">
        <f t="shared" si="7"/>
        <v>0</v>
      </c>
      <c r="Q16" s="686">
        <f t="shared" si="7"/>
        <v>0</v>
      </c>
      <c r="R16" s="686">
        <f t="shared" si="7"/>
        <v>0</v>
      </c>
      <c r="S16" s="686">
        <f t="shared" si="7"/>
        <v>2095000</v>
      </c>
      <c r="T16" s="686">
        <f t="shared" si="7"/>
        <v>-59974000</v>
      </c>
      <c r="U16" s="686">
        <f t="shared" si="7"/>
        <v>-444000</v>
      </c>
      <c r="V16" s="686">
        <f t="shared" si="7"/>
        <v>0</v>
      </c>
      <c r="W16" s="686">
        <f t="shared" si="7"/>
        <v>0</v>
      </c>
      <c r="X16" s="686">
        <f t="shared" si="7"/>
        <v>0</v>
      </c>
      <c r="Y16" s="691">
        <f t="shared" si="0"/>
        <v>-58323000</v>
      </c>
      <c r="Z16" s="686">
        <f t="shared" ref="Z16:AV16" si="8">SUM(Z10:Z15)</f>
        <v>608000</v>
      </c>
      <c r="AA16" s="686">
        <f t="shared" si="8"/>
        <v>0</v>
      </c>
      <c r="AB16" s="686">
        <f t="shared" si="8"/>
        <v>0</v>
      </c>
      <c r="AC16" s="686">
        <f t="shared" si="8"/>
        <v>0</v>
      </c>
      <c r="AD16" s="686">
        <f t="shared" si="8"/>
        <v>0</v>
      </c>
      <c r="AE16" s="686">
        <f t="shared" si="8"/>
        <v>0</v>
      </c>
      <c r="AF16" s="686">
        <f t="shared" si="8"/>
        <v>0</v>
      </c>
      <c r="AG16" s="686">
        <f t="shared" si="8"/>
        <v>0</v>
      </c>
      <c r="AH16" s="686">
        <f t="shared" si="8"/>
        <v>0</v>
      </c>
      <c r="AI16" s="686">
        <f t="shared" si="8"/>
        <v>0</v>
      </c>
      <c r="AJ16" s="686">
        <f t="shared" si="8"/>
        <v>0</v>
      </c>
      <c r="AK16" s="686">
        <f t="shared" si="8"/>
        <v>0</v>
      </c>
      <c r="AL16" s="686">
        <f t="shared" si="8"/>
        <v>0</v>
      </c>
      <c r="AM16" s="686">
        <f t="shared" si="8"/>
        <v>0</v>
      </c>
      <c r="AN16" s="686">
        <f t="shared" si="8"/>
        <v>0</v>
      </c>
      <c r="AO16" s="686">
        <f t="shared" si="8"/>
        <v>0</v>
      </c>
      <c r="AP16" s="686">
        <f t="shared" si="8"/>
        <v>0</v>
      </c>
      <c r="AQ16" s="686">
        <f t="shared" si="8"/>
        <v>0</v>
      </c>
      <c r="AR16" s="686">
        <f t="shared" si="8"/>
        <v>608000</v>
      </c>
      <c r="AS16" s="686">
        <f t="shared" si="8"/>
        <v>-57715000</v>
      </c>
      <c r="AT16" s="686">
        <f t="shared" si="8"/>
        <v>2375000</v>
      </c>
      <c r="AU16" s="686">
        <f t="shared" si="8"/>
        <v>0</v>
      </c>
      <c r="AV16" s="686">
        <f t="shared" si="8"/>
        <v>2375000</v>
      </c>
    </row>
    <row r="17" spans="1:48">
      <c r="A17" s="640">
        <v>15</v>
      </c>
      <c r="B17" s="605"/>
      <c r="C17" s="631" t="s">
        <v>1257</v>
      </c>
      <c r="D17" s="631"/>
      <c r="E17" s="647">
        <f>E9+E16</f>
        <v>207825000</v>
      </c>
      <c r="F17" s="647">
        <f t="shared" ref="F17:X17" si="9">F9+F16</f>
        <v>0</v>
      </c>
      <c r="G17" s="647">
        <f t="shared" si="9"/>
        <v>0</v>
      </c>
      <c r="H17" s="647">
        <f t="shared" si="9"/>
        <v>0</v>
      </c>
      <c r="I17" s="647">
        <f t="shared" si="9"/>
        <v>0</v>
      </c>
      <c r="J17" s="647">
        <f t="shared" si="9"/>
        <v>-5247000</v>
      </c>
      <c r="K17" s="647">
        <f t="shared" si="9"/>
        <v>0</v>
      </c>
      <c r="L17" s="647">
        <f t="shared" si="9"/>
        <v>0</v>
      </c>
      <c r="M17" s="647">
        <f t="shared" si="9"/>
        <v>0</v>
      </c>
      <c r="N17" s="647">
        <f t="shared" si="9"/>
        <v>0</v>
      </c>
      <c r="O17" s="647">
        <f t="shared" si="9"/>
        <v>0</v>
      </c>
      <c r="P17" s="647">
        <f t="shared" si="9"/>
        <v>0</v>
      </c>
      <c r="Q17" s="647">
        <f t="shared" si="9"/>
        <v>0</v>
      </c>
      <c r="R17" s="647">
        <f t="shared" si="9"/>
        <v>0</v>
      </c>
      <c r="S17" s="647">
        <f t="shared" si="9"/>
        <v>-1836000</v>
      </c>
      <c r="T17" s="647">
        <f t="shared" si="9"/>
        <v>-51914000</v>
      </c>
      <c r="U17" s="647">
        <f t="shared" si="9"/>
        <v>-444000</v>
      </c>
      <c r="V17" s="647">
        <f t="shared" si="9"/>
        <v>0</v>
      </c>
      <c r="W17" s="647">
        <f t="shared" si="9"/>
        <v>0</v>
      </c>
      <c r="X17" s="647">
        <f t="shared" si="9"/>
        <v>0</v>
      </c>
      <c r="Y17" s="690">
        <f t="shared" si="0"/>
        <v>-59441000</v>
      </c>
      <c r="Z17" s="647">
        <f t="shared" ref="Z17:AV17" si="10">Z9+Z16</f>
        <v>-42597000</v>
      </c>
      <c r="AA17" s="647">
        <f t="shared" si="10"/>
        <v>0</v>
      </c>
      <c r="AB17" s="647">
        <f t="shared" si="10"/>
        <v>0</v>
      </c>
      <c r="AC17" s="647">
        <f t="shared" si="10"/>
        <v>0</v>
      </c>
      <c r="AD17" s="647">
        <f t="shared" si="10"/>
        <v>0</v>
      </c>
      <c r="AE17" s="647">
        <f t="shared" si="10"/>
        <v>0</v>
      </c>
      <c r="AF17" s="647">
        <f t="shared" si="10"/>
        <v>0</v>
      </c>
      <c r="AG17" s="647">
        <f t="shared" si="10"/>
        <v>0</v>
      </c>
      <c r="AH17" s="647">
        <f t="shared" si="10"/>
        <v>0</v>
      </c>
      <c r="AI17" s="647">
        <f t="shared" si="10"/>
        <v>0</v>
      </c>
      <c r="AJ17" s="647">
        <f t="shared" si="10"/>
        <v>0</v>
      </c>
      <c r="AK17" s="647">
        <f t="shared" si="10"/>
        <v>0</v>
      </c>
      <c r="AL17" s="647">
        <f t="shared" si="10"/>
        <v>0</v>
      </c>
      <c r="AM17" s="647">
        <f t="shared" si="10"/>
        <v>0</v>
      </c>
      <c r="AN17" s="647">
        <f t="shared" si="10"/>
        <v>0</v>
      </c>
      <c r="AO17" s="647">
        <f t="shared" si="10"/>
        <v>0</v>
      </c>
      <c r="AP17" s="647">
        <f t="shared" si="10"/>
        <v>0</v>
      </c>
      <c r="AQ17" s="647">
        <f t="shared" si="10"/>
        <v>0</v>
      </c>
      <c r="AR17" s="647">
        <f t="shared" si="10"/>
        <v>-42597000</v>
      </c>
      <c r="AS17" s="647">
        <f t="shared" si="10"/>
        <v>-102038000</v>
      </c>
      <c r="AT17" s="647">
        <f t="shared" si="10"/>
        <v>105787000</v>
      </c>
      <c r="AU17" s="647">
        <f t="shared" si="10"/>
        <v>0</v>
      </c>
      <c r="AV17" s="647">
        <f t="shared" si="10"/>
        <v>105787000</v>
      </c>
    </row>
    <row r="18" spans="1:48">
      <c r="A18" s="640">
        <v>16</v>
      </c>
      <c r="B18" s="810" t="s">
        <v>283</v>
      </c>
      <c r="C18" s="628" t="s">
        <v>1352</v>
      </c>
      <c r="D18" s="654" t="s">
        <v>1353</v>
      </c>
      <c r="E18" s="649">
        <f>PROFORMA!F11</f>
        <v>100542000</v>
      </c>
      <c r="F18" s="649">
        <f>PROFORMA!G11</f>
        <v>0</v>
      </c>
      <c r="G18" s="649">
        <f>PROFORMA!H11</f>
        <v>0</v>
      </c>
      <c r="H18" s="649">
        <f>PROFORMA!I11</f>
        <v>0</v>
      </c>
      <c r="I18" s="649">
        <f>PROFORMA!J11</f>
        <v>0</v>
      </c>
      <c r="J18" s="649">
        <f>PROFORMA!K11</f>
        <v>0</v>
      </c>
      <c r="K18" s="649">
        <f>PROFORMA!L11</f>
        <v>0</v>
      </c>
      <c r="L18" s="649">
        <f>PROFORMA!M11</f>
        <v>0</v>
      </c>
      <c r="M18" s="649">
        <f>PROFORMA!N11</f>
        <v>0</v>
      </c>
      <c r="N18" s="649">
        <f>PROFORMA!O11</f>
        <v>0</v>
      </c>
      <c r="O18" s="649">
        <f>PROFORMA!P11</f>
        <v>0</v>
      </c>
      <c r="P18" s="649">
        <f>PROFORMA!Q11</f>
        <v>0</v>
      </c>
      <c r="Q18" s="649">
        <f>PROFORMA!R11</f>
        <v>0</v>
      </c>
      <c r="R18" s="649">
        <f>PROFORMA!S11</f>
        <v>0</v>
      </c>
      <c r="S18" s="649">
        <f>PROFORMA!T11</f>
        <v>-1655000</v>
      </c>
      <c r="T18" s="649">
        <f>PROFORMA!U11</f>
        <v>-47738000</v>
      </c>
      <c r="U18" s="649">
        <f>PROFORMA!V11</f>
        <v>0</v>
      </c>
      <c r="V18" s="649">
        <f>PROFORMA!W11</f>
        <v>0</v>
      </c>
      <c r="W18" s="649">
        <f>PROFORMA!X11</f>
        <v>0</v>
      </c>
      <c r="X18" s="649">
        <f>PROFORMA!Y11</f>
        <v>0</v>
      </c>
      <c r="Y18" s="690">
        <f t="shared" si="0"/>
        <v>-49393000</v>
      </c>
      <c r="Z18" s="649">
        <f>PROFORMA!Z11</f>
        <v>-51148000</v>
      </c>
      <c r="AA18" s="649">
        <f>PROFORMA!AA11</f>
        <v>0</v>
      </c>
      <c r="AB18" s="649">
        <f>PROFORMA!AB11</f>
        <v>0</v>
      </c>
      <c r="AC18" s="649">
        <f>PROFORMA!AC11</f>
        <v>0</v>
      </c>
      <c r="AD18" s="649">
        <f>PROFORMA!AD11</f>
        <v>0</v>
      </c>
      <c r="AE18" s="649">
        <f>PROFORMA!AE11</f>
        <v>0</v>
      </c>
      <c r="AF18" s="649">
        <f>PROFORMA!AF11</f>
        <v>0</v>
      </c>
      <c r="AG18" s="649">
        <f>PROFORMA!AG11</f>
        <v>0</v>
      </c>
      <c r="AH18" s="649">
        <f>PROFORMA!AH11</f>
        <v>0</v>
      </c>
      <c r="AI18" s="649">
        <f>PROFORMA!AI11</f>
        <v>0</v>
      </c>
      <c r="AJ18" s="649">
        <f>PROFORMA!AJ11</f>
        <v>0</v>
      </c>
      <c r="AK18" s="649">
        <f>PROFORMA!AK11</f>
        <v>0</v>
      </c>
      <c r="AL18" s="649">
        <f>PROFORMA!AL11</f>
        <v>0</v>
      </c>
      <c r="AM18" s="649">
        <f>PROFORMA!AM11</f>
        <v>0</v>
      </c>
      <c r="AN18" s="649">
        <f>PROFORMA!AN11</f>
        <v>0</v>
      </c>
      <c r="AO18" s="649">
        <f>PROFORMA!AO11</f>
        <v>0</v>
      </c>
      <c r="AP18" s="649">
        <f>PROFORMA!AP11</f>
        <v>0</v>
      </c>
      <c r="AQ18" s="649">
        <f>PROFORMA!AQ11</f>
        <v>0</v>
      </c>
      <c r="AR18" s="693">
        <f t="shared" si="1"/>
        <v>-51148000</v>
      </c>
      <c r="AS18" s="643">
        <f t="shared" si="2"/>
        <v>-100541000</v>
      </c>
      <c r="AT18" s="643">
        <f t="shared" si="3"/>
        <v>1000</v>
      </c>
      <c r="AU18" s="643"/>
      <c r="AV18" s="643">
        <f t="shared" si="4"/>
        <v>1000</v>
      </c>
    </row>
    <row r="19" spans="1:48" ht="31.2">
      <c r="A19" s="640">
        <v>17</v>
      </c>
      <c r="B19" s="810"/>
      <c r="C19" s="628" t="s">
        <v>760</v>
      </c>
      <c r="D19" s="654">
        <v>808</v>
      </c>
      <c r="E19" s="685">
        <f>PROFORMA!F26</f>
        <v>-1600000</v>
      </c>
      <c r="F19" s="685">
        <f>PROFORMA!G26</f>
        <v>0</v>
      </c>
      <c r="G19" s="685">
        <f>PROFORMA!H26</f>
        <v>0</v>
      </c>
      <c r="H19" s="685">
        <f>PROFORMA!I26</f>
        <v>0</v>
      </c>
      <c r="I19" s="685">
        <f>PROFORMA!J26</f>
        <v>0</v>
      </c>
      <c r="J19" s="685">
        <f>PROFORMA!K26</f>
        <v>0</v>
      </c>
      <c r="K19" s="685">
        <f>PROFORMA!L26</f>
        <v>0</v>
      </c>
      <c r="L19" s="685">
        <f>PROFORMA!M26</f>
        <v>0</v>
      </c>
      <c r="M19" s="685">
        <f>PROFORMA!N26</f>
        <v>0</v>
      </c>
      <c r="N19" s="685">
        <f>PROFORMA!O26</f>
        <v>0</v>
      </c>
      <c r="O19" s="685">
        <f>PROFORMA!P26</f>
        <v>0</v>
      </c>
      <c r="P19" s="685">
        <f>PROFORMA!Q26</f>
        <v>0</v>
      </c>
      <c r="Q19" s="685">
        <f>PROFORMA!R26</f>
        <v>0</v>
      </c>
      <c r="R19" s="685">
        <f>PROFORMA!S26</f>
        <v>0</v>
      </c>
      <c r="S19" s="685">
        <f>PROFORMA!T26</f>
        <v>0</v>
      </c>
      <c r="T19" s="685">
        <f>PROFORMA!U26</f>
        <v>1928000</v>
      </c>
      <c r="U19" s="685">
        <f>PROFORMA!V26</f>
        <v>0</v>
      </c>
      <c r="V19" s="685">
        <f>PROFORMA!W26</f>
        <v>0</v>
      </c>
      <c r="W19" s="685">
        <f>PROFORMA!X26</f>
        <v>0</v>
      </c>
      <c r="X19" s="685">
        <f>PROFORMA!Y26</f>
        <v>0</v>
      </c>
      <c r="Y19" s="691">
        <f t="shared" si="0"/>
        <v>1928000</v>
      </c>
      <c r="Z19" s="685">
        <f>PROFORMA!Z26</f>
        <v>0</v>
      </c>
      <c r="AA19" s="685">
        <f>PROFORMA!AA26</f>
        <v>0</v>
      </c>
      <c r="AB19" s="685">
        <f>PROFORMA!AB26</f>
        <v>0</v>
      </c>
      <c r="AC19" s="685">
        <f>PROFORMA!AC26</f>
        <v>0</v>
      </c>
      <c r="AD19" s="685">
        <f>PROFORMA!AD26</f>
        <v>0</v>
      </c>
      <c r="AE19" s="685">
        <f>PROFORMA!AE26</f>
        <v>0</v>
      </c>
      <c r="AF19" s="685">
        <f>PROFORMA!AF26</f>
        <v>0</v>
      </c>
      <c r="AG19" s="685">
        <f>PROFORMA!AG26</f>
        <v>0</v>
      </c>
      <c r="AH19" s="685">
        <f>PROFORMA!AH26</f>
        <v>0</v>
      </c>
      <c r="AI19" s="685">
        <f>PROFORMA!AI26</f>
        <v>0</v>
      </c>
      <c r="AJ19" s="685">
        <f>PROFORMA!AJ26</f>
        <v>0</v>
      </c>
      <c r="AK19" s="685">
        <f>PROFORMA!AK26</f>
        <v>0</v>
      </c>
      <c r="AL19" s="685">
        <f>PROFORMA!AL26</f>
        <v>0</v>
      </c>
      <c r="AM19" s="685">
        <f>PROFORMA!AM26</f>
        <v>0</v>
      </c>
      <c r="AN19" s="685">
        <f>PROFORMA!AN26</f>
        <v>0</v>
      </c>
      <c r="AO19" s="685">
        <f>PROFORMA!AO26</f>
        <v>0</v>
      </c>
      <c r="AP19" s="685">
        <f>PROFORMA!AP26</f>
        <v>0</v>
      </c>
      <c r="AQ19" s="685">
        <f>PROFORMA!AQ26</f>
        <v>0</v>
      </c>
      <c r="AR19" s="694">
        <f t="shared" si="1"/>
        <v>0</v>
      </c>
      <c r="AS19" s="692">
        <f t="shared" si="2"/>
        <v>1928000</v>
      </c>
      <c r="AT19" s="692">
        <f t="shared" si="3"/>
        <v>328000</v>
      </c>
      <c r="AU19" s="692"/>
      <c r="AV19" s="692">
        <f t="shared" si="4"/>
        <v>328000</v>
      </c>
    </row>
    <row r="20" spans="1:48">
      <c r="A20" s="640">
        <v>18</v>
      </c>
      <c r="B20" s="810"/>
      <c r="C20" s="630" t="s">
        <v>1354</v>
      </c>
      <c r="D20" s="654"/>
      <c r="E20" s="663">
        <f>SUM(E18:E19)</f>
        <v>98942000</v>
      </c>
      <c r="F20" s="663">
        <f t="shared" ref="F20:X20" si="11">SUM(F18:F19)</f>
        <v>0</v>
      </c>
      <c r="G20" s="663">
        <f t="shared" si="11"/>
        <v>0</v>
      </c>
      <c r="H20" s="663">
        <f t="shared" si="11"/>
        <v>0</v>
      </c>
      <c r="I20" s="663">
        <f t="shared" si="11"/>
        <v>0</v>
      </c>
      <c r="J20" s="663">
        <f t="shared" si="11"/>
        <v>0</v>
      </c>
      <c r="K20" s="663">
        <f t="shared" si="11"/>
        <v>0</v>
      </c>
      <c r="L20" s="663">
        <f t="shared" si="11"/>
        <v>0</v>
      </c>
      <c r="M20" s="663">
        <f t="shared" si="11"/>
        <v>0</v>
      </c>
      <c r="N20" s="663">
        <f t="shared" si="11"/>
        <v>0</v>
      </c>
      <c r="O20" s="663">
        <f t="shared" si="11"/>
        <v>0</v>
      </c>
      <c r="P20" s="663">
        <f t="shared" si="11"/>
        <v>0</v>
      </c>
      <c r="Q20" s="663">
        <f t="shared" si="11"/>
        <v>0</v>
      </c>
      <c r="R20" s="663">
        <f t="shared" si="11"/>
        <v>0</v>
      </c>
      <c r="S20" s="663">
        <f t="shared" si="11"/>
        <v>-1655000</v>
      </c>
      <c r="T20" s="663">
        <f t="shared" si="11"/>
        <v>-45810000</v>
      </c>
      <c r="U20" s="663">
        <f t="shared" si="11"/>
        <v>0</v>
      </c>
      <c r="V20" s="663">
        <f t="shared" si="11"/>
        <v>0</v>
      </c>
      <c r="W20" s="663">
        <f t="shared" si="11"/>
        <v>0</v>
      </c>
      <c r="X20" s="663">
        <f t="shared" si="11"/>
        <v>0</v>
      </c>
      <c r="Y20" s="690">
        <f t="shared" si="0"/>
        <v>-47465000</v>
      </c>
      <c r="Z20" s="663">
        <f t="shared" ref="Z20:AV20" si="12">SUM(Z18:Z19)</f>
        <v>-51148000</v>
      </c>
      <c r="AA20" s="663">
        <f t="shared" si="12"/>
        <v>0</v>
      </c>
      <c r="AB20" s="663">
        <f t="shared" si="12"/>
        <v>0</v>
      </c>
      <c r="AC20" s="663">
        <f t="shared" si="12"/>
        <v>0</v>
      </c>
      <c r="AD20" s="663">
        <f t="shared" si="12"/>
        <v>0</v>
      </c>
      <c r="AE20" s="663">
        <f t="shared" si="12"/>
        <v>0</v>
      </c>
      <c r="AF20" s="663">
        <f t="shared" si="12"/>
        <v>0</v>
      </c>
      <c r="AG20" s="663">
        <f t="shared" si="12"/>
        <v>0</v>
      </c>
      <c r="AH20" s="663">
        <f t="shared" si="12"/>
        <v>0</v>
      </c>
      <c r="AI20" s="663">
        <f t="shared" si="12"/>
        <v>0</v>
      </c>
      <c r="AJ20" s="663">
        <f t="shared" si="12"/>
        <v>0</v>
      </c>
      <c r="AK20" s="663">
        <f t="shared" si="12"/>
        <v>0</v>
      </c>
      <c r="AL20" s="663">
        <f t="shared" si="12"/>
        <v>0</v>
      </c>
      <c r="AM20" s="663">
        <f t="shared" si="12"/>
        <v>0</v>
      </c>
      <c r="AN20" s="663">
        <f t="shared" si="12"/>
        <v>0</v>
      </c>
      <c r="AO20" s="663">
        <f t="shared" si="12"/>
        <v>0</v>
      </c>
      <c r="AP20" s="663">
        <f t="shared" si="12"/>
        <v>0</v>
      </c>
      <c r="AQ20" s="663">
        <f t="shared" si="12"/>
        <v>0</v>
      </c>
      <c r="AR20" s="663">
        <f t="shared" si="12"/>
        <v>-51148000</v>
      </c>
      <c r="AS20" s="663">
        <f t="shared" si="12"/>
        <v>-98613000</v>
      </c>
      <c r="AT20" s="663">
        <f t="shared" si="12"/>
        <v>329000</v>
      </c>
      <c r="AU20" s="663">
        <f t="shared" si="12"/>
        <v>0</v>
      </c>
      <c r="AV20" s="663">
        <f t="shared" si="12"/>
        <v>329000</v>
      </c>
    </row>
    <row r="21" spans="1:48">
      <c r="A21" s="640">
        <v>19</v>
      </c>
      <c r="B21" s="810"/>
      <c r="C21" s="628" t="s">
        <v>1355</v>
      </c>
      <c r="D21" s="654">
        <v>811</v>
      </c>
      <c r="E21" s="649">
        <f>PROFORMA!F29</f>
        <v>-328000</v>
      </c>
      <c r="F21" s="649">
        <f>PROFORMA!G29</f>
        <v>0</v>
      </c>
      <c r="G21" s="649">
        <f>PROFORMA!H29</f>
        <v>0</v>
      </c>
      <c r="H21" s="649">
        <f>PROFORMA!I29</f>
        <v>0</v>
      </c>
      <c r="I21" s="649">
        <f>PROFORMA!J29</f>
        <v>0</v>
      </c>
      <c r="J21" s="649">
        <f>PROFORMA!K29</f>
        <v>0</v>
      </c>
      <c r="K21" s="649">
        <f>PROFORMA!L29</f>
        <v>0</v>
      </c>
      <c r="L21" s="649">
        <f>PROFORMA!M29</f>
        <v>0</v>
      </c>
      <c r="M21" s="649">
        <f>PROFORMA!N29</f>
        <v>0</v>
      </c>
      <c r="N21" s="649">
        <f>PROFORMA!O29</f>
        <v>0</v>
      </c>
      <c r="O21" s="649">
        <f>PROFORMA!P29</f>
        <v>0</v>
      </c>
      <c r="P21" s="649">
        <f>PROFORMA!Q29</f>
        <v>0</v>
      </c>
      <c r="Q21" s="649">
        <f>PROFORMA!R29</f>
        <v>0</v>
      </c>
      <c r="R21" s="649">
        <f>PROFORMA!S29</f>
        <v>0</v>
      </c>
      <c r="S21" s="649">
        <f>PROFORMA!T29</f>
        <v>0</v>
      </c>
      <c r="T21" s="649">
        <f>PROFORMA!U29</f>
        <v>0</v>
      </c>
      <c r="U21" s="649">
        <f>PROFORMA!V29</f>
        <v>0</v>
      </c>
      <c r="V21" s="649">
        <f>PROFORMA!W29</f>
        <v>0</v>
      </c>
      <c r="W21" s="649">
        <f>PROFORMA!X29</f>
        <v>0</v>
      </c>
      <c r="X21" s="649">
        <f>PROFORMA!Y29</f>
        <v>0</v>
      </c>
      <c r="Y21" s="690">
        <f t="shared" si="0"/>
        <v>0</v>
      </c>
      <c r="Z21" s="649">
        <f>PROFORMA!Z29</f>
        <v>0</v>
      </c>
      <c r="AA21" s="649">
        <f>PROFORMA!AA29</f>
        <v>0</v>
      </c>
      <c r="AB21" s="649">
        <f>PROFORMA!AB29</f>
        <v>0</v>
      </c>
      <c r="AC21" s="649">
        <f>PROFORMA!AC29</f>
        <v>0</v>
      </c>
      <c r="AD21" s="649">
        <f>PROFORMA!AD29</f>
        <v>0</v>
      </c>
      <c r="AE21" s="649">
        <f>PROFORMA!AE29</f>
        <v>0</v>
      </c>
      <c r="AF21" s="649">
        <f>PROFORMA!AF29</f>
        <v>0</v>
      </c>
      <c r="AG21" s="649">
        <f>PROFORMA!AG29</f>
        <v>0</v>
      </c>
      <c r="AH21" s="649">
        <f>PROFORMA!AH29</f>
        <v>0</v>
      </c>
      <c r="AI21" s="649">
        <f>PROFORMA!AI29</f>
        <v>0</v>
      </c>
      <c r="AJ21" s="649">
        <f>PROFORMA!AJ29</f>
        <v>0</v>
      </c>
      <c r="AK21" s="649">
        <f>PROFORMA!AK29</f>
        <v>0</v>
      </c>
      <c r="AL21" s="649">
        <f>PROFORMA!AL29</f>
        <v>0</v>
      </c>
      <c r="AM21" s="649">
        <f>PROFORMA!AM29</f>
        <v>0</v>
      </c>
      <c r="AN21" s="649">
        <f>PROFORMA!AN29</f>
        <v>0</v>
      </c>
      <c r="AO21" s="649">
        <f>PROFORMA!AO29</f>
        <v>0</v>
      </c>
      <c r="AP21" s="649">
        <f>PROFORMA!AP29</f>
        <v>0</v>
      </c>
      <c r="AQ21" s="649">
        <f>PROFORMA!AQ29</f>
        <v>0</v>
      </c>
      <c r="AR21" s="693">
        <f t="shared" si="1"/>
        <v>0</v>
      </c>
      <c r="AS21" s="643">
        <f t="shared" si="2"/>
        <v>0</v>
      </c>
      <c r="AT21" s="643">
        <f t="shared" si="3"/>
        <v>-328000</v>
      </c>
      <c r="AU21" s="643"/>
      <c r="AV21" s="643">
        <f t="shared" si="4"/>
        <v>-328000</v>
      </c>
    </row>
    <row r="22" spans="1:48">
      <c r="A22" s="640">
        <v>20</v>
      </c>
      <c r="B22" s="810"/>
      <c r="C22" s="628" t="s">
        <v>755</v>
      </c>
      <c r="D22" s="654">
        <v>813.01</v>
      </c>
      <c r="E22" s="649">
        <f>PROFORMA!F30</f>
        <v>87000</v>
      </c>
      <c r="F22" s="649">
        <f>PROFORMA!G30</f>
        <v>0</v>
      </c>
      <c r="G22" s="649">
        <f>PROFORMA!H30</f>
        <v>0</v>
      </c>
      <c r="H22" s="649">
        <f>PROFORMA!I30</f>
        <v>0</v>
      </c>
      <c r="I22" s="649">
        <f>PROFORMA!J30</f>
        <v>0</v>
      </c>
      <c r="J22" s="649">
        <f>PROFORMA!K30</f>
        <v>0</v>
      </c>
      <c r="K22" s="649">
        <f>PROFORMA!L30</f>
        <v>0</v>
      </c>
      <c r="L22" s="649">
        <f>PROFORMA!M30</f>
        <v>0</v>
      </c>
      <c r="M22" s="649">
        <f>PROFORMA!N30</f>
        <v>0</v>
      </c>
      <c r="N22" s="649">
        <f>PROFORMA!O30</f>
        <v>0</v>
      </c>
      <c r="O22" s="649">
        <f>PROFORMA!P30</f>
        <v>0</v>
      </c>
      <c r="P22" s="649">
        <f>PROFORMA!Q30</f>
        <v>0</v>
      </c>
      <c r="Q22" s="649">
        <f>PROFORMA!R30</f>
        <v>0</v>
      </c>
      <c r="R22" s="649">
        <f>PROFORMA!S30</f>
        <v>0</v>
      </c>
      <c r="S22" s="649">
        <f>PROFORMA!T30</f>
        <v>-3000</v>
      </c>
      <c r="T22" s="649">
        <f>PROFORMA!U30</f>
        <v>0</v>
      </c>
      <c r="U22" s="649">
        <f>PROFORMA!V30</f>
        <v>0</v>
      </c>
      <c r="V22" s="649">
        <f>PROFORMA!W30</f>
        <v>0</v>
      </c>
      <c r="W22" s="649">
        <f>PROFORMA!X30</f>
        <v>0</v>
      </c>
      <c r="X22" s="649">
        <f>PROFORMA!Y30</f>
        <v>0</v>
      </c>
      <c r="Y22" s="690">
        <f t="shared" si="0"/>
        <v>-3000</v>
      </c>
      <c r="Z22" s="649">
        <f>PROFORMA!Z30</f>
        <v>0</v>
      </c>
      <c r="AA22" s="649">
        <f>PROFORMA!AA30</f>
        <v>0</v>
      </c>
      <c r="AB22" s="649">
        <f>PROFORMA!AB30</f>
        <v>0</v>
      </c>
      <c r="AC22" s="649">
        <f>PROFORMA!AC30</f>
        <v>0</v>
      </c>
      <c r="AD22" s="649">
        <f>PROFORMA!AD30</f>
        <v>0</v>
      </c>
      <c r="AE22" s="649">
        <f>PROFORMA!AE30</f>
        <v>0</v>
      </c>
      <c r="AF22" s="649">
        <f>PROFORMA!AF30</f>
        <v>0</v>
      </c>
      <c r="AG22" s="649">
        <f>PROFORMA!AG30</f>
        <v>0</v>
      </c>
      <c r="AH22" s="649">
        <f>PROFORMA!AH30</f>
        <v>0</v>
      </c>
      <c r="AI22" s="649">
        <f>PROFORMA!AI30</f>
        <v>0</v>
      </c>
      <c r="AJ22" s="649">
        <f>PROFORMA!AJ30</f>
        <v>0</v>
      </c>
      <c r="AK22" s="649">
        <f>PROFORMA!AK30</f>
        <v>0</v>
      </c>
      <c r="AL22" s="649">
        <f>PROFORMA!AL30</f>
        <v>0</v>
      </c>
      <c r="AM22" s="649">
        <f>PROFORMA!AM30</f>
        <v>0</v>
      </c>
      <c r="AN22" s="649">
        <f>PROFORMA!AN30</f>
        <v>0</v>
      </c>
      <c r="AO22" s="649">
        <f>PROFORMA!AO30</f>
        <v>0</v>
      </c>
      <c r="AP22" s="649">
        <f>PROFORMA!AP30</f>
        <v>0</v>
      </c>
      <c r="AQ22" s="649">
        <f>PROFORMA!AQ30</f>
        <v>0</v>
      </c>
      <c r="AR22" s="693">
        <f t="shared" si="1"/>
        <v>0</v>
      </c>
      <c r="AS22" s="643">
        <f t="shared" si="2"/>
        <v>-3000</v>
      </c>
      <c r="AT22" s="643">
        <f t="shared" si="3"/>
        <v>84000</v>
      </c>
      <c r="AU22" s="643"/>
      <c r="AV22" s="643">
        <f t="shared" si="4"/>
        <v>84000</v>
      </c>
    </row>
    <row r="23" spans="1:48">
      <c r="A23" s="640">
        <v>21</v>
      </c>
      <c r="B23" s="810"/>
      <c r="C23" s="628" t="s">
        <v>286</v>
      </c>
      <c r="D23" s="654">
        <v>813</v>
      </c>
      <c r="E23" s="685">
        <f>PROFORMA!F31</f>
        <v>871000</v>
      </c>
      <c r="F23" s="685">
        <f>PROFORMA!G31</f>
        <v>0</v>
      </c>
      <c r="G23" s="685">
        <f>PROFORMA!H31</f>
        <v>0</v>
      </c>
      <c r="H23" s="685">
        <f>PROFORMA!I31</f>
        <v>0</v>
      </c>
      <c r="I23" s="685">
        <f>PROFORMA!J31</f>
        <v>0</v>
      </c>
      <c r="J23" s="685">
        <f>PROFORMA!K31</f>
        <v>0</v>
      </c>
      <c r="K23" s="685">
        <f>PROFORMA!L31</f>
        <v>0</v>
      </c>
      <c r="L23" s="685">
        <f>PROFORMA!M31</f>
        <v>0</v>
      </c>
      <c r="M23" s="685">
        <f>PROFORMA!N31</f>
        <v>0</v>
      </c>
      <c r="N23" s="685">
        <f>PROFORMA!O31</f>
        <v>0</v>
      </c>
      <c r="O23" s="685">
        <f>PROFORMA!P31</f>
        <v>0</v>
      </c>
      <c r="P23" s="685">
        <f>PROFORMA!Q31</f>
        <v>0</v>
      </c>
      <c r="Q23" s="685">
        <f>PROFORMA!R31</f>
        <v>0</v>
      </c>
      <c r="R23" s="685">
        <f>PROFORMA!S31</f>
        <v>0</v>
      </c>
      <c r="S23" s="685">
        <f>PROFORMA!T31</f>
        <v>0</v>
      </c>
      <c r="T23" s="685">
        <f>PROFORMA!U31</f>
        <v>0</v>
      </c>
      <c r="U23" s="685">
        <f>PROFORMA!V31</f>
        <v>0</v>
      </c>
      <c r="V23" s="685">
        <f>PROFORMA!W31</f>
        <v>0</v>
      </c>
      <c r="W23" s="685">
        <f>PROFORMA!X31</f>
        <v>0</v>
      </c>
      <c r="X23" s="685">
        <f>PROFORMA!Y31</f>
        <v>0</v>
      </c>
      <c r="Y23" s="691">
        <f t="shared" si="0"/>
        <v>0</v>
      </c>
      <c r="Z23" s="685">
        <f>PROFORMA!Z31</f>
        <v>0</v>
      </c>
      <c r="AA23" s="685">
        <f>PROFORMA!AA31</f>
        <v>0</v>
      </c>
      <c r="AB23" s="685">
        <f>PROFORMA!AB31</f>
        <v>0</v>
      </c>
      <c r="AC23" s="685">
        <f>PROFORMA!AC31</f>
        <v>30000</v>
      </c>
      <c r="AD23" s="685">
        <f>PROFORMA!AD31</f>
        <v>0</v>
      </c>
      <c r="AE23" s="685">
        <f>PROFORMA!AE31</f>
        <v>10000</v>
      </c>
      <c r="AF23" s="685">
        <f>PROFORMA!AF31</f>
        <v>0</v>
      </c>
      <c r="AG23" s="685">
        <f>PROFORMA!AG31</f>
        <v>0</v>
      </c>
      <c r="AH23" s="685">
        <f>PROFORMA!AH31</f>
        <v>0</v>
      </c>
      <c r="AI23" s="685">
        <f>PROFORMA!AI31</f>
        <v>0</v>
      </c>
      <c r="AJ23" s="685">
        <f>PROFORMA!AJ31</f>
        <v>0</v>
      </c>
      <c r="AK23" s="685">
        <f>PROFORMA!AK31</f>
        <v>0</v>
      </c>
      <c r="AL23" s="685">
        <f>PROFORMA!AL31</f>
        <v>0</v>
      </c>
      <c r="AM23" s="685">
        <f>PROFORMA!AM31</f>
        <v>0</v>
      </c>
      <c r="AN23" s="685">
        <f>PROFORMA!AN31</f>
        <v>0</v>
      </c>
      <c r="AO23" s="685">
        <f>PROFORMA!AO31</f>
        <v>0</v>
      </c>
      <c r="AP23" s="685">
        <f>PROFORMA!AP31</f>
        <v>0</v>
      </c>
      <c r="AQ23" s="685">
        <f>PROFORMA!AQ31</f>
        <v>0</v>
      </c>
      <c r="AR23" s="694">
        <f t="shared" si="1"/>
        <v>40000</v>
      </c>
      <c r="AS23" s="692">
        <f t="shared" si="2"/>
        <v>40000</v>
      </c>
      <c r="AT23" s="692">
        <f t="shared" si="3"/>
        <v>911000</v>
      </c>
      <c r="AU23" s="692"/>
      <c r="AV23" s="692">
        <f t="shared" si="4"/>
        <v>911000</v>
      </c>
    </row>
    <row r="24" spans="1:48">
      <c r="A24" s="640">
        <v>22</v>
      </c>
      <c r="B24" s="810"/>
      <c r="C24" s="625" t="s">
        <v>1260</v>
      </c>
      <c r="D24" s="655"/>
      <c r="E24" s="687">
        <f>SUM(E21:E23)</f>
        <v>630000</v>
      </c>
      <c r="F24" s="687">
        <f t="shared" ref="F24:X24" si="13">SUM(F21:F23)</f>
        <v>0</v>
      </c>
      <c r="G24" s="687">
        <f t="shared" si="13"/>
        <v>0</v>
      </c>
      <c r="H24" s="687">
        <f t="shared" si="13"/>
        <v>0</v>
      </c>
      <c r="I24" s="687">
        <f t="shared" si="13"/>
        <v>0</v>
      </c>
      <c r="J24" s="687">
        <f t="shared" si="13"/>
        <v>0</v>
      </c>
      <c r="K24" s="687">
        <f t="shared" si="13"/>
        <v>0</v>
      </c>
      <c r="L24" s="687">
        <f t="shared" si="13"/>
        <v>0</v>
      </c>
      <c r="M24" s="687">
        <f t="shared" si="13"/>
        <v>0</v>
      </c>
      <c r="N24" s="687">
        <f t="shared" si="13"/>
        <v>0</v>
      </c>
      <c r="O24" s="687">
        <f t="shared" si="13"/>
        <v>0</v>
      </c>
      <c r="P24" s="687">
        <f t="shared" si="13"/>
        <v>0</v>
      </c>
      <c r="Q24" s="687">
        <f t="shared" si="13"/>
        <v>0</v>
      </c>
      <c r="R24" s="687">
        <f t="shared" si="13"/>
        <v>0</v>
      </c>
      <c r="S24" s="687">
        <f t="shared" si="13"/>
        <v>-3000</v>
      </c>
      <c r="T24" s="687">
        <f t="shared" si="13"/>
        <v>0</v>
      </c>
      <c r="U24" s="687">
        <f t="shared" si="13"/>
        <v>0</v>
      </c>
      <c r="V24" s="687">
        <f t="shared" si="13"/>
        <v>0</v>
      </c>
      <c r="W24" s="687">
        <f t="shared" si="13"/>
        <v>0</v>
      </c>
      <c r="X24" s="687">
        <f t="shared" si="13"/>
        <v>0</v>
      </c>
      <c r="Y24" s="691">
        <f t="shared" si="0"/>
        <v>-3000</v>
      </c>
      <c r="Z24" s="687">
        <f t="shared" ref="Z24:AV24" si="14">SUM(Z21:Z23)</f>
        <v>0</v>
      </c>
      <c r="AA24" s="687">
        <f t="shared" si="14"/>
        <v>0</v>
      </c>
      <c r="AB24" s="687">
        <f t="shared" si="14"/>
        <v>0</v>
      </c>
      <c r="AC24" s="687">
        <f t="shared" si="14"/>
        <v>30000</v>
      </c>
      <c r="AD24" s="687">
        <f t="shared" si="14"/>
        <v>0</v>
      </c>
      <c r="AE24" s="687">
        <f t="shared" si="14"/>
        <v>10000</v>
      </c>
      <c r="AF24" s="687">
        <f t="shared" si="14"/>
        <v>0</v>
      </c>
      <c r="AG24" s="687">
        <f t="shared" si="14"/>
        <v>0</v>
      </c>
      <c r="AH24" s="687">
        <f t="shared" si="14"/>
        <v>0</v>
      </c>
      <c r="AI24" s="687">
        <f t="shared" si="14"/>
        <v>0</v>
      </c>
      <c r="AJ24" s="687">
        <f t="shared" si="14"/>
        <v>0</v>
      </c>
      <c r="AK24" s="687">
        <f t="shared" si="14"/>
        <v>0</v>
      </c>
      <c r="AL24" s="687">
        <f t="shared" si="14"/>
        <v>0</v>
      </c>
      <c r="AM24" s="687">
        <f t="shared" si="14"/>
        <v>0</v>
      </c>
      <c r="AN24" s="687">
        <f t="shared" si="14"/>
        <v>0</v>
      </c>
      <c r="AO24" s="687">
        <f t="shared" si="14"/>
        <v>0</v>
      </c>
      <c r="AP24" s="687">
        <f t="shared" si="14"/>
        <v>0</v>
      </c>
      <c r="AQ24" s="687">
        <f t="shared" si="14"/>
        <v>0</v>
      </c>
      <c r="AR24" s="687">
        <f t="shared" si="14"/>
        <v>40000</v>
      </c>
      <c r="AS24" s="687">
        <f t="shared" si="14"/>
        <v>37000</v>
      </c>
      <c r="AT24" s="687">
        <f t="shared" si="14"/>
        <v>667000</v>
      </c>
      <c r="AU24" s="687">
        <f t="shared" si="14"/>
        <v>0</v>
      </c>
      <c r="AV24" s="687">
        <f t="shared" si="14"/>
        <v>667000</v>
      </c>
    </row>
    <row r="25" spans="1:48">
      <c r="A25" s="640">
        <v>23</v>
      </c>
      <c r="B25" s="607"/>
      <c r="C25" s="632" t="s">
        <v>287</v>
      </c>
      <c r="D25" s="664"/>
      <c r="E25" s="650">
        <f>E20+E24</f>
        <v>99572000</v>
      </c>
      <c r="F25" s="650">
        <f t="shared" ref="F25:X25" si="15">F20+F24</f>
        <v>0</v>
      </c>
      <c r="G25" s="650">
        <f t="shared" si="15"/>
        <v>0</v>
      </c>
      <c r="H25" s="650">
        <f t="shared" si="15"/>
        <v>0</v>
      </c>
      <c r="I25" s="650">
        <f t="shared" si="15"/>
        <v>0</v>
      </c>
      <c r="J25" s="650">
        <f t="shared" si="15"/>
        <v>0</v>
      </c>
      <c r="K25" s="650">
        <f t="shared" si="15"/>
        <v>0</v>
      </c>
      <c r="L25" s="650">
        <f t="shared" si="15"/>
        <v>0</v>
      </c>
      <c r="M25" s="650">
        <f t="shared" si="15"/>
        <v>0</v>
      </c>
      <c r="N25" s="650">
        <f t="shared" si="15"/>
        <v>0</v>
      </c>
      <c r="O25" s="650">
        <f t="shared" si="15"/>
        <v>0</v>
      </c>
      <c r="P25" s="650">
        <f t="shared" si="15"/>
        <v>0</v>
      </c>
      <c r="Q25" s="650">
        <f t="shared" si="15"/>
        <v>0</v>
      </c>
      <c r="R25" s="650">
        <f t="shared" si="15"/>
        <v>0</v>
      </c>
      <c r="S25" s="650">
        <f t="shared" si="15"/>
        <v>-1658000</v>
      </c>
      <c r="T25" s="650">
        <f t="shared" si="15"/>
        <v>-45810000</v>
      </c>
      <c r="U25" s="650">
        <f t="shared" si="15"/>
        <v>0</v>
      </c>
      <c r="V25" s="650">
        <f t="shared" si="15"/>
        <v>0</v>
      </c>
      <c r="W25" s="650">
        <f t="shared" si="15"/>
        <v>0</v>
      </c>
      <c r="X25" s="650">
        <f t="shared" si="15"/>
        <v>0</v>
      </c>
      <c r="Y25" s="690">
        <f t="shared" si="0"/>
        <v>-47468000</v>
      </c>
      <c r="Z25" s="650">
        <f t="shared" ref="Z25:AV25" si="16">Z20+Z24</f>
        <v>-51148000</v>
      </c>
      <c r="AA25" s="650">
        <f t="shared" si="16"/>
        <v>0</v>
      </c>
      <c r="AB25" s="650">
        <f t="shared" si="16"/>
        <v>0</v>
      </c>
      <c r="AC25" s="650">
        <f t="shared" si="16"/>
        <v>30000</v>
      </c>
      <c r="AD25" s="650">
        <f t="shared" si="16"/>
        <v>0</v>
      </c>
      <c r="AE25" s="650">
        <f t="shared" si="16"/>
        <v>10000</v>
      </c>
      <c r="AF25" s="650">
        <f t="shared" si="16"/>
        <v>0</v>
      </c>
      <c r="AG25" s="650">
        <f t="shared" si="16"/>
        <v>0</v>
      </c>
      <c r="AH25" s="650">
        <f t="shared" si="16"/>
        <v>0</v>
      </c>
      <c r="AI25" s="650">
        <f t="shared" si="16"/>
        <v>0</v>
      </c>
      <c r="AJ25" s="650">
        <f t="shared" si="16"/>
        <v>0</v>
      </c>
      <c r="AK25" s="650">
        <f t="shared" si="16"/>
        <v>0</v>
      </c>
      <c r="AL25" s="650">
        <f t="shared" si="16"/>
        <v>0</v>
      </c>
      <c r="AM25" s="650">
        <f t="shared" si="16"/>
        <v>0</v>
      </c>
      <c r="AN25" s="650">
        <f t="shared" si="16"/>
        <v>0</v>
      </c>
      <c r="AO25" s="650">
        <f t="shared" si="16"/>
        <v>0</v>
      </c>
      <c r="AP25" s="650">
        <f t="shared" si="16"/>
        <v>0</v>
      </c>
      <c r="AQ25" s="650">
        <f t="shared" si="16"/>
        <v>0</v>
      </c>
      <c r="AR25" s="650">
        <f t="shared" si="16"/>
        <v>-51108000</v>
      </c>
      <c r="AS25" s="650">
        <f t="shared" si="16"/>
        <v>-98576000</v>
      </c>
      <c r="AT25" s="650">
        <f t="shared" si="16"/>
        <v>996000</v>
      </c>
      <c r="AU25" s="650">
        <f t="shared" si="16"/>
        <v>0</v>
      </c>
      <c r="AV25" s="650">
        <f t="shared" si="16"/>
        <v>996000</v>
      </c>
    </row>
    <row r="26" spans="1:48">
      <c r="A26" s="640">
        <v>24</v>
      </c>
      <c r="B26" s="810" t="s">
        <v>1356</v>
      </c>
      <c r="C26" s="628" t="s">
        <v>1</v>
      </c>
      <c r="D26" s="656">
        <v>814</v>
      </c>
      <c r="E26" s="649">
        <f>PROFORMA!F35</f>
        <v>14000</v>
      </c>
      <c r="F26" s="649">
        <f>PROFORMA!G35</f>
        <v>0</v>
      </c>
      <c r="G26" s="649">
        <f>PROFORMA!H35</f>
        <v>0</v>
      </c>
      <c r="H26" s="649">
        <f>PROFORMA!I35</f>
        <v>0</v>
      </c>
      <c r="I26" s="649">
        <f>PROFORMA!J35</f>
        <v>0</v>
      </c>
      <c r="J26" s="649">
        <f>PROFORMA!K35</f>
        <v>0</v>
      </c>
      <c r="K26" s="649">
        <f>PROFORMA!L35</f>
        <v>0</v>
      </c>
      <c r="L26" s="649">
        <f>PROFORMA!M35</f>
        <v>0</v>
      </c>
      <c r="M26" s="649">
        <f>PROFORMA!N35</f>
        <v>0</v>
      </c>
      <c r="N26" s="649">
        <f>PROFORMA!O35</f>
        <v>0</v>
      </c>
      <c r="O26" s="649">
        <f>PROFORMA!P35</f>
        <v>0</v>
      </c>
      <c r="P26" s="649">
        <f>PROFORMA!Q35</f>
        <v>0</v>
      </c>
      <c r="Q26" s="649">
        <f>PROFORMA!R35</f>
        <v>0</v>
      </c>
      <c r="R26" s="649">
        <f>PROFORMA!S35</f>
        <v>0</v>
      </c>
      <c r="S26" s="649">
        <f>PROFORMA!T35</f>
        <v>0</v>
      </c>
      <c r="T26" s="649">
        <f>PROFORMA!U35</f>
        <v>0</v>
      </c>
      <c r="U26" s="649">
        <f>PROFORMA!V35</f>
        <v>0</v>
      </c>
      <c r="V26" s="649">
        <f>PROFORMA!W35</f>
        <v>0</v>
      </c>
      <c r="W26" s="649">
        <f>PROFORMA!X35</f>
        <v>0</v>
      </c>
      <c r="X26" s="649">
        <f>PROFORMA!Y35</f>
        <v>0</v>
      </c>
      <c r="Y26" s="690">
        <f t="shared" si="0"/>
        <v>0</v>
      </c>
      <c r="Z26" s="649">
        <f>PROFORMA!Z35</f>
        <v>0</v>
      </c>
      <c r="AA26" s="649">
        <f>PROFORMA!AA35</f>
        <v>0</v>
      </c>
      <c r="AB26" s="649">
        <f>PROFORMA!AB35</f>
        <v>0</v>
      </c>
      <c r="AC26" s="649">
        <f>PROFORMA!AC35</f>
        <v>0</v>
      </c>
      <c r="AD26" s="649">
        <f>PROFORMA!AD35</f>
        <v>0</v>
      </c>
      <c r="AE26" s="649">
        <f>PROFORMA!AE35</f>
        <v>0</v>
      </c>
      <c r="AF26" s="649">
        <f>PROFORMA!AF35</f>
        <v>0</v>
      </c>
      <c r="AG26" s="649">
        <f>PROFORMA!AG35</f>
        <v>0</v>
      </c>
      <c r="AH26" s="649">
        <f>PROFORMA!AH35</f>
        <v>0</v>
      </c>
      <c r="AI26" s="649">
        <f>PROFORMA!AI35</f>
        <v>0</v>
      </c>
      <c r="AJ26" s="649">
        <f>PROFORMA!AJ35</f>
        <v>0</v>
      </c>
      <c r="AK26" s="649">
        <f>PROFORMA!AK35</f>
        <v>0</v>
      </c>
      <c r="AL26" s="649">
        <f>PROFORMA!AL35</f>
        <v>0</v>
      </c>
      <c r="AM26" s="649">
        <f>PROFORMA!AM35</f>
        <v>0</v>
      </c>
      <c r="AN26" s="649">
        <f>PROFORMA!AN35</f>
        <v>0</v>
      </c>
      <c r="AO26" s="649">
        <f>PROFORMA!AO35</f>
        <v>0</v>
      </c>
      <c r="AP26" s="649">
        <f>PROFORMA!AP35</f>
        <v>0</v>
      </c>
      <c r="AQ26" s="649">
        <f>PROFORMA!AQ35</f>
        <v>0</v>
      </c>
      <c r="AR26" s="693">
        <f t="shared" si="1"/>
        <v>0</v>
      </c>
      <c r="AS26" s="643">
        <f t="shared" si="2"/>
        <v>0</v>
      </c>
      <c r="AT26" s="643">
        <f t="shared" si="3"/>
        <v>14000</v>
      </c>
      <c r="AU26" s="643"/>
      <c r="AV26" s="643">
        <f t="shared" si="4"/>
        <v>14000</v>
      </c>
    </row>
    <row r="27" spans="1:48">
      <c r="A27" s="640">
        <v>25</v>
      </c>
      <c r="B27" s="810"/>
      <c r="C27" s="628" t="s">
        <v>290</v>
      </c>
      <c r="D27" s="656">
        <v>815</v>
      </c>
      <c r="E27" s="649">
        <f>PROFORMA!F36</f>
        <v>0</v>
      </c>
      <c r="F27" s="649">
        <f>PROFORMA!G36</f>
        <v>0</v>
      </c>
      <c r="G27" s="649">
        <f>PROFORMA!H36</f>
        <v>0</v>
      </c>
      <c r="H27" s="649">
        <f>PROFORMA!I36</f>
        <v>0</v>
      </c>
      <c r="I27" s="649">
        <f>PROFORMA!J36</f>
        <v>0</v>
      </c>
      <c r="J27" s="649">
        <f>PROFORMA!K36</f>
        <v>0</v>
      </c>
      <c r="K27" s="649">
        <f>PROFORMA!L36</f>
        <v>0</v>
      </c>
      <c r="L27" s="649">
        <f>PROFORMA!M36</f>
        <v>0</v>
      </c>
      <c r="M27" s="649">
        <f>PROFORMA!N36</f>
        <v>0</v>
      </c>
      <c r="N27" s="649">
        <f>PROFORMA!O36</f>
        <v>0</v>
      </c>
      <c r="O27" s="649">
        <f>PROFORMA!P36</f>
        <v>0</v>
      </c>
      <c r="P27" s="649">
        <f>PROFORMA!Q36</f>
        <v>0</v>
      </c>
      <c r="Q27" s="649">
        <f>PROFORMA!R36</f>
        <v>0</v>
      </c>
      <c r="R27" s="649">
        <f>PROFORMA!S36</f>
        <v>0</v>
      </c>
      <c r="S27" s="649">
        <f>PROFORMA!T36</f>
        <v>0</v>
      </c>
      <c r="T27" s="649">
        <f>PROFORMA!U36</f>
        <v>0</v>
      </c>
      <c r="U27" s="649">
        <f>PROFORMA!V36</f>
        <v>0</v>
      </c>
      <c r="V27" s="649">
        <f>PROFORMA!W36</f>
        <v>0</v>
      </c>
      <c r="W27" s="649">
        <f>PROFORMA!X36</f>
        <v>0</v>
      </c>
      <c r="X27" s="649">
        <f>PROFORMA!Y36</f>
        <v>0</v>
      </c>
      <c r="Y27" s="690">
        <f t="shared" si="0"/>
        <v>0</v>
      </c>
      <c r="Z27" s="649">
        <f>PROFORMA!Z36</f>
        <v>0</v>
      </c>
      <c r="AA27" s="649">
        <f>PROFORMA!AA36</f>
        <v>0</v>
      </c>
      <c r="AB27" s="649">
        <f>PROFORMA!AB36</f>
        <v>0</v>
      </c>
      <c r="AC27" s="649">
        <f>PROFORMA!AC36</f>
        <v>0</v>
      </c>
      <c r="AD27" s="649">
        <f>PROFORMA!AD36</f>
        <v>0</v>
      </c>
      <c r="AE27" s="649">
        <f>PROFORMA!AE36</f>
        <v>0</v>
      </c>
      <c r="AF27" s="649">
        <f>PROFORMA!AF36</f>
        <v>0</v>
      </c>
      <c r="AG27" s="649">
        <f>PROFORMA!AG36</f>
        <v>0</v>
      </c>
      <c r="AH27" s="649">
        <f>PROFORMA!AH36</f>
        <v>0</v>
      </c>
      <c r="AI27" s="649">
        <f>PROFORMA!AI36</f>
        <v>0</v>
      </c>
      <c r="AJ27" s="649">
        <f>PROFORMA!AJ36</f>
        <v>0</v>
      </c>
      <c r="AK27" s="649">
        <f>PROFORMA!AK36</f>
        <v>0</v>
      </c>
      <c r="AL27" s="649">
        <f>PROFORMA!AL36</f>
        <v>0</v>
      </c>
      <c r="AM27" s="649">
        <f>PROFORMA!AM36</f>
        <v>0</v>
      </c>
      <c r="AN27" s="649">
        <f>PROFORMA!AN36</f>
        <v>0</v>
      </c>
      <c r="AO27" s="649">
        <f>PROFORMA!AO36</f>
        <v>0</v>
      </c>
      <c r="AP27" s="649">
        <f>PROFORMA!AP36</f>
        <v>0</v>
      </c>
      <c r="AQ27" s="649">
        <f>PROFORMA!AQ36</f>
        <v>0</v>
      </c>
      <c r="AR27" s="693">
        <f t="shared" si="1"/>
        <v>0</v>
      </c>
      <c r="AS27" s="643">
        <f t="shared" si="2"/>
        <v>0</v>
      </c>
      <c r="AT27" s="643">
        <f t="shared" si="3"/>
        <v>0</v>
      </c>
      <c r="AU27" s="643"/>
      <c r="AV27" s="643">
        <f t="shared" si="4"/>
        <v>0</v>
      </c>
    </row>
    <row r="28" spans="1:48">
      <c r="A28" s="640">
        <v>26</v>
      </c>
      <c r="B28" s="810"/>
      <c r="C28" s="628" t="s">
        <v>291</v>
      </c>
      <c r="D28" s="656">
        <v>816</v>
      </c>
      <c r="E28" s="649">
        <f>PROFORMA!F37</f>
        <v>0</v>
      </c>
      <c r="F28" s="649">
        <f>PROFORMA!G37</f>
        <v>0</v>
      </c>
      <c r="G28" s="649">
        <f>PROFORMA!H37</f>
        <v>0</v>
      </c>
      <c r="H28" s="649">
        <f>PROFORMA!I37</f>
        <v>0</v>
      </c>
      <c r="I28" s="649">
        <f>PROFORMA!J37</f>
        <v>0</v>
      </c>
      <c r="J28" s="649">
        <f>PROFORMA!K37</f>
        <v>0</v>
      </c>
      <c r="K28" s="649">
        <f>PROFORMA!L37</f>
        <v>0</v>
      </c>
      <c r="L28" s="649">
        <f>PROFORMA!M37</f>
        <v>0</v>
      </c>
      <c r="M28" s="649">
        <f>PROFORMA!N37</f>
        <v>0</v>
      </c>
      <c r="N28" s="649">
        <f>PROFORMA!O37</f>
        <v>0</v>
      </c>
      <c r="O28" s="649">
        <f>PROFORMA!P37</f>
        <v>0</v>
      </c>
      <c r="P28" s="649">
        <f>PROFORMA!Q37</f>
        <v>0</v>
      </c>
      <c r="Q28" s="649">
        <f>PROFORMA!R37</f>
        <v>0</v>
      </c>
      <c r="R28" s="649">
        <f>PROFORMA!S37</f>
        <v>0</v>
      </c>
      <c r="S28" s="649">
        <f>PROFORMA!T37</f>
        <v>0</v>
      </c>
      <c r="T28" s="649">
        <f>PROFORMA!U37</f>
        <v>0</v>
      </c>
      <c r="U28" s="649">
        <f>PROFORMA!V37</f>
        <v>0</v>
      </c>
      <c r="V28" s="649">
        <f>PROFORMA!W37</f>
        <v>0</v>
      </c>
      <c r="W28" s="649">
        <f>PROFORMA!X37</f>
        <v>0</v>
      </c>
      <c r="X28" s="649">
        <f>PROFORMA!Y37</f>
        <v>0</v>
      </c>
      <c r="Y28" s="690">
        <f t="shared" si="0"/>
        <v>0</v>
      </c>
      <c r="Z28" s="649">
        <f>PROFORMA!Z37</f>
        <v>0</v>
      </c>
      <c r="AA28" s="649">
        <f>PROFORMA!AA37</f>
        <v>0</v>
      </c>
      <c r="AB28" s="649">
        <f>PROFORMA!AB37</f>
        <v>0</v>
      </c>
      <c r="AC28" s="649">
        <f>PROFORMA!AC37</f>
        <v>0</v>
      </c>
      <c r="AD28" s="649">
        <f>PROFORMA!AD37</f>
        <v>0</v>
      </c>
      <c r="AE28" s="649">
        <f>PROFORMA!AE37</f>
        <v>0</v>
      </c>
      <c r="AF28" s="649">
        <f>PROFORMA!AF37</f>
        <v>0</v>
      </c>
      <c r="AG28" s="649">
        <f>PROFORMA!AG37</f>
        <v>0</v>
      </c>
      <c r="AH28" s="649">
        <f>PROFORMA!AH37</f>
        <v>0</v>
      </c>
      <c r="AI28" s="649">
        <f>PROFORMA!AI37</f>
        <v>0</v>
      </c>
      <c r="AJ28" s="649">
        <f>PROFORMA!AJ37</f>
        <v>0</v>
      </c>
      <c r="AK28" s="649">
        <f>PROFORMA!AK37</f>
        <v>0</v>
      </c>
      <c r="AL28" s="649">
        <f>PROFORMA!AL37</f>
        <v>0</v>
      </c>
      <c r="AM28" s="649">
        <f>PROFORMA!AM37</f>
        <v>0</v>
      </c>
      <c r="AN28" s="649">
        <f>PROFORMA!AN37</f>
        <v>0</v>
      </c>
      <c r="AO28" s="649">
        <f>PROFORMA!AO37</f>
        <v>0</v>
      </c>
      <c r="AP28" s="649">
        <f>PROFORMA!AP37</f>
        <v>0</v>
      </c>
      <c r="AQ28" s="649">
        <f>PROFORMA!AQ37</f>
        <v>0</v>
      </c>
      <c r="AR28" s="693">
        <f t="shared" si="1"/>
        <v>0</v>
      </c>
      <c r="AS28" s="643">
        <f t="shared" si="2"/>
        <v>0</v>
      </c>
      <c r="AT28" s="643">
        <f t="shared" si="3"/>
        <v>0</v>
      </c>
      <c r="AU28" s="643"/>
      <c r="AV28" s="643">
        <f t="shared" si="4"/>
        <v>0</v>
      </c>
    </row>
    <row r="29" spans="1:48">
      <c r="A29" s="640">
        <v>27</v>
      </c>
      <c r="B29" s="810"/>
      <c r="C29" s="628" t="s">
        <v>292</v>
      </c>
      <c r="D29" s="656">
        <v>817</v>
      </c>
      <c r="E29" s="649">
        <f>PROFORMA!F38</f>
        <v>0</v>
      </c>
      <c r="F29" s="649">
        <f>PROFORMA!G38</f>
        <v>0</v>
      </c>
      <c r="G29" s="649">
        <f>PROFORMA!H38</f>
        <v>0</v>
      </c>
      <c r="H29" s="649">
        <f>PROFORMA!I38</f>
        <v>0</v>
      </c>
      <c r="I29" s="649">
        <f>PROFORMA!J38</f>
        <v>0</v>
      </c>
      <c r="J29" s="649">
        <f>PROFORMA!K38</f>
        <v>0</v>
      </c>
      <c r="K29" s="649">
        <f>PROFORMA!L38</f>
        <v>0</v>
      </c>
      <c r="L29" s="649">
        <f>PROFORMA!M38</f>
        <v>0</v>
      </c>
      <c r="M29" s="649">
        <f>PROFORMA!N38</f>
        <v>0</v>
      </c>
      <c r="N29" s="649">
        <f>PROFORMA!O38</f>
        <v>0</v>
      </c>
      <c r="O29" s="649">
        <f>PROFORMA!P38</f>
        <v>0</v>
      </c>
      <c r="P29" s="649">
        <f>PROFORMA!Q38</f>
        <v>0</v>
      </c>
      <c r="Q29" s="649">
        <f>PROFORMA!R38</f>
        <v>0</v>
      </c>
      <c r="R29" s="649">
        <f>PROFORMA!S38</f>
        <v>0</v>
      </c>
      <c r="S29" s="649">
        <f>PROFORMA!T38</f>
        <v>0</v>
      </c>
      <c r="T29" s="649">
        <f>PROFORMA!U38</f>
        <v>0</v>
      </c>
      <c r="U29" s="649">
        <f>PROFORMA!V38</f>
        <v>0</v>
      </c>
      <c r="V29" s="649">
        <f>PROFORMA!W38</f>
        <v>0</v>
      </c>
      <c r="W29" s="649">
        <f>PROFORMA!X38</f>
        <v>0</v>
      </c>
      <c r="X29" s="649">
        <f>PROFORMA!Y38</f>
        <v>0</v>
      </c>
      <c r="Y29" s="690">
        <f t="shared" si="0"/>
        <v>0</v>
      </c>
      <c r="Z29" s="649">
        <f>PROFORMA!Z38</f>
        <v>0</v>
      </c>
      <c r="AA29" s="649">
        <f>PROFORMA!AA38</f>
        <v>0</v>
      </c>
      <c r="AB29" s="649">
        <f>PROFORMA!AB38</f>
        <v>0</v>
      </c>
      <c r="AC29" s="649">
        <f>PROFORMA!AC38</f>
        <v>0</v>
      </c>
      <c r="AD29" s="649">
        <f>PROFORMA!AD38</f>
        <v>0</v>
      </c>
      <c r="AE29" s="649">
        <f>PROFORMA!AE38</f>
        <v>0</v>
      </c>
      <c r="AF29" s="649">
        <f>PROFORMA!AF38</f>
        <v>0</v>
      </c>
      <c r="AG29" s="649">
        <f>PROFORMA!AG38</f>
        <v>0</v>
      </c>
      <c r="AH29" s="649">
        <f>PROFORMA!AH38</f>
        <v>0</v>
      </c>
      <c r="AI29" s="649">
        <f>PROFORMA!AI38</f>
        <v>0</v>
      </c>
      <c r="AJ29" s="649">
        <f>PROFORMA!AJ38</f>
        <v>0</v>
      </c>
      <c r="AK29" s="649">
        <f>PROFORMA!AK38</f>
        <v>0</v>
      </c>
      <c r="AL29" s="649">
        <f>PROFORMA!AL38</f>
        <v>0</v>
      </c>
      <c r="AM29" s="649">
        <f>PROFORMA!AM38</f>
        <v>0</v>
      </c>
      <c r="AN29" s="649">
        <f>PROFORMA!AN38</f>
        <v>0</v>
      </c>
      <c r="AO29" s="649">
        <f>PROFORMA!AO38</f>
        <v>0</v>
      </c>
      <c r="AP29" s="649">
        <f>PROFORMA!AP38</f>
        <v>0</v>
      </c>
      <c r="AQ29" s="649">
        <f>PROFORMA!AQ38</f>
        <v>0</v>
      </c>
      <c r="AR29" s="693">
        <f t="shared" si="1"/>
        <v>0</v>
      </c>
      <c r="AS29" s="643">
        <f t="shared" si="2"/>
        <v>0</v>
      </c>
      <c r="AT29" s="643">
        <f t="shared" si="3"/>
        <v>0</v>
      </c>
      <c r="AU29" s="643"/>
      <c r="AV29" s="643">
        <f t="shared" si="4"/>
        <v>0</v>
      </c>
    </row>
    <row r="30" spans="1:48">
      <c r="A30" s="640">
        <v>28</v>
      </c>
      <c r="B30" s="810"/>
      <c r="C30" s="628" t="s">
        <v>293</v>
      </c>
      <c r="D30" s="656">
        <v>818</v>
      </c>
      <c r="E30" s="649">
        <f>PROFORMA!F39</f>
        <v>0</v>
      </c>
      <c r="F30" s="649">
        <f>PROFORMA!G39</f>
        <v>0</v>
      </c>
      <c r="G30" s="649">
        <f>PROFORMA!H39</f>
        <v>0</v>
      </c>
      <c r="H30" s="649">
        <f>PROFORMA!I39</f>
        <v>0</v>
      </c>
      <c r="I30" s="649">
        <f>PROFORMA!J39</f>
        <v>0</v>
      </c>
      <c r="J30" s="649">
        <f>PROFORMA!K39</f>
        <v>0</v>
      </c>
      <c r="K30" s="649">
        <f>PROFORMA!L39</f>
        <v>0</v>
      </c>
      <c r="L30" s="649">
        <f>PROFORMA!M39</f>
        <v>0</v>
      </c>
      <c r="M30" s="649">
        <f>PROFORMA!N39</f>
        <v>0</v>
      </c>
      <c r="N30" s="649">
        <f>PROFORMA!O39</f>
        <v>0</v>
      </c>
      <c r="O30" s="649">
        <f>PROFORMA!P39</f>
        <v>0</v>
      </c>
      <c r="P30" s="649">
        <f>PROFORMA!Q39</f>
        <v>0</v>
      </c>
      <c r="Q30" s="649">
        <f>PROFORMA!R39</f>
        <v>0</v>
      </c>
      <c r="R30" s="649">
        <f>PROFORMA!S39</f>
        <v>0</v>
      </c>
      <c r="S30" s="649">
        <f>PROFORMA!T39</f>
        <v>0</v>
      </c>
      <c r="T30" s="649">
        <f>PROFORMA!U39</f>
        <v>0</v>
      </c>
      <c r="U30" s="649">
        <f>PROFORMA!V39</f>
        <v>0</v>
      </c>
      <c r="V30" s="649">
        <f>PROFORMA!W39</f>
        <v>0</v>
      </c>
      <c r="W30" s="649">
        <f>PROFORMA!X39</f>
        <v>0</v>
      </c>
      <c r="X30" s="649">
        <f>PROFORMA!Y39</f>
        <v>0</v>
      </c>
      <c r="Y30" s="690">
        <f t="shared" si="0"/>
        <v>0</v>
      </c>
      <c r="Z30" s="649">
        <f>PROFORMA!Z39</f>
        <v>0</v>
      </c>
      <c r="AA30" s="649">
        <f>PROFORMA!AA39</f>
        <v>0</v>
      </c>
      <c r="AB30" s="649">
        <f>PROFORMA!AB39</f>
        <v>0</v>
      </c>
      <c r="AC30" s="649">
        <f>PROFORMA!AC39</f>
        <v>0</v>
      </c>
      <c r="AD30" s="649">
        <f>PROFORMA!AD39</f>
        <v>0</v>
      </c>
      <c r="AE30" s="649">
        <f>PROFORMA!AE39</f>
        <v>0</v>
      </c>
      <c r="AF30" s="649">
        <f>PROFORMA!AF39</f>
        <v>0</v>
      </c>
      <c r="AG30" s="649">
        <f>PROFORMA!AG39</f>
        <v>0</v>
      </c>
      <c r="AH30" s="649">
        <f>PROFORMA!AH39</f>
        <v>0</v>
      </c>
      <c r="AI30" s="649">
        <f>PROFORMA!AI39</f>
        <v>0</v>
      </c>
      <c r="AJ30" s="649">
        <f>PROFORMA!AJ39</f>
        <v>0</v>
      </c>
      <c r="AK30" s="649">
        <f>PROFORMA!AK39</f>
        <v>0</v>
      </c>
      <c r="AL30" s="649">
        <f>PROFORMA!AL39</f>
        <v>0</v>
      </c>
      <c r="AM30" s="649">
        <f>PROFORMA!AM39</f>
        <v>0</v>
      </c>
      <c r="AN30" s="649">
        <f>PROFORMA!AN39</f>
        <v>0</v>
      </c>
      <c r="AO30" s="649">
        <f>PROFORMA!AO39</f>
        <v>0</v>
      </c>
      <c r="AP30" s="649">
        <f>PROFORMA!AP39</f>
        <v>0</v>
      </c>
      <c r="AQ30" s="649">
        <f>PROFORMA!AQ39</f>
        <v>0</v>
      </c>
      <c r="AR30" s="693">
        <f t="shared" si="1"/>
        <v>0</v>
      </c>
      <c r="AS30" s="643">
        <f t="shared" si="2"/>
        <v>0</v>
      </c>
      <c r="AT30" s="643">
        <f t="shared" si="3"/>
        <v>0</v>
      </c>
      <c r="AU30" s="643"/>
      <c r="AV30" s="643">
        <f t="shared" si="4"/>
        <v>0</v>
      </c>
    </row>
    <row r="31" spans="1:48">
      <c r="A31" s="640">
        <v>29</v>
      </c>
      <c r="B31" s="810"/>
      <c r="C31" s="628" t="s">
        <v>294</v>
      </c>
      <c r="D31" s="656">
        <v>819</v>
      </c>
      <c r="E31" s="649">
        <f>PROFORMA!F40</f>
        <v>0</v>
      </c>
      <c r="F31" s="649">
        <f>PROFORMA!G40</f>
        <v>0</v>
      </c>
      <c r="G31" s="649">
        <f>PROFORMA!H40</f>
        <v>0</v>
      </c>
      <c r="H31" s="649">
        <f>PROFORMA!I40</f>
        <v>0</v>
      </c>
      <c r="I31" s="649">
        <f>PROFORMA!J40</f>
        <v>0</v>
      </c>
      <c r="J31" s="649">
        <f>PROFORMA!K40</f>
        <v>0</v>
      </c>
      <c r="K31" s="649">
        <f>PROFORMA!L40</f>
        <v>0</v>
      </c>
      <c r="L31" s="649">
        <f>PROFORMA!M40</f>
        <v>0</v>
      </c>
      <c r="M31" s="649">
        <f>PROFORMA!N40</f>
        <v>0</v>
      </c>
      <c r="N31" s="649">
        <f>PROFORMA!O40</f>
        <v>0</v>
      </c>
      <c r="O31" s="649">
        <f>PROFORMA!P40</f>
        <v>0</v>
      </c>
      <c r="P31" s="649">
        <f>PROFORMA!Q40</f>
        <v>0</v>
      </c>
      <c r="Q31" s="649">
        <f>PROFORMA!R40</f>
        <v>0</v>
      </c>
      <c r="R31" s="649">
        <f>PROFORMA!S40</f>
        <v>0</v>
      </c>
      <c r="S31" s="649">
        <f>PROFORMA!T40</f>
        <v>0</v>
      </c>
      <c r="T31" s="649">
        <f>PROFORMA!U40</f>
        <v>0</v>
      </c>
      <c r="U31" s="649">
        <f>PROFORMA!V40</f>
        <v>0</v>
      </c>
      <c r="V31" s="649">
        <f>PROFORMA!W40</f>
        <v>0</v>
      </c>
      <c r="W31" s="649">
        <f>PROFORMA!X40</f>
        <v>0</v>
      </c>
      <c r="X31" s="649">
        <f>PROFORMA!Y40</f>
        <v>0</v>
      </c>
      <c r="Y31" s="690">
        <f t="shared" si="0"/>
        <v>0</v>
      </c>
      <c r="Z31" s="649">
        <f>PROFORMA!Z40</f>
        <v>0</v>
      </c>
      <c r="AA31" s="649">
        <f>PROFORMA!AA40</f>
        <v>0</v>
      </c>
      <c r="AB31" s="649">
        <f>PROFORMA!AB40</f>
        <v>0</v>
      </c>
      <c r="AC31" s="649">
        <f>PROFORMA!AC40</f>
        <v>0</v>
      </c>
      <c r="AD31" s="649">
        <f>PROFORMA!AD40</f>
        <v>0</v>
      </c>
      <c r="AE31" s="649">
        <f>PROFORMA!AE40</f>
        <v>0</v>
      </c>
      <c r="AF31" s="649">
        <f>PROFORMA!AF40</f>
        <v>0</v>
      </c>
      <c r="AG31" s="649">
        <f>PROFORMA!AG40</f>
        <v>0</v>
      </c>
      <c r="AH31" s="649">
        <f>PROFORMA!AH40</f>
        <v>0</v>
      </c>
      <c r="AI31" s="649">
        <f>PROFORMA!AI40</f>
        <v>0</v>
      </c>
      <c r="AJ31" s="649">
        <f>PROFORMA!AJ40</f>
        <v>0</v>
      </c>
      <c r="AK31" s="649">
        <f>PROFORMA!AK40</f>
        <v>0</v>
      </c>
      <c r="AL31" s="649">
        <f>PROFORMA!AL40</f>
        <v>0</v>
      </c>
      <c r="AM31" s="649">
        <f>PROFORMA!AM40</f>
        <v>0</v>
      </c>
      <c r="AN31" s="649">
        <f>PROFORMA!AN40</f>
        <v>0</v>
      </c>
      <c r="AO31" s="649">
        <f>PROFORMA!AO40</f>
        <v>0</v>
      </c>
      <c r="AP31" s="649">
        <f>PROFORMA!AP40</f>
        <v>0</v>
      </c>
      <c r="AQ31" s="649">
        <f>PROFORMA!AQ40</f>
        <v>0</v>
      </c>
      <c r="AR31" s="693">
        <f t="shared" si="1"/>
        <v>0</v>
      </c>
      <c r="AS31" s="643">
        <f t="shared" si="2"/>
        <v>0</v>
      </c>
      <c r="AT31" s="643">
        <f t="shared" si="3"/>
        <v>0</v>
      </c>
      <c r="AU31" s="643"/>
      <c r="AV31" s="643">
        <f t="shared" si="4"/>
        <v>0</v>
      </c>
    </row>
    <row r="32" spans="1:48">
      <c r="A32" s="640">
        <v>30</v>
      </c>
      <c r="B32" s="810"/>
      <c r="C32" s="628" t="s">
        <v>295</v>
      </c>
      <c r="D32" s="656">
        <v>820</v>
      </c>
      <c r="E32" s="649">
        <f>PROFORMA!F41</f>
        <v>0</v>
      </c>
      <c r="F32" s="649">
        <f>PROFORMA!G41</f>
        <v>0</v>
      </c>
      <c r="G32" s="649">
        <f>PROFORMA!H41</f>
        <v>0</v>
      </c>
      <c r="H32" s="649">
        <f>PROFORMA!I41</f>
        <v>0</v>
      </c>
      <c r="I32" s="649">
        <f>PROFORMA!J41</f>
        <v>0</v>
      </c>
      <c r="J32" s="649">
        <f>PROFORMA!K41</f>
        <v>0</v>
      </c>
      <c r="K32" s="649">
        <f>PROFORMA!L41</f>
        <v>0</v>
      </c>
      <c r="L32" s="649">
        <f>PROFORMA!M41</f>
        <v>0</v>
      </c>
      <c r="M32" s="649">
        <f>PROFORMA!N41</f>
        <v>0</v>
      </c>
      <c r="N32" s="649">
        <f>PROFORMA!O41</f>
        <v>0</v>
      </c>
      <c r="O32" s="649">
        <f>PROFORMA!P41</f>
        <v>0</v>
      </c>
      <c r="P32" s="649">
        <f>PROFORMA!Q41</f>
        <v>0</v>
      </c>
      <c r="Q32" s="649">
        <f>PROFORMA!R41</f>
        <v>0</v>
      </c>
      <c r="R32" s="649">
        <f>PROFORMA!S41</f>
        <v>0</v>
      </c>
      <c r="S32" s="649">
        <f>PROFORMA!T41</f>
        <v>0</v>
      </c>
      <c r="T32" s="649">
        <f>PROFORMA!U41</f>
        <v>0</v>
      </c>
      <c r="U32" s="649">
        <f>PROFORMA!V41</f>
        <v>0</v>
      </c>
      <c r="V32" s="649">
        <f>PROFORMA!W41</f>
        <v>0</v>
      </c>
      <c r="W32" s="649">
        <f>PROFORMA!X41</f>
        <v>0</v>
      </c>
      <c r="X32" s="649">
        <f>PROFORMA!Y41</f>
        <v>0</v>
      </c>
      <c r="Y32" s="690">
        <f t="shared" si="0"/>
        <v>0</v>
      </c>
      <c r="Z32" s="649">
        <f>PROFORMA!Z41</f>
        <v>0</v>
      </c>
      <c r="AA32" s="649">
        <f>PROFORMA!AA41</f>
        <v>0</v>
      </c>
      <c r="AB32" s="649">
        <f>PROFORMA!AB41</f>
        <v>0</v>
      </c>
      <c r="AC32" s="649">
        <f>PROFORMA!AC41</f>
        <v>0</v>
      </c>
      <c r="AD32" s="649">
        <f>PROFORMA!AD41</f>
        <v>0</v>
      </c>
      <c r="AE32" s="649">
        <f>PROFORMA!AE41</f>
        <v>0</v>
      </c>
      <c r="AF32" s="649">
        <f>PROFORMA!AF41</f>
        <v>0</v>
      </c>
      <c r="AG32" s="649">
        <f>PROFORMA!AG41</f>
        <v>0</v>
      </c>
      <c r="AH32" s="649">
        <f>PROFORMA!AH41</f>
        <v>0</v>
      </c>
      <c r="AI32" s="649">
        <f>PROFORMA!AI41</f>
        <v>0</v>
      </c>
      <c r="AJ32" s="649">
        <f>PROFORMA!AJ41</f>
        <v>0</v>
      </c>
      <c r="AK32" s="649">
        <f>PROFORMA!AK41</f>
        <v>0</v>
      </c>
      <c r="AL32" s="649">
        <f>PROFORMA!AL41</f>
        <v>0</v>
      </c>
      <c r="AM32" s="649">
        <f>PROFORMA!AM41</f>
        <v>0</v>
      </c>
      <c r="AN32" s="649">
        <f>PROFORMA!AN41</f>
        <v>0</v>
      </c>
      <c r="AO32" s="649">
        <f>PROFORMA!AO41</f>
        <v>0</v>
      </c>
      <c r="AP32" s="649">
        <f>PROFORMA!AP41</f>
        <v>0</v>
      </c>
      <c r="AQ32" s="649">
        <f>PROFORMA!AQ41</f>
        <v>0</v>
      </c>
      <c r="AR32" s="693">
        <f t="shared" si="1"/>
        <v>0</v>
      </c>
      <c r="AS32" s="643">
        <f t="shared" si="2"/>
        <v>0</v>
      </c>
      <c r="AT32" s="643">
        <f t="shared" si="3"/>
        <v>0</v>
      </c>
      <c r="AU32" s="643"/>
      <c r="AV32" s="643">
        <f t="shared" si="4"/>
        <v>0</v>
      </c>
    </row>
    <row r="33" spans="1:48">
      <c r="A33" s="640">
        <v>31</v>
      </c>
      <c r="B33" s="810"/>
      <c r="C33" s="628" t="s">
        <v>296</v>
      </c>
      <c r="D33" s="656">
        <v>821</v>
      </c>
      <c r="E33" s="649">
        <f>PROFORMA!F42</f>
        <v>0</v>
      </c>
      <c r="F33" s="649">
        <f>PROFORMA!G42</f>
        <v>0</v>
      </c>
      <c r="G33" s="649">
        <f>PROFORMA!H42</f>
        <v>0</v>
      </c>
      <c r="H33" s="649">
        <f>PROFORMA!I42</f>
        <v>0</v>
      </c>
      <c r="I33" s="649">
        <f>PROFORMA!J42</f>
        <v>0</v>
      </c>
      <c r="J33" s="649">
        <f>PROFORMA!K42</f>
        <v>0</v>
      </c>
      <c r="K33" s="649">
        <f>PROFORMA!L42</f>
        <v>0</v>
      </c>
      <c r="L33" s="649">
        <f>PROFORMA!M42</f>
        <v>0</v>
      </c>
      <c r="M33" s="649">
        <f>PROFORMA!N42</f>
        <v>0</v>
      </c>
      <c r="N33" s="649">
        <f>PROFORMA!O42</f>
        <v>0</v>
      </c>
      <c r="O33" s="649">
        <f>PROFORMA!P42</f>
        <v>0</v>
      </c>
      <c r="P33" s="649">
        <f>PROFORMA!Q42</f>
        <v>0</v>
      </c>
      <c r="Q33" s="649">
        <f>PROFORMA!R42</f>
        <v>0</v>
      </c>
      <c r="R33" s="649">
        <f>PROFORMA!S42</f>
        <v>0</v>
      </c>
      <c r="S33" s="649">
        <f>PROFORMA!T42</f>
        <v>0</v>
      </c>
      <c r="T33" s="649">
        <f>PROFORMA!U42</f>
        <v>0</v>
      </c>
      <c r="U33" s="649">
        <f>PROFORMA!V42</f>
        <v>0</v>
      </c>
      <c r="V33" s="649">
        <f>PROFORMA!W42</f>
        <v>0</v>
      </c>
      <c r="W33" s="649">
        <f>PROFORMA!X42</f>
        <v>0</v>
      </c>
      <c r="X33" s="649">
        <f>PROFORMA!Y42</f>
        <v>0</v>
      </c>
      <c r="Y33" s="690">
        <f t="shared" si="0"/>
        <v>0</v>
      </c>
      <c r="Z33" s="649">
        <f>PROFORMA!Z42</f>
        <v>0</v>
      </c>
      <c r="AA33" s="649">
        <f>PROFORMA!AA42</f>
        <v>0</v>
      </c>
      <c r="AB33" s="649">
        <f>PROFORMA!AB42</f>
        <v>0</v>
      </c>
      <c r="AC33" s="649">
        <f>PROFORMA!AC42</f>
        <v>0</v>
      </c>
      <c r="AD33" s="649">
        <f>PROFORMA!AD42</f>
        <v>0</v>
      </c>
      <c r="AE33" s="649">
        <f>PROFORMA!AE42</f>
        <v>0</v>
      </c>
      <c r="AF33" s="649">
        <f>PROFORMA!AF42</f>
        <v>0</v>
      </c>
      <c r="AG33" s="649">
        <f>PROFORMA!AG42</f>
        <v>0</v>
      </c>
      <c r="AH33" s="649">
        <f>PROFORMA!AH42</f>
        <v>0</v>
      </c>
      <c r="AI33" s="649">
        <f>PROFORMA!AI42</f>
        <v>0</v>
      </c>
      <c r="AJ33" s="649">
        <f>PROFORMA!AJ42</f>
        <v>0</v>
      </c>
      <c r="AK33" s="649">
        <f>PROFORMA!AK42</f>
        <v>0</v>
      </c>
      <c r="AL33" s="649">
        <f>PROFORMA!AL42</f>
        <v>0</v>
      </c>
      <c r="AM33" s="649">
        <f>PROFORMA!AM42</f>
        <v>0</v>
      </c>
      <c r="AN33" s="649">
        <f>PROFORMA!AN42</f>
        <v>0</v>
      </c>
      <c r="AO33" s="649">
        <f>PROFORMA!AO42</f>
        <v>0</v>
      </c>
      <c r="AP33" s="649">
        <f>PROFORMA!AP42</f>
        <v>0</v>
      </c>
      <c r="AQ33" s="649">
        <f>PROFORMA!AQ42</f>
        <v>0</v>
      </c>
      <c r="AR33" s="693">
        <f t="shared" si="1"/>
        <v>0</v>
      </c>
      <c r="AS33" s="643">
        <f t="shared" si="2"/>
        <v>0</v>
      </c>
      <c r="AT33" s="643">
        <f t="shared" si="3"/>
        <v>0</v>
      </c>
      <c r="AU33" s="643"/>
      <c r="AV33" s="643">
        <f t="shared" si="4"/>
        <v>0</v>
      </c>
    </row>
    <row r="34" spans="1:48">
      <c r="A34" s="640">
        <v>32</v>
      </c>
      <c r="B34" s="810"/>
      <c r="C34" s="628" t="s">
        <v>297</v>
      </c>
      <c r="D34" s="656">
        <v>824</v>
      </c>
      <c r="E34" s="649">
        <f>PROFORMA!F43</f>
        <v>479000</v>
      </c>
      <c r="F34" s="649">
        <f>PROFORMA!G43</f>
        <v>0</v>
      </c>
      <c r="G34" s="649">
        <f>PROFORMA!H43</f>
        <v>0</v>
      </c>
      <c r="H34" s="649">
        <f>PROFORMA!I43</f>
        <v>0</v>
      </c>
      <c r="I34" s="649">
        <f>PROFORMA!J43</f>
        <v>0</v>
      </c>
      <c r="J34" s="649">
        <f>PROFORMA!K43</f>
        <v>0</v>
      </c>
      <c r="K34" s="649">
        <f>PROFORMA!L43</f>
        <v>0</v>
      </c>
      <c r="L34" s="649">
        <f>PROFORMA!M43</f>
        <v>0</v>
      </c>
      <c r="M34" s="649">
        <f>PROFORMA!N43</f>
        <v>0</v>
      </c>
      <c r="N34" s="649">
        <f>PROFORMA!O43</f>
        <v>0</v>
      </c>
      <c r="O34" s="649">
        <f>PROFORMA!P43</f>
        <v>0</v>
      </c>
      <c r="P34" s="649">
        <f>PROFORMA!Q43</f>
        <v>0</v>
      </c>
      <c r="Q34" s="649">
        <f>PROFORMA!R43</f>
        <v>0</v>
      </c>
      <c r="R34" s="649">
        <f>PROFORMA!S43</f>
        <v>0</v>
      </c>
      <c r="S34" s="649">
        <f>PROFORMA!T43</f>
        <v>0</v>
      </c>
      <c r="T34" s="649">
        <f>PROFORMA!U43</f>
        <v>0</v>
      </c>
      <c r="U34" s="649">
        <f>PROFORMA!V43</f>
        <v>0</v>
      </c>
      <c r="V34" s="649">
        <f>PROFORMA!W43</f>
        <v>0</v>
      </c>
      <c r="W34" s="649">
        <f>PROFORMA!X43</f>
        <v>0</v>
      </c>
      <c r="X34" s="649">
        <f>PROFORMA!Y43</f>
        <v>0</v>
      </c>
      <c r="Y34" s="690">
        <f t="shared" si="0"/>
        <v>0</v>
      </c>
      <c r="Z34" s="649">
        <f>PROFORMA!Z43</f>
        <v>0</v>
      </c>
      <c r="AA34" s="649">
        <f>PROFORMA!AA43</f>
        <v>0</v>
      </c>
      <c r="AB34" s="649">
        <f>PROFORMA!AB43</f>
        <v>0</v>
      </c>
      <c r="AC34" s="649">
        <f>PROFORMA!AC43</f>
        <v>0</v>
      </c>
      <c r="AD34" s="649">
        <f>PROFORMA!AD43</f>
        <v>0</v>
      </c>
      <c r="AE34" s="649">
        <f>PROFORMA!AE43</f>
        <v>0</v>
      </c>
      <c r="AF34" s="649">
        <f>PROFORMA!AF43</f>
        <v>0</v>
      </c>
      <c r="AG34" s="649">
        <f>PROFORMA!AG43</f>
        <v>0</v>
      </c>
      <c r="AH34" s="649">
        <f>PROFORMA!AH43</f>
        <v>0</v>
      </c>
      <c r="AI34" s="649">
        <f>PROFORMA!AI43</f>
        <v>0</v>
      </c>
      <c r="AJ34" s="649">
        <f>PROFORMA!AJ43</f>
        <v>0</v>
      </c>
      <c r="AK34" s="649">
        <f>PROFORMA!AK43</f>
        <v>0</v>
      </c>
      <c r="AL34" s="649">
        <f>PROFORMA!AL43</f>
        <v>0</v>
      </c>
      <c r="AM34" s="649">
        <f>PROFORMA!AM43</f>
        <v>0</v>
      </c>
      <c r="AN34" s="649">
        <f>PROFORMA!AN43</f>
        <v>0</v>
      </c>
      <c r="AO34" s="649">
        <f>PROFORMA!AO43</f>
        <v>0</v>
      </c>
      <c r="AP34" s="649">
        <f>PROFORMA!AP43</f>
        <v>0</v>
      </c>
      <c r="AQ34" s="649">
        <f>PROFORMA!AQ43</f>
        <v>0</v>
      </c>
      <c r="AR34" s="693">
        <f t="shared" si="1"/>
        <v>0</v>
      </c>
      <c r="AS34" s="643">
        <f t="shared" si="2"/>
        <v>0</v>
      </c>
      <c r="AT34" s="643">
        <f t="shared" si="3"/>
        <v>479000</v>
      </c>
      <c r="AU34" s="643"/>
      <c r="AV34" s="643">
        <f t="shared" si="4"/>
        <v>479000</v>
      </c>
    </row>
    <row r="35" spans="1:48">
      <c r="A35" s="640">
        <v>33</v>
      </c>
      <c r="B35" s="810"/>
      <c r="C35" s="628" t="s">
        <v>298</v>
      </c>
      <c r="D35" s="656">
        <v>825</v>
      </c>
      <c r="E35" s="649">
        <f>PROFORMA!F44</f>
        <v>0</v>
      </c>
      <c r="F35" s="649">
        <f>PROFORMA!G44</f>
        <v>0</v>
      </c>
      <c r="G35" s="649">
        <f>PROFORMA!H44</f>
        <v>0</v>
      </c>
      <c r="H35" s="649">
        <f>PROFORMA!I44</f>
        <v>0</v>
      </c>
      <c r="I35" s="649">
        <f>PROFORMA!J44</f>
        <v>0</v>
      </c>
      <c r="J35" s="649">
        <f>PROFORMA!K44</f>
        <v>0</v>
      </c>
      <c r="K35" s="649">
        <f>PROFORMA!L44</f>
        <v>0</v>
      </c>
      <c r="L35" s="649">
        <f>PROFORMA!M44</f>
        <v>0</v>
      </c>
      <c r="M35" s="649">
        <f>PROFORMA!N44</f>
        <v>0</v>
      </c>
      <c r="N35" s="649">
        <f>PROFORMA!O44</f>
        <v>0</v>
      </c>
      <c r="O35" s="649">
        <f>PROFORMA!P44</f>
        <v>0</v>
      </c>
      <c r="P35" s="649">
        <f>PROFORMA!Q44</f>
        <v>0</v>
      </c>
      <c r="Q35" s="649">
        <f>PROFORMA!R44</f>
        <v>0</v>
      </c>
      <c r="R35" s="649">
        <f>PROFORMA!S44</f>
        <v>0</v>
      </c>
      <c r="S35" s="649">
        <f>PROFORMA!T44</f>
        <v>0</v>
      </c>
      <c r="T35" s="649">
        <f>PROFORMA!U44</f>
        <v>0</v>
      </c>
      <c r="U35" s="649">
        <f>PROFORMA!V44</f>
        <v>0</v>
      </c>
      <c r="V35" s="649">
        <f>PROFORMA!W44</f>
        <v>0</v>
      </c>
      <c r="W35" s="649">
        <f>PROFORMA!X44</f>
        <v>0</v>
      </c>
      <c r="X35" s="649">
        <f>PROFORMA!Y44</f>
        <v>0</v>
      </c>
      <c r="Y35" s="690">
        <f t="shared" si="0"/>
        <v>0</v>
      </c>
      <c r="Z35" s="649">
        <f>PROFORMA!Z44</f>
        <v>0</v>
      </c>
      <c r="AA35" s="649">
        <f>PROFORMA!AA44</f>
        <v>0</v>
      </c>
      <c r="AB35" s="649">
        <f>PROFORMA!AB44</f>
        <v>0</v>
      </c>
      <c r="AC35" s="649">
        <f>PROFORMA!AC44</f>
        <v>0</v>
      </c>
      <c r="AD35" s="649">
        <f>PROFORMA!AD44</f>
        <v>0</v>
      </c>
      <c r="AE35" s="649">
        <f>PROFORMA!AE44</f>
        <v>0</v>
      </c>
      <c r="AF35" s="649">
        <f>PROFORMA!AF44</f>
        <v>0</v>
      </c>
      <c r="AG35" s="649">
        <f>PROFORMA!AG44</f>
        <v>0</v>
      </c>
      <c r="AH35" s="649">
        <f>PROFORMA!AH44</f>
        <v>0</v>
      </c>
      <c r="AI35" s="649">
        <f>PROFORMA!AI44</f>
        <v>0</v>
      </c>
      <c r="AJ35" s="649">
        <f>PROFORMA!AJ44</f>
        <v>0</v>
      </c>
      <c r="AK35" s="649">
        <f>PROFORMA!AK44</f>
        <v>0</v>
      </c>
      <c r="AL35" s="649">
        <f>PROFORMA!AL44</f>
        <v>0</v>
      </c>
      <c r="AM35" s="649">
        <f>PROFORMA!AM44</f>
        <v>0</v>
      </c>
      <c r="AN35" s="649">
        <f>PROFORMA!AN44</f>
        <v>0</v>
      </c>
      <c r="AO35" s="649">
        <f>PROFORMA!AO44</f>
        <v>0</v>
      </c>
      <c r="AP35" s="649">
        <f>PROFORMA!AP44</f>
        <v>0</v>
      </c>
      <c r="AQ35" s="649">
        <f>PROFORMA!AQ44</f>
        <v>0</v>
      </c>
      <c r="AR35" s="693">
        <f t="shared" si="1"/>
        <v>0</v>
      </c>
      <c r="AS35" s="643">
        <f t="shared" si="2"/>
        <v>0</v>
      </c>
      <c r="AT35" s="643">
        <f t="shared" si="3"/>
        <v>0</v>
      </c>
      <c r="AU35" s="643"/>
      <c r="AV35" s="643">
        <f t="shared" si="4"/>
        <v>0</v>
      </c>
    </row>
    <row r="36" spans="1:48">
      <c r="A36" s="640">
        <v>34</v>
      </c>
      <c r="B36" s="810"/>
      <c r="C36" s="628" t="s">
        <v>2</v>
      </c>
      <c r="D36" s="656">
        <v>826</v>
      </c>
      <c r="E36" s="685">
        <f>PROFORMA!F45</f>
        <v>0</v>
      </c>
      <c r="F36" s="685">
        <f>PROFORMA!G45</f>
        <v>0</v>
      </c>
      <c r="G36" s="685">
        <f>PROFORMA!H45</f>
        <v>0</v>
      </c>
      <c r="H36" s="685">
        <f>PROFORMA!I45</f>
        <v>0</v>
      </c>
      <c r="I36" s="685">
        <f>PROFORMA!J45</f>
        <v>0</v>
      </c>
      <c r="J36" s="685">
        <f>PROFORMA!K45</f>
        <v>0</v>
      </c>
      <c r="K36" s="685">
        <f>PROFORMA!L45</f>
        <v>0</v>
      </c>
      <c r="L36" s="685">
        <f>PROFORMA!M45</f>
        <v>0</v>
      </c>
      <c r="M36" s="685">
        <f>PROFORMA!N45</f>
        <v>0</v>
      </c>
      <c r="N36" s="685">
        <f>PROFORMA!O45</f>
        <v>0</v>
      </c>
      <c r="O36" s="685">
        <f>PROFORMA!P45</f>
        <v>0</v>
      </c>
      <c r="P36" s="685">
        <f>PROFORMA!Q45</f>
        <v>0</v>
      </c>
      <c r="Q36" s="685">
        <f>PROFORMA!R45</f>
        <v>0</v>
      </c>
      <c r="R36" s="685">
        <f>PROFORMA!S45</f>
        <v>0</v>
      </c>
      <c r="S36" s="685">
        <f>PROFORMA!T45</f>
        <v>0</v>
      </c>
      <c r="T36" s="685">
        <f>PROFORMA!U45</f>
        <v>0</v>
      </c>
      <c r="U36" s="685">
        <f>PROFORMA!V45</f>
        <v>0</v>
      </c>
      <c r="V36" s="685">
        <f>PROFORMA!W45</f>
        <v>0</v>
      </c>
      <c r="W36" s="685">
        <f>PROFORMA!X45</f>
        <v>0</v>
      </c>
      <c r="X36" s="685">
        <f>PROFORMA!Y45</f>
        <v>0</v>
      </c>
      <c r="Y36" s="691">
        <f t="shared" si="0"/>
        <v>0</v>
      </c>
      <c r="Z36" s="685">
        <f>PROFORMA!Z45</f>
        <v>0</v>
      </c>
      <c r="AA36" s="685">
        <f>PROFORMA!AA45</f>
        <v>0</v>
      </c>
      <c r="AB36" s="685">
        <f>PROFORMA!AB45</f>
        <v>0</v>
      </c>
      <c r="AC36" s="685">
        <f>PROFORMA!AC45</f>
        <v>0</v>
      </c>
      <c r="AD36" s="685">
        <f>PROFORMA!AD45</f>
        <v>0</v>
      </c>
      <c r="AE36" s="685">
        <f>PROFORMA!AE45</f>
        <v>0</v>
      </c>
      <c r="AF36" s="685">
        <f>PROFORMA!AF45</f>
        <v>0</v>
      </c>
      <c r="AG36" s="685">
        <f>PROFORMA!AG45</f>
        <v>0</v>
      </c>
      <c r="AH36" s="685">
        <f>PROFORMA!AH45</f>
        <v>0</v>
      </c>
      <c r="AI36" s="685">
        <f>PROFORMA!AI45</f>
        <v>0</v>
      </c>
      <c r="AJ36" s="685">
        <f>PROFORMA!AJ45</f>
        <v>0</v>
      </c>
      <c r="AK36" s="685">
        <f>PROFORMA!AK45</f>
        <v>0</v>
      </c>
      <c r="AL36" s="685">
        <f>PROFORMA!AL45</f>
        <v>0</v>
      </c>
      <c r="AM36" s="685">
        <f>PROFORMA!AM45</f>
        <v>0</v>
      </c>
      <c r="AN36" s="685">
        <f>PROFORMA!AN45</f>
        <v>0</v>
      </c>
      <c r="AO36" s="685">
        <f>PROFORMA!AO45</f>
        <v>0</v>
      </c>
      <c r="AP36" s="685">
        <f>PROFORMA!AP45</f>
        <v>0</v>
      </c>
      <c r="AQ36" s="685">
        <f>PROFORMA!AQ45</f>
        <v>0</v>
      </c>
      <c r="AR36" s="694">
        <f t="shared" si="1"/>
        <v>0</v>
      </c>
      <c r="AS36" s="692">
        <f t="shared" si="2"/>
        <v>0</v>
      </c>
      <c r="AT36" s="692">
        <f t="shared" si="3"/>
        <v>0</v>
      </c>
      <c r="AU36" s="692"/>
      <c r="AV36" s="692">
        <f t="shared" si="4"/>
        <v>0</v>
      </c>
    </row>
    <row r="37" spans="1:48">
      <c r="A37" s="640">
        <v>35</v>
      </c>
      <c r="B37" s="810"/>
      <c r="C37" s="665" t="s">
        <v>1261</v>
      </c>
      <c r="D37" s="666"/>
      <c r="E37" s="646">
        <f>SUM(E26:E36)</f>
        <v>493000</v>
      </c>
      <c r="F37" s="646">
        <f t="shared" ref="F37:X37" si="17">SUM(F26:F36)</f>
        <v>0</v>
      </c>
      <c r="G37" s="646">
        <f t="shared" si="17"/>
        <v>0</v>
      </c>
      <c r="H37" s="646">
        <f t="shared" si="17"/>
        <v>0</v>
      </c>
      <c r="I37" s="646">
        <f t="shared" si="17"/>
        <v>0</v>
      </c>
      <c r="J37" s="646">
        <f t="shared" si="17"/>
        <v>0</v>
      </c>
      <c r="K37" s="646">
        <f t="shared" si="17"/>
        <v>0</v>
      </c>
      <c r="L37" s="646">
        <f t="shared" si="17"/>
        <v>0</v>
      </c>
      <c r="M37" s="646">
        <f t="shared" si="17"/>
        <v>0</v>
      </c>
      <c r="N37" s="646">
        <f t="shared" si="17"/>
        <v>0</v>
      </c>
      <c r="O37" s="646">
        <f t="shared" si="17"/>
        <v>0</v>
      </c>
      <c r="P37" s="646">
        <f t="shared" si="17"/>
        <v>0</v>
      </c>
      <c r="Q37" s="646">
        <f t="shared" si="17"/>
        <v>0</v>
      </c>
      <c r="R37" s="646">
        <f t="shared" si="17"/>
        <v>0</v>
      </c>
      <c r="S37" s="646">
        <f t="shared" si="17"/>
        <v>0</v>
      </c>
      <c r="T37" s="646">
        <f t="shared" si="17"/>
        <v>0</v>
      </c>
      <c r="U37" s="646">
        <f t="shared" si="17"/>
        <v>0</v>
      </c>
      <c r="V37" s="646">
        <f t="shared" si="17"/>
        <v>0</v>
      </c>
      <c r="W37" s="646">
        <f t="shared" si="17"/>
        <v>0</v>
      </c>
      <c r="X37" s="646">
        <f t="shared" si="17"/>
        <v>0</v>
      </c>
      <c r="Y37" s="690">
        <f t="shared" si="0"/>
        <v>0</v>
      </c>
      <c r="Z37" s="646">
        <f t="shared" ref="Z37:AV37" si="18">SUM(Z26:Z36)</f>
        <v>0</v>
      </c>
      <c r="AA37" s="646">
        <f t="shared" si="18"/>
        <v>0</v>
      </c>
      <c r="AB37" s="646">
        <f t="shared" si="18"/>
        <v>0</v>
      </c>
      <c r="AC37" s="646">
        <f t="shared" si="18"/>
        <v>0</v>
      </c>
      <c r="AD37" s="646">
        <f t="shared" si="18"/>
        <v>0</v>
      </c>
      <c r="AE37" s="646">
        <f t="shared" si="18"/>
        <v>0</v>
      </c>
      <c r="AF37" s="646">
        <f t="shared" si="18"/>
        <v>0</v>
      </c>
      <c r="AG37" s="646">
        <f t="shared" si="18"/>
        <v>0</v>
      </c>
      <c r="AH37" s="646">
        <f t="shared" si="18"/>
        <v>0</v>
      </c>
      <c r="AI37" s="646">
        <f t="shared" si="18"/>
        <v>0</v>
      </c>
      <c r="AJ37" s="646">
        <f t="shared" si="18"/>
        <v>0</v>
      </c>
      <c r="AK37" s="646">
        <f t="shared" si="18"/>
        <v>0</v>
      </c>
      <c r="AL37" s="646">
        <f t="shared" si="18"/>
        <v>0</v>
      </c>
      <c r="AM37" s="646">
        <f t="shared" si="18"/>
        <v>0</v>
      </c>
      <c r="AN37" s="646">
        <f t="shared" si="18"/>
        <v>0</v>
      </c>
      <c r="AO37" s="646">
        <f t="shared" si="18"/>
        <v>0</v>
      </c>
      <c r="AP37" s="646">
        <f t="shared" si="18"/>
        <v>0</v>
      </c>
      <c r="AQ37" s="646">
        <f t="shared" si="18"/>
        <v>0</v>
      </c>
      <c r="AR37" s="646">
        <f t="shared" si="18"/>
        <v>0</v>
      </c>
      <c r="AS37" s="646">
        <f t="shared" si="18"/>
        <v>0</v>
      </c>
      <c r="AT37" s="646">
        <f t="shared" si="18"/>
        <v>493000</v>
      </c>
      <c r="AU37" s="646">
        <f t="shared" si="18"/>
        <v>0</v>
      </c>
      <c r="AV37" s="646">
        <f t="shared" si="18"/>
        <v>493000</v>
      </c>
    </row>
    <row r="38" spans="1:48" ht="31.05" customHeight="1">
      <c r="A38" s="640">
        <v>36</v>
      </c>
      <c r="B38" s="809" t="s">
        <v>1357</v>
      </c>
      <c r="C38" s="628" t="s">
        <v>1</v>
      </c>
      <c r="D38" s="656">
        <v>830</v>
      </c>
      <c r="E38" s="649">
        <f>PROFORMA!F47</f>
        <v>0</v>
      </c>
      <c r="F38" s="649">
        <f>PROFORMA!G47</f>
        <v>0</v>
      </c>
      <c r="G38" s="649">
        <f>PROFORMA!H47</f>
        <v>0</v>
      </c>
      <c r="H38" s="649">
        <f>PROFORMA!I47</f>
        <v>0</v>
      </c>
      <c r="I38" s="649">
        <f>PROFORMA!J47</f>
        <v>0</v>
      </c>
      <c r="J38" s="649">
        <f>PROFORMA!K47</f>
        <v>0</v>
      </c>
      <c r="K38" s="649">
        <f>PROFORMA!L47</f>
        <v>0</v>
      </c>
      <c r="L38" s="649">
        <f>PROFORMA!M47</f>
        <v>0</v>
      </c>
      <c r="M38" s="649">
        <f>PROFORMA!N47</f>
        <v>0</v>
      </c>
      <c r="N38" s="649">
        <f>PROFORMA!O47</f>
        <v>0</v>
      </c>
      <c r="O38" s="649">
        <f>PROFORMA!P47</f>
        <v>0</v>
      </c>
      <c r="P38" s="649">
        <f>PROFORMA!Q47</f>
        <v>0</v>
      </c>
      <c r="Q38" s="649">
        <f>PROFORMA!R47</f>
        <v>0</v>
      </c>
      <c r="R38" s="649">
        <f>PROFORMA!S47</f>
        <v>0</v>
      </c>
      <c r="S38" s="649">
        <f>PROFORMA!T47</f>
        <v>0</v>
      </c>
      <c r="T38" s="649">
        <f>PROFORMA!U47</f>
        <v>0</v>
      </c>
      <c r="U38" s="649">
        <f>PROFORMA!V47</f>
        <v>0</v>
      </c>
      <c r="V38" s="649">
        <f>PROFORMA!W47</f>
        <v>0</v>
      </c>
      <c r="W38" s="649">
        <f>PROFORMA!X47</f>
        <v>0</v>
      </c>
      <c r="X38" s="649">
        <f>PROFORMA!Y47</f>
        <v>0</v>
      </c>
      <c r="Y38" s="690">
        <f t="shared" si="0"/>
        <v>0</v>
      </c>
      <c r="Z38" s="649">
        <f>PROFORMA!Z47</f>
        <v>0</v>
      </c>
      <c r="AA38" s="649">
        <f>PROFORMA!AA47</f>
        <v>0</v>
      </c>
      <c r="AB38" s="649">
        <f>PROFORMA!AB47</f>
        <v>0</v>
      </c>
      <c r="AC38" s="649">
        <f>PROFORMA!AC47</f>
        <v>0</v>
      </c>
      <c r="AD38" s="649">
        <f>PROFORMA!AD47</f>
        <v>0</v>
      </c>
      <c r="AE38" s="649">
        <f>PROFORMA!AE47</f>
        <v>0</v>
      </c>
      <c r="AF38" s="649">
        <f>PROFORMA!AF47</f>
        <v>0</v>
      </c>
      <c r="AG38" s="649">
        <f>PROFORMA!AG47</f>
        <v>0</v>
      </c>
      <c r="AH38" s="649">
        <f>PROFORMA!AH47</f>
        <v>0</v>
      </c>
      <c r="AI38" s="649">
        <f>PROFORMA!AI47</f>
        <v>0</v>
      </c>
      <c r="AJ38" s="649">
        <f>PROFORMA!AJ47</f>
        <v>0</v>
      </c>
      <c r="AK38" s="649">
        <f>PROFORMA!AK47</f>
        <v>0</v>
      </c>
      <c r="AL38" s="649">
        <f>PROFORMA!AL47</f>
        <v>0</v>
      </c>
      <c r="AM38" s="649">
        <f>PROFORMA!AM47</f>
        <v>0</v>
      </c>
      <c r="AN38" s="649">
        <f>PROFORMA!AN47</f>
        <v>0</v>
      </c>
      <c r="AO38" s="649">
        <f>PROFORMA!AO47</f>
        <v>0</v>
      </c>
      <c r="AP38" s="649">
        <f>PROFORMA!AP47</f>
        <v>0</v>
      </c>
      <c r="AQ38" s="649">
        <f>PROFORMA!AQ47</f>
        <v>0</v>
      </c>
      <c r="AR38" s="693">
        <f t="shared" si="1"/>
        <v>0</v>
      </c>
      <c r="AS38" s="643">
        <f t="shared" si="2"/>
        <v>0</v>
      </c>
      <c r="AT38" s="643">
        <f t="shared" si="3"/>
        <v>0</v>
      </c>
      <c r="AU38" s="643"/>
      <c r="AV38" s="643">
        <f t="shared" si="4"/>
        <v>0</v>
      </c>
    </row>
    <row r="39" spans="1:48">
      <c r="A39" s="640">
        <v>37</v>
      </c>
      <c r="B39" s="809"/>
      <c r="C39" s="628" t="s">
        <v>290</v>
      </c>
      <c r="D39" s="656">
        <v>831</v>
      </c>
      <c r="E39" s="649">
        <f>PROFORMA!F48</f>
        <v>0</v>
      </c>
      <c r="F39" s="649">
        <f>PROFORMA!G48</f>
        <v>0</v>
      </c>
      <c r="G39" s="649">
        <f>PROFORMA!H48</f>
        <v>0</v>
      </c>
      <c r="H39" s="649">
        <f>PROFORMA!I48</f>
        <v>0</v>
      </c>
      <c r="I39" s="649">
        <f>PROFORMA!J48</f>
        <v>0</v>
      </c>
      <c r="J39" s="649">
        <f>PROFORMA!K48</f>
        <v>0</v>
      </c>
      <c r="K39" s="649">
        <f>PROFORMA!L48</f>
        <v>0</v>
      </c>
      <c r="L39" s="649">
        <f>PROFORMA!M48</f>
        <v>0</v>
      </c>
      <c r="M39" s="649">
        <f>PROFORMA!N48</f>
        <v>0</v>
      </c>
      <c r="N39" s="649">
        <f>PROFORMA!O48</f>
        <v>0</v>
      </c>
      <c r="O39" s="649">
        <f>PROFORMA!P48</f>
        <v>0</v>
      </c>
      <c r="P39" s="649">
        <f>PROFORMA!Q48</f>
        <v>0</v>
      </c>
      <c r="Q39" s="649">
        <f>PROFORMA!R48</f>
        <v>0</v>
      </c>
      <c r="R39" s="649">
        <f>PROFORMA!S48</f>
        <v>0</v>
      </c>
      <c r="S39" s="649">
        <f>PROFORMA!T48</f>
        <v>0</v>
      </c>
      <c r="T39" s="649">
        <f>PROFORMA!U48</f>
        <v>0</v>
      </c>
      <c r="U39" s="649">
        <f>PROFORMA!V48</f>
        <v>0</v>
      </c>
      <c r="V39" s="649">
        <f>PROFORMA!W48</f>
        <v>0</v>
      </c>
      <c r="W39" s="649">
        <f>PROFORMA!X48</f>
        <v>0</v>
      </c>
      <c r="X39" s="649">
        <f>PROFORMA!Y48</f>
        <v>0</v>
      </c>
      <c r="Y39" s="690">
        <f t="shared" si="0"/>
        <v>0</v>
      </c>
      <c r="Z39" s="649">
        <f>PROFORMA!Z48</f>
        <v>0</v>
      </c>
      <c r="AA39" s="649">
        <f>PROFORMA!AA48</f>
        <v>0</v>
      </c>
      <c r="AB39" s="649">
        <f>PROFORMA!AB48</f>
        <v>0</v>
      </c>
      <c r="AC39" s="649">
        <f>PROFORMA!AC48</f>
        <v>0</v>
      </c>
      <c r="AD39" s="649">
        <f>PROFORMA!AD48</f>
        <v>0</v>
      </c>
      <c r="AE39" s="649">
        <f>PROFORMA!AE48</f>
        <v>0</v>
      </c>
      <c r="AF39" s="649">
        <f>PROFORMA!AF48</f>
        <v>0</v>
      </c>
      <c r="AG39" s="649">
        <f>PROFORMA!AG48</f>
        <v>0</v>
      </c>
      <c r="AH39" s="649">
        <f>PROFORMA!AH48</f>
        <v>0</v>
      </c>
      <c r="AI39" s="649">
        <f>PROFORMA!AI48</f>
        <v>0</v>
      </c>
      <c r="AJ39" s="649">
        <f>PROFORMA!AJ48</f>
        <v>0</v>
      </c>
      <c r="AK39" s="649">
        <f>PROFORMA!AK48</f>
        <v>0</v>
      </c>
      <c r="AL39" s="649">
        <f>PROFORMA!AL48</f>
        <v>0</v>
      </c>
      <c r="AM39" s="649">
        <f>PROFORMA!AM48</f>
        <v>0</v>
      </c>
      <c r="AN39" s="649">
        <f>PROFORMA!AN48</f>
        <v>0</v>
      </c>
      <c r="AO39" s="649">
        <f>PROFORMA!AO48</f>
        <v>0</v>
      </c>
      <c r="AP39" s="649">
        <f>PROFORMA!AP48</f>
        <v>0</v>
      </c>
      <c r="AQ39" s="649">
        <f>PROFORMA!AQ48</f>
        <v>0</v>
      </c>
      <c r="AR39" s="693">
        <f t="shared" si="1"/>
        <v>0</v>
      </c>
      <c r="AS39" s="643">
        <f t="shared" si="2"/>
        <v>0</v>
      </c>
      <c r="AT39" s="643">
        <f t="shared" si="3"/>
        <v>0</v>
      </c>
      <c r="AU39" s="643"/>
      <c r="AV39" s="643">
        <f t="shared" si="4"/>
        <v>0</v>
      </c>
    </row>
    <row r="40" spans="1:48">
      <c r="A40" s="640">
        <v>38</v>
      </c>
      <c r="B40" s="809"/>
      <c r="C40" s="628" t="s">
        <v>291</v>
      </c>
      <c r="D40" s="656">
        <v>832</v>
      </c>
      <c r="E40" s="649">
        <f>PROFORMA!F49</f>
        <v>0</v>
      </c>
      <c r="F40" s="649">
        <f>PROFORMA!G49</f>
        <v>0</v>
      </c>
      <c r="G40" s="649">
        <f>PROFORMA!H49</f>
        <v>0</v>
      </c>
      <c r="H40" s="649">
        <f>PROFORMA!I49</f>
        <v>0</v>
      </c>
      <c r="I40" s="649">
        <f>PROFORMA!J49</f>
        <v>0</v>
      </c>
      <c r="J40" s="649">
        <f>PROFORMA!K49</f>
        <v>0</v>
      </c>
      <c r="K40" s="649">
        <f>PROFORMA!L49</f>
        <v>0</v>
      </c>
      <c r="L40" s="649">
        <f>PROFORMA!M49</f>
        <v>0</v>
      </c>
      <c r="M40" s="649">
        <f>PROFORMA!N49</f>
        <v>0</v>
      </c>
      <c r="N40" s="649">
        <f>PROFORMA!O49</f>
        <v>0</v>
      </c>
      <c r="O40" s="649">
        <f>PROFORMA!P49</f>
        <v>0</v>
      </c>
      <c r="P40" s="649">
        <f>PROFORMA!Q49</f>
        <v>0</v>
      </c>
      <c r="Q40" s="649">
        <f>PROFORMA!R49</f>
        <v>0</v>
      </c>
      <c r="R40" s="649">
        <f>PROFORMA!S49</f>
        <v>0</v>
      </c>
      <c r="S40" s="649">
        <f>PROFORMA!T49</f>
        <v>0</v>
      </c>
      <c r="T40" s="649">
        <f>PROFORMA!U49</f>
        <v>0</v>
      </c>
      <c r="U40" s="649">
        <f>PROFORMA!V49</f>
        <v>0</v>
      </c>
      <c r="V40" s="649">
        <f>PROFORMA!W49</f>
        <v>0</v>
      </c>
      <c r="W40" s="649">
        <f>PROFORMA!X49</f>
        <v>0</v>
      </c>
      <c r="X40" s="649">
        <f>PROFORMA!Y49</f>
        <v>0</v>
      </c>
      <c r="Y40" s="690">
        <f t="shared" si="0"/>
        <v>0</v>
      </c>
      <c r="Z40" s="649">
        <f>PROFORMA!Z49</f>
        <v>0</v>
      </c>
      <c r="AA40" s="649">
        <f>PROFORMA!AA49</f>
        <v>0</v>
      </c>
      <c r="AB40" s="649">
        <f>PROFORMA!AB49</f>
        <v>0</v>
      </c>
      <c r="AC40" s="649">
        <f>PROFORMA!AC49</f>
        <v>0</v>
      </c>
      <c r="AD40" s="649">
        <f>PROFORMA!AD49</f>
        <v>0</v>
      </c>
      <c r="AE40" s="649">
        <f>PROFORMA!AE49</f>
        <v>0</v>
      </c>
      <c r="AF40" s="649">
        <f>PROFORMA!AF49</f>
        <v>0</v>
      </c>
      <c r="AG40" s="649">
        <f>PROFORMA!AG49</f>
        <v>0</v>
      </c>
      <c r="AH40" s="649">
        <f>PROFORMA!AH49</f>
        <v>0</v>
      </c>
      <c r="AI40" s="649">
        <f>PROFORMA!AI49</f>
        <v>0</v>
      </c>
      <c r="AJ40" s="649">
        <f>PROFORMA!AJ49</f>
        <v>0</v>
      </c>
      <c r="AK40" s="649">
        <f>PROFORMA!AK49</f>
        <v>0</v>
      </c>
      <c r="AL40" s="649">
        <f>PROFORMA!AL49</f>
        <v>0</v>
      </c>
      <c r="AM40" s="649">
        <f>PROFORMA!AM49</f>
        <v>0</v>
      </c>
      <c r="AN40" s="649">
        <f>PROFORMA!AN49</f>
        <v>0</v>
      </c>
      <c r="AO40" s="649">
        <f>PROFORMA!AO49</f>
        <v>0</v>
      </c>
      <c r="AP40" s="649">
        <f>PROFORMA!AP49</f>
        <v>0</v>
      </c>
      <c r="AQ40" s="649">
        <f>PROFORMA!AQ49</f>
        <v>0</v>
      </c>
      <c r="AR40" s="693">
        <f t="shared" si="1"/>
        <v>0</v>
      </c>
      <c r="AS40" s="643">
        <f t="shared" si="2"/>
        <v>0</v>
      </c>
      <c r="AT40" s="643">
        <f t="shared" si="3"/>
        <v>0</v>
      </c>
      <c r="AU40" s="643"/>
      <c r="AV40" s="643">
        <f t="shared" si="4"/>
        <v>0</v>
      </c>
    </row>
    <row r="41" spans="1:48">
      <c r="A41" s="640">
        <v>39</v>
      </c>
      <c r="B41" s="809"/>
      <c r="C41" s="628" t="s">
        <v>292</v>
      </c>
      <c r="D41" s="656">
        <v>833</v>
      </c>
      <c r="E41" s="649">
        <f>PROFORMA!F50</f>
        <v>0</v>
      </c>
      <c r="F41" s="649">
        <f>PROFORMA!G50</f>
        <v>0</v>
      </c>
      <c r="G41" s="649">
        <f>PROFORMA!H50</f>
        <v>0</v>
      </c>
      <c r="H41" s="649">
        <f>PROFORMA!I50</f>
        <v>0</v>
      </c>
      <c r="I41" s="649">
        <f>PROFORMA!J50</f>
        <v>0</v>
      </c>
      <c r="J41" s="649">
        <f>PROFORMA!K50</f>
        <v>0</v>
      </c>
      <c r="K41" s="649">
        <f>PROFORMA!L50</f>
        <v>0</v>
      </c>
      <c r="L41" s="649">
        <f>PROFORMA!M50</f>
        <v>0</v>
      </c>
      <c r="M41" s="649">
        <f>PROFORMA!N50</f>
        <v>0</v>
      </c>
      <c r="N41" s="649">
        <f>PROFORMA!O50</f>
        <v>0</v>
      </c>
      <c r="O41" s="649">
        <f>PROFORMA!P50</f>
        <v>0</v>
      </c>
      <c r="P41" s="649">
        <f>PROFORMA!Q50</f>
        <v>0</v>
      </c>
      <c r="Q41" s="649">
        <f>PROFORMA!R50</f>
        <v>0</v>
      </c>
      <c r="R41" s="649">
        <f>PROFORMA!S50</f>
        <v>0</v>
      </c>
      <c r="S41" s="649">
        <f>PROFORMA!T50</f>
        <v>0</v>
      </c>
      <c r="T41" s="649">
        <f>PROFORMA!U50</f>
        <v>0</v>
      </c>
      <c r="U41" s="649">
        <f>PROFORMA!V50</f>
        <v>0</v>
      </c>
      <c r="V41" s="649">
        <f>PROFORMA!W50</f>
        <v>0</v>
      </c>
      <c r="W41" s="649">
        <f>PROFORMA!X50</f>
        <v>0</v>
      </c>
      <c r="X41" s="649">
        <f>PROFORMA!Y50</f>
        <v>0</v>
      </c>
      <c r="Y41" s="690">
        <f t="shared" si="0"/>
        <v>0</v>
      </c>
      <c r="Z41" s="649">
        <f>PROFORMA!Z50</f>
        <v>0</v>
      </c>
      <c r="AA41" s="649">
        <f>PROFORMA!AA50</f>
        <v>0</v>
      </c>
      <c r="AB41" s="649">
        <f>PROFORMA!AB50</f>
        <v>0</v>
      </c>
      <c r="AC41" s="649">
        <f>PROFORMA!AC50</f>
        <v>0</v>
      </c>
      <c r="AD41" s="649">
        <f>PROFORMA!AD50</f>
        <v>0</v>
      </c>
      <c r="AE41" s="649">
        <f>PROFORMA!AE50</f>
        <v>0</v>
      </c>
      <c r="AF41" s="649">
        <f>PROFORMA!AF50</f>
        <v>0</v>
      </c>
      <c r="AG41" s="649">
        <f>PROFORMA!AG50</f>
        <v>0</v>
      </c>
      <c r="AH41" s="649">
        <f>PROFORMA!AH50</f>
        <v>0</v>
      </c>
      <c r="AI41" s="649">
        <f>PROFORMA!AI50</f>
        <v>0</v>
      </c>
      <c r="AJ41" s="649">
        <f>PROFORMA!AJ50</f>
        <v>0</v>
      </c>
      <c r="AK41" s="649">
        <f>PROFORMA!AK50</f>
        <v>0</v>
      </c>
      <c r="AL41" s="649">
        <f>PROFORMA!AL50</f>
        <v>0</v>
      </c>
      <c r="AM41" s="649">
        <f>PROFORMA!AM50</f>
        <v>0</v>
      </c>
      <c r="AN41" s="649">
        <f>PROFORMA!AN50</f>
        <v>0</v>
      </c>
      <c r="AO41" s="649">
        <f>PROFORMA!AO50</f>
        <v>0</v>
      </c>
      <c r="AP41" s="649">
        <f>PROFORMA!AP50</f>
        <v>0</v>
      </c>
      <c r="AQ41" s="649">
        <f>PROFORMA!AQ50</f>
        <v>0</v>
      </c>
      <c r="AR41" s="693">
        <f t="shared" si="1"/>
        <v>0</v>
      </c>
      <c r="AS41" s="643">
        <f t="shared" si="2"/>
        <v>0</v>
      </c>
      <c r="AT41" s="643">
        <f t="shared" si="3"/>
        <v>0</v>
      </c>
      <c r="AU41" s="643"/>
      <c r="AV41" s="643">
        <f t="shared" si="4"/>
        <v>0</v>
      </c>
    </row>
    <row r="42" spans="1:48">
      <c r="A42" s="640">
        <v>40</v>
      </c>
      <c r="B42" s="809"/>
      <c r="C42" s="628" t="s">
        <v>293</v>
      </c>
      <c r="D42" s="656">
        <v>834</v>
      </c>
      <c r="E42" s="649">
        <f>PROFORMA!F51</f>
        <v>0</v>
      </c>
      <c r="F42" s="649">
        <f>PROFORMA!G51</f>
        <v>0</v>
      </c>
      <c r="G42" s="649">
        <f>PROFORMA!H51</f>
        <v>0</v>
      </c>
      <c r="H42" s="649">
        <f>PROFORMA!I51</f>
        <v>0</v>
      </c>
      <c r="I42" s="649">
        <f>PROFORMA!J51</f>
        <v>0</v>
      </c>
      <c r="J42" s="649">
        <f>PROFORMA!K51</f>
        <v>0</v>
      </c>
      <c r="K42" s="649">
        <f>PROFORMA!L51</f>
        <v>0</v>
      </c>
      <c r="L42" s="649">
        <f>PROFORMA!M51</f>
        <v>0</v>
      </c>
      <c r="M42" s="649">
        <f>PROFORMA!N51</f>
        <v>0</v>
      </c>
      <c r="N42" s="649">
        <f>PROFORMA!O51</f>
        <v>0</v>
      </c>
      <c r="O42" s="649">
        <f>PROFORMA!P51</f>
        <v>0</v>
      </c>
      <c r="P42" s="649">
        <f>PROFORMA!Q51</f>
        <v>0</v>
      </c>
      <c r="Q42" s="649">
        <f>PROFORMA!R51</f>
        <v>0</v>
      </c>
      <c r="R42" s="649">
        <f>PROFORMA!S51</f>
        <v>0</v>
      </c>
      <c r="S42" s="649">
        <f>PROFORMA!T51</f>
        <v>0</v>
      </c>
      <c r="T42" s="649">
        <f>PROFORMA!U51</f>
        <v>0</v>
      </c>
      <c r="U42" s="649">
        <f>PROFORMA!V51</f>
        <v>0</v>
      </c>
      <c r="V42" s="649">
        <f>PROFORMA!W51</f>
        <v>0</v>
      </c>
      <c r="W42" s="649">
        <f>PROFORMA!X51</f>
        <v>0</v>
      </c>
      <c r="X42" s="649">
        <f>PROFORMA!Y51</f>
        <v>0</v>
      </c>
      <c r="Y42" s="690">
        <f t="shared" si="0"/>
        <v>0</v>
      </c>
      <c r="Z42" s="649">
        <f>PROFORMA!Z51</f>
        <v>0</v>
      </c>
      <c r="AA42" s="649">
        <f>PROFORMA!AA51</f>
        <v>0</v>
      </c>
      <c r="AB42" s="649">
        <f>PROFORMA!AB51</f>
        <v>0</v>
      </c>
      <c r="AC42" s="649">
        <f>PROFORMA!AC51</f>
        <v>0</v>
      </c>
      <c r="AD42" s="649">
        <f>PROFORMA!AD51</f>
        <v>0</v>
      </c>
      <c r="AE42" s="649">
        <f>PROFORMA!AE51</f>
        <v>0</v>
      </c>
      <c r="AF42" s="649">
        <f>PROFORMA!AF51</f>
        <v>0</v>
      </c>
      <c r="AG42" s="649">
        <f>PROFORMA!AG51</f>
        <v>0</v>
      </c>
      <c r="AH42" s="649">
        <f>PROFORMA!AH51</f>
        <v>0</v>
      </c>
      <c r="AI42" s="649">
        <f>PROFORMA!AI51</f>
        <v>0</v>
      </c>
      <c r="AJ42" s="649">
        <f>PROFORMA!AJ51</f>
        <v>0</v>
      </c>
      <c r="AK42" s="649">
        <f>PROFORMA!AK51</f>
        <v>0</v>
      </c>
      <c r="AL42" s="649">
        <f>PROFORMA!AL51</f>
        <v>0</v>
      </c>
      <c r="AM42" s="649">
        <f>PROFORMA!AM51</f>
        <v>0</v>
      </c>
      <c r="AN42" s="649">
        <f>PROFORMA!AN51</f>
        <v>0</v>
      </c>
      <c r="AO42" s="649">
        <f>PROFORMA!AO51</f>
        <v>0</v>
      </c>
      <c r="AP42" s="649">
        <f>PROFORMA!AP51</f>
        <v>0</v>
      </c>
      <c r="AQ42" s="649">
        <f>PROFORMA!AQ51</f>
        <v>0</v>
      </c>
      <c r="AR42" s="693">
        <f t="shared" si="1"/>
        <v>0</v>
      </c>
      <c r="AS42" s="643">
        <f t="shared" si="2"/>
        <v>0</v>
      </c>
      <c r="AT42" s="643">
        <f t="shared" si="3"/>
        <v>0</v>
      </c>
      <c r="AU42" s="643"/>
      <c r="AV42" s="643">
        <f t="shared" si="4"/>
        <v>0</v>
      </c>
    </row>
    <row r="43" spans="1:48">
      <c r="A43" s="640">
        <v>41</v>
      </c>
      <c r="B43" s="809"/>
      <c r="C43" s="628" t="s">
        <v>294</v>
      </c>
      <c r="D43" s="656">
        <v>835</v>
      </c>
      <c r="E43" s="649">
        <f>PROFORMA!F52</f>
        <v>0</v>
      </c>
      <c r="F43" s="649">
        <f>PROFORMA!G52</f>
        <v>0</v>
      </c>
      <c r="G43" s="649">
        <f>PROFORMA!H52</f>
        <v>0</v>
      </c>
      <c r="H43" s="649">
        <f>PROFORMA!I52</f>
        <v>0</v>
      </c>
      <c r="I43" s="649">
        <f>PROFORMA!J52</f>
        <v>0</v>
      </c>
      <c r="J43" s="649">
        <f>PROFORMA!K52</f>
        <v>0</v>
      </c>
      <c r="K43" s="649">
        <f>PROFORMA!L52</f>
        <v>0</v>
      </c>
      <c r="L43" s="649">
        <f>PROFORMA!M52</f>
        <v>0</v>
      </c>
      <c r="M43" s="649">
        <f>PROFORMA!N52</f>
        <v>0</v>
      </c>
      <c r="N43" s="649">
        <f>PROFORMA!O52</f>
        <v>0</v>
      </c>
      <c r="O43" s="649">
        <f>PROFORMA!P52</f>
        <v>0</v>
      </c>
      <c r="P43" s="649">
        <f>PROFORMA!Q52</f>
        <v>0</v>
      </c>
      <c r="Q43" s="649">
        <f>PROFORMA!R52</f>
        <v>0</v>
      </c>
      <c r="R43" s="649">
        <f>PROFORMA!S52</f>
        <v>0</v>
      </c>
      <c r="S43" s="649">
        <f>PROFORMA!T52</f>
        <v>0</v>
      </c>
      <c r="T43" s="649">
        <f>PROFORMA!U52</f>
        <v>0</v>
      </c>
      <c r="U43" s="649">
        <f>PROFORMA!V52</f>
        <v>0</v>
      </c>
      <c r="V43" s="649">
        <f>PROFORMA!W52</f>
        <v>0</v>
      </c>
      <c r="W43" s="649">
        <f>PROFORMA!X52</f>
        <v>0</v>
      </c>
      <c r="X43" s="649">
        <f>PROFORMA!Y52</f>
        <v>0</v>
      </c>
      <c r="Y43" s="690">
        <f t="shared" si="0"/>
        <v>0</v>
      </c>
      <c r="Z43" s="649">
        <f>PROFORMA!Z52</f>
        <v>0</v>
      </c>
      <c r="AA43" s="649">
        <f>PROFORMA!AA52</f>
        <v>0</v>
      </c>
      <c r="AB43" s="649">
        <f>PROFORMA!AB52</f>
        <v>0</v>
      </c>
      <c r="AC43" s="649">
        <f>PROFORMA!AC52</f>
        <v>0</v>
      </c>
      <c r="AD43" s="649">
        <f>PROFORMA!AD52</f>
        <v>0</v>
      </c>
      <c r="AE43" s="649">
        <f>PROFORMA!AE52</f>
        <v>0</v>
      </c>
      <c r="AF43" s="649">
        <f>PROFORMA!AF52</f>
        <v>0</v>
      </c>
      <c r="AG43" s="649">
        <f>PROFORMA!AG52</f>
        <v>0</v>
      </c>
      <c r="AH43" s="649">
        <f>PROFORMA!AH52</f>
        <v>0</v>
      </c>
      <c r="AI43" s="649">
        <f>PROFORMA!AI52</f>
        <v>0</v>
      </c>
      <c r="AJ43" s="649">
        <f>PROFORMA!AJ52</f>
        <v>0</v>
      </c>
      <c r="AK43" s="649">
        <f>PROFORMA!AK52</f>
        <v>0</v>
      </c>
      <c r="AL43" s="649">
        <f>PROFORMA!AL52</f>
        <v>0</v>
      </c>
      <c r="AM43" s="649">
        <f>PROFORMA!AM52</f>
        <v>0</v>
      </c>
      <c r="AN43" s="649">
        <f>PROFORMA!AN52</f>
        <v>0</v>
      </c>
      <c r="AO43" s="649">
        <f>PROFORMA!AO52</f>
        <v>0</v>
      </c>
      <c r="AP43" s="649">
        <f>PROFORMA!AP52</f>
        <v>0</v>
      </c>
      <c r="AQ43" s="649">
        <f>PROFORMA!AQ52</f>
        <v>0</v>
      </c>
      <c r="AR43" s="693">
        <f t="shared" si="1"/>
        <v>0</v>
      </c>
      <c r="AS43" s="643">
        <f t="shared" si="2"/>
        <v>0</v>
      </c>
      <c r="AT43" s="643">
        <f t="shared" si="3"/>
        <v>0</v>
      </c>
      <c r="AU43" s="643"/>
      <c r="AV43" s="643">
        <f t="shared" si="4"/>
        <v>0</v>
      </c>
    </row>
    <row r="44" spans="1:48" ht="31.2">
      <c r="A44" s="640">
        <v>42</v>
      </c>
      <c r="B44" s="809"/>
      <c r="C44" s="628" t="s">
        <v>318</v>
      </c>
      <c r="D44" s="656">
        <v>836</v>
      </c>
      <c r="E44" s="649">
        <f>PROFORMA!F53</f>
        <v>0</v>
      </c>
      <c r="F44" s="649">
        <f>PROFORMA!G53</f>
        <v>0</v>
      </c>
      <c r="G44" s="649">
        <f>PROFORMA!H53</f>
        <v>0</v>
      </c>
      <c r="H44" s="649">
        <f>PROFORMA!I53</f>
        <v>0</v>
      </c>
      <c r="I44" s="649">
        <f>PROFORMA!J53</f>
        <v>0</v>
      </c>
      <c r="J44" s="649">
        <f>PROFORMA!K53</f>
        <v>0</v>
      </c>
      <c r="K44" s="649">
        <f>PROFORMA!L53</f>
        <v>0</v>
      </c>
      <c r="L44" s="649">
        <f>PROFORMA!M53</f>
        <v>0</v>
      </c>
      <c r="M44" s="649">
        <f>PROFORMA!N53</f>
        <v>0</v>
      </c>
      <c r="N44" s="649">
        <f>PROFORMA!O53</f>
        <v>0</v>
      </c>
      <c r="O44" s="649">
        <f>PROFORMA!P53</f>
        <v>0</v>
      </c>
      <c r="P44" s="649">
        <f>PROFORMA!Q53</f>
        <v>0</v>
      </c>
      <c r="Q44" s="649">
        <f>PROFORMA!R53</f>
        <v>0</v>
      </c>
      <c r="R44" s="649">
        <f>PROFORMA!S53</f>
        <v>0</v>
      </c>
      <c r="S44" s="649">
        <f>PROFORMA!T53</f>
        <v>0</v>
      </c>
      <c r="T44" s="649">
        <f>PROFORMA!U53</f>
        <v>0</v>
      </c>
      <c r="U44" s="649">
        <f>PROFORMA!V53</f>
        <v>0</v>
      </c>
      <c r="V44" s="649">
        <f>PROFORMA!W53</f>
        <v>0</v>
      </c>
      <c r="W44" s="649">
        <f>PROFORMA!X53</f>
        <v>0</v>
      </c>
      <c r="X44" s="649">
        <f>PROFORMA!Y53</f>
        <v>0</v>
      </c>
      <c r="Y44" s="690">
        <f t="shared" si="0"/>
        <v>0</v>
      </c>
      <c r="Z44" s="649">
        <f>PROFORMA!Z53</f>
        <v>0</v>
      </c>
      <c r="AA44" s="649">
        <f>PROFORMA!AA53</f>
        <v>0</v>
      </c>
      <c r="AB44" s="649">
        <f>PROFORMA!AB53</f>
        <v>0</v>
      </c>
      <c r="AC44" s="649">
        <f>PROFORMA!AC53</f>
        <v>0</v>
      </c>
      <c r="AD44" s="649">
        <f>PROFORMA!AD53</f>
        <v>0</v>
      </c>
      <c r="AE44" s="649">
        <f>PROFORMA!AE53</f>
        <v>0</v>
      </c>
      <c r="AF44" s="649">
        <f>PROFORMA!AF53</f>
        <v>0</v>
      </c>
      <c r="AG44" s="649">
        <f>PROFORMA!AG53</f>
        <v>0</v>
      </c>
      <c r="AH44" s="649">
        <f>PROFORMA!AH53</f>
        <v>0</v>
      </c>
      <c r="AI44" s="649">
        <f>PROFORMA!AI53</f>
        <v>0</v>
      </c>
      <c r="AJ44" s="649">
        <f>PROFORMA!AJ53</f>
        <v>0</v>
      </c>
      <c r="AK44" s="649">
        <f>PROFORMA!AK53</f>
        <v>0</v>
      </c>
      <c r="AL44" s="649">
        <f>PROFORMA!AL53</f>
        <v>0</v>
      </c>
      <c r="AM44" s="649">
        <f>PROFORMA!AM53</f>
        <v>0</v>
      </c>
      <c r="AN44" s="649">
        <f>PROFORMA!AN53</f>
        <v>0</v>
      </c>
      <c r="AO44" s="649">
        <f>PROFORMA!AO53</f>
        <v>0</v>
      </c>
      <c r="AP44" s="649">
        <f>PROFORMA!AP53</f>
        <v>0</v>
      </c>
      <c r="AQ44" s="649">
        <f>PROFORMA!AQ53</f>
        <v>0</v>
      </c>
      <c r="AR44" s="693">
        <f t="shared" si="1"/>
        <v>0</v>
      </c>
      <c r="AS44" s="643">
        <f t="shared" si="2"/>
        <v>0</v>
      </c>
      <c r="AT44" s="643">
        <f t="shared" si="3"/>
        <v>0</v>
      </c>
      <c r="AU44" s="643"/>
      <c r="AV44" s="643">
        <f t="shared" si="4"/>
        <v>0</v>
      </c>
    </row>
    <row r="45" spans="1:48">
      <c r="A45" s="640">
        <v>43</v>
      </c>
      <c r="B45" s="809"/>
      <c r="C45" s="628" t="s">
        <v>243</v>
      </c>
      <c r="D45" s="656">
        <v>837</v>
      </c>
      <c r="E45" s="685">
        <f>PROFORMA!F54</f>
        <v>1390000</v>
      </c>
      <c r="F45" s="685">
        <f>PROFORMA!G54</f>
        <v>0</v>
      </c>
      <c r="G45" s="685">
        <f>PROFORMA!H54</f>
        <v>0</v>
      </c>
      <c r="H45" s="685">
        <f>PROFORMA!I54</f>
        <v>0</v>
      </c>
      <c r="I45" s="685">
        <f>PROFORMA!J54</f>
        <v>0</v>
      </c>
      <c r="J45" s="685">
        <f>PROFORMA!K54</f>
        <v>0</v>
      </c>
      <c r="K45" s="685">
        <f>PROFORMA!L54</f>
        <v>0</v>
      </c>
      <c r="L45" s="685">
        <f>PROFORMA!M54</f>
        <v>0</v>
      </c>
      <c r="M45" s="685">
        <f>PROFORMA!N54</f>
        <v>0</v>
      </c>
      <c r="N45" s="685">
        <f>PROFORMA!O54</f>
        <v>0</v>
      </c>
      <c r="O45" s="685">
        <f>PROFORMA!P54</f>
        <v>0</v>
      </c>
      <c r="P45" s="685">
        <f>PROFORMA!Q54</f>
        <v>0</v>
      </c>
      <c r="Q45" s="685">
        <f>PROFORMA!R54</f>
        <v>0</v>
      </c>
      <c r="R45" s="685">
        <f>PROFORMA!S54</f>
        <v>0</v>
      </c>
      <c r="S45" s="685">
        <f>PROFORMA!T54</f>
        <v>0</v>
      </c>
      <c r="T45" s="685">
        <f>PROFORMA!U54</f>
        <v>0</v>
      </c>
      <c r="U45" s="685">
        <f>PROFORMA!V54</f>
        <v>0</v>
      </c>
      <c r="V45" s="685">
        <f>PROFORMA!W54</f>
        <v>0</v>
      </c>
      <c r="W45" s="685">
        <f>PROFORMA!X54</f>
        <v>0</v>
      </c>
      <c r="X45" s="685">
        <f>PROFORMA!Y54</f>
        <v>0</v>
      </c>
      <c r="Y45" s="691">
        <f t="shared" si="0"/>
        <v>0</v>
      </c>
      <c r="Z45" s="685">
        <f>PROFORMA!Z54</f>
        <v>0</v>
      </c>
      <c r="AA45" s="685">
        <f>PROFORMA!AA54</f>
        <v>0</v>
      </c>
      <c r="AB45" s="685">
        <f>PROFORMA!AB54</f>
        <v>0</v>
      </c>
      <c r="AC45" s="685">
        <f>PROFORMA!AC54</f>
        <v>0</v>
      </c>
      <c r="AD45" s="685">
        <f>PROFORMA!AD54</f>
        <v>0</v>
      </c>
      <c r="AE45" s="685">
        <f>PROFORMA!AE54</f>
        <v>0</v>
      </c>
      <c r="AF45" s="685">
        <f>PROFORMA!AF54</f>
        <v>0</v>
      </c>
      <c r="AG45" s="685">
        <f>PROFORMA!AG54</f>
        <v>0</v>
      </c>
      <c r="AH45" s="685">
        <f>PROFORMA!AH54</f>
        <v>0</v>
      </c>
      <c r="AI45" s="685">
        <f>PROFORMA!AI54</f>
        <v>0</v>
      </c>
      <c r="AJ45" s="685">
        <f>PROFORMA!AJ54</f>
        <v>0</v>
      </c>
      <c r="AK45" s="685">
        <f>PROFORMA!AK54</f>
        <v>0</v>
      </c>
      <c r="AL45" s="685">
        <f>PROFORMA!AL54</f>
        <v>0</v>
      </c>
      <c r="AM45" s="685">
        <f>PROFORMA!AM54</f>
        <v>0</v>
      </c>
      <c r="AN45" s="685">
        <f>PROFORMA!AN54</f>
        <v>0</v>
      </c>
      <c r="AO45" s="685">
        <f>PROFORMA!AO54</f>
        <v>0</v>
      </c>
      <c r="AP45" s="685">
        <f>PROFORMA!AP54</f>
        <v>0</v>
      </c>
      <c r="AQ45" s="685">
        <f>PROFORMA!AQ54</f>
        <v>0</v>
      </c>
      <c r="AR45" s="694">
        <f t="shared" si="1"/>
        <v>0</v>
      </c>
      <c r="AS45" s="692">
        <f t="shared" si="2"/>
        <v>0</v>
      </c>
      <c r="AT45" s="692">
        <f t="shared" si="3"/>
        <v>1390000</v>
      </c>
      <c r="AU45" s="692"/>
      <c r="AV45" s="692">
        <f t="shared" si="4"/>
        <v>1390000</v>
      </c>
    </row>
    <row r="46" spans="1:48">
      <c r="A46" s="640">
        <v>44</v>
      </c>
      <c r="B46" s="809"/>
      <c r="C46" s="665" t="s">
        <v>1262</v>
      </c>
      <c r="D46" s="666"/>
      <c r="E46" s="687">
        <f>SUM(E38:E45)</f>
        <v>1390000</v>
      </c>
      <c r="F46" s="687">
        <f t="shared" ref="F46:X46" si="19">SUM(F38:F45)</f>
        <v>0</v>
      </c>
      <c r="G46" s="687">
        <f t="shared" si="19"/>
        <v>0</v>
      </c>
      <c r="H46" s="687">
        <f t="shared" si="19"/>
        <v>0</v>
      </c>
      <c r="I46" s="687">
        <f t="shared" si="19"/>
        <v>0</v>
      </c>
      <c r="J46" s="687">
        <f t="shared" si="19"/>
        <v>0</v>
      </c>
      <c r="K46" s="687">
        <f t="shared" si="19"/>
        <v>0</v>
      </c>
      <c r="L46" s="687">
        <f t="shared" si="19"/>
        <v>0</v>
      </c>
      <c r="M46" s="687">
        <f t="shared" si="19"/>
        <v>0</v>
      </c>
      <c r="N46" s="687">
        <f t="shared" si="19"/>
        <v>0</v>
      </c>
      <c r="O46" s="687">
        <f t="shared" si="19"/>
        <v>0</v>
      </c>
      <c r="P46" s="687">
        <f t="shared" si="19"/>
        <v>0</v>
      </c>
      <c r="Q46" s="687">
        <f t="shared" si="19"/>
        <v>0</v>
      </c>
      <c r="R46" s="687">
        <f t="shared" si="19"/>
        <v>0</v>
      </c>
      <c r="S46" s="687">
        <f t="shared" si="19"/>
        <v>0</v>
      </c>
      <c r="T46" s="687">
        <f t="shared" si="19"/>
        <v>0</v>
      </c>
      <c r="U46" s="687">
        <f t="shared" si="19"/>
        <v>0</v>
      </c>
      <c r="V46" s="687">
        <f t="shared" si="19"/>
        <v>0</v>
      </c>
      <c r="W46" s="687">
        <f t="shared" si="19"/>
        <v>0</v>
      </c>
      <c r="X46" s="687">
        <f t="shared" si="19"/>
        <v>0</v>
      </c>
      <c r="Y46" s="691">
        <f t="shared" si="0"/>
        <v>0</v>
      </c>
      <c r="Z46" s="687">
        <f t="shared" ref="Z46:AV46" si="20">SUM(Z38:Z45)</f>
        <v>0</v>
      </c>
      <c r="AA46" s="687">
        <f t="shared" si="20"/>
        <v>0</v>
      </c>
      <c r="AB46" s="687">
        <f t="shared" si="20"/>
        <v>0</v>
      </c>
      <c r="AC46" s="687">
        <f t="shared" si="20"/>
        <v>0</v>
      </c>
      <c r="AD46" s="687">
        <f t="shared" si="20"/>
        <v>0</v>
      </c>
      <c r="AE46" s="687">
        <f t="shared" si="20"/>
        <v>0</v>
      </c>
      <c r="AF46" s="687">
        <f t="shared" si="20"/>
        <v>0</v>
      </c>
      <c r="AG46" s="687">
        <f t="shared" si="20"/>
        <v>0</v>
      </c>
      <c r="AH46" s="687">
        <f t="shared" si="20"/>
        <v>0</v>
      </c>
      <c r="AI46" s="687">
        <f t="shared" si="20"/>
        <v>0</v>
      </c>
      <c r="AJ46" s="687">
        <f t="shared" si="20"/>
        <v>0</v>
      </c>
      <c r="AK46" s="687">
        <f t="shared" si="20"/>
        <v>0</v>
      </c>
      <c r="AL46" s="687">
        <f t="shared" si="20"/>
        <v>0</v>
      </c>
      <c r="AM46" s="687">
        <f t="shared" si="20"/>
        <v>0</v>
      </c>
      <c r="AN46" s="687">
        <f t="shared" si="20"/>
        <v>0</v>
      </c>
      <c r="AO46" s="687">
        <f t="shared" si="20"/>
        <v>0</v>
      </c>
      <c r="AP46" s="687">
        <f t="shared" si="20"/>
        <v>0</v>
      </c>
      <c r="AQ46" s="687">
        <f t="shared" si="20"/>
        <v>0</v>
      </c>
      <c r="AR46" s="687">
        <f t="shared" si="20"/>
        <v>0</v>
      </c>
      <c r="AS46" s="687">
        <f t="shared" si="20"/>
        <v>0</v>
      </c>
      <c r="AT46" s="687">
        <f t="shared" si="20"/>
        <v>1390000</v>
      </c>
      <c r="AU46" s="687">
        <f t="shared" si="20"/>
        <v>0</v>
      </c>
      <c r="AV46" s="687">
        <f t="shared" si="20"/>
        <v>1390000</v>
      </c>
    </row>
    <row r="47" spans="1:48">
      <c r="A47" s="640">
        <v>45</v>
      </c>
      <c r="B47" s="607"/>
      <c r="C47" s="632" t="s">
        <v>320</v>
      </c>
      <c r="D47" s="632"/>
      <c r="E47" s="650">
        <f>E37+E46</f>
        <v>1883000</v>
      </c>
      <c r="F47" s="650">
        <f t="shared" ref="F47:X47" si="21">F37+F46</f>
        <v>0</v>
      </c>
      <c r="G47" s="650">
        <f t="shared" si="21"/>
        <v>0</v>
      </c>
      <c r="H47" s="650">
        <f t="shared" si="21"/>
        <v>0</v>
      </c>
      <c r="I47" s="650">
        <f t="shared" si="21"/>
        <v>0</v>
      </c>
      <c r="J47" s="650">
        <f t="shared" si="21"/>
        <v>0</v>
      </c>
      <c r="K47" s="650">
        <f t="shared" si="21"/>
        <v>0</v>
      </c>
      <c r="L47" s="650">
        <f t="shared" si="21"/>
        <v>0</v>
      </c>
      <c r="M47" s="650">
        <f t="shared" si="21"/>
        <v>0</v>
      </c>
      <c r="N47" s="650">
        <f t="shared" si="21"/>
        <v>0</v>
      </c>
      <c r="O47" s="650">
        <f t="shared" si="21"/>
        <v>0</v>
      </c>
      <c r="P47" s="650">
        <f t="shared" si="21"/>
        <v>0</v>
      </c>
      <c r="Q47" s="650">
        <f t="shared" si="21"/>
        <v>0</v>
      </c>
      <c r="R47" s="650">
        <f t="shared" si="21"/>
        <v>0</v>
      </c>
      <c r="S47" s="650">
        <f t="shared" si="21"/>
        <v>0</v>
      </c>
      <c r="T47" s="650">
        <f t="shared" si="21"/>
        <v>0</v>
      </c>
      <c r="U47" s="650">
        <f t="shared" si="21"/>
        <v>0</v>
      </c>
      <c r="V47" s="650">
        <f t="shared" si="21"/>
        <v>0</v>
      </c>
      <c r="W47" s="650">
        <f t="shared" si="21"/>
        <v>0</v>
      </c>
      <c r="X47" s="650">
        <f t="shared" si="21"/>
        <v>0</v>
      </c>
      <c r="Y47" s="690">
        <f t="shared" si="0"/>
        <v>0</v>
      </c>
      <c r="Z47" s="650">
        <f t="shared" ref="Z47:AV47" si="22">Z37+Z46</f>
        <v>0</v>
      </c>
      <c r="AA47" s="650">
        <f t="shared" si="22"/>
        <v>0</v>
      </c>
      <c r="AB47" s="650">
        <f t="shared" si="22"/>
        <v>0</v>
      </c>
      <c r="AC47" s="650">
        <f t="shared" si="22"/>
        <v>0</v>
      </c>
      <c r="AD47" s="650">
        <f t="shared" si="22"/>
        <v>0</v>
      </c>
      <c r="AE47" s="650">
        <f t="shared" si="22"/>
        <v>0</v>
      </c>
      <c r="AF47" s="650">
        <f t="shared" si="22"/>
        <v>0</v>
      </c>
      <c r="AG47" s="650">
        <f t="shared" si="22"/>
        <v>0</v>
      </c>
      <c r="AH47" s="650">
        <f t="shared" si="22"/>
        <v>0</v>
      </c>
      <c r="AI47" s="650">
        <f t="shared" si="22"/>
        <v>0</v>
      </c>
      <c r="AJ47" s="650">
        <f t="shared" si="22"/>
        <v>0</v>
      </c>
      <c r="AK47" s="650">
        <f t="shared" si="22"/>
        <v>0</v>
      </c>
      <c r="AL47" s="650">
        <f t="shared" si="22"/>
        <v>0</v>
      </c>
      <c r="AM47" s="650">
        <f t="shared" si="22"/>
        <v>0</v>
      </c>
      <c r="AN47" s="650">
        <f t="shared" si="22"/>
        <v>0</v>
      </c>
      <c r="AO47" s="650">
        <f t="shared" si="22"/>
        <v>0</v>
      </c>
      <c r="AP47" s="650">
        <f t="shared" si="22"/>
        <v>0</v>
      </c>
      <c r="AQ47" s="650">
        <f t="shared" si="22"/>
        <v>0</v>
      </c>
      <c r="AR47" s="650">
        <f t="shared" si="22"/>
        <v>0</v>
      </c>
      <c r="AS47" s="650">
        <f t="shared" si="22"/>
        <v>0</v>
      </c>
      <c r="AT47" s="650">
        <f t="shared" si="22"/>
        <v>1883000</v>
      </c>
      <c r="AU47" s="650">
        <f t="shared" si="22"/>
        <v>0</v>
      </c>
      <c r="AV47" s="650">
        <f t="shared" si="22"/>
        <v>1883000</v>
      </c>
    </row>
    <row r="48" spans="1:48">
      <c r="A48" s="640">
        <v>46</v>
      </c>
      <c r="B48" s="607"/>
      <c r="C48" s="667" t="s">
        <v>1</v>
      </c>
      <c r="D48" s="609">
        <v>870</v>
      </c>
      <c r="E48" s="649">
        <f>PROFORMA!F70</f>
        <v>1716000</v>
      </c>
      <c r="F48" s="649">
        <f>PROFORMA!G70</f>
        <v>0</v>
      </c>
      <c r="G48" s="649">
        <f>PROFORMA!H70</f>
        <v>0</v>
      </c>
      <c r="H48" s="649">
        <f>PROFORMA!I70</f>
        <v>0</v>
      </c>
      <c r="I48" s="649">
        <f>PROFORMA!J70</f>
        <v>0</v>
      </c>
      <c r="J48" s="649">
        <f>PROFORMA!K70</f>
        <v>0</v>
      </c>
      <c r="K48" s="649">
        <f>PROFORMA!L70</f>
        <v>0</v>
      </c>
      <c r="L48" s="649">
        <f>PROFORMA!M70</f>
        <v>0</v>
      </c>
      <c r="M48" s="649">
        <f>PROFORMA!N70</f>
        <v>0</v>
      </c>
      <c r="N48" s="649">
        <f>PROFORMA!O70</f>
        <v>0</v>
      </c>
      <c r="O48" s="649">
        <f>PROFORMA!P70</f>
        <v>0</v>
      </c>
      <c r="P48" s="649">
        <f>PROFORMA!Q70</f>
        <v>0</v>
      </c>
      <c r="Q48" s="649">
        <f>PROFORMA!R70</f>
        <v>0</v>
      </c>
      <c r="R48" s="649">
        <f>PROFORMA!S70</f>
        <v>0</v>
      </c>
      <c r="S48" s="649">
        <f>PROFORMA!T70</f>
        <v>0</v>
      </c>
      <c r="T48" s="649">
        <f>PROFORMA!U70</f>
        <v>0</v>
      </c>
      <c r="U48" s="649">
        <f>PROFORMA!V70</f>
        <v>-2000</v>
      </c>
      <c r="V48" s="649">
        <f>PROFORMA!W70</f>
        <v>0</v>
      </c>
      <c r="W48" s="649">
        <f>PROFORMA!X70</f>
        <v>0</v>
      </c>
      <c r="X48" s="649">
        <f>PROFORMA!Y70</f>
        <v>0</v>
      </c>
      <c r="Y48" s="690">
        <f t="shared" si="0"/>
        <v>-2000</v>
      </c>
      <c r="Z48" s="649">
        <f>PROFORMA!Z70</f>
        <v>0</v>
      </c>
      <c r="AA48" s="649">
        <f>PROFORMA!AA70</f>
        <v>0</v>
      </c>
      <c r="AB48" s="649">
        <f>PROFORMA!AB70</f>
        <v>0</v>
      </c>
      <c r="AC48" s="649">
        <f>PROFORMA!AC70</f>
        <v>64000</v>
      </c>
      <c r="AD48" s="649">
        <f>PROFORMA!AD70</f>
        <v>0</v>
      </c>
      <c r="AE48" s="649">
        <f>PROFORMA!AE70</f>
        <v>19000</v>
      </c>
      <c r="AF48" s="649">
        <f>PROFORMA!AF70</f>
        <v>0</v>
      </c>
      <c r="AG48" s="649">
        <f>PROFORMA!AG70</f>
        <v>0</v>
      </c>
      <c r="AH48" s="649">
        <f>PROFORMA!AH70</f>
        <v>0</v>
      </c>
      <c r="AI48" s="649">
        <f>PROFORMA!AI70</f>
        <v>0</v>
      </c>
      <c r="AJ48" s="649">
        <f>PROFORMA!AJ70</f>
        <v>0</v>
      </c>
      <c r="AK48" s="649">
        <f>PROFORMA!AK70</f>
        <v>0</v>
      </c>
      <c r="AL48" s="649">
        <f>PROFORMA!AL70</f>
        <v>0</v>
      </c>
      <c r="AM48" s="649">
        <f>PROFORMA!AM70</f>
        <v>0</v>
      </c>
      <c r="AN48" s="649">
        <f>PROFORMA!AN70</f>
        <v>0</v>
      </c>
      <c r="AO48" s="649">
        <f>PROFORMA!AO70</f>
        <v>0</v>
      </c>
      <c r="AP48" s="649">
        <f>PROFORMA!AP70</f>
        <v>0</v>
      </c>
      <c r="AQ48" s="649">
        <f>PROFORMA!AQ70</f>
        <v>0</v>
      </c>
      <c r="AR48" s="693">
        <f t="shared" si="1"/>
        <v>83000</v>
      </c>
      <c r="AS48" s="643">
        <f t="shared" si="2"/>
        <v>81000</v>
      </c>
      <c r="AT48" s="643">
        <f t="shared" si="3"/>
        <v>1797000</v>
      </c>
      <c r="AU48" s="643"/>
      <c r="AV48" s="643">
        <f t="shared" si="4"/>
        <v>1797000</v>
      </c>
    </row>
    <row r="49" spans="1:48">
      <c r="A49" s="640">
        <v>47</v>
      </c>
      <c r="B49" s="809" t="s">
        <v>1358</v>
      </c>
      <c r="C49" s="628" t="s">
        <v>331</v>
      </c>
      <c r="D49" s="656">
        <v>871</v>
      </c>
      <c r="E49" s="649">
        <f>PROFORMA!F71</f>
        <v>0</v>
      </c>
      <c r="F49" s="649">
        <f>PROFORMA!G71</f>
        <v>0</v>
      </c>
      <c r="G49" s="649">
        <f>PROFORMA!H71</f>
        <v>0</v>
      </c>
      <c r="H49" s="649">
        <f>PROFORMA!I71</f>
        <v>0</v>
      </c>
      <c r="I49" s="649">
        <f>PROFORMA!J71</f>
        <v>0</v>
      </c>
      <c r="J49" s="649">
        <f>PROFORMA!K71</f>
        <v>0</v>
      </c>
      <c r="K49" s="649">
        <f>PROFORMA!L71</f>
        <v>0</v>
      </c>
      <c r="L49" s="649">
        <f>PROFORMA!M71</f>
        <v>0</v>
      </c>
      <c r="M49" s="649">
        <f>PROFORMA!N71</f>
        <v>0</v>
      </c>
      <c r="N49" s="649">
        <f>PROFORMA!O71</f>
        <v>0</v>
      </c>
      <c r="O49" s="649">
        <f>PROFORMA!P71</f>
        <v>0</v>
      </c>
      <c r="P49" s="649">
        <f>PROFORMA!Q71</f>
        <v>0</v>
      </c>
      <c r="Q49" s="649">
        <f>PROFORMA!R71</f>
        <v>0</v>
      </c>
      <c r="R49" s="649">
        <f>PROFORMA!S71</f>
        <v>0</v>
      </c>
      <c r="S49" s="649">
        <f>PROFORMA!T71</f>
        <v>0</v>
      </c>
      <c r="T49" s="649">
        <f>PROFORMA!U71</f>
        <v>0</v>
      </c>
      <c r="U49" s="649">
        <f>PROFORMA!V71</f>
        <v>0</v>
      </c>
      <c r="V49" s="649">
        <f>PROFORMA!W71</f>
        <v>0</v>
      </c>
      <c r="W49" s="649">
        <f>PROFORMA!X71</f>
        <v>0</v>
      </c>
      <c r="X49" s="649">
        <f>PROFORMA!Y71</f>
        <v>0</v>
      </c>
      <c r="Y49" s="690">
        <f t="shared" si="0"/>
        <v>0</v>
      </c>
      <c r="Z49" s="649">
        <f>PROFORMA!Z71</f>
        <v>0</v>
      </c>
      <c r="AA49" s="649">
        <f>PROFORMA!AA71</f>
        <v>0</v>
      </c>
      <c r="AB49" s="649">
        <f>PROFORMA!AB71</f>
        <v>0</v>
      </c>
      <c r="AC49" s="649">
        <f>PROFORMA!AC71</f>
        <v>0</v>
      </c>
      <c r="AD49" s="649">
        <f>PROFORMA!AD71</f>
        <v>0</v>
      </c>
      <c r="AE49" s="649">
        <f>PROFORMA!AE71</f>
        <v>0</v>
      </c>
      <c r="AF49" s="649">
        <f>PROFORMA!AF71</f>
        <v>0</v>
      </c>
      <c r="AG49" s="649">
        <f>PROFORMA!AG71</f>
        <v>0</v>
      </c>
      <c r="AH49" s="649">
        <f>PROFORMA!AH71</f>
        <v>0</v>
      </c>
      <c r="AI49" s="649">
        <f>PROFORMA!AI71</f>
        <v>0</v>
      </c>
      <c r="AJ49" s="649">
        <f>PROFORMA!AJ71</f>
        <v>0</v>
      </c>
      <c r="AK49" s="649">
        <f>PROFORMA!AK71</f>
        <v>0</v>
      </c>
      <c r="AL49" s="649">
        <f>PROFORMA!AL71</f>
        <v>0</v>
      </c>
      <c r="AM49" s="649">
        <f>PROFORMA!AM71</f>
        <v>0</v>
      </c>
      <c r="AN49" s="649">
        <f>PROFORMA!AN71</f>
        <v>0</v>
      </c>
      <c r="AO49" s="649">
        <f>PROFORMA!AO71</f>
        <v>0</v>
      </c>
      <c r="AP49" s="649">
        <f>PROFORMA!AP71</f>
        <v>0</v>
      </c>
      <c r="AQ49" s="649">
        <f>PROFORMA!AQ71</f>
        <v>0</v>
      </c>
      <c r="AR49" s="693">
        <f t="shared" si="1"/>
        <v>0</v>
      </c>
      <c r="AS49" s="643">
        <f t="shared" si="2"/>
        <v>0</v>
      </c>
      <c r="AT49" s="643">
        <f t="shared" si="3"/>
        <v>0</v>
      </c>
      <c r="AU49" s="643"/>
      <c r="AV49" s="643">
        <f t="shared" si="4"/>
        <v>0</v>
      </c>
    </row>
    <row r="50" spans="1:48" ht="31.2">
      <c r="A50" s="640">
        <v>48</v>
      </c>
      <c r="B50" s="809"/>
      <c r="C50" s="628" t="s">
        <v>750</v>
      </c>
      <c r="D50" s="656">
        <v>872</v>
      </c>
      <c r="E50" s="649">
        <f>PROFORMA!F72</f>
        <v>0</v>
      </c>
      <c r="F50" s="649">
        <f>PROFORMA!G72</f>
        <v>0</v>
      </c>
      <c r="G50" s="649">
        <f>PROFORMA!H72</f>
        <v>0</v>
      </c>
      <c r="H50" s="649">
        <f>PROFORMA!I72</f>
        <v>0</v>
      </c>
      <c r="I50" s="649">
        <f>PROFORMA!J72</f>
        <v>0</v>
      </c>
      <c r="J50" s="649">
        <f>PROFORMA!K72</f>
        <v>0</v>
      </c>
      <c r="K50" s="649">
        <f>PROFORMA!L72</f>
        <v>0</v>
      </c>
      <c r="L50" s="649">
        <f>PROFORMA!M72</f>
        <v>0</v>
      </c>
      <c r="M50" s="649">
        <f>PROFORMA!N72</f>
        <v>0</v>
      </c>
      <c r="N50" s="649">
        <f>PROFORMA!O72</f>
        <v>0</v>
      </c>
      <c r="O50" s="649">
        <f>PROFORMA!P72</f>
        <v>0</v>
      </c>
      <c r="P50" s="649">
        <f>PROFORMA!Q72</f>
        <v>0</v>
      </c>
      <c r="Q50" s="649">
        <f>PROFORMA!R72</f>
        <v>0</v>
      </c>
      <c r="R50" s="649">
        <f>PROFORMA!S72</f>
        <v>0</v>
      </c>
      <c r="S50" s="649">
        <f>PROFORMA!T72</f>
        <v>0</v>
      </c>
      <c r="T50" s="649">
        <f>PROFORMA!U72</f>
        <v>0</v>
      </c>
      <c r="U50" s="649">
        <f>PROFORMA!V72</f>
        <v>0</v>
      </c>
      <c r="V50" s="649">
        <f>PROFORMA!W72</f>
        <v>0</v>
      </c>
      <c r="W50" s="649">
        <f>PROFORMA!X72</f>
        <v>0</v>
      </c>
      <c r="X50" s="649">
        <f>PROFORMA!Y72</f>
        <v>0</v>
      </c>
      <c r="Y50" s="690">
        <f t="shared" si="0"/>
        <v>0</v>
      </c>
      <c r="Z50" s="649">
        <f>PROFORMA!Z72</f>
        <v>0</v>
      </c>
      <c r="AA50" s="649">
        <f>PROFORMA!AA72</f>
        <v>0</v>
      </c>
      <c r="AB50" s="649">
        <f>PROFORMA!AB72</f>
        <v>0</v>
      </c>
      <c r="AC50" s="649">
        <f>PROFORMA!AC72</f>
        <v>0</v>
      </c>
      <c r="AD50" s="649">
        <f>PROFORMA!AD72</f>
        <v>0</v>
      </c>
      <c r="AE50" s="649">
        <f>PROFORMA!AE72</f>
        <v>0</v>
      </c>
      <c r="AF50" s="649">
        <f>PROFORMA!AF72</f>
        <v>0</v>
      </c>
      <c r="AG50" s="649">
        <f>PROFORMA!AG72</f>
        <v>0</v>
      </c>
      <c r="AH50" s="649">
        <f>PROFORMA!AH72</f>
        <v>0</v>
      </c>
      <c r="AI50" s="649">
        <f>PROFORMA!AI72</f>
        <v>0</v>
      </c>
      <c r="AJ50" s="649">
        <f>PROFORMA!AJ72</f>
        <v>0</v>
      </c>
      <c r="AK50" s="649">
        <f>PROFORMA!AK72</f>
        <v>0</v>
      </c>
      <c r="AL50" s="649">
        <f>PROFORMA!AL72</f>
        <v>0</v>
      </c>
      <c r="AM50" s="649">
        <f>PROFORMA!AM72</f>
        <v>0</v>
      </c>
      <c r="AN50" s="649">
        <f>PROFORMA!AN72</f>
        <v>0</v>
      </c>
      <c r="AO50" s="649">
        <f>PROFORMA!AO72</f>
        <v>0</v>
      </c>
      <c r="AP50" s="649">
        <f>PROFORMA!AP72</f>
        <v>0</v>
      </c>
      <c r="AQ50" s="649">
        <f>PROFORMA!AQ72</f>
        <v>0</v>
      </c>
      <c r="AR50" s="693">
        <f t="shared" si="1"/>
        <v>0</v>
      </c>
      <c r="AS50" s="643">
        <f t="shared" si="2"/>
        <v>0</v>
      </c>
      <c r="AT50" s="643">
        <f t="shared" si="3"/>
        <v>0</v>
      </c>
      <c r="AU50" s="643"/>
      <c r="AV50" s="643">
        <f t="shared" si="4"/>
        <v>0</v>
      </c>
    </row>
    <row r="51" spans="1:48">
      <c r="A51" s="640">
        <v>49</v>
      </c>
      <c r="B51" s="809"/>
      <c r="C51" s="628" t="s">
        <v>332</v>
      </c>
      <c r="D51" s="656">
        <v>874</v>
      </c>
      <c r="E51" s="649">
        <f>PROFORMA!F73</f>
        <v>3412000</v>
      </c>
      <c r="F51" s="649">
        <f>PROFORMA!G73</f>
        <v>0</v>
      </c>
      <c r="G51" s="649">
        <f>PROFORMA!H73</f>
        <v>0</v>
      </c>
      <c r="H51" s="649">
        <f>PROFORMA!I73</f>
        <v>0</v>
      </c>
      <c r="I51" s="649">
        <f>PROFORMA!J73</f>
        <v>0</v>
      </c>
      <c r="J51" s="649">
        <f>PROFORMA!K73</f>
        <v>0</v>
      </c>
      <c r="K51" s="649">
        <f>PROFORMA!L73</f>
        <v>0</v>
      </c>
      <c r="L51" s="649">
        <f>PROFORMA!M73</f>
        <v>0</v>
      </c>
      <c r="M51" s="649">
        <f>PROFORMA!N73</f>
        <v>0</v>
      </c>
      <c r="N51" s="649">
        <f>PROFORMA!O73</f>
        <v>0</v>
      </c>
      <c r="O51" s="649">
        <f>PROFORMA!P73</f>
        <v>0</v>
      </c>
      <c r="P51" s="649">
        <f>PROFORMA!Q73</f>
        <v>0</v>
      </c>
      <c r="Q51" s="649">
        <f>PROFORMA!R73</f>
        <v>0</v>
      </c>
      <c r="R51" s="649">
        <f>PROFORMA!S73</f>
        <v>0</v>
      </c>
      <c r="S51" s="649">
        <f>PROFORMA!T73</f>
        <v>0</v>
      </c>
      <c r="T51" s="649">
        <f>PROFORMA!U73</f>
        <v>0</v>
      </c>
      <c r="U51" s="649">
        <f>PROFORMA!V73</f>
        <v>0</v>
      </c>
      <c r="V51" s="649">
        <f>PROFORMA!W73</f>
        <v>0</v>
      </c>
      <c r="W51" s="649">
        <f>PROFORMA!X73</f>
        <v>0</v>
      </c>
      <c r="X51" s="649">
        <f>PROFORMA!Y73</f>
        <v>0</v>
      </c>
      <c r="Y51" s="690">
        <f t="shared" si="0"/>
        <v>0</v>
      </c>
      <c r="Z51" s="649">
        <f>PROFORMA!Z73</f>
        <v>0</v>
      </c>
      <c r="AA51" s="649">
        <f>PROFORMA!AA73</f>
        <v>0</v>
      </c>
      <c r="AB51" s="649">
        <f>PROFORMA!AB73</f>
        <v>0</v>
      </c>
      <c r="AC51" s="649">
        <f>PROFORMA!AC73</f>
        <v>88000</v>
      </c>
      <c r="AD51" s="649">
        <f>PROFORMA!AD73</f>
        <v>0</v>
      </c>
      <c r="AE51" s="649">
        <f>PROFORMA!AE73</f>
        <v>38000</v>
      </c>
      <c r="AF51" s="649">
        <f>PROFORMA!AF73</f>
        <v>0</v>
      </c>
      <c r="AG51" s="649">
        <f>PROFORMA!AG73</f>
        <v>0</v>
      </c>
      <c r="AH51" s="649">
        <f>PROFORMA!AH73</f>
        <v>0</v>
      </c>
      <c r="AI51" s="649">
        <f>PROFORMA!AI73</f>
        <v>0</v>
      </c>
      <c r="AJ51" s="649">
        <f>PROFORMA!AJ73</f>
        <v>0</v>
      </c>
      <c r="AK51" s="649">
        <f>PROFORMA!AK73</f>
        <v>0</v>
      </c>
      <c r="AL51" s="649">
        <f>PROFORMA!AL73</f>
        <v>0</v>
      </c>
      <c r="AM51" s="649">
        <f>PROFORMA!AM73</f>
        <v>0</v>
      </c>
      <c r="AN51" s="649">
        <f>PROFORMA!AN73</f>
        <v>0</v>
      </c>
      <c r="AO51" s="649">
        <f>PROFORMA!AO73</f>
        <v>0</v>
      </c>
      <c r="AP51" s="649">
        <f>PROFORMA!AP73</f>
        <v>0</v>
      </c>
      <c r="AQ51" s="649">
        <f>PROFORMA!AQ73</f>
        <v>0</v>
      </c>
      <c r="AR51" s="693">
        <f t="shared" si="1"/>
        <v>126000</v>
      </c>
      <c r="AS51" s="643">
        <f t="shared" si="2"/>
        <v>126000</v>
      </c>
      <c r="AT51" s="643">
        <f t="shared" si="3"/>
        <v>3538000</v>
      </c>
      <c r="AU51" s="643"/>
      <c r="AV51" s="643">
        <f t="shared" si="4"/>
        <v>3538000</v>
      </c>
    </row>
    <row r="52" spans="1:48" ht="31.2">
      <c r="A52" s="640">
        <v>50</v>
      </c>
      <c r="B52" s="809"/>
      <c r="C52" s="628" t="s">
        <v>333</v>
      </c>
      <c r="D52" s="656">
        <v>875</v>
      </c>
      <c r="E52" s="649">
        <f>PROFORMA!F74</f>
        <v>94000</v>
      </c>
      <c r="F52" s="649">
        <f>PROFORMA!G74</f>
        <v>0</v>
      </c>
      <c r="G52" s="649">
        <f>PROFORMA!H74</f>
        <v>0</v>
      </c>
      <c r="H52" s="649">
        <f>PROFORMA!I74</f>
        <v>0</v>
      </c>
      <c r="I52" s="649">
        <f>PROFORMA!J74</f>
        <v>0</v>
      </c>
      <c r="J52" s="649">
        <f>PROFORMA!K74</f>
        <v>0</v>
      </c>
      <c r="K52" s="649">
        <f>PROFORMA!L74</f>
        <v>0</v>
      </c>
      <c r="L52" s="649">
        <f>PROFORMA!M74</f>
        <v>0</v>
      </c>
      <c r="M52" s="649">
        <f>PROFORMA!N74</f>
        <v>0</v>
      </c>
      <c r="N52" s="649">
        <f>PROFORMA!O74</f>
        <v>0</v>
      </c>
      <c r="O52" s="649">
        <f>PROFORMA!P74</f>
        <v>0</v>
      </c>
      <c r="P52" s="649">
        <f>PROFORMA!Q74</f>
        <v>0</v>
      </c>
      <c r="Q52" s="649">
        <f>PROFORMA!R74</f>
        <v>0</v>
      </c>
      <c r="R52" s="649">
        <f>PROFORMA!S74</f>
        <v>0</v>
      </c>
      <c r="S52" s="649">
        <f>PROFORMA!T74</f>
        <v>0</v>
      </c>
      <c r="T52" s="649">
        <f>PROFORMA!U74</f>
        <v>0</v>
      </c>
      <c r="U52" s="649">
        <f>PROFORMA!V74</f>
        <v>0</v>
      </c>
      <c r="V52" s="649">
        <f>PROFORMA!W74</f>
        <v>0</v>
      </c>
      <c r="W52" s="649">
        <f>PROFORMA!X74</f>
        <v>0</v>
      </c>
      <c r="X52" s="649">
        <f>PROFORMA!Y74</f>
        <v>0</v>
      </c>
      <c r="Y52" s="690">
        <f t="shared" si="0"/>
        <v>0</v>
      </c>
      <c r="Z52" s="649">
        <f>PROFORMA!Z74</f>
        <v>0</v>
      </c>
      <c r="AA52" s="649">
        <f>PROFORMA!AA74</f>
        <v>0</v>
      </c>
      <c r="AB52" s="649">
        <f>PROFORMA!AB74</f>
        <v>0</v>
      </c>
      <c r="AC52" s="649">
        <f>PROFORMA!AC74</f>
        <v>3000</v>
      </c>
      <c r="AD52" s="649">
        <f>PROFORMA!AD74</f>
        <v>0</v>
      </c>
      <c r="AE52" s="649">
        <f>PROFORMA!AE74</f>
        <v>1000</v>
      </c>
      <c r="AF52" s="649">
        <f>PROFORMA!AF74</f>
        <v>0</v>
      </c>
      <c r="AG52" s="649">
        <f>PROFORMA!AG74</f>
        <v>0</v>
      </c>
      <c r="AH52" s="649">
        <f>PROFORMA!AH74</f>
        <v>0</v>
      </c>
      <c r="AI52" s="649">
        <f>PROFORMA!AI74</f>
        <v>0</v>
      </c>
      <c r="AJ52" s="649">
        <f>PROFORMA!AJ74</f>
        <v>0</v>
      </c>
      <c r="AK52" s="649">
        <f>PROFORMA!AK74</f>
        <v>0</v>
      </c>
      <c r="AL52" s="649">
        <f>PROFORMA!AL74</f>
        <v>0</v>
      </c>
      <c r="AM52" s="649">
        <f>PROFORMA!AM74</f>
        <v>0</v>
      </c>
      <c r="AN52" s="649">
        <f>PROFORMA!AN74</f>
        <v>0</v>
      </c>
      <c r="AO52" s="649">
        <f>PROFORMA!AO74</f>
        <v>0</v>
      </c>
      <c r="AP52" s="649">
        <f>PROFORMA!AP74</f>
        <v>0</v>
      </c>
      <c r="AQ52" s="649">
        <f>PROFORMA!AQ74</f>
        <v>0</v>
      </c>
      <c r="AR52" s="693">
        <f t="shared" si="1"/>
        <v>4000</v>
      </c>
      <c r="AS52" s="643">
        <f t="shared" si="2"/>
        <v>4000</v>
      </c>
      <c r="AT52" s="643">
        <f t="shared" si="3"/>
        <v>98000</v>
      </c>
      <c r="AU52" s="643"/>
      <c r="AV52" s="643">
        <f t="shared" si="4"/>
        <v>98000</v>
      </c>
    </row>
    <row r="53" spans="1:48" ht="31.2">
      <c r="A53" s="640">
        <v>51</v>
      </c>
      <c r="B53" s="809"/>
      <c r="C53" s="628" t="s">
        <v>334</v>
      </c>
      <c r="D53" s="656">
        <v>876</v>
      </c>
      <c r="E53" s="649">
        <f>PROFORMA!F75</f>
        <v>8000</v>
      </c>
      <c r="F53" s="649">
        <f>PROFORMA!G75</f>
        <v>0</v>
      </c>
      <c r="G53" s="649">
        <f>PROFORMA!H75</f>
        <v>0</v>
      </c>
      <c r="H53" s="649">
        <f>PROFORMA!I75</f>
        <v>0</v>
      </c>
      <c r="I53" s="649">
        <f>PROFORMA!J75</f>
        <v>0</v>
      </c>
      <c r="J53" s="649">
        <f>PROFORMA!K75</f>
        <v>0</v>
      </c>
      <c r="K53" s="649">
        <f>PROFORMA!L75</f>
        <v>0</v>
      </c>
      <c r="L53" s="649">
        <f>PROFORMA!M75</f>
        <v>0</v>
      </c>
      <c r="M53" s="649">
        <f>PROFORMA!N75</f>
        <v>0</v>
      </c>
      <c r="N53" s="649">
        <f>PROFORMA!O75</f>
        <v>0</v>
      </c>
      <c r="O53" s="649">
        <f>PROFORMA!P75</f>
        <v>0</v>
      </c>
      <c r="P53" s="649">
        <f>PROFORMA!Q75</f>
        <v>0</v>
      </c>
      <c r="Q53" s="649">
        <f>PROFORMA!R75</f>
        <v>0</v>
      </c>
      <c r="R53" s="649">
        <f>PROFORMA!S75</f>
        <v>0</v>
      </c>
      <c r="S53" s="649">
        <f>PROFORMA!T75</f>
        <v>0</v>
      </c>
      <c r="T53" s="649">
        <f>PROFORMA!U75</f>
        <v>0</v>
      </c>
      <c r="U53" s="649">
        <f>PROFORMA!V75</f>
        <v>0</v>
      </c>
      <c r="V53" s="649">
        <f>PROFORMA!W75</f>
        <v>0</v>
      </c>
      <c r="W53" s="649">
        <f>PROFORMA!X75</f>
        <v>0</v>
      </c>
      <c r="X53" s="649">
        <f>PROFORMA!Y75</f>
        <v>0</v>
      </c>
      <c r="Y53" s="690">
        <f t="shared" si="0"/>
        <v>0</v>
      </c>
      <c r="Z53" s="649">
        <f>PROFORMA!Z75</f>
        <v>0</v>
      </c>
      <c r="AA53" s="649">
        <f>PROFORMA!AA75</f>
        <v>0</v>
      </c>
      <c r="AB53" s="649">
        <f>PROFORMA!AB75</f>
        <v>0</v>
      </c>
      <c r="AC53" s="649">
        <f>PROFORMA!AC75</f>
        <v>0</v>
      </c>
      <c r="AD53" s="649">
        <f>PROFORMA!AD75</f>
        <v>0</v>
      </c>
      <c r="AE53" s="649">
        <f>PROFORMA!AE75</f>
        <v>0</v>
      </c>
      <c r="AF53" s="649">
        <f>PROFORMA!AF75</f>
        <v>0</v>
      </c>
      <c r="AG53" s="649">
        <f>PROFORMA!AG75</f>
        <v>0</v>
      </c>
      <c r="AH53" s="649">
        <f>PROFORMA!AH75</f>
        <v>0</v>
      </c>
      <c r="AI53" s="649">
        <f>PROFORMA!AI75</f>
        <v>0</v>
      </c>
      <c r="AJ53" s="649">
        <f>PROFORMA!AJ75</f>
        <v>0</v>
      </c>
      <c r="AK53" s="649">
        <f>PROFORMA!AK75</f>
        <v>0</v>
      </c>
      <c r="AL53" s="649">
        <f>PROFORMA!AL75</f>
        <v>0</v>
      </c>
      <c r="AM53" s="649">
        <f>PROFORMA!AM75</f>
        <v>0</v>
      </c>
      <c r="AN53" s="649">
        <f>PROFORMA!AN75</f>
        <v>0</v>
      </c>
      <c r="AO53" s="649">
        <f>PROFORMA!AO75</f>
        <v>0</v>
      </c>
      <c r="AP53" s="649">
        <f>PROFORMA!AP75</f>
        <v>0</v>
      </c>
      <c r="AQ53" s="649">
        <f>PROFORMA!AQ75</f>
        <v>0</v>
      </c>
      <c r="AR53" s="693">
        <f t="shared" si="1"/>
        <v>0</v>
      </c>
      <c r="AS53" s="643">
        <f t="shared" si="2"/>
        <v>0</v>
      </c>
      <c r="AT53" s="643">
        <f t="shared" si="3"/>
        <v>8000</v>
      </c>
      <c r="AU53" s="643"/>
      <c r="AV53" s="643">
        <f t="shared" si="4"/>
        <v>8000</v>
      </c>
    </row>
    <row r="54" spans="1:48" ht="31.2">
      <c r="A54" s="640">
        <v>52</v>
      </c>
      <c r="B54" s="809"/>
      <c r="C54" s="628" t="s">
        <v>335</v>
      </c>
      <c r="D54" s="656">
        <v>877</v>
      </c>
      <c r="E54" s="649">
        <f>PROFORMA!F76</f>
        <v>57000</v>
      </c>
      <c r="F54" s="649">
        <f>PROFORMA!G76</f>
        <v>0</v>
      </c>
      <c r="G54" s="649">
        <f>PROFORMA!H76</f>
        <v>0</v>
      </c>
      <c r="H54" s="649">
        <f>PROFORMA!I76</f>
        <v>0</v>
      </c>
      <c r="I54" s="649">
        <f>PROFORMA!J76</f>
        <v>0</v>
      </c>
      <c r="J54" s="649">
        <f>PROFORMA!K76</f>
        <v>0</v>
      </c>
      <c r="K54" s="649">
        <f>PROFORMA!L76</f>
        <v>0</v>
      </c>
      <c r="L54" s="649">
        <f>PROFORMA!M76</f>
        <v>0</v>
      </c>
      <c r="M54" s="649">
        <f>PROFORMA!N76</f>
        <v>0</v>
      </c>
      <c r="N54" s="649">
        <f>PROFORMA!O76</f>
        <v>0</v>
      </c>
      <c r="O54" s="649">
        <f>PROFORMA!P76</f>
        <v>0</v>
      </c>
      <c r="P54" s="649">
        <f>PROFORMA!Q76</f>
        <v>0</v>
      </c>
      <c r="Q54" s="649">
        <f>PROFORMA!R76</f>
        <v>0</v>
      </c>
      <c r="R54" s="649">
        <f>PROFORMA!S76</f>
        <v>0</v>
      </c>
      <c r="S54" s="649">
        <f>PROFORMA!T76</f>
        <v>0</v>
      </c>
      <c r="T54" s="649">
        <f>PROFORMA!U76</f>
        <v>0</v>
      </c>
      <c r="U54" s="649">
        <f>PROFORMA!V76</f>
        <v>0</v>
      </c>
      <c r="V54" s="649">
        <f>PROFORMA!W76</f>
        <v>0</v>
      </c>
      <c r="W54" s="649">
        <f>PROFORMA!X76</f>
        <v>0</v>
      </c>
      <c r="X54" s="649">
        <f>PROFORMA!Y76</f>
        <v>0</v>
      </c>
      <c r="Y54" s="690">
        <f t="shared" si="0"/>
        <v>0</v>
      </c>
      <c r="Z54" s="649">
        <f>PROFORMA!Z76</f>
        <v>0</v>
      </c>
      <c r="AA54" s="649">
        <f>PROFORMA!AA76</f>
        <v>0</v>
      </c>
      <c r="AB54" s="649">
        <f>PROFORMA!AB76</f>
        <v>0</v>
      </c>
      <c r="AC54" s="649">
        <f>PROFORMA!AC76</f>
        <v>2000</v>
      </c>
      <c r="AD54" s="649">
        <f>PROFORMA!AD76</f>
        <v>0</v>
      </c>
      <c r="AE54" s="649">
        <f>PROFORMA!AE76</f>
        <v>1000</v>
      </c>
      <c r="AF54" s="649">
        <f>PROFORMA!AF76</f>
        <v>0</v>
      </c>
      <c r="AG54" s="649">
        <f>PROFORMA!AG76</f>
        <v>0</v>
      </c>
      <c r="AH54" s="649">
        <f>PROFORMA!AH76</f>
        <v>0</v>
      </c>
      <c r="AI54" s="649">
        <f>PROFORMA!AI76</f>
        <v>0</v>
      </c>
      <c r="AJ54" s="649">
        <f>PROFORMA!AJ76</f>
        <v>0</v>
      </c>
      <c r="AK54" s="649">
        <f>PROFORMA!AK76</f>
        <v>0</v>
      </c>
      <c r="AL54" s="649">
        <f>PROFORMA!AL76</f>
        <v>0</v>
      </c>
      <c r="AM54" s="649">
        <f>PROFORMA!AM76</f>
        <v>0</v>
      </c>
      <c r="AN54" s="649">
        <f>PROFORMA!AN76</f>
        <v>0</v>
      </c>
      <c r="AO54" s="649">
        <f>PROFORMA!AO76</f>
        <v>0</v>
      </c>
      <c r="AP54" s="649">
        <f>PROFORMA!AP76</f>
        <v>0</v>
      </c>
      <c r="AQ54" s="649">
        <f>PROFORMA!AQ76</f>
        <v>0</v>
      </c>
      <c r="AR54" s="693">
        <f t="shared" si="1"/>
        <v>3000</v>
      </c>
      <c r="AS54" s="643">
        <f t="shared" si="2"/>
        <v>3000</v>
      </c>
      <c r="AT54" s="643">
        <f t="shared" si="3"/>
        <v>60000</v>
      </c>
      <c r="AU54" s="643"/>
      <c r="AV54" s="643">
        <f t="shared" si="4"/>
        <v>60000</v>
      </c>
    </row>
    <row r="55" spans="1:48" ht="31.2">
      <c r="A55" s="640">
        <v>53</v>
      </c>
      <c r="B55" s="809"/>
      <c r="C55" s="628" t="s">
        <v>336</v>
      </c>
      <c r="D55" s="656">
        <v>878</v>
      </c>
      <c r="E55" s="649">
        <f>PROFORMA!F77</f>
        <v>412000</v>
      </c>
      <c r="F55" s="649">
        <f>PROFORMA!G77</f>
        <v>0</v>
      </c>
      <c r="G55" s="649">
        <f>PROFORMA!H77</f>
        <v>0</v>
      </c>
      <c r="H55" s="649">
        <f>PROFORMA!I77</f>
        <v>0</v>
      </c>
      <c r="I55" s="649">
        <f>PROFORMA!J77</f>
        <v>0</v>
      </c>
      <c r="J55" s="649">
        <f>PROFORMA!K77</f>
        <v>0</v>
      </c>
      <c r="K55" s="649">
        <f>PROFORMA!L77</f>
        <v>0</v>
      </c>
      <c r="L55" s="649">
        <f>PROFORMA!M77</f>
        <v>0</v>
      </c>
      <c r="M55" s="649">
        <f>PROFORMA!N77</f>
        <v>0</v>
      </c>
      <c r="N55" s="649">
        <f>PROFORMA!O77</f>
        <v>0</v>
      </c>
      <c r="O55" s="649">
        <f>PROFORMA!P77</f>
        <v>0</v>
      </c>
      <c r="P55" s="649">
        <f>PROFORMA!Q77</f>
        <v>0</v>
      </c>
      <c r="Q55" s="649">
        <f>PROFORMA!R77</f>
        <v>0</v>
      </c>
      <c r="R55" s="649">
        <f>PROFORMA!S77</f>
        <v>0</v>
      </c>
      <c r="S55" s="649">
        <f>PROFORMA!T77</f>
        <v>0</v>
      </c>
      <c r="T55" s="649">
        <f>PROFORMA!U77</f>
        <v>0</v>
      </c>
      <c r="U55" s="649">
        <f>PROFORMA!V77</f>
        <v>0</v>
      </c>
      <c r="V55" s="649">
        <f>PROFORMA!W77</f>
        <v>0</v>
      </c>
      <c r="W55" s="649">
        <f>PROFORMA!X77</f>
        <v>0</v>
      </c>
      <c r="X55" s="649">
        <f>PROFORMA!Y77</f>
        <v>0</v>
      </c>
      <c r="Y55" s="690">
        <f t="shared" si="0"/>
        <v>0</v>
      </c>
      <c r="Z55" s="649">
        <f>PROFORMA!Z77</f>
        <v>0</v>
      </c>
      <c r="AA55" s="649">
        <f>PROFORMA!AA77</f>
        <v>0</v>
      </c>
      <c r="AB55" s="649">
        <f>PROFORMA!AB77</f>
        <v>0</v>
      </c>
      <c r="AC55" s="649">
        <f>PROFORMA!AC77</f>
        <v>0</v>
      </c>
      <c r="AD55" s="649">
        <f>PROFORMA!AD77</f>
        <v>0</v>
      </c>
      <c r="AE55" s="649">
        <f>PROFORMA!AE77</f>
        <v>5000</v>
      </c>
      <c r="AF55" s="649">
        <f>PROFORMA!AF77</f>
        <v>0</v>
      </c>
      <c r="AG55" s="649">
        <f>PROFORMA!AG77</f>
        <v>0</v>
      </c>
      <c r="AH55" s="649">
        <f>PROFORMA!AH77</f>
        <v>0</v>
      </c>
      <c r="AI55" s="649">
        <f>PROFORMA!AI77</f>
        <v>0</v>
      </c>
      <c r="AJ55" s="649">
        <f>PROFORMA!AJ77</f>
        <v>0</v>
      </c>
      <c r="AK55" s="649">
        <f>PROFORMA!AK77</f>
        <v>0</v>
      </c>
      <c r="AL55" s="649">
        <f>PROFORMA!AL77</f>
        <v>0</v>
      </c>
      <c r="AM55" s="649">
        <f>PROFORMA!AM77</f>
        <v>0</v>
      </c>
      <c r="AN55" s="649">
        <f>PROFORMA!AN77</f>
        <v>0</v>
      </c>
      <c r="AO55" s="649">
        <f>PROFORMA!AO77</f>
        <v>-995000</v>
      </c>
      <c r="AP55" s="649">
        <f>PROFORMA!AP77</f>
        <v>0</v>
      </c>
      <c r="AQ55" s="649">
        <f>PROFORMA!AQ77</f>
        <v>0</v>
      </c>
      <c r="AR55" s="693">
        <f t="shared" si="1"/>
        <v>-990000</v>
      </c>
      <c r="AS55" s="643">
        <f t="shared" si="2"/>
        <v>-990000</v>
      </c>
      <c r="AT55" s="643">
        <f t="shared" si="3"/>
        <v>-578000</v>
      </c>
      <c r="AU55" s="643"/>
      <c r="AV55" s="643">
        <f t="shared" si="4"/>
        <v>-578000</v>
      </c>
    </row>
    <row r="56" spans="1:48">
      <c r="A56" s="640">
        <v>54</v>
      </c>
      <c r="B56" s="809"/>
      <c r="C56" s="628" t="s">
        <v>337</v>
      </c>
      <c r="D56" s="656">
        <v>879</v>
      </c>
      <c r="E56" s="649">
        <f>PROFORMA!F78</f>
        <v>1471000</v>
      </c>
      <c r="F56" s="649">
        <f>PROFORMA!G78</f>
        <v>0</v>
      </c>
      <c r="G56" s="649">
        <f>PROFORMA!H78</f>
        <v>0</v>
      </c>
      <c r="H56" s="649">
        <f>PROFORMA!I78</f>
        <v>0</v>
      </c>
      <c r="I56" s="649">
        <f>PROFORMA!J78</f>
        <v>0</v>
      </c>
      <c r="J56" s="649">
        <f>PROFORMA!K78</f>
        <v>0</v>
      </c>
      <c r="K56" s="649">
        <f>PROFORMA!L78</f>
        <v>0</v>
      </c>
      <c r="L56" s="649">
        <f>PROFORMA!M78</f>
        <v>0</v>
      </c>
      <c r="M56" s="649">
        <f>PROFORMA!N78</f>
        <v>0</v>
      </c>
      <c r="N56" s="649">
        <f>PROFORMA!O78</f>
        <v>0</v>
      </c>
      <c r="O56" s="649">
        <f>PROFORMA!P78</f>
        <v>0</v>
      </c>
      <c r="P56" s="649">
        <f>PROFORMA!Q78</f>
        <v>0</v>
      </c>
      <c r="Q56" s="649">
        <f>PROFORMA!R78</f>
        <v>0</v>
      </c>
      <c r="R56" s="649">
        <f>PROFORMA!S78</f>
        <v>0</v>
      </c>
      <c r="S56" s="649">
        <f>PROFORMA!T78</f>
        <v>0</v>
      </c>
      <c r="T56" s="649">
        <f>PROFORMA!U78</f>
        <v>0</v>
      </c>
      <c r="U56" s="649">
        <f>PROFORMA!V78</f>
        <v>0</v>
      </c>
      <c r="V56" s="649">
        <f>PROFORMA!W78</f>
        <v>0</v>
      </c>
      <c r="W56" s="649">
        <f>PROFORMA!X78</f>
        <v>0</v>
      </c>
      <c r="X56" s="649">
        <f>PROFORMA!Y78</f>
        <v>0</v>
      </c>
      <c r="Y56" s="690">
        <f t="shared" si="0"/>
        <v>0</v>
      </c>
      <c r="Z56" s="649">
        <f>PROFORMA!Z78</f>
        <v>0</v>
      </c>
      <c r="AA56" s="649">
        <f>PROFORMA!AA78</f>
        <v>0</v>
      </c>
      <c r="AB56" s="649">
        <f>PROFORMA!AB78</f>
        <v>0</v>
      </c>
      <c r="AC56" s="649">
        <f>PROFORMA!AC78</f>
        <v>62000</v>
      </c>
      <c r="AD56" s="649">
        <f>PROFORMA!AD78</f>
        <v>0</v>
      </c>
      <c r="AE56" s="649">
        <f>PROFORMA!AE78</f>
        <v>16000</v>
      </c>
      <c r="AF56" s="649">
        <f>PROFORMA!AF78</f>
        <v>0</v>
      </c>
      <c r="AG56" s="649">
        <f>PROFORMA!AG78</f>
        <v>0</v>
      </c>
      <c r="AH56" s="649">
        <f>PROFORMA!AH78</f>
        <v>0</v>
      </c>
      <c r="AI56" s="649">
        <f>PROFORMA!AI78</f>
        <v>0</v>
      </c>
      <c r="AJ56" s="649">
        <f>PROFORMA!AJ78</f>
        <v>0</v>
      </c>
      <c r="AK56" s="649">
        <f>PROFORMA!AK78</f>
        <v>0</v>
      </c>
      <c r="AL56" s="649">
        <f>PROFORMA!AL78</f>
        <v>0</v>
      </c>
      <c r="AM56" s="649">
        <f>PROFORMA!AM78</f>
        <v>0</v>
      </c>
      <c r="AN56" s="649">
        <f>PROFORMA!AN78</f>
        <v>0</v>
      </c>
      <c r="AO56" s="649">
        <f>PROFORMA!AO78</f>
        <v>0</v>
      </c>
      <c r="AP56" s="649">
        <f>PROFORMA!AP78</f>
        <v>0</v>
      </c>
      <c r="AQ56" s="649">
        <f>PROFORMA!AQ78</f>
        <v>0</v>
      </c>
      <c r="AR56" s="693">
        <f t="shared" si="1"/>
        <v>78000</v>
      </c>
      <c r="AS56" s="643">
        <f t="shared" si="2"/>
        <v>78000</v>
      </c>
      <c r="AT56" s="643">
        <f t="shared" si="3"/>
        <v>1549000</v>
      </c>
      <c r="AU56" s="643"/>
      <c r="AV56" s="643">
        <f t="shared" si="4"/>
        <v>1549000</v>
      </c>
    </row>
    <row r="57" spans="1:48">
      <c r="A57" s="640">
        <v>55</v>
      </c>
      <c r="B57" s="809"/>
      <c r="C57" s="628" t="s">
        <v>338</v>
      </c>
      <c r="D57" s="656">
        <v>880</v>
      </c>
      <c r="E57" s="649">
        <f>PROFORMA!F79</f>
        <v>2110000</v>
      </c>
      <c r="F57" s="649">
        <f>PROFORMA!G79</f>
        <v>0</v>
      </c>
      <c r="G57" s="649">
        <f>PROFORMA!H79</f>
        <v>0</v>
      </c>
      <c r="H57" s="649">
        <f>PROFORMA!I79</f>
        <v>0</v>
      </c>
      <c r="I57" s="649">
        <f>PROFORMA!J79</f>
        <v>0</v>
      </c>
      <c r="J57" s="649">
        <f>PROFORMA!K79</f>
        <v>0</v>
      </c>
      <c r="K57" s="649">
        <f>PROFORMA!L79</f>
        <v>0</v>
      </c>
      <c r="L57" s="649">
        <f>PROFORMA!M79</f>
        <v>0</v>
      </c>
      <c r="M57" s="649">
        <f>PROFORMA!N79</f>
        <v>0</v>
      </c>
      <c r="N57" s="649">
        <f>PROFORMA!O79</f>
        <v>0</v>
      </c>
      <c r="O57" s="649">
        <f>PROFORMA!P79</f>
        <v>0</v>
      </c>
      <c r="P57" s="649">
        <f>PROFORMA!Q79</f>
        <v>0</v>
      </c>
      <c r="Q57" s="649">
        <f>PROFORMA!R79</f>
        <v>0</v>
      </c>
      <c r="R57" s="649">
        <f>PROFORMA!S79</f>
        <v>0</v>
      </c>
      <c r="S57" s="649">
        <f>PROFORMA!T79</f>
        <v>0</v>
      </c>
      <c r="T57" s="649">
        <f>PROFORMA!U79</f>
        <v>0</v>
      </c>
      <c r="U57" s="649">
        <f>PROFORMA!V79</f>
        <v>0</v>
      </c>
      <c r="V57" s="649">
        <f>PROFORMA!W79</f>
        <v>0</v>
      </c>
      <c r="W57" s="649">
        <f>PROFORMA!X79</f>
        <v>0</v>
      </c>
      <c r="X57" s="649">
        <f>PROFORMA!Y79</f>
        <v>0</v>
      </c>
      <c r="Y57" s="690">
        <f t="shared" si="0"/>
        <v>0</v>
      </c>
      <c r="Z57" s="649">
        <f>PROFORMA!Z79</f>
        <v>0</v>
      </c>
      <c r="AA57" s="649">
        <f>PROFORMA!AA79</f>
        <v>0</v>
      </c>
      <c r="AB57" s="649">
        <f>PROFORMA!AB79</f>
        <v>0</v>
      </c>
      <c r="AC57" s="649">
        <f>PROFORMA!AC79</f>
        <v>72000</v>
      </c>
      <c r="AD57" s="649">
        <f>PROFORMA!AD79</f>
        <v>0</v>
      </c>
      <c r="AE57" s="649">
        <f>PROFORMA!AE79</f>
        <v>24000</v>
      </c>
      <c r="AF57" s="649">
        <f>PROFORMA!AF79</f>
        <v>0</v>
      </c>
      <c r="AG57" s="649">
        <f>PROFORMA!AG79</f>
        <v>0</v>
      </c>
      <c r="AH57" s="649">
        <f>PROFORMA!AH79</f>
        <v>0</v>
      </c>
      <c r="AI57" s="649">
        <f>PROFORMA!AI79</f>
        <v>0</v>
      </c>
      <c r="AJ57" s="649">
        <f>PROFORMA!AJ79</f>
        <v>0</v>
      </c>
      <c r="AK57" s="649">
        <f>PROFORMA!AK79</f>
        <v>0</v>
      </c>
      <c r="AL57" s="649">
        <f>PROFORMA!AL79</f>
        <v>0</v>
      </c>
      <c r="AM57" s="649">
        <f>PROFORMA!AM79</f>
        <v>0</v>
      </c>
      <c r="AN57" s="649">
        <f>PROFORMA!AN79</f>
        <v>0</v>
      </c>
      <c r="AO57" s="649">
        <f>PROFORMA!AO79</f>
        <v>0</v>
      </c>
      <c r="AP57" s="649">
        <f>PROFORMA!AP79</f>
        <v>0</v>
      </c>
      <c r="AQ57" s="649">
        <f>PROFORMA!AQ79</f>
        <v>0</v>
      </c>
      <c r="AR57" s="693">
        <f t="shared" si="1"/>
        <v>96000</v>
      </c>
      <c r="AS57" s="643">
        <f t="shared" si="2"/>
        <v>96000</v>
      </c>
      <c r="AT57" s="643">
        <f t="shared" si="3"/>
        <v>2206000</v>
      </c>
      <c r="AU57" s="643"/>
      <c r="AV57" s="643">
        <f t="shared" si="4"/>
        <v>2206000</v>
      </c>
    </row>
    <row r="58" spans="1:48">
      <c r="A58" s="640">
        <v>56</v>
      </c>
      <c r="B58" s="809"/>
      <c r="C58" s="628" t="s">
        <v>2</v>
      </c>
      <c r="D58" s="656">
        <v>881</v>
      </c>
      <c r="E58" s="685">
        <f>PROFORMA!F80</f>
        <v>27000</v>
      </c>
      <c r="F58" s="685">
        <f>PROFORMA!G80</f>
        <v>0</v>
      </c>
      <c r="G58" s="685">
        <f>PROFORMA!H80</f>
        <v>0</v>
      </c>
      <c r="H58" s="685">
        <f>PROFORMA!I80</f>
        <v>0</v>
      </c>
      <c r="I58" s="685">
        <f>PROFORMA!J80</f>
        <v>0</v>
      </c>
      <c r="J58" s="685">
        <f>PROFORMA!K80</f>
        <v>0</v>
      </c>
      <c r="K58" s="685">
        <f>PROFORMA!L80</f>
        <v>0</v>
      </c>
      <c r="L58" s="685">
        <f>PROFORMA!M80</f>
        <v>0</v>
      </c>
      <c r="M58" s="685">
        <f>PROFORMA!N80</f>
        <v>0</v>
      </c>
      <c r="N58" s="685">
        <f>PROFORMA!O80</f>
        <v>0</v>
      </c>
      <c r="O58" s="685">
        <f>PROFORMA!P80</f>
        <v>0</v>
      </c>
      <c r="P58" s="685">
        <f>PROFORMA!Q80</f>
        <v>0</v>
      </c>
      <c r="Q58" s="685">
        <f>PROFORMA!R80</f>
        <v>0</v>
      </c>
      <c r="R58" s="685">
        <f>PROFORMA!S80</f>
        <v>0</v>
      </c>
      <c r="S58" s="685">
        <f>PROFORMA!T80</f>
        <v>0</v>
      </c>
      <c r="T58" s="685">
        <f>PROFORMA!U80</f>
        <v>0</v>
      </c>
      <c r="U58" s="685">
        <f>PROFORMA!V80</f>
        <v>0</v>
      </c>
      <c r="V58" s="685">
        <f>PROFORMA!W80</f>
        <v>0</v>
      </c>
      <c r="W58" s="685">
        <f>PROFORMA!X80</f>
        <v>0</v>
      </c>
      <c r="X58" s="685">
        <f>PROFORMA!Y80</f>
        <v>0</v>
      </c>
      <c r="Y58" s="691">
        <f t="shared" si="0"/>
        <v>0</v>
      </c>
      <c r="Z58" s="685">
        <f>PROFORMA!Z80</f>
        <v>0</v>
      </c>
      <c r="AA58" s="685">
        <f>PROFORMA!AA80</f>
        <v>0</v>
      </c>
      <c r="AB58" s="685">
        <f>PROFORMA!AB80</f>
        <v>0</v>
      </c>
      <c r="AC58" s="685">
        <f>PROFORMA!AC80</f>
        <v>0</v>
      </c>
      <c r="AD58" s="685">
        <f>PROFORMA!AD80</f>
        <v>0</v>
      </c>
      <c r="AE58" s="685">
        <f>PROFORMA!AE80</f>
        <v>0</v>
      </c>
      <c r="AF58" s="685">
        <f>PROFORMA!AF80</f>
        <v>0</v>
      </c>
      <c r="AG58" s="685">
        <f>PROFORMA!AG80</f>
        <v>0</v>
      </c>
      <c r="AH58" s="685">
        <f>PROFORMA!AH80</f>
        <v>0</v>
      </c>
      <c r="AI58" s="685">
        <f>PROFORMA!AI80</f>
        <v>0</v>
      </c>
      <c r="AJ58" s="685">
        <f>PROFORMA!AJ80</f>
        <v>0</v>
      </c>
      <c r="AK58" s="685">
        <f>PROFORMA!AK80</f>
        <v>0</v>
      </c>
      <c r="AL58" s="685">
        <f>PROFORMA!AL80</f>
        <v>0</v>
      </c>
      <c r="AM58" s="685">
        <f>PROFORMA!AM80</f>
        <v>0</v>
      </c>
      <c r="AN58" s="685">
        <f>PROFORMA!AN80</f>
        <v>0</v>
      </c>
      <c r="AO58" s="685">
        <f>PROFORMA!AO80</f>
        <v>0</v>
      </c>
      <c r="AP58" s="685">
        <f>PROFORMA!AP80</f>
        <v>0</v>
      </c>
      <c r="AQ58" s="685">
        <f>PROFORMA!AQ80</f>
        <v>0</v>
      </c>
      <c r="AR58" s="694">
        <f t="shared" si="1"/>
        <v>0</v>
      </c>
      <c r="AS58" s="692">
        <f t="shared" si="2"/>
        <v>0</v>
      </c>
      <c r="AT58" s="692">
        <f t="shared" si="3"/>
        <v>27000</v>
      </c>
      <c r="AU58" s="692"/>
      <c r="AV58" s="692">
        <f t="shared" si="4"/>
        <v>27000</v>
      </c>
    </row>
    <row r="59" spans="1:48">
      <c r="A59" s="640">
        <v>57</v>
      </c>
      <c r="B59" s="628"/>
      <c r="C59" s="625" t="s">
        <v>1263</v>
      </c>
      <c r="D59" s="655"/>
      <c r="E59" s="646">
        <f>SUM(E48:E58)</f>
        <v>9307000</v>
      </c>
      <c r="F59" s="646">
        <f t="shared" ref="F59:X59" si="23">SUM(F48:F58)</f>
        <v>0</v>
      </c>
      <c r="G59" s="646">
        <f t="shared" si="23"/>
        <v>0</v>
      </c>
      <c r="H59" s="646">
        <f t="shared" si="23"/>
        <v>0</v>
      </c>
      <c r="I59" s="646">
        <f t="shared" si="23"/>
        <v>0</v>
      </c>
      <c r="J59" s="646">
        <f t="shared" si="23"/>
        <v>0</v>
      </c>
      <c r="K59" s="646">
        <f t="shared" si="23"/>
        <v>0</v>
      </c>
      <c r="L59" s="646">
        <f t="shared" si="23"/>
        <v>0</v>
      </c>
      <c r="M59" s="646">
        <f t="shared" si="23"/>
        <v>0</v>
      </c>
      <c r="N59" s="646">
        <f t="shared" si="23"/>
        <v>0</v>
      </c>
      <c r="O59" s="646">
        <f t="shared" si="23"/>
        <v>0</v>
      </c>
      <c r="P59" s="646">
        <f t="shared" si="23"/>
        <v>0</v>
      </c>
      <c r="Q59" s="646">
        <f t="shared" si="23"/>
        <v>0</v>
      </c>
      <c r="R59" s="646">
        <f t="shared" si="23"/>
        <v>0</v>
      </c>
      <c r="S59" s="646">
        <f t="shared" si="23"/>
        <v>0</v>
      </c>
      <c r="T59" s="646">
        <f t="shared" si="23"/>
        <v>0</v>
      </c>
      <c r="U59" s="646">
        <f t="shared" si="23"/>
        <v>-2000</v>
      </c>
      <c r="V59" s="646">
        <f t="shared" si="23"/>
        <v>0</v>
      </c>
      <c r="W59" s="646">
        <f t="shared" si="23"/>
        <v>0</v>
      </c>
      <c r="X59" s="646">
        <f t="shared" si="23"/>
        <v>0</v>
      </c>
      <c r="Y59" s="690">
        <f t="shared" si="0"/>
        <v>-2000</v>
      </c>
      <c r="Z59" s="646">
        <f t="shared" ref="Z59:AV59" si="24">SUM(Z48:Z58)</f>
        <v>0</v>
      </c>
      <c r="AA59" s="646">
        <f t="shared" si="24"/>
        <v>0</v>
      </c>
      <c r="AB59" s="646">
        <f t="shared" si="24"/>
        <v>0</v>
      </c>
      <c r="AC59" s="646">
        <f t="shared" si="24"/>
        <v>291000</v>
      </c>
      <c r="AD59" s="646">
        <f t="shared" si="24"/>
        <v>0</v>
      </c>
      <c r="AE59" s="646">
        <f t="shared" si="24"/>
        <v>104000</v>
      </c>
      <c r="AF59" s="646">
        <f t="shared" si="24"/>
        <v>0</v>
      </c>
      <c r="AG59" s="646">
        <f t="shared" si="24"/>
        <v>0</v>
      </c>
      <c r="AH59" s="646">
        <f t="shared" si="24"/>
        <v>0</v>
      </c>
      <c r="AI59" s="646">
        <f t="shared" si="24"/>
        <v>0</v>
      </c>
      <c r="AJ59" s="646">
        <f t="shared" si="24"/>
        <v>0</v>
      </c>
      <c r="AK59" s="646">
        <f t="shared" si="24"/>
        <v>0</v>
      </c>
      <c r="AL59" s="646">
        <f t="shared" si="24"/>
        <v>0</v>
      </c>
      <c r="AM59" s="646">
        <f t="shared" si="24"/>
        <v>0</v>
      </c>
      <c r="AN59" s="646">
        <f t="shared" si="24"/>
        <v>0</v>
      </c>
      <c r="AO59" s="646">
        <f t="shared" si="24"/>
        <v>-995000</v>
      </c>
      <c r="AP59" s="646">
        <f t="shared" si="24"/>
        <v>0</v>
      </c>
      <c r="AQ59" s="646">
        <f t="shared" si="24"/>
        <v>0</v>
      </c>
      <c r="AR59" s="646">
        <f t="shared" si="24"/>
        <v>-600000</v>
      </c>
      <c r="AS59" s="646">
        <f t="shared" si="24"/>
        <v>-602000</v>
      </c>
      <c r="AT59" s="646">
        <f t="shared" si="24"/>
        <v>8705000</v>
      </c>
      <c r="AU59" s="646">
        <f t="shared" si="24"/>
        <v>0</v>
      </c>
      <c r="AV59" s="646">
        <f t="shared" si="24"/>
        <v>8705000</v>
      </c>
    </row>
    <row r="60" spans="1:48">
      <c r="A60" s="640">
        <v>58</v>
      </c>
      <c r="B60" s="809" t="s">
        <v>1359</v>
      </c>
      <c r="C60" s="628" t="s">
        <v>1</v>
      </c>
      <c r="D60" s="629">
        <v>885</v>
      </c>
      <c r="E60" s="649">
        <f>PROFORMA!F83</f>
        <v>82000</v>
      </c>
      <c r="F60" s="649">
        <f>PROFORMA!G83</f>
        <v>0</v>
      </c>
      <c r="G60" s="649">
        <f>PROFORMA!H83</f>
        <v>0</v>
      </c>
      <c r="H60" s="649">
        <f>PROFORMA!I83</f>
        <v>0</v>
      </c>
      <c r="I60" s="649">
        <f>PROFORMA!J83</f>
        <v>0</v>
      </c>
      <c r="J60" s="649">
        <f>PROFORMA!K83</f>
        <v>0</v>
      </c>
      <c r="K60" s="649">
        <f>PROFORMA!L83</f>
        <v>0</v>
      </c>
      <c r="L60" s="649">
        <f>PROFORMA!M83</f>
        <v>0</v>
      </c>
      <c r="M60" s="649">
        <f>PROFORMA!N83</f>
        <v>0</v>
      </c>
      <c r="N60" s="649">
        <f>PROFORMA!O83</f>
        <v>0</v>
      </c>
      <c r="O60" s="649">
        <f>PROFORMA!P83</f>
        <v>0</v>
      </c>
      <c r="P60" s="649">
        <f>PROFORMA!Q83</f>
        <v>0</v>
      </c>
      <c r="Q60" s="649">
        <f>PROFORMA!R83</f>
        <v>0</v>
      </c>
      <c r="R60" s="649">
        <f>PROFORMA!S83</f>
        <v>0</v>
      </c>
      <c r="S60" s="649">
        <f>PROFORMA!T83</f>
        <v>0</v>
      </c>
      <c r="T60" s="649">
        <f>PROFORMA!U83</f>
        <v>0</v>
      </c>
      <c r="U60" s="649">
        <f>PROFORMA!V83</f>
        <v>0</v>
      </c>
      <c r="V60" s="649">
        <f>PROFORMA!W83</f>
        <v>0</v>
      </c>
      <c r="W60" s="649">
        <f>PROFORMA!X83</f>
        <v>0</v>
      </c>
      <c r="X60" s="649">
        <f>PROFORMA!Y83</f>
        <v>0</v>
      </c>
      <c r="Y60" s="690">
        <f t="shared" si="0"/>
        <v>0</v>
      </c>
      <c r="Z60" s="649">
        <f>PROFORMA!Z83</f>
        <v>0</v>
      </c>
      <c r="AA60" s="649">
        <f>PROFORMA!AA83</f>
        <v>0</v>
      </c>
      <c r="AB60" s="649">
        <f>PROFORMA!AB83</f>
        <v>0</v>
      </c>
      <c r="AC60" s="649">
        <f>PROFORMA!AC83</f>
        <v>3000</v>
      </c>
      <c r="AD60" s="649">
        <f>PROFORMA!AD83</f>
        <v>0</v>
      </c>
      <c r="AE60" s="649">
        <f>PROFORMA!AE83</f>
        <v>1000</v>
      </c>
      <c r="AF60" s="649">
        <f>PROFORMA!AF83</f>
        <v>0</v>
      </c>
      <c r="AG60" s="649">
        <f>PROFORMA!AG83</f>
        <v>0</v>
      </c>
      <c r="AH60" s="649">
        <f>PROFORMA!AH83</f>
        <v>0</v>
      </c>
      <c r="AI60" s="649">
        <f>PROFORMA!AI83</f>
        <v>0</v>
      </c>
      <c r="AJ60" s="649">
        <f>PROFORMA!AJ83</f>
        <v>0</v>
      </c>
      <c r="AK60" s="649">
        <f>PROFORMA!AK83</f>
        <v>0</v>
      </c>
      <c r="AL60" s="649">
        <f>PROFORMA!AL83</f>
        <v>0</v>
      </c>
      <c r="AM60" s="649">
        <f>PROFORMA!AM83</f>
        <v>0</v>
      </c>
      <c r="AN60" s="649">
        <f>PROFORMA!AN83</f>
        <v>0</v>
      </c>
      <c r="AO60" s="649">
        <f>PROFORMA!AO83</f>
        <v>0</v>
      </c>
      <c r="AP60" s="649">
        <f>PROFORMA!AP83</f>
        <v>0</v>
      </c>
      <c r="AQ60" s="649">
        <f>PROFORMA!AQ83</f>
        <v>0</v>
      </c>
      <c r="AR60" s="693">
        <f t="shared" si="1"/>
        <v>4000</v>
      </c>
      <c r="AS60" s="643">
        <f t="shared" si="2"/>
        <v>4000</v>
      </c>
      <c r="AT60" s="643">
        <f t="shared" si="3"/>
        <v>86000</v>
      </c>
      <c r="AU60" s="643"/>
      <c r="AV60" s="643">
        <f t="shared" si="4"/>
        <v>86000</v>
      </c>
    </row>
    <row r="61" spans="1:48">
      <c r="A61" s="640">
        <v>59</v>
      </c>
      <c r="B61" s="809"/>
      <c r="C61" s="628" t="s">
        <v>245</v>
      </c>
      <c r="D61" s="629">
        <v>887</v>
      </c>
      <c r="E61" s="649">
        <f>PROFORMA!F84</f>
        <v>770000</v>
      </c>
      <c r="F61" s="649">
        <f>PROFORMA!G84</f>
        <v>0</v>
      </c>
      <c r="G61" s="649">
        <f>PROFORMA!H84</f>
        <v>0</v>
      </c>
      <c r="H61" s="649">
        <f>PROFORMA!I84</f>
        <v>0</v>
      </c>
      <c r="I61" s="649">
        <f>PROFORMA!J84</f>
        <v>0</v>
      </c>
      <c r="J61" s="649">
        <f>PROFORMA!K84</f>
        <v>0</v>
      </c>
      <c r="K61" s="649">
        <f>PROFORMA!L84</f>
        <v>0</v>
      </c>
      <c r="L61" s="649">
        <f>PROFORMA!M84</f>
        <v>0</v>
      </c>
      <c r="M61" s="649">
        <f>PROFORMA!N84</f>
        <v>0</v>
      </c>
      <c r="N61" s="649">
        <f>PROFORMA!O84</f>
        <v>0</v>
      </c>
      <c r="O61" s="649">
        <f>PROFORMA!P84</f>
        <v>0</v>
      </c>
      <c r="P61" s="649">
        <f>PROFORMA!Q84</f>
        <v>0</v>
      </c>
      <c r="Q61" s="649">
        <f>PROFORMA!R84</f>
        <v>0</v>
      </c>
      <c r="R61" s="649">
        <f>PROFORMA!S84</f>
        <v>0</v>
      </c>
      <c r="S61" s="649">
        <f>PROFORMA!T84</f>
        <v>0</v>
      </c>
      <c r="T61" s="649">
        <f>PROFORMA!U84</f>
        <v>0</v>
      </c>
      <c r="U61" s="649">
        <f>PROFORMA!V84</f>
        <v>0</v>
      </c>
      <c r="V61" s="649">
        <f>PROFORMA!W84</f>
        <v>0</v>
      </c>
      <c r="W61" s="649">
        <f>PROFORMA!X84</f>
        <v>0</v>
      </c>
      <c r="X61" s="649">
        <f>PROFORMA!Y84</f>
        <v>0</v>
      </c>
      <c r="Y61" s="690">
        <f t="shared" si="0"/>
        <v>0</v>
      </c>
      <c r="Z61" s="649">
        <f>PROFORMA!Z84</f>
        <v>0</v>
      </c>
      <c r="AA61" s="649">
        <f>PROFORMA!AA84</f>
        <v>0</v>
      </c>
      <c r="AB61" s="649">
        <f>PROFORMA!AB84</f>
        <v>0</v>
      </c>
      <c r="AC61" s="649">
        <f>PROFORMA!AC84</f>
        <v>30000</v>
      </c>
      <c r="AD61" s="649">
        <f>PROFORMA!AD84</f>
        <v>0</v>
      </c>
      <c r="AE61" s="649">
        <f>PROFORMA!AE84</f>
        <v>9000</v>
      </c>
      <c r="AF61" s="649">
        <f>PROFORMA!AF84</f>
        <v>0</v>
      </c>
      <c r="AG61" s="649">
        <f>PROFORMA!AG84</f>
        <v>0</v>
      </c>
      <c r="AH61" s="649">
        <f>PROFORMA!AH84</f>
        <v>0</v>
      </c>
      <c r="AI61" s="649">
        <f>PROFORMA!AI84</f>
        <v>0</v>
      </c>
      <c r="AJ61" s="649">
        <f>PROFORMA!AJ84</f>
        <v>0</v>
      </c>
      <c r="AK61" s="649">
        <f>PROFORMA!AK84</f>
        <v>0</v>
      </c>
      <c r="AL61" s="649">
        <f>PROFORMA!AL84</f>
        <v>0</v>
      </c>
      <c r="AM61" s="649">
        <f>PROFORMA!AM84</f>
        <v>0</v>
      </c>
      <c r="AN61" s="649">
        <f>PROFORMA!AN84</f>
        <v>0</v>
      </c>
      <c r="AO61" s="649">
        <f>PROFORMA!AO84</f>
        <v>0</v>
      </c>
      <c r="AP61" s="649">
        <f>PROFORMA!AP84</f>
        <v>0</v>
      </c>
      <c r="AQ61" s="649">
        <f>PROFORMA!AQ84</f>
        <v>0</v>
      </c>
      <c r="AR61" s="693">
        <f t="shared" si="1"/>
        <v>39000</v>
      </c>
      <c r="AS61" s="643">
        <f t="shared" si="2"/>
        <v>39000</v>
      </c>
      <c r="AT61" s="643">
        <f t="shared" si="3"/>
        <v>809000</v>
      </c>
      <c r="AU61" s="643"/>
      <c r="AV61" s="643">
        <f t="shared" si="4"/>
        <v>809000</v>
      </c>
    </row>
    <row r="62" spans="1:48">
      <c r="A62" s="640">
        <v>60</v>
      </c>
      <c r="B62" s="809"/>
      <c r="C62" s="628" t="s">
        <v>240</v>
      </c>
      <c r="D62" s="629">
        <v>888</v>
      </c>
      <c r="E62" s="649">
        <f>PROFORMA!F85</f>
        <v>0</v>
      </c>
      <c r="F62" s="649">
        <f>PROFORMA!G85</f>
        <v>0</v>
      </c>
      <c r="G62" s="649">
        <f>PROFORMA!H85</f>
        <v>0</v>
      </c>
      <c r="H62" s="649">
        <f>PROFORMA!I85</f>
        <v>0</v>
      </c>
      <c r="I62" s="649">
        <f>PROFORMA!J85</f>
        <v>0</v>
      </c>
      <c r="J62" s="649">
        <f>PROFORMA!K85</f>
        <v>0</v>
      </c>
      <c r="K62" s="649">
        <f>PROFORMA!L85</f>
        <v>0</v>
      </c>
      <c r="L62" s="649">
        <f>PROFORMA!M85</f>
        <v>0</v>
      </c>
      <c r="M62" s="649">
        <f>PROFORMA!N85</f>
        <v>0</v>
      </c>
      <c r="N62" s="649">
        <f>PROFORMA!O85</f>
        <v>0</v>
      </c>
      <c r="O62" s="649">
        <f>PROFORMA!P85</f>
        <v>0</v>
      </c>
      <c r="P62" s="649">
        <f>PROFORMA!Q85</f>
        <v>0</v>
      </c>
      <c r="Q62" s="649">
        <f>PROFORMA!R85</f>
        <v>0</v>
      </c>
      <c r="R62" s="649">
        <f>PROFORMA!S85</f>
        <v>0</v>
      </c>
      <c r="S62" s="649">
        <f>PROFORMA!T85</f>
        <v>0</v>
      </c>
      <c r="T62" s="649">
        <f>PROFORMA!U85</f>
        <v>0</v>
      </c>
      <c r="U62" s="649">
        <f>PROFORMA!V85</f>
        <v>0</v>
      </c>
      <c r="V62" s="649">
        <f>PROFORMA!W85</f>
        <v>0</v>
      </c>
      <c r="W62" s="649">
        <f>PROFORMA!X85</f>
        <v>0</v>
      </c>
      <c r="X62" s="649">
        <f>PROFORMA!Y85</f>
        <v>0</v>
      </c>
      <c r="Y62" s="690">
        <f t="shared" si="0"/>
        <v>0</v>
      </c>
      <c r="Z62" s="649">
        <f>PROFORMA!Z85</f>
        <v>0</v>
      </c>
      <c r="AA62" s="649">
        <f>PROFORMA!AA85</f>
        <v>0</v>
      </c>
      <c r="AB62" s="649">
        <f>PROFORMA!AB85</f>
        <v>0</v>
      </c>
      <c r="AC62" s="649">
        <f>PROFORMA!AC85</f>
        <v>0</v>
      </c>
      <c r="AD62" s="649">
        <f>PROFORMA!AD85</f>
        <v>0</v>
      </c>
      <c r="AE62" s="649">
        <f>PROFORMA!AE85</f>
        <v>0</v>
      </c>
      <c r="AF62" s="649">
        <f>PROFORMA!AF85</f>
        <v>0</v>
      </c>
      <c r="AG62" s="649">
        <f>PROFORMA!AG85</f>
        <v>0</v>
      </c>
      <c r="AH62" s="649">
        <f>PROFORMA!AH85</f>
        <v>0</v>
      </c>
      <c r="AI62" s="649">
        <f>PROFORMA!AI85</f>
        <v>0</v>
      </c>
      <c r="AJ62" s="649">
        <f>PROFORMA!AJ85</f>
        <v>0</v>
      </c>
      <c r="AK62" s="649">
        <f>PROFORMA!AK85</f>
        <v>0</v>
      </c>
      <c r="AL62" s="649">
        <f>PROFORMA!AL85</f>
        <v>0</v>
      </c>
      <c r="AM62" s="649">
        <f>PROFORMA!AM85</f>
        <v>0</v>
      </c>
      <c r="AN62" s="649">
        <f>PROFORMA!AN85</f>
        <v>0</v>
      </c>
      <c r="AO62" s="649">
        <f>PROFORMA!AO85</f>
        <v>0</v>
      </c>
      <c r="AP62" s="649">
        <f>PROFORMA!AP85</f>
        <v>0</v>
      </c>
      <c r="AQ62" s="649">
        <f>PROFORMA!AQ85</f>
        <v>0</v>
      </c>
      <c r="AR62" s="693">
        <f t="shared" si="1"/>
        <v>0</v>
      </c>
      <c r="AS62" s="643">
        <f t="shared" si="2"/>
        <v>0</v>
      </c>
      <c r="AT62" s="643">
        <f t="shared" si="3"/>
        <v>0</v>
      </c>
      <c r="AU62" s="643"/>
      <c r="AV62" s="643">
        <f t="shared" si="4"/>
        <v>0</v>
      </c>
    </row>
    <row r="63" spans="1:48" ht="31.2">
      <c r="A63" s="640">
        <v>61</v>
      </c>
      <c r="B63" s="809"/>
      <c r="C63" s="628" t="s">
        <v>333</v>
      </c>
      <c r="D63" s="629">
        <v>889</v>
      </c>
      <c r="E63" s="649">
        <f>PROFORMA!F86</f>
        <v>276000</v>
      </c>
      <c r="F63" s="649">
        <f>PROFORMA!G86</f>
        <v>0</v>
      </c>
      <c r="G63" s="649">
        <f>PROFORMA!H86</f>
        <v>0</v>
      </c>
      <c r="H63" s="649">
        <f>PROFORMA!I86</f>
        <v>0</v>
      </c>
      <c r="I63" s="649">
        <f>PROFORMA!J86</f>
        <v>0</v>
      </c>
      <c r="J63" s="649">
        <f>PROFORMA!K86</f>
        <v>0</v>
      </c>
      <c r="K63" s="649">
        <f>PROFORMA!L86</f>
        <v>0</v>
      </c>
      <c r="L63" s="649">
        <f>PROFORMA!M86</f>
        <v>0</v>
      </c>
      <c r="M63" s="649">
        <f>PROFORMA!N86</f>
        <v>0</v>
      </c>
      <c r="N63" s="649">
        <f>PROFORMA!O86</f>
        <v>0</v>
      </c>
      <c r="O63" s="649">
        <f>PROFORMA!P86</f>
        <v>0</v>
      </c>
      <c r="P63" s="649">
        <f>PROFORMA!Q86</f>
        <v>0</v>
      </c>
      <c r="Q63" s="649">
        <f>PROFORMA!R86</f>
        <v>0</v>
      </c>
      <c r="R63" s="649">
        <f>PROFORMA!S86</f>
        <v>0</v>
      </c>
      <c r="S63" s="649">
        <f>PROFORMA!T86</f>
        <v>0</v>
      </c>
      <c r="T63" s="649">
        <f>PROFORMA!U86</f>
        <v>0</v>
      </c>
      <c r="U63" s="649">
        <f>PROFORMA!V86</f>
        <v>0</v>
      </c>
      <c r="V63" s="649">
        <f>PROFORMA!W86</f>
        <v>0</v>
      </c>
      <c r="W63" s="649">
        <f>PROFORMA!X86</f>
        <v>0</v>
      </c>
      <c r="X63" s="649">
        <f>PROFORMA!Y86</f>
        <v>0</v>
      </c>
      <c r="Y63" s="690">
        <f t="shared" si="0"/>
        <v>0</v>
      </c>
      <c r="Z63" s="649">
        <f>PROFORMA!Z86</f>
        <v>0</v>
      </c>
      <c r="AA63" s="649">
        <f>PROFORMA!AA86</f>
        <v>0</v>
      </c>
      <c r="AB63" s="649">
        <f>PROFORMA!AB86</f>
        <v>0</v>
      </c>
      <c r="AC63" s="649">
        <f>PROFORMA!AC86</f>
        <v>7000</v>
      </c>
      <c r="AD63" s="649">
        <f>PROFORMA!AD86</f>
        <v>0</v>
      </c>
      <c r="AE63" s="649">
        <f>PROFORMA!AE86</f>
        <v>3000</v>
      </c>
      <c r="AF63" s="649">
        <f>PROFORMA!AF86</f>
        <v>0</v>
      </c>
      <c r="AG63" s="649">
        <f>PROFORMA!AG86</f>
        <v>0</v>
      </c>
      <c r="AH63" s="649">
        <f>PROFORMA!AH86</f>
        <v>0</v>
      </c>
      <c r="AI63" s="649">
        <f>PROFORMA!AI86</f>
        <v>0</v>
      </c>
      <c r="AJ63" s="649">
        <f>PROFORMA!AJ86</f>
        <v>0</v>
      </c>
      <c r="AK63" s="649">
        <f>PROFORMA!AK86</f>
        <v>0</v>
      </c>
      <c r="AL63" s="649">
        <f>PROFORMA!AL86</f>
        <v>0</v>
      </c>
      <c r="AM63" s="649">
        <f>PROFORMA!AM86</f>
        <v>0</v>
      </c>
      <c r="AN63" s="649">
        <f>PROFORMA!AN86</f>
        <v>0</v>
      </c>
      <c r="AO63" s="649">
        <f>PROFORMA!AO86</f>
        <v>0</v>
      </c>
      <c r="AP63" s="649">
        <f>PROFORMA!AP86</f>
        <v>0</v>
      </c>
      <c r="AQ63" s="649">
        <f>PROFORMA!AQ86</f>
        <v>0</v>
      </c>
      <c r="AR63" s="693">
        <f t="shared" si="1"/>
        <v>10000</v>
      </c>
      <c r="AS63" s="643">
        <f t="shared" si="2"/>
        <v>10000</v>
      </c>
      <c r="AT63" s="643">
        <f t="shared" si="3"/>
        <v>286000</v>
      </c>
      <c r="AU63" s="643"/>
      <c r="AV63" s="643">
        <f t="shared" si="4"/>
        <v>286000</v>
      </c>
    </row>
    <row r="64" spans="1:48" ht="31.2">
      <c r="A64" s="640">
        <v>62</v>
      </c>
      <c r="B64" s="809"/>
      <c r="C64" s="628" t="s">
        <v>334</v>
      </c>
      <c r="D64" s="629">
        <v>890</v>
      </c>
      <c r="E64" s="649">
        <f>PROFORMA!F87</f>
        <v>15000</v>
      </c>
      <c r="F64" s="649">
        <f>PROFORMA!G87</f>
        <v>0</v>
      </c>
      <c r="G64" s="649">
        <f>PROFORMA!H87</f>
        <v>0</v>
      </c>
      <c r="H64" s="649">
        <f>PROFORMA!I87</f>
        <v>0</v>
      </c>
      <c r="I64" s="649">
        <f>PROFORMA!J87</f>
        <v>0</v>
      </c>
      <c r="J64" s="649">
        <f>PROFORMA!K87</f>
        <v>0</v>
      </c>
      <c r="K64" s="649">
        <f>PROFORMA!L87</f>
        <v>0</v>
      </c>
      <c r="L64" s="649">
        <f>PROFORMA!M87</f>
        <v>0</v>
      </c>
      <c r="M64" s="649">
        <f>PROFORMA!N87</f>
        <v>0</v>
      </c>
      <c r="N64" s="649">
        <f>PROFORMA!O87</f>
        <v>0</v>
      </c>
      <c r="O64" s="649">
        <f>PROFORMA!P87</f>
        <v>0</v>
      </c>
      <c r="P64" s="649">
        <f>PROFORMA!Q87</f>
        <v>0</v>
      </c>
      <c r="Q64" s="649">
        <f>PROFORMA!R87</f>
        <v>0</v>
      </c>
      <c r="R64" s="649">
        <f>PROFORMA!S87</f>
        <v>0</v>
      </c>
      <c r="S64" s="649">
        <f>PROFORMA!T87</f>
        <v>0</v>
      </c>
      <c r="T64" s="649">
        <f>PROFORMA!U87</f>
        <v>0</v>
      </c>
      <c r="U64" s="649">
        <f>PROFORMA!V87</f>
        <v>0</v>
      </c>
      <c r="V64" s="649">
        <f>PROFORMA!W87</f>
        <v>0</v>
      </c>
      <c r="W64" s="649">
        <f>PROFORMA!X87</f>
        <v>0</v>
      </c>
      <c r="X64" s="649">
        <f>PROFORMA!Y87</f>
        <v>0</v>
      </c>
      <c r="Y64" s="690">
        <f t="shared" si="0"/>
        <v>0</v>
      </c>
      <c r="Z64" s="649">
        <f>PROFORMA!Z87</f>
        <v>0</v>
      </c>
      <c r="AA64" s="649">
        <f>PROFORMA!AA87</f>
        <v>0</v>
      </c>
      <c r="AB64" s="649">
        <f>PROFORMA!AB87</f>
        <v>0</v>
      </c>
      <c r="AC64" s="649">
        <f>PROFORMA!AC87</f>
        <v>1000</v>
      </c>
      <c r="AD64" s="649">
        <f>PROFORMA!AD87</f>
        <v>0</v>
      </c>
      <c r="AE64" s="649">
        <f>PROFORMA!AE87</f>
        <v>0</v>
      </c>
      <c r="AF64" s="649">
        <f>PROFORMA!AF87</f>
        <v>0</v>
      </c>
      <c r="AG64" s="649">
        <f>PROFORMA!AG87</f>
        <v>0</v>
      </c>
      <c r="AH64" s="649">
        <f>PROFORMA!AH87</f>
        <v>0</v>
      </c>
      <c r="AI64" s="649">
        <f>PROFORMA!AI87</f>
        <v>0</v>
      </c>
      <c r="AJ64" s="649">
        <f>PROFORMA!AJ87</f>
        <v>0</v>
      </c>
      <c r="AK64" s="649">
        <f>PROFORMA!AK87</f>
        <v>0</v>
      </c>
      <c r="AL64" s="649">
        <f>PROFORMA!AL87</f>
        <v>0</v>
      </c>
      <c r="AM64" s="649">
        <f>PROFORMA!AM87</f>
        <v>0</v>
      </c>
      <c r="AN64" s="649">
        <f>PROFORMA!AN87</f>
        <v>0</v>
      </c>
      <c r="AO64" s="649">
        <f>PROFORMA!AO87</f>
        <v>0</v>
      </c>
      <c r="AP64" s="649">
        <f>PROFORMA!AP87</f>
        <v>0</v>
      </c>
      <c r="AQ64" s="649">
        <f>PROFORMA!AQ87</f>
        <v>0</v>
      </c>
      <c r="AR64" s="693">
        <f t="shared" si="1"/>
        <v>1000</v>
      </c>
      <c r="AS64" s="643">
        <f t="shared" si="2"/>
        <v>1000</v>
      </c>
      <c r="AT64" s="643">
        <f t="shared" si="3"/>
        <v>16000</v>
      </c>
      <c r="AU64" s="643"/>
      <c r="AV64" s="643">
        <f t="shared" si="4"/>
        <v>16000</v>
      </c>
    </row>
    <row r="65" spans="1:48" ht="31.2">
      <c r="A65" s="640">
        <v>63</v>
      </c>
      <c r="B65" s="809"/>
      <c r="C65" s="628" t="s">
        <v>335</v>
      </c>
      <c r="D65" s="629">
        <v>891</v>
      </c>
      <c r="E65" s="649">
        <f>PROFORMA!F88</f>
        <v>66000</v>
      </c>
      <c r="F65" s="649">
        <f>PROFORMA!G88</f>
        <v>0</v>
      </c>
      <c r="G65" s="649">
        <f>PROFORMA!H88</f>
        <v>0</v>
      </c>
      <c r="H65" s="649">
        <f>PROFORMA!I88</f>
        <v>0</v>
      </c>
      <c r="I65" s="649">
        <f>PROFORMA!J88</f>
        <v>0</v>
      </c>
      <c r="J65" s="649">
        <f>PROFORMA!K88</f>
        <v>0</v>
      </c>
      <c r="K65" s="649">
        <f>PROFORMA!L88</f>
        <v>0</v>
      </c>
      <c r="L65" s="649">
        <f>PROFORMA!M88</f>
        <v>0</v>
      </c>
      <c r="M65" s="649">
        <f>PROFORMA!N88</f>
        <v>0</v>
      </c>
      <c r="N65" s="649">
        <f>PROFORMA!O88</f>
        <v>0</v>
      </c>
      <c r="O65" s="649">
        <f>PROFORMA!P88</f>
        <v>0</v>
      </c>
      <c r="P65" s="649">
        <f>PROFORMA!Q88</f>
        <v>0</v>
      </c>
      <c r="Q65" s="649">
        <f>PROFORMA!R88</f>
        <v>0</v>
      </c>
      <c r="R65" s="649">
        <f>PROFORMA!S88</f>
        <v>0</v>
      </c>
      <c r="S65" s="649">
        <f>PROFORMA!T88</f>
        <v>0</v>
      </c>
      <c r="T65" s="649">
        <f>PROFORMA!U88</f>
        <v>0</v>
      </c>
      <c r="U65" s="649">
        <f>PROFORMA!V88</f>
        <v>0</v>
      </c>
      <c r="V65" s="649">
        <f>PROFORMA!W88</f>
        <v>0</v>
      </c>
      <c r="W65" s="649">
        <f>PROFORMA!X88</f>
        <v>0</v>
      </c>
      <c r="X65" s="649">
        <f>PROFORMA!Y88</f>
        <v>0</v>
      </c>
      <c r="Y65" s="690">
        <f t="shared" si="0"/>
        <v>0</v>
      </c>
      <c r="Z65" s="649">
        <f>PROFORMA!Z88</f>
        <v>0</v>
      </c>
      <c r="AA65" s="649">
        <f>PROFORMA!AA88</f>
        <v>0</v>
      </c>
      <c r="AB65" s="649">
        <f>PROFORMA!AB88</f>
        <v>0</v>
      </c>
      <c r="AC65" s="649">
        <f>PROFORMA!AC88</f>
        <v>2000</v>
      </c>
      <c r="AD65" s="649">
        <f>PROFORMA!AD88</f>
        <v>0</v>
      </c>
      <c r="AE65" s="649">
        <f>PROFORMA!AE88</f>
        <v>1000</v>
      </c>
      <c r="AF65" s="649">
        <f>PROFORMA!AF88</f>
        <v>0</v>
      </c>
      <c r="AG65" s="649">
        <f>PROFORMA!AG88</f>
        <v>0</v>
      </c>
      <c r="AH65" s="649">
        <f>PROFORMA!AH88</f>
        <v>0</v>
      </c>
      <c r="AI65" s="649">
        <f>PROFORMA!AI88</f>
        <v>0</v>
      </c>
      <c r="AJ65" s="649">
        <f>PROFORMA!AJ88</f>
        <v>0</v>
      </c>
      <c r="AK65" s="649">
        <f>PROFORMA!AK88</f>
        <v>0</v>
      </c>
      <c r="AL65" s="649">
        <f>PROFORMA!AL88</f>
        <v>0</v>
      </c>
      <c r="AM65" s="649">
        <f>PROFORMA!AM88</f>
        <v>0</v>
      </c>
      <c r="AN65" s="649">
        <f>PROFORMA!AN88</f>
        <v>0</v>
      </c>
      <c r="AO65" s="649">
        <f>PROFORMA!AO88</f>
        <v>0</v>
      </c>
      <c r="AP65" s="649">
        <f>PROFORMA!AP88</f>
        <v>0</v>
      </c>
      <c r="AQ65" s="649">
        <f>PROFORMA!AQ88</f>
        <v>0</v>
      </c>
      <c r="AR65" s="693">
        <f t="shared" si="1"/>
        <v>3000</v>
      </c>
      <c r="AS65" s="643">
        <f t="shared" si="2"/>
        <v>3000</v>
      </c>
      <c r="AT65" s="643">
        <f t="shared" si="3"/>
        <v>69000</v>
      </c>
      <c r="AU65" s="643"/>
      <c r="AV65" s="643">
        <f t="shared" si="4"/>
        <v>69000</v>
      </c>
    </row>
    <row r="66" spans="1:48">
      <c r="A66" s="640">
        <v>64</v>
      </c>
      <c r="B66" s="809"/>
      <c r="C66" s="628" t="s">
        <v>91</v>
      </c>
      <c r="D66" s="629">
        <v>892</v>
      </c>
      <c r="E66" s="649">
        <f>PROFORMA!F89</f>
        <v>1358000</v>
      </c>
      <c r="F66" s="649">
        <f>PROFORMA!G89</f>
        <v>0</v>
      </c>
      <c r="G66" s="649">
        <f>PROFORMA!H89</f>
        <v>0</v>
      </c>
      <c r="H66" s="649">
        <f>PROFORMA!I89</f>
        <v>0</v>
      </c>
      <c r="I66" s="649">
        <f>PROFORMA!J89</f>
        <v>0</v>
      </c>
      <c r="J66" s="649">
        <f>PROFORMA!K89</f>
        <v>0</v>
      </c>
      <c r="K66" s="649">
        <f>PROFORMA!L89</f>
        <v>0</v>
      </c>
      <c r="L66" s="649">
        <f>PROFORMA!M89</f>
        <v>0</v>
      </c>
      <c r="M66" s="649">
        <f>PROFORMA!N89</f>
        <v>0</v>
      </c>
      <c r="N66" s="649">
        <f>PROFORMA!O89</f>
        <v>0</v>
      </c>
      <c r="O66" s="649">
        <f>PROFORMA!P89</f>
        <v>0</v>
      </c>
      <c r="P66" s="649">
        <f>PROFORMA!Q89</f>
        <v>0</v>
      </c>
      <c r="Q66" s="649">
        <f>PROFORMA!R89</f>
        <v>0</v>
      </c>
      <c r="R66" s="649">
        <f>PROFORMA!S89</f>
        <v>0</v>
      </c>
      <c r="S66" s="649">
        <f>PROFORMA!T89</f>
        <v>0</v>
      </c>
      <c r="T66" s="649">
        <f>PROFORMA!U89</f>
        <v>0</v>
      </c>
      <c r="U66" s="649">
        <f>PROFORMA!V89</f>
        <v>0</v>
      </c>
      <c r="V66" s="649">
        <f>PROFORMA!W89</f>
        <v>0</v>
      </c>
      <c r="W66" s="649">
        <f>PROFORMA!X89</f>
        <v>0</v>
      </c>
      <c r="X66" s="649">
        <f>PROFORMA!Y89</f>
        <v>0</v>
      </c>
      <c r="Y66" s="690">
        <f t="shared" si="0"/>
        <v>0</v>
      </c>
      <c r="Z66" s="649">
        <f>PROFORMA!Z89</f>
        <v>0</v>
      </c>
      <c r="AA66" s="649">
        <f>PROFORMA!AA89</f>
        <v>0</v>
      </c>
      <c r="AB66" s="649">
        <f>PROFORMA!AB89</f>
        <v>0</v>
      </c>
      <c r="AC66" s="649">
        <f>PROFORMA!AC89</f>
        <v>41000</v>
      </c>
      <c r="AD66" s="649">
        <f>PROFORMA!AD89</f>
        <v>0</v>
      </c>
      <c r="AE66" s="649">
        <f>PROFORMA!AE89</f>
        <v>15000</v>
      </c>
      <c r="AF66" s="649">
        <f>PROFORMA!AF89</f>
        <v>0</v>
      </c>
      <c r="AG66" s="649">
        <f>PROFORMA!AG89</f>
        <v>0</v>
      </c>
      <c r="AH66" s="649">
        <f>PROFORMA!AH89</f>
        <v>0</v>
      </c>
      <c r="AI66" s="649">
        <f>PROFORMA!AI89</f>
        <v>0</v>
      </c>
      <c r="AJ66" s="649">
        <f>PROFORMA!AJ89</f>
        <v>0</v>
      </c>
      <c r="AK66" s="649">
        <f>PROFORMA!AK89</f>
        <v>0</v>
      </c>
      <c r="AL66" s="649">
        <f>PROFORMA!AL89</f>
        <v>0</v>
      </c>
      <c r="AM66" s="649">
        <f>PROFORMA!AM89</f>
        <v>0</v>
      </c>
      <c r="AN66" s="649">
        <f>PROFORMA!AN89</f>
        <v>0</v>
      </c>
      <c r="AO66" s="649">
        <f>PROFORMA!AO89</f>
        <v>0</v>
      </c>
      <c r="AP66" s="649">
        <f>PROFORMA!AP89</f>
        <v>0</v>
      </c>
      <c r="AQ66" s="649">
        <f>PROFORMA!AQ89</f>
        <v>0</v>
      </c>
      <c r="AR66" s="693">
        <f t="shared" si="1"/>
        <v>56000</v>
      </c>
      <c r="AS66" s="643">
        <f t="shared" si="2"/>
        <v>56000</v>
      </c>
      <c r="AT66" s="643">
        <f t="shared" si="3"/>
        <v>1414000</v>
      </c>
      <c r="AU66" s="643"/>
      <c r="AV66" s="643">
        <f t="shared" si="4"/>
        <v>1414000</v>
      </c>
    </row>
    <row r="67" spans="1:48">
      <c r="A67" s="640">
        <v>65</v>
      </c>
      <c r="B67" s="809"/>
      <c r="C67" s="628" t="s">
        <v>339</v>
      </c>
      <c r="D67" s="629">
        <v>893</v>
      </c>
      <c r="E67" s="649">
        <f>PROFORMA!F90</f>
        <v>1610000</v>
      </c>
      <c r="F67" s="649">
        <f>PROFORMA!G90</f>
        <v>0</v>
      </c>
      <c r="G67" s="649">
        <f>PROFORMA!H90</f>
        <v>0</v>
      </c>
      <c r="H67" s="649">
        <f>PROFORMA!I90</f>
        <v>0</v>
      </c>
      <c r="I67" s="649">
        <f>PROFORMA!J90</f>
        <v>0</v>
      </c>
      <c r="J67" s="649">
        <f>PROFORMA!K90</f>
        <v>0</v>
      </c>
      <c r="K67" s="649">
        <f>PROFORMA!L90</f>
        <v>0</v>
      </c>
      <c r="L67" s="649">
        <f>PROFORMA!M90</f>
        <v>0</v>
      </c>
      <c r="M67" s="649">
        <f>PROFORMA!N90</f>
        <v>0</v>
      </c>
      <c r="N67" s="649">
        <f>PROFORMA!O90</f>
        <v>0</v>
      </c>
      <c r="O67" s="649">
        <f>PROFORMA!P90</f>
        <v>0</v>
      </c>
      <c r="P67" s="649">
        <f>PROFORMA!Q90</f>
        <v>0</v>
      </c>
      <c r="Q67" s="649">
        <f>PROFORMA!R90</f>
        <v>0</v>
      </c>
      <c r="R67" s="649">
        <f>PROFORMA!S90</f>
        <v>0</v>
      </c>
      <c r="S67" s="649">
        <f>PROFORMA!T90</f>
        <v>0</v>
      </c>
      <c r="T67" s="649">
        <f>PROFORMA!U90</f>
        <v>0</v>
      </c>
      <c r="U67" s="649">
        <f>PROFORMA!V90</f>
        <v>0</v>
      </c>
      <c r="V67" s="649">
        <f>PROFORMA!W90</f>
        <v>0</v>
      </c>
      <c r="W67" s="649">
        <f>PROFORMA!X90</f>
        <v>0</v>
      </c>
      <c r="X67" s="649">
        <f>PROFORMA!Y90</f>
        <v>0</v>
      </c>
      <c r="Y67" s="690">
        <f t="shared" si="0"/>
        <v>0</v>
      </c>
      <c r="Z67" s="649">
        <f>PROFORMA!Z90</f>
        <v>0</v>
      </c>
      <c r="AA67" s="649">
        <f>PROFORMA!AA90</f>
        <v>0</v>
      </c>
      <c r="AB67" s="649">
        <f>PROFORMA!AB90</f>
        <v>0</v>
      </c>
      <c r="AC67" s="649">
        <f>PROFORMA!AC90</f>
        <v>43000</v>
      </c>
      <c r="AD67" s="649">
        <f>PROFORMA!AD90</f>
        <v>0</v>
      </c>
      <c r="AE67" s="649">
        <f>PROFORMA!AE90</f>
        <v>18000</v>
      </c>
      <c r="AF67" s="649">
        <f>PROFORMA!AF90</f>
        <v>0</v>
      </c>
      <c r="AG67" s="649">
        <f>PROFORMA!AG90</f>
        <v>0</v>
      </c>
      <c r="AH67" s="649">
        <f>PROFORMA!AH90</f>
        <v>0</v>
      </c>
      <c r="AI67" s="649">
        <f>PROFORMA!AI90</f>
        <v>0</v>
      </c>
      <c r="AJ67" s="649">
        <f>PROFORMA!AJ90</f>
        <v>0</v>
      </c>
      <c r="AK67" s="649">
        <f>PROFORMA!AK90</f>
        <v>0</v>
      </c>
      <c r="AL67" s="649">
        <f>PROFORMA!AL90</f>
        <v>0</v>
      </c>
      <c r="AM67" s="649">
        <f>PROFORMA!AM90</f>
        <v>0</v>
      </c>
      <c r="AN67" s="649">
        <f>PROFORMA!AN90</f>
        <v>0</v>
      </c>
      <c r="AO67" s="649">
        <f>PROFORMA!AO90</f>
        <v>0</v>
      </c>
      <c r="AP67" s="649">
        <f>PROFORMA!AP90</f>
        <v>0</v>
      </c>
      <c r="AQ67" s="649">
        <f>PROFORMA!AQ90</f>
        <v>0</v>
      </c>
      <c r="AR67" s="693">
        <f t="shared" si="1"/>
        <v>61000</v>
      </c>
      <c r="AS67" s="643">
        <f t="shared" si="2"/>
        <v>61000</v>
      </c>
      <c r="AT67" s="643">
        <f t="shared" si="3"/>
        <v>1671000</v>
      </c>
      <c r="AU67" s="643"/>
      <c r="AV67" s="643">
        <f t="shared" si="4"/>
        <v>1671000</v>
      </c>
    </row>
    <row r="68" spans="1:48">
      <c r="A68" s="640">
        <v>66</v>
      </c>
      <c r="B68" s="809"/>
      <c r="C68" s="628" t="s">
        <v>243</v>
      </c>
      <c r="D68" s="629">
        <v>894</v>
      </c>
      <c r="E68" s="685">
        <f>PROFORMA!F91</f>
        <v>185000</v>
      </c>
      <c r="F68" s="685">
        <f>PROFORMA!G91</f>
        <v>0</v>
      </c>
      <c r="G68" s="685">
        <f>PROFORMA!H91</f>
        <v>0</v>
      </c>
      <c r="H68" s="685">
        <f>PROFORMA!I91</f>
        <v>0</v>
      </c>
      <c r="I68" s="685">
        <f>PROFORMA!J91</f>
        <v>0</v>
      </c>
      <c r="J68" s="685">
        <f>PROFORMA!K91</f>
        <v>0</v>
      </c>
      <c r="K68" s="685">
        <f>PROFORMA!L91</f>
        <v>0</v>
      </c>
      <c r="L68" s="685">
        <f>PROFORMA!M91</f>
        <v>0</v>
      </c>
      <c r="M68" s="685">
        <f>PROFORMA!N91</f>
        <v>0</v>
      </c>
      <c r="N68" s="685">
        <f>PROFORMA!O91</f>
        <v>0</v>
      </c>
      <c r="O68" s="685">
        <f>PROFORMA!P91</f>
        <v>0</v>
      </c>
      <c r="P68" s="685">
        <f>PROFORMA!Q91</f>
        <v>0</v>
      </c>
      <c r="Q68" s="685">
        <f>PROFORMA!R91</f>
        <v>0</v>
      </c>
      <c r="R68" s="685">
        <f>PROFORMA!S91</f>
        <v>0</v>
      </c>
      <c r="S68" s="685">
        <f>PROFORMA!T91</f>
        <v>0</v>
      </c>
      <c r="T68" s="685">
        <f>PROFORMA!U91</f>
        <v>0</v>
      </c>
      <c r="U68" s="685">
        <f>PROFORMA!V91</f>
        <v>0</v>
      </c>
      <c r="V68" s="685">
        <f>PROFORMA!W91</f>
        <v>0</v>
      </c>
      <c r="W68" s="685">
        <f>PROFORMA!X91</f>
        <v>0</v>
      </c>
      <c r="X68" s="685">
        <f>PROFORMA!Y91</f>
        <v>0</v>
      </c>
      <c r="Y68" s="691">
        <f t="shared" si="0"/>
        <v>0</v>
      </c>
      <c r="Z68" s="685">
        <f>PROFORMA!Z91</f>
        <v>0</v>
      </c>
      <c r="AA68" s="685">
        <f>PROFORMA!AA91</f>
        <v>0</v>
      </c>
      <c r="AB68" s="685">
        <f>PROFORMA!AB91</f>
        <v>0</v>
      </c>
      <c r="AC68" s="685">
        <f>PROFORMA!AC91</f>
        <v>6000</v>
      </c>
      <c r="AD68" s="685">
        <f>PROFORMA!AD91</f>
        <v>0</v>
      </c>
      <c r="AE68" s="685">
        <f>PROFORMA!AE91</f>
        <v>2000</v>
      </c>
      <c r="AF68" s="685">
        <f>PROFORMA!AF91</f>
        <v>0</v>
      </c>
      <c r="AG68" s="685">
        <f>PROFORMA!AG91</f>
        <v>0</v>
      </c>
      <c r="AH68" s="685">
        <f>PROFORMA!AH91</f>
        <v>0</v>
      </c>
      <c r="AI68" s="685">
        <f>PROFORMA!AI91</f>
        <v>0</v>
      </c>
      <c r="AJ68" s="685">
        <f>PROFORMA!AJ91</f>
        <v>0</v>
      </c>
      <c r="AK68" s="685">
        <f>PROFORMA!AK91</f>
        <v>0</v>
      </c>
      <c r="AL68" s="685">
        <f>PROFORMA!AL91</f>
        <v>0</v>
      </c>
      <c r="AM68" s="685">
        <f>PROFORMA!AM91</f>
        <v>0</v>
      </c>
      <c r="AN68" s="685">
        <f>PROFORMA!AN91</f>
        <v>0</v>
      </c>
      <c r="AO68" s="685">
        <f>PROFORMA!AO91</f>
        <v>0</v>
      </c>
      <c r="AP68" s="685">
        <f>PROFORMA!AP91</f>
        <v>0</v>
      </c>
      <c r="AQ68" s="685">
        <f>PROFORMA!AQ91</f>
        <v>0</v>
      </c>
      <c r="AR68" s="694">
        <f t="shared" si="1"/>
        <v>8000</v>
      </c>
      <c r="AS68" s="692">
        <f t="shared" si="2"/>
        <v>8000</v>
      </c>
      <c r="AT68" s="692">
        <f t="shared" si="3"/>
        <v>193000</v>
      </c>
      <c r="AU68" s="692"/>
      <c r="AV68" s="692">
        <f t="shared" si="4"/>
        <v>193000</v>
      </c>
    </row>
    <row r="69" spans="1:48">
      <c r="A69" s="640">
        <v>67</v>
      </c>
      <c r="B69" s="628"/>
      <c r="C69" s="625" t="s">
        <v>1264</v>
      </c>
      <c r="D69" s="655"/>
      <c r="E69" s="687">
        <f>SUM(E60:E68)</f>
        <v>4362000</v>
      </c>
      <c r="F69" s="687">
        <f t="shared" ref="F69:X69" si="25">SUM(F60:F68)</f>
        <v>0</v>
      </c>
      <c r="G69" s="687">
        <f t="shared" si="25"/>
        <v>0</v>
      </c>
      <c r="H69" s="687">
        <f t="shared" si="25"/>
        <v>0</v>
      </c>
      <c r="I69" s="687">
        <f t="shared" si="25"/>
        <v>0</v>
      </c>
      <c r="J69" s="687">
        <f t="shared" si="25"/>
        <v>0</v>
      </c>
      <c r="K69" s="687">
        <f t="shared" si="25"/>
        <v>0</v>
      </c>
      <c r="L69" s="687">
        <f t="shared" si="25"/>
        <v>0</v>
      </c>
      <c r="M69" s="687">
        <f t="shared" si="25"/>
        <v>0</v>
      </c>
      <c r="N69" s="687">
        <f t="shared" si="25"/>
        <v>0</v>
      </c>
      <c r="O69" s="687">
        <f t="shared" si="25"/>
        <v>0</v>
      </c>
      <c r="P69" s="687">
        <f t="shared" si="25"/>
        <v>0</v>
      </c>
      <c r="Q69" s="687">
        <f t="shared" si="25"/>
        <v>0</v>
      </c>
      <c r="R69" s="687">
        <f t="shared" si="25"/>
        <v>0</v>
      </c>
      <c r="S69" s="687">
        <f t="shared" si="25"/>
        <v>0</v>
      </c>
      <c r="T69" s="687">
        <f t="shared" si="25"/>
        <v>0</v>
      </c>
      <c r="U69" s="687">
        <f t="shared" si="25"/>
        <v>0</v>
      </c>
      <c r="V69" s="687">
        <f t="shared" si="25"/>
        <v>0</v>
      </c>
      <c r="W69" s="687">
        <f t="shared" si="25"/>
        <v>0</v>
      </c>
      <c r="X69" s="687">
        <f t="shared" si="25"/>
        <v>0</v>
      </c>
      <c r="Y69" s="691">
        <f t="shared" ref="Y69:Y132" si="26">SUM(F69:X69)</f>
        <v>0</v>
      </c>
      <c r="Z69" s="687">
        <f t="shared" ref="Z69:AV69" si="27">SUM(Z60:Z68)</f>
        <v>0</v>
      </c>
      <c r="AA69" s="687">
        <f t="shared" si="27"/>
        <v>0</v>
      </c>
      <c r="AB69" s="687">
        <f t="shared" si="27"/>
        <v>0</v>
      </c>
      <c r="AC69" s="687">
        <f t="shared" si="27"/>
        <v>133000</v>
      </c>
      <c r="AD69" s="687">
        <f t="shared" si="27"/>
        <v>0</v>
      </c>
      <c r="AE69" s="687">
        <f t="shared" si="27"/>
        <v>49000</v>
      </c>
      <c r="AF69" s="687">
        <f t="shared" si="27"/>
        <v>0</v>
      </c>
      <c r="AG69" s="687">
        <f t="shared" si="27"/>
        <v>0</v>
      </c>
      <c r="AH69" s="687">
        <f t="shared" si="27"/>
        <v>0</v>
      </c>
      <c r="AI69" s="687">
        <f t="shared" si="27"/>
        <v>0</v>
      </c>
      <c r="AJ69" s="687">
        <f t="shared" si="27"/>
        <v>0</v>
      </c>
      <c r="AK69" s="687">
        <f t="shared" si="27"/>
        <v>0</v>
      </c>
      <c r="AL69" s="687">
        <f t="shared" si="27"/>
        <v>0</v>
      </c>
      <c r="AM69" s="687">
        <f t="shared" si="27"/>
        <v>0</v>
      </c>
      <c r="AN69" s="687">
        <f t="shared" si="27"/>
        <v>0</v>
      </c>
      <c r="AO69" s="687">
        <f t="shared" si="27"/>
        <v>0</v>
      </c>
      <c r="AP69" s="687">
        <f t="shared" si="27"/>
        <v>0</v>
      </c>
      <c r="AQ69" s="687">
        <f t="shared" si="27"/>
        <v>0</v>
      </c>
      <c r="AR69" s="687">
        <f t="shared" si="27"/>
        <v>182000</v>
      </c>
      <c r="AS69" s="687">
        <f t="shared" si="27"/>
        <v>182000</v>
      </c>
      <c r="AT69" s="687">
        <f t="shared" si="27"/>
        <v>4544000</v>
      </c>
      <c r="AU69" s="687">
        <f t="shared" si="27"/>
        <v>0</v>
      </c>
      <c r="AV69" s="687">
        <f t="shared" si="27"/>
        <v>4544000</v>
      </c>
    </row>
    <row r="70" spans="1:48">
      <c r="A70" s="640">
        <v>68</v>
      </c>
      <c r="B70" s="610"/>
      <c r="C70" s="632" t="s">
        <v>1244</v>
      </c>
      <c r="D70" s="632"/>
      <c r="E70" s="650">
        <f>E59+E69</f>
        <v>13669000</v>
      </c>
      <c r="F70" s="650">
        <f t="shared" ref="F70:X70" si="28">F59+F69</f>
        <v>0</v>
      </c>
      <c r="G70" s="650">
        <f t="shared" si="28"/>
        <v>0</v>
      </c>
      <c r="H70" s="650">
        <f t="shared" si="28"/>
        <v>0</v>
      </c>
      <c r="I70" s="650">
        <f t="shared" si="28"/>
        <v>0</v>
      </c>
      <c r="J70" s="650">
        <f t="shared" si="28"/>
        <v>0</v>
      </c>
      <c r="K70" s="650">
        <f t="shared" si="28"/>
        <v>0</v>
      </c>
      <c r="L70" s="650">
        <f t="shared" si="28"/>
        <v>0</v>
      </c>
      <c r="M70" s="650">
        <f t="shared" si="28"/>
        <v>0</v>
      </c>
      <c r="N70" s="650">
        <f t="shared" si="28"/>
        <v>0</v>
      </c>
      <c r="O70" s="650">
        <f t="shared" si="28"/>
        <v>0</v>
      </c>
      <c r="P70" s="650">
        <f t="shared" si="28"/>
        <v>0</v>
      </c>
      <c r="Q70" s="650">
        <f t="shared" si="28"/>
        <v>0</v>
      </c>
      <c r="R70" s="650">
        <f t="shared" si="28"/>
        <v>0</v>
      </c>
      <c r="S70" s="650">
        <f t="shared" si="28"/>
        <v>0</v>
      </c>
      <c r="T70" s="650">
        <f t="shared" si="28"/>
        <v>0</v>
      </c>
      <c r="U70" s="650">
        <f t="shared" si="28"/>
        <v>-2000</v>
      </c>
      <c r="V70" s="650">
        <f t="shared" si="28"/>
        <v>0</v>
      </c>
      <c r="W70" s="650">
        <f t="shared" si="28"/>
        <v>0</v>
      </c>
      <c r="X70" s="650">
        <f t="shared" si="28"/>
        <v>0</v>
      </c>
      <c r="Y70" s="690">
        <f t="shared" si="26"/>
        <v>-2000</v>
      </c>
      <c r="Z70" s="650">
        <f t="shared" ref="Z70:AV70" si="29">Z59+Z69</f>
        <v>0</v>
      </c>
      <c r="AA70" s="650">
        <f t="shared" si="29"/>
        <v>0</v>
      </c>
      <c r="AB70" s="650">
        <f t="shared" si="29"/>
        <v>0</v>
      </c>
      <c r="AC70" s="650">
        <f t="shared" si="29"/>
        <v>424000</v>
      </c>
      <c r="AD70" s="650">
        <f t="shared" si="29"/>
        <v>0</v>
      </c>
      <c r="AE70" s="650">
        <f t="shared" si="29"/>
        <v>153000</v>
      </c>
      <c r="AF70" s="650">
        <f t="shared" si="29"/>
        <v>0</v>
      </c>
      <c r="AG70" s="650">
        <f t="shared" si="29"/>
        <v>0</v>
      </c>
      <c r="AH70" s="650">
        <f t="shared" si="29"/>
        <v>0</v>
      </c>
      <c r="AI70" s="650">
        <f t="shared" si="29"/>
        <v>0</v>
      </c>
      <c r="AJ70" s="650">
        <f t="shared" si="29"/>
        <v>0</v>
      </c>
      <c r="AK70" s="650">
        <f t="shared" si="29"/>
        <v>0</v>
      </c>
      <c r="AL70" s="650">
        <f t="shared" si="29"/>
        <v>0</v>
      </c>
      <c r="AM70" s="650">
        <f t="shared" si="29"/>
        <v>0</v>
      </c>
      <c r="AN70" s="650">
        <f t="shared" si="29"/>
        <v>0</v>
      </c>
      <c r="AO70" s="650">
        <f t="shared" si="29"/>
        <v>-995000</v>
      </c>
      <c r="AP70" s="650">
        <f t="shared" si="29"/>
        <v>0</v>
      </c>
      <c r="AQ70" s="650">
        <f t="shared" si="29"/>
        <v>0</v>
      </c>
      <c r="AR70" s="650">
        <f t="shared" si="29"/>
        <v>-418000</v>
      </c>
      <c r="AS70" s="650">
        <f t="shared" si="29"/>
        <v>-420000</v>
      </c>
      <c r="AT70" s="650">
        <f t="shared" si="29"/>
        <v>13249000</v>
      </c>
      <c r="AU70" s="650">
        <f t="shared" si="29"/>
        <v>0</v>
      </c>
      <c r="AV70" s="650">
        <f t="shared" si="29"/>
        <v>13249000</v>
      </c>
    </row>
    <row r="71" spans="1:48">
      <c r="A71" s="640">
        <v>69</v>
      </c>
      <c r="B71" s="811" t="s">
        <v>1265</v>
      </c>
      <c r="C71" s="667" t="s">
        <v>13</v>
      </c>
      <c r="D71" s="609">
        <v>901</v>
      </c>
      <c r="E71" s="668">
        <f>PROFORMA!F97</f>
        <v>78000</v>
      </c>
      <c r="F71" s="668">
        <f>PROFORMA!G97</f>
        <v>0</v>
      </c>
      <c r="G71" s="668">
        <f>PROFORMA!H97</f>
        <v>0</v>
      </c>
      <c r="H71" s="668">
        <f>PROFORMA!I97</f>
        <v>0</v>
      </c>
      <c r="I71" s="668">
        <f>PROFORMA!J97</f>
        <v>0</v>
      </c>
      <c r="J71" s="668">
        <f>PROFORMA!K97</f>
        <v>0</v>
      </c>
      <c r="K71" s="668">
        <f>PROFORMA!L97</f>
        <v>0</v>
      </c>
      <c r="L71" s="668">
        <f>PROFORMA!M97</f>
        <v>0</v>
      </c>
      <c r="M71" s="668">
        <f>PROFORMA!N97</f>
        <v>0</v>
      </c>
      <c r="N71" s="668">
        <f>PROFORMA!O97</f>
        <v>0</v>
      </c>
      <c r="O71" s="668">
        <f>PROFORMA!P97</f>
        <v>0</v>
      </c>
      <c r="P71" s="668">
        <f>PROFORMA!Q97</f>
        <v>0</v>
      </c>
      <c r="Q71" s="668">
        <f>PROFORMA!R97</f>
        <v>0</v>
      </c>
      <c r="R71" s="668">
        <f>PROFORMA!S97</f>
        <v>0</v>
      </c>
      <c r="S71" s="668">
        <f>PROFORMA!T97</f>
        <v>0</v>
      </c>
      <c r="T71" s="668">
        <f>PROFORMA!U97</f>
        <v>0</v>
      </c>
      <c r="U71" s="668">
        <f>PROFORMA!V97</f>
        <v>0</v>
      </c>
      <c r="V71" s="668">
        <f>PROFORMA!W97</f>
        <v>0</v>
      </c>
      <c r="W71" s="668">
        <f>PROFORMA!X97</f>
        <v>0</v>
      </c>
      <c r="X71" s="668">
        <f>PROFORMA!Y97</f>
        <v>0</v>
      </c>
      <c r="Y71" s="690">
        <f t="shared" si="26"/>
        <v>0</v>
      </c>
      <c r="Z71" s="668">
        <f>PROFORMA!Z97</f>
        <v>0</v>
      </c>
      <c r="AA71" s="668">
        <f>PROFORMA!AA97</f>
        <v>0</v>
      </c>
      <c r="AB71" s="668">
        <f>PROFORMA!AB97</f>
        <v>0</v>
      </c>
      <c r="AC71" s="668">
        <f>PROFORMA!AC97</f>
        <v>3000</v>
      </c>
      <c r="AD71" s="668">
        <f>PROFORMA!AD97</f>
        <v>0</v>
      </c>
      <c r="AE71" s="668">
        <f>PROFORMA!AE97</f>
        <v>1000</v>
      </c>
      <c r="AF71" s="668">
        <f>PROFORMA!AF97</f>
        <v>0</v>
      </c>
      <c r="AG71" s="668">
        <f>PROFORMA!AG97</f>
        <v>0</v>
      </c>
      <c r="AH71" s="668">
        <f>PROFORMA!AH97</f>
        <v>0</v>
      </c>
      <c r="AI71" s="668">
        <f>PROFORMA!AI97</f>
        <v>0</v>
      </c>
      <c r="AJ71" s="668">
        <f>PROFORMA!AJ97</f>
        <v>0</v>
      </c>
      <c r="AK71" s="668">
        <f>PROFORMA!AK97</f>
        <v>0</v>
      </c>
      <c r="AL71" s="668">
        <f>PROFORMA!AL97</f>
        <v>0</v>
      </c>
      <c r="AM71" s="668">
        <f>PROFORMA!AM97</f>
        <v>0</v>
      </c>
      <c r="AN71" s="668">
        <f>PROFORMA!AN97</f>
        <v>0</v>
      </c>
      <c r="AO71" s="668">
        <f>PROFORMA!AO97</f>
        <v>0</v>
      </c>
      <c r="AP71" s="668">
        <f>PROFORMA!AP97</f>
        <v>0</v>
      </c>
      <c r="AQ71" s="668">
        <f>PROFORMA!AQ97</f>
        <v>0</v>
      </c>
      <c r="AR71" s="693">
        <f t="shared" ref="AR71:AR132" si="30">SUM(Z71:AQ71)</f>
        <v>4000</v>
      </c>
      <c r="AS71" s="643">
        <f t="shared" ref="AS71:AS132" si="31">Y71+AR71</f>
        <v>4000</v>
      </c>
      <c r="AT71" s="643">
        <f t="shared" ref="AT71:AT132" si="32">E71+AS71</f>
        <v>82000</v>
      </c>
      <c r="AU71" s="643"/>
      <c r="AV71" s="643">
        <f t="shared" ref="AV71:AV132" si="33">AT71+AU71</f>
        <v>82000</v>
      </c>
    </row>
    <row r="72" spans="1:48">
      <c r="A72" s="640">
        <v>70</v>
      </c>
      <c r="B72" s="811"/>
      <c r="C72" s="667" t="s">
        <v>15</v>
      </c>
      <c r="D72" s="609">
        <v>902</v>
      </c>
      <c r="E72" s="668">
        <f>PROFORMA!F98</f>
        <v>1669000</v>
      </c>
      <c r="F72" s="668">
        <f>PROFORMA!G98</f>
        <v>0</v>
      </c>
      <c r="G72" s="668">
        <f>PROFORMA!H98</f>
        <v>0</v>
      </c>
      <c r="H72" s="668">
        <f>PROFORMA!I98</f>
        <v>0</v>
      </c>
      <c r="I72" s="668">
        <f>PROFORMA!J98</f>
        <v>0</v>
      </c>
      <c r="J72" s="668">
        <f>PROFORMA!K98</f>
        <v>0</v>
      </c>
      <c r="K72" s="668">
        <f>PROFORMA!L98</f>
        <v>0</v>
      </c>
      <c r="L72" s="668">
        <f>PROFORMA!M98</f>
        <v>0</v>
      </c>
      <c r="M72" s="668">
        <f>PROFORMA!N98</f>
        <v>0</v>
      </c>
      <c r="N72" s="668">
        <f>PROFORMA!O98</f>
        <v>0</v>
      </c>
      <c r="O72" s="668">
        <f>PROFORMA!P98</f>
        <v>0</v>
      </c>
      <c r="P72" s="668">
        <f>PROFORMA!Q98</f>
        <v>0</v>
      </c>
      <c r="Q72" s="668">
        <f>PROFORMA!R98</f>
        <v>0</v>
      </c>
      <c r="R72" s="668">
        <f>PROFORMA!S98</f>
        <v>0</v>
      </c>
      <c r="S72" s="668">
        <f>PROFORMA!T98</f>
        <v>0</v>
      </c>
      <c r="T72" s="668">
        <f>PROFORMA!U98</f>
        <v>0</v>
      </c>
      <c r="U72" s="668">
        <f>PROFORMA!V98</f>
        <v>0</v>
      </c>
      <c r="V72" s="668">
        <f>PROFORMA!W98</f>
        <v>0</v>
      </c>
      <c r="W72" s="668">
        <f>PROFORMA!X98</f>
        <v>0</v>
      </c>
      <c r="X72" s="668">
        <f>PROFORMA!Y98</f>
        <v>0</v>
      </c>
      <c r="Y72" s="690">
        <f t="shared" si="26"/>
        <v>0</v>
      </c>
      <c r="Z72" s="668">
        <f>PROFORMA!Z98</f>
        <v>0</v>
      </c>
      <c r="AA72" s="668">
        <f>PROFORMA!AA98</f>
        <v>0</v>
      </c>
      <c r="AB72" s="668">
        <f>PROFORMA!AB98</f>
        <v>0</v>
      </c>
      <c r="AC72" s="668">
        <f>PROFORMA!AC98</f>
        <v>62000</v>
      </c>
      <c r="AD72" s="668">
        <f>PROFORMA!AD98</f>
        <v>0</v>
      </c>
      <c r="AE72" s="668">
        <f>PROFORMA!AE98</f>
        <v>19000</v>
      </c>
      <c r="AF72" s="668">
        <f>PROFORMA!AF98</f>
        <v>0</v>
      </c>
      <c r="AG72" s="668">
        <f>PROFORMA!AG98</f>
        <v>0</v>
      </c>
      <c r="AH72" s="668">
        <f>PROFORMA!AH98</f>
        <v>0</v>
      </c>
      <c r="AI72" s="668">
        <f>PROFORMA!AI98</f>
        <v>0</v>
      </c>
      <c r="AJ72" s="668">
        <f>PROFORMA!AJ98</f>
        <v>0</v>
      </c>
      <c r="AK72" s="668">
        <f>PROFORMA!AK98</f>
        <v>0</v>
      </c>
      <c r="AL72" s="668">
        <f>PROFORMA!AL98</f>
        <v>0</v>
      </c>
      <c r="AM72" s="668">
        <f>PROFORMA!AM98</f>
        <v>0</v>
      </c>
      <c r="AN72" s="668">
        <f>PROFORMA!AN98</f>
        <v>0</v>
      </c>
      <c r="AO72" s="668">
        <f>PROFORMA!AO98</f>
        <v>0</v>
      </c>
      <c r="AP72" s="668">
        <f>PROFORMA!AP98</f>
        <v>0</v>
      </c>
      <c r="AQ72" s="668">
        <f>PROFORMA!AQ98</f>
        <v>0</v>
      </c>
      <c r="AR72" s="693">
        <f t="shared" si="30"/>
        <v>81000</v>
      </c>
      <c r="AS72" s="643">
        <f t="shared" si="31"/>
        <v>81000</v>
      </c>
      <c r="AT72" s="643">
        <f t="shared" si="32"/>
        <v>1750000</v>
      </c>
      <c r="AU72" s="643"/>
      <c r="AV72" s="643">
        <f t="shared" si="33"/>
        <v>1750000</v>
      </c>
    </row>
    <row r="73" spans="1:48">
      <c r="A73" s="640">
        <v>71</v>
      </c>
      <c r="B73" s="811"/>
      <c r="C73" s="667" t="s">
        <v>349</v>
      </c>
      <c r="D73" s="609">
        <v>903</v>
      </c>
      <c r="E73" s="668">
        <f>PROFORMA!F99</f>
        <v>4468000</v>
      </c>
      <c r="F73" s="668">
        <f>PROFORMA!G99</f>
        <v>0</v>
      </c>
      <c r="G73" s="668">
        <f>PROFORMA!H99</f>
        <v>0</v>
      </c>
      <c r="H73" s="668">
        <f>PROFORMA!I99</f>
        <v>0</v>
      </c>
      <c r="I73" s="668">
        <f>PROFORMA!J99</f>
        <v>0</v>
      </c>
      <c r="J73" s="668">
        <f>PROFORMA!K99</f>
        <v>0</v>
      </c>
      <c r="K73" s="668">
        <f>PROFORMA!L99</f>
        <v>0</v>
      </c>
      <c r="L73" s="668">
        <f>PROFORMA!M99</f>
        <v>0</v>
      </c>
      <c r="M73" s="668">
        <f>PROFORMA!N99</f>
        <v>0</v>
      </c>
      <c r="N73" s="668">
        <f>PROFORMA!O99</f>
        <v>0</v>
      </c>
      <c r="O73" s="668">
        <f>PROFORMA!P99</f>
        <v>0</v>
      </c>
      <c r="P73" s="668">
        <f>PROFORMA!Q99</f>
        <v>0</v>
      </c>
      <c r="Q73" s="668">
        <f>PROFORMA!R99</f>
        <v>0</v>
      </c>
      <c r="R73" s="668">
        <f>PROFORMA!S99</f>
        <v>0</v>
      </c>
      <c r="S73" s="668">
        <f>PROFORMA!T99</f>
        <v>0</v>
      </c>
      <c r="T73" s="668">
        <f>PROFORMA!U99</f>
        <v>0</v>
      </c>
      <c r="U73" s="668">
        <f>PROFORMA!V99</f>
        <v>0</v>
      </c>
      <c r="V73" s="668">
        <f>PROFORMA!W99</f>
        <v>0</v>
      </c>
      <c r="W73" s="668">
        <f>PROFORMA!X99</f>
        <v>0</v>
      </c>
      <c r="X73" s="668">
        <f>PROFORMA!Y99</f>
        <v>0</v>
      </c>
      <c r="Y73" s="690">
        <f t="shared" si="26"/>
        <v>0</v>
      </c>
      <c r="Z73" s="668">
        <f>PROFORMA!Z99</f>
        <v>0</v>
      </c>
      <c r="AA73" s="668">
        <f>PROFORMA!AA99</f>
        <v>0</v>
      </c>
      <c r="AB73" s="668">
        <f>PROFORMA!AB99</f>
        <v>0</v>
      </c>
      <c r="AC73" s="668">
        <f>PROFORMA!AC99</f>
        <v>135000</v>
      </c>
      <c r="AD73" s="668">
        <f>PROFORMA!AD99</f>
        <v>0</v>
      </c>
      <c r="AE73" s="668">
        <f>PROFORMA!AE99</f>
        <v>50000</v>
      </c>
      <c r="AF73" s="668">
        <f>PROFORMA!AF99</f>
        <v>0</v>
      </c>
      <c r="AG73" s="668">
        <f>PROFORMA!AG99</f>
        <v>0</v>
      </c>
      <c r="AH73" s="668">
        <f>PROFORMA!AH99</f>
        <v>0</v>
      </c>
      <c r="AI73" s="668">
        <f>PROFORMA!AI99</f>
        <v>0</v>
      </c>
      <c r="AJ73" s="668">
        <f>PROFORMA!AJ99</f>
        <v>0</v>
      </c>
      <c r="AK73" s="668">
        <f>PROFORMA!AK99</f>
        <v>0</v>
      </c>
      <c r="AL73" s="668">
        <f>PROFORMA!AL99</f>
        <v>0</v>
      </c>
      <c r="AM73" s="668">
        <f>PROFORMA!AM99</f>
        <v>0</v>
      </c>
      <c r="AN73" s="668">
        <f>PROFORMA!AN99</f>
        <v>0</v>
      </c>
      <c r="AO73" s="668">
        <f>PROFORMA!AO99</f>
        <v>0</v>
      </c>
      <c r="AP73" s="668">
        <f>PROFORMA!AP99</f>
        <v>0</v>
      </c>
      <c r="AQ73" s="668">
        <f>PROFORMA!AQ99</f>
        <v>0</v>
      </c>
      <c r="AR73" s="693">
        <f t="shared" si="30"/>
        <v>185000</v>
      </c>
      <c r="AS73" s="643">
        <f t="shared" si="31"/>
        <v>185000</v>
      </c>
      <c r="AT73" s="643">
        <f t="shared" si="32"/>
        <v>4653000</v>
      </c>
      <c r="AU73" s="643"/>
      <c r="AV73" s="643">
        <f t="shared" si="33"/>
        <v>4653000</v>
      </c>
    </row>
    <row r="74" spans="1:48">
      <c r="A74" s="640">
        <v>72</v>
      </c>
      <c r="B74" s="811"/>
      <c r="C74" s="667" t="s">
        <v>18</v>
      </c>
      <c r="D74" s="609">
        <v>904</v>
      </c>
      <c r="E74" s="668">
        <f>PROFORMA!F100</f>
        <v>90000</v>
      </c>
      <c r="F74" s="668">
        <f>PROFORMA!G100</f>
        <v>0</v>
      </c>
      <c r="G74" s="668">
        <f>PROFORMA!H100</f>
        <v>0</v>
      </c>
      <c r="H74" s="668">
        <f>PROFORMA!I100</f>
        <v>0</v>
      </c>
      <c r="I74" s="668">
        <f>PROFORMA!J100</f>
        <v>0</v>
      </c>
      <c r="J74" s="668">
        <f>PROFORMA!K100</f>
        <v>0</v>
      </c>
      <c r="K74" s="668">
        <f>PROFORMA!L100</f>
        <v>0</v>
      </c>
      <c r="L74" s="668">
        <f>PROFORMA!M100</f>
        <v>166000</v>
      </c>
      <c r="M74" s="668">
        <f>PROFORMA!N100</f>
        <v>0</v>
      </c>
      <c r="N74" s="668">
        <f>PROFORMA!O100</f>
        <v>0</v>
      </c>
      <c r="O74" s="668">
        <f>PROFORMA!P100</f>
        <v>0</v>
      </c>
      <c r="P74" s="668">
        <f>PROFORMA!Q100</f>
        <v>0</v>
      </c>
      <c r="Q74" s="668">
        <f>PROFORMA!R100</f>
        <v>0</v>
      </c>
      <c r="R74" s="668">
        <f>PROFORMA!S100</f>
        <v>0</v>
      </c>
      <c r="S74" s="668">
        <f>PROFORMA!T100</f>
        <v>-13000</v>
      </c>
      <c r="T74" s="668">
        <f>PROFORMA!U100</f>
        <v>27000</v>
      </c>
      <c r="U74" s="668">
        <f>PROFORMA!V100</f>
        <v>0</v>
      </c>
      <c r="V74" s="668">
        <f>PROFORMA!W100</f>
        <v>0</v>
      </c>
      <c r="W74" s="668">
        <f>PROFORMA!X100</f>
        <v>0</v>
      </c>
      <c r="X74" s="668">
        <f>PROFORMA!Y100</f>
        <v>0</v>
      </c>
      <c r="Y74" s="690">
        <f t="shared" si="26"/>
        <v>180000</v>
      </c>
      <c r="Z74" s="668">
        <f>PROFORMA!Z100</f>
        <v>-138000</v>
      </c>
      <c r="AA74" s="668">
        <f>PROFORMA!AA100</f>
        <v>0</v>
      </c>
      <c r="AB74" s="668">
        <f>PROFORMA!AB100</f>
        <v>0</v>
      </c>
      <c r="AC74" s="668">
        <f>PROFORMA!AC100</f>
        <v>0</v>
      </c>
      <c r="AD74" s="668">
        <f>PROFORMA!AD100</f>
        <v>0</v>
      </c>
      <c r="AE74" s="668">
        <f>PROFORMA!AE100</f>
        <v>1000</v>
      </c>
      <c r="AF74" s="668">
        <f>PROFORMA!AF100</f>
        <v>0</v>
      </c>
      <c r="AG74" s="668">
        <f>PROFORMA!AG100</f>
        <v>0</v>
      </c>
      <c r="AH74" s="668">
        <f>PROFORMA!AH100</f>
        <v>0</v>
      </c>
      <c r="AI74" s="668">
        <f>PROFORMA!AI100</f>
        <v>0</v>
      </c>
      <c r="AJ74" s="668">
        <f>PROFORMA!AJ100</f>
        <v>0</v>
      </c>
      <c r="AK74" s="668">
        <f>PROFORMA!AK100</f>
        <v>0</v>
      </c>
      <c r="AL74" s="668">
        <f>PROFORMA!AL100</f>
        <v>0</v>
      </c>
      <c r="AM74" s="668">
        <f>PROFORMA!AM100</f>
        <v>0</v>
      </c>
      <c r="AN74" s="668">
        <f>PROFORMA!AN100</f>
        <v>0</v>
      </c>
      <c r="AO74" s="668">
        <f>PROFORMA!AO100</f>
        <v>0</v>
      </c>
      <c r="AP74" s="668">
        <f>PROFORMA!AP100</f>
        <v>0</v>
      </c>
      <c r="AQ74" s="668">
        <f>PROFORMA!AQ100</f>
        <v>0</v>
      </c>
      <c r="AR74" s="693">
        <f t="shared" si="30"/>
        <v>-137000</v>
      </c>
      <c r="AS74" s="643">
        <f t="shared" si="31"/>
        <v>43000</v>
      </c>
      <c r="AT74" s="643">
        <f t="shared" si="32"/>
        <v>133000</v>
      </c>
      <c r="AU74" s="643"/>
      <c r="AV74" s="643">
        <f t="shared" si="33"/>
        <v>133000</v>
      </c>
    </row>
    <row r="75" spans="1:48">
      <c r="A75" s="640">
        <v>73</v>
      </c>
      <c r="B75" s="811"/>
      <c r="C75" s="608" t="s">
        <v>20</v>
      </c>
      <c r="D75" s="606">
        <v>905</v>
      </c>
      <c r="E75" s="688">
        <f>PROFORMA!F101</f>
        <v>93000</v>
      </c>
      <c r="F75" s="688">
        <f>PROFORMA!G101</f>
        <v>0</v>
      </c>
      <c r="G75" s="688">
        <f>PROFORMA!H101</f>
        <v>15000</v>
      </c>
      <c r="H75" s="688">
        <f>PROFORMA!I101</f>
        <v>0</v>
      </c>
      <c r="I75" s="688">
        <f>PROFORMA!J101</f>
        <v>0</v>
      </c>
      <c r="J75" s="688">
        <f>PROFORMA!K101</f>
        <v>0</v>
      </c>
      <c r="K75" s="688">
        <f>PROFORMA!L101</f>
        <v>0</v>
      </c>
      <c r="L75" s="688">
        <f>PROFORMA!M101</f>
        <v>0</v>
      </c>
      <c r="M75" s="688">
        <f>PROFORMA!N101</f>
        <v>0</v>
      </c>
      <c r="N75" s="688">
        <f>PROFORMA!O101</f>
        <v>0</v>
      </c>
      <c r="O75" s="688">
        <f>PROFORMA!P101</f>
        <v>0</v>
      </c>
      <c r="P75" s="688">
        <f>PROFORMA!Q101</f>
        <v>0</v>
      </c>
      <c r="Q75" s="688">
        <f>PROFORMA!R101</f>
        <v>0</v>
      </c>
      <c r="R75" s="688">
        <f>PROFORMA!S101</f>
        <v>0</v>
      </c>
      <c r="S75" s="688">
        <f>PROFORMA!T101</f>
        <v>0</v>
      </c>
      <c r="T75" s="688">
        <f>PROFORMA!U101</f>
        <v>0</v>
      </c>
      <c r="U75" s="688">
        <f>PROFORMA!V101</f>
        <v>0</v>
      </c>
      <c r="V75" s="688">
        <f>PROFORMA!W101</f>
        <v>0</v>
      </c>
      <c r="W75" s="688">
        <f>PROFORMA!X101</f>
        <v>0</v>
      </c>
      <c r="X75" s="688">
        <f>PROFORMA!Y101</f>
        <v>0</v>
      </c>
      <c r="Y75" s="691">
        <f t="shared" si="26"/>
        <v>15000</v>
      </c>
      <c r="Z75" s="688">
        <f>PROFORMA!Z101</f>
        <v>0</v>
      </c>
      <c r="AA75" s="688">
        <f>PROFORMA!AA101</f>
        <v>0</v>
      </c>
      <c r="AB75" s="688">
        <f>PROFORMA!AB101</f>
        <v>0</v>
      </c>
      <c r="AC75" s="688">
        <f>PROFORMA!AC101</f>
        <v>3000</v>
      </c>
      <c r="AD75" s="688">
        <f>PROFORMA!AD101</f>
        <v>0</v>
      </c>
      <c r="AE75" s="688">
        <f>PROFORMA!AE101</f>
        <v>1000</v>
      </c>
      <c r="AF75" s="688">
        <f>PROFORMA!AF101</f>
        <v>0</v>
      </c>
      <c r="AG75" s="688">
        <f>PROFORMA!AG101</f>
        <v>0</v>
      </c>
      <c r="AH75" s="688">
        <f>PROFORMA!AH101</f>
        <v>0</v>
      </c>
      <c r="AI75" s="688">
        <f>PROFORMA!AI101</f>
        <v>67000</v>
      </c>
      <c r="AJ75" s="688">
        <f>PROFORMA!AJ101</f>
        <v>0</v>
      </c>
      <c r="AK75" s="688">
        <f>PROFORMA!AK101</f>
        <v>0</v>
      </c>
      <c r="AL75" s="688">
        <f>PROFORMA!AL101</f>
        <v>0</v>
      </c>
      <c r="AM75" s="688">
        <f>PROFORMA!AM101</f>
        <v>0</v>
      </c>
      <c r="AN75" s="688">
        <f>PROFORMA!AN101</f>
        <v>0</v>
      </c>
      <c r="AO75" s="688">
        <f>PROFORMA!AO101</f>
        <v>0</v>
      </c>
      <c r="AP75" s="688">
        <f>PROFORMA!AP101</f>
        <v>0</v>
      </c>
      <c r="AQ75" s="688">
        <f>PROFORMA!AQ101</f>
        <v>0</v>
      </c>
      <c r="AR75" s="694">
        <f t="shared" si="30"/>
        <v>71000</v>
      </c>
      <c r="AS75" s="692">
        <f t="shared" si="31"/>
        <v>86000</v>
      </c>
      <c r="AT75" s="692">
        <f t="shared" si="32"/>
        <v>179000</v>
      </c>
      <c r="AU75" s="692"/>
      <c r="AV75" s="692">
        <f t="shared" si="33"/>
        <v>179000</v>
      </c>
    </row>
    <row r="76" spans="1:48">
      <c r="A76" s="640">
        <v>74</v>
      </c>
      <c r="B76" s="607"/>
      <c r="C76" s="632" t="s">
        <v>1245</v>
      </c>
      <c r="D76" s="664"/>
      <c r="E76" s="650">
        <f>SUM(E71:E75)</f>
        <v>6398000</v>
      </c>
      <c r="F76" s="650">
        <f t="shared" ref="F76:X76" si="34">SUM(F71:F75)</f>
        <v>0</v>
      </c>
      <c r="G76" s="650">
        <f t="shared" si="34"/>
        <v>15000</v>
      </c>
      <c r="H76" s="650">
        <f t="shared" si="34"/>
        <v>0</v>
      </c>
      <c r="I76" s="650">
        <f t="shared" si="34"/>
        <v>0</v>
      </c>
      <c r="J76" s="650">
        <f t="shared" si="34"/>
        <v>0</v>
      </c>
      <c r="K76" s="650">
        <f t="shared" si="34"/>
        <v>0</v>
      </c>
      <c r="L76" s="650">
        <f t="shared" si="34"/>
        <v>166000</v>
      </c>
      <c r="M76" s="650">
        <f t="shared" si="34"/>
        <v>0</v>
      </c>
      <c r="N76" s="650">
        <f t="shared" si="34"/>
        <v>0</v>
      </c>
      <c r="O76" s="650">
        <f t="shared" si="34"/>
        <v>0</v>
      </c>
      <c r="P76" s="650">
        <f t="shared" si="34"/>
        <v>0</v>
      </c>
      <c r="Q76" s="650">
        <f t="shared" si="34"/>
        <v>0</v>
      </c>
      <c r="R76" s="650">
        <f t="shared" si="34"/>
        <v>0</v>
      </c>
      <c r="S76" s="650">
        <f t="shared" si="34"/>
        <v>-13000</v>
      </c>
      <c r="T76" s="650">
        <f t="shared" si="34"/>
        <v>27000</v>
      </c>
      <c r="U76" s="650">
        <f t="shared" si="34"/>
        <v>0</v>
      </c>
      <c r="V76" s="650">
        <f t="shared" si="34"/>
        <v>0</v>
      </c>
      <c r="W76" s="650">
        <f t="shared" si="34"/>
        <v>0</v>
      </c>
      <c r="X76" s="650">
        <f t="shared" si="34"/>
        <v>0</v>
      </c>
      <c r="Y76" s="690">
        <f t="shared" si="26"/>
        <v>195000</v>
      </c>
      <c r="Z76" s="650">
        <f t="shared" ref="Z76:AV76" si="35">SUM(Z71:Z75)</f>
        <v>-138000</v>
      </c>
      <c r="AA76" s="650">
        <f t="shared" si="35"/>
        <v>0</v>
      </c>
      <c r="AB76" s="650">
        <f t="shared" si="35"/>
        <v>0</v>
      </c>
      <c r="AC76" s="650">
        <f t="shared" si="35"/>
        <v>203000</v>
      </c>
      <c r="AD76" s="650">
        <f t="shared" si="35"/>
        <v>0</v>
      </c>
      <c r="AE76" s="650">
        <f t="shared" si="35"/>
        <v>72000</v>
      </c>
      <c r="AF76" s="650">
        <f t="shared" si="35"/>
        <v>0</v>
      </c>
      <c r="AG76" s="650">
        <f t="shared" si="35"/>
        <v>0</v>
      </c>
      <c r="AH76" s="650">
        <f t="shared" si="35"/>
        <v>0</v>
      </c>
      <c r="AI76" s="650">
        <f t="shared" si="35"/>
        <v>67000</v>
      </c>
      <c r="AJ76" s="650">
        <f t="shared" si="35"/>
        <v>0</v>
      </c>
      <c r="AK76" s="650">
        <f t="shared" si="35"/>
        <v>0</v>
      </c>
      <c r="AL76" s="650">
        <f t="shared" si="35"/>
        <v>0</v>
      </c>
      <c r="AM76" s="650">
        <f t="shared" si="35"/>
        <v>0</v>
      </c>
      <c r="AN76" s="650">
        <f t="shared" si="35"/>
        <v>0</v>
      </c>
      <c r="AO76" s="650">
        <f t="shared" si="35"/>
        <v>0</v>
      </c>
      <c r="AP76" s="650">
        <f t="shared" si="35"/>
        <v>0</v>
      </c>
      <c r="AQ76" s="650">
        <f t="shared" si="35"/>
        <v>0</v>
      </c>
      <c r="AR76" s="650">
        <f t="shared" si="35"/>
        <v>204000</v>
      </c>
      <c r="AS76" s="650">
        <f t="shared" si="35"/>
        <v>399000</v>
      </c>
      <c r="AT76" s="650">
        <f t="shared" si="35"/>
        <v>6797000</v>
      </c>
      <c r="AU76" s="650">
        <f t="shared" si="35"/>
        <v>0</v>
      </c>
      <c r="AV76" s="650">
        <f t="shared" si="35"/>
        <v>6797000</v>
      </c>
    </row>
    <row r="77" spans="1:48">
      <c r="A77" s="640">
        <v>75</v>
      </c>
      <c r="B77" s="809" t="s">
        <v>22</v>
      </c>
      <c r="C77" s="667" t="s">
        <v>13</v>
      </c>
      <c r="D77" s="609">
        <v>907</v>
      </c>
      <c r="E77" s="668">
        <f>PROFORMA!F105</f>
        <v>0</v>
      </c>
      <c r="F77" s="668">
        <f>PROFORMA!G105</f>
        <v>0</v>
      </c>
      <c r="G77" s="668">
        <f>PROFORMA!H105</f>
        <v>0</v>
      </c>
      <c r="H77" s="668">
        <f>PROFORMA!I105</f>
        <v>0</v>
      </c>
      <c r="I77" s="668">
        <f>PROFORMA!J105</f>
        <v>0</v>
      </c>
      <c r="J77" s="668">
        <f>PROFORMA!K105</f>
        <v>0</v>
      </c>
      <c r="K77" s="668">
        <f>PROFORMA!L105</f>
        <v>0</v>
      </c>
      <c r="L77" s="668">
        <f>PROFORMA!M105</f>
        <v>0</v>
      </c>
      <c r="M77" s="668">
        <f>PROFORMA!N105</f>
        <v>0</v>
      </c>
      <c r="N77" s="668">
        <f>PROFORMA!O105</f>
        <v>0</v>
      </c>
      <c r="O77" s="668">
        <f>PROFORMA!P105</f>
        <v>0</v>
      </c>
      <c r="P77" s="668">
        <f>PROFORMA!Q105</f>
        <v>0</v>
      </c>
      <c r="Q77" s="668">
        <f>PROFORMA!R105</f>
        <v>0</v>
      </c>
      <c r="R77" s="668">
        <f>PROFORMA!S105</f>
        <v>0</v>
      </c>
      <c r="S77" s="668">
        <f>PROFORMA!T105</f>
        <v>0</v>
      </c>
      <c r="T77" s="668">
        <f>PROFORMA!U105</f>
        <v>0</v>
      </c>
      <c r="U77" s="668">
        <f>PROFORMA!V105</f>
        <v>0</v>
      </c>
      <c r="V77" s="668">
        <f>PROFORMA!W105</f>
        <v>0</v>
      </c>
      <c r="W77" s="668">
        <f>PROFORMA!X105</f>
        <v>0</v>
      </c>
      <c r="X77" s="668">
        <f>PROFORMA!Y105</f>
        <v>0</v>
      </c>
      <c r="Y77" s="690">
        <f t="shared" si="26"/>
        <v>0</v>
      </c>
      <c r="Z77" s="668">
        <f>PROFORMA!Z105</f>
        <v>0</v>
      </c>
      <c r="AA77" s="668">
        <f>PROFORMA!AA105</f>
        <v>0</v>
      </c>
      <c r="AB77" s="668">
        <f>PROFORMA!AB105</f>
        <v>0</v>
      </c>
      <c r="AC77" s="668">
        <f>PROFORMA!AC105</f>
        <v>0</v>
      </c>
      <c r="AD77" s="668">
        <f>PROFORMA!AD105</f>
        <v>0</v>
      </c>
      <c r="AE77" s="668">
        <f>PROFORMA!AE105</f>
        <v>0</v>
      </c>
      <c r="AF77" s="668">
        <f>PROFORMA!AF105</f>
        <v>0</v>
      </c>
      <c r="AG77" s="668">
        <f>PROFORMA!AG105</f>
        <v>0</v>
      </c>
      <c r="AH77" s="668">
        <f>PROFORMA!AH105</f>
        <v>0</v>
      </c>
      <c r="AI77" s="668">
        <f>PROFORMA!AI105</f>
        <v>0</v>
      </c>
      <c r="AJ77" s="668">
        <f>PROFORMA!AJ105</f>
        <v>0</v>
      </c>
      <c r="AK77" s="668">
        <f>PROFORMA!AK105</f>
        <v>0</v>
      </c>
      <c r="AL77" s="668">
        <f>PROFORMA!AL105</f>
        <v>0</v>
      </c>
      <c r="AM77" s="668">
        <f>PROFORMA!AM105</f>
        <v>0</v>
      </c>
      <c r="AN77" s="668">
        <f>PROFORMA!AN105</f>
        <v>0</v>
      </c>
      <c r="AO77" s="668">
        <f>PROFORMA!AO105</f>
        <v>0</v>
      </c>
      <c r="AP77" s="668">
        <f>PROFORMA!AP105</f>
        <v>0</v>
      </c>
      <c r="AQ77" s="668">
        <f>PROFORMA!AQ105</f>
        <v>0</v>
      </c>
      <c r="AR77" s="693">
        <f t="shared" si="30"/>
        <v>0</v>
      </c>
      <c r="AS77" s="643">
        <f t="shared" si="31"/>
        <v>0</v>
      </c>
      <c r="AT77" s="643">
        <f t="shared" si="32"/>
        <v>0</v>
      </c>
      <c r="AU77" s="643"/>
      <c r="AV77" s="643">
        <f t="shared" si="33"/>
        <v>0</v>
      </c>
    </row>
    <row r="78" spans="1:48">
      <c r="A78" s="640">
        <v>76</v>
      </c>
      <c r="B78" s="809"/>
      <c r="C78" s="667" t="s">
        <v>25</v>
      </c>
      <c r="D78" s="609">
        <v>908</v>
      </c>
      <c r="E78" s="668">
        <f>PROFORMA!F106</f>
        <v>8902000</v>
      </c>
      <c r="F78" s="668">
        <f>PROFORMA!G106</f>
        <v>0</v>
      </c>
      <c r="G78" s="668">
        <f>PROFORMA!H106</f>
        <v>0</v>
      </c>
      <c r="H78" s="668">
        <f>PROFORMA!I106</f>
        <v>0</v>
      </c>
      <c r="I78" s="668">
        <f>PROFORMA!J106</f>
        <v>0</v>
      </c>
      <c r="J78" s="668">
        <f>PROFORMA!K106</f>
        <v>0</v>
      </c>
      <c r="K78" s="668">
        <f>PROFORMA!L106</f>
        <v>0</v>
      </c>
      <c r="L78" s="668">
        <f>PROFORMA!M106</f>
        <v>0</v>
      </c>
      <c r="M78" s="668">
        <f>PROFORMA!N106</f>
        <v>0</v>
      </c>
      <c r="N78" s="668">
        <f>PROFORMA!O106</f>
        <v>0</v>
      </c>
      <c r="O78" s="668">
        <f>PROFORMA!P106</f>
        <v>0</v>
      </c>
      <c r="P78" s="668">
        <f>PROFORMA!Q106</f>
        <v>0</v>
      </c>
      <c r="Q78" s="668">
        <f>PROFORMA!R106</f>
        <v>0</v>
      </c>
      <c r="R78" s="668">
        <f>PROFORMA!S106</f>
        <v>0</v>
      </c>
      <c r="S78" s="668">
        <f>PROFORMA!T106</f>
        <v>0</v>
      </c>
      <c r="T78" s="668">
        <f>PROFORMA!U106</f>
        <v>-8485000</v>
      </c>
      <c r="U78" s="668">
        <f>PROFORMA!V106</f>
        <v>0</v>
      </c>
      <c r="V78" s="668">
        <f>PROFORMA!W106</f>
        <v>0</v>
      </c>
      <c r="W78" s="668">
        <f>PROFORMA!X106</f>
        <v>0</v>
      </c>
      <c r="X78" s="668">
        <f>PROFORMA!Y106</f>
        <v>0</v>
      </c>
      <c r="Y78" s="690">
        <f t="shared" si="26"/>
        <v>-8485000</v>
      </c>
      <c r="Z78" s="668">
        <f>PROFORMA!Z106</f>
        <v>0</v>
      </c>
      <c r="AA78" s="668">
        <f>PROFORMA!AA106</f>
        <v>0</v>
      </c>
      <c r="AB78" s="668">
        <f>PROFORMA!AB106</f>
        <v>0</v>
      </c>
      <c r="AC78" s="668">
        <f>PROFORMA!AC106</f>
        <v>12000</v>
      </c>
      <c r="AD78" s="668">
        <f>PROFORMA!AD106</f>
        <v>0</v>
      </c>
      <c r="AE78" s="668">
        <f>PROFORMA!AE106</f>
        <v>6000</v>
      </c>
      <c r="AF78" s="668">
        <f>PROFORMA!AF106</f>
        <v>0</v>
      </c>
      <c r="AG78" s="668">
        <f>PROFORMA!AG106</f>
        <v>0</v>
      </c>
      <c r="AH78" s="668">
        <f>PROFORMA!AH106</f>
        <v>0</v>
      </c>
      <c r="AI78" s="668">
        <f>PROFORMA!AI106</f>
        <v>0</v>
      </c>
      <c r="AJ78" s="668">
        <f>PROFORMA!AJ106</f>
        <v>0</v>
      </c>
      <c r="AK78" s="668">
        <f>PROFORMA!AK106</f>
        <v>0</v>
      </c>
      <c r="AL78" s="668">
        <f>PROFORMA!AL106</f>
        <v>0</v>
      </c>
      <c r="AM78" s="668">
        <f>PROFORMA!AM106</f>
        <v>0</v>
      </c>
      <c r="AN78" s="668">
        <f>PROFORMA!AN106</f>
        <v>0</v>
      </c>
      <c r="AO78" s="668">
        <f>PROFORMA!AO106</f>
        <v>0</v>
      </c>
      <c r="AP78" s="668">
        <f>PROFORMA!AP106</f>
        <v>0</v>
      </c>
      <c r="AQ78" s="668">
        <f>PROFORMA!AQ106</f>
        <v>0</v>
      </c>
      <c r="AR78" s="693">
        <f t="shared" si="30"/>
        <v>18000</v>
      </c>
      <c r="AS78" s="643">
        <f t="shared" si="31"/>
        <v>-8467000</v>
      </c>
      <c r="AT78" s="643">
        <f t="shared" si="32"/>
        <v>435000</v>
      </c>
      <c r="AU78" s="643"/>
      <c r="AV78" s="643">
        <f t="shared" si="33"/>
        <v>435000</v>
      </c>
    </row>
    <row r="79" spans="1:48">
      <c r="A79" s="640">
        <v>77</v>
      </c>
      <c r="B79" s="809"/>
      <c r="C79" s="667" t="s">
        <v>27</v>
      </c>
      <c r="D79" s="609">
        <v>909</v>
      </c>
      <c r="E79" s="668">
        <f>PROFORMA!F107</f>
        <v>644000</v>
      </c>
      <c r="F79" s="668">
        <f>PROFORMA!G107</f>
        <v>0</v>
      </c>
      <c r="G79" s="668">
        <f>PROFORMA!H107</f>
        <v>0</v>
      </c>
      <c r="H79" s="668">
        <f>PROFORMA!I107</f>
        <v>0</v>
      </c>
      <c r="I79" s="668">
        <f>PROFORMA!J107</f>
        <v>0</v>
      </c>
      <c r="J79" s="668">
        <f>PROFORMA!K107</f>
        <v>0</v>
      </c>
      <c r="K79" s="668">
        <f>PROFORMA!L107</f>
        <v>0</v>
      </c>
      <c r="L79" s="668">
        <f>PROFORMA!M107</f>
        <v>0</v>
      </c>
      <c r="M79" s="668">
        <f>PROFORMA!N107</f>
        <v>0</v>
      </c>
      <c r="N79" s="668">
        <f>PROFORMA!O107</f>
        <v>0</v>
      </c>
      <c r="O79" s="668">
        <f>PROFORMA!P107</f>
        <v>0</v>
      </c>
      <c r="P79" s="668">
        <f>PROFORMA!Q107</f>
        <v>0</v>
      </c>
      <c r="Q79" s="668">
        <f>PROFORMA!R107</f>
        <v>0</v>
      </c>
      <c r="R79" s="668">
        <f>PROFORMA!S107</f>
        <v>0</v>
      </c>
      <c r="S79" s="668">
        <f>PROFORMA!T107</f>
        <v>0</v>
      </c>
      <c r="T79" s="668">
        <f>PROFORMA!U107</f>
        <v>0</v>
      </c>
      <c r="U79" s="668">
        <f>PROFORMA!V107</f>
        <v>1000</v>
      </c>
      <c r="V79" s="668">
        <f>PROFORMA!W107</f>
        <v>0</v>
      </c>
      <c r="W79" s="668">
        <f>PROFORMA!X107</f>
        <v>0</v>
      </c>
      <c r="X79" s="668">
        <f>PROFORMA!Y107</f>
        <v>0</v>
      </c>
      <c r="Y79" s="690">
        <f t="shared" si="26"/>
        <v>1000</v>
      </c>
      <c r="Z79" s="668">
        <f>PROFORMA!Z107</f>
        <v>0</v>
      </c>
      <c r="AA79" s="668">
        <f>PROFORMA!AA107</f>
        <v>0</v>
      </c>
      <c r="AB79" s="668">
        <f>PROFORMA!AB107</f>
        <v>0</v>
      </c>
      <c r="AC79" s="668">
        <f>PROFORMA!AC107</f>
        <v>5000</v>
      </c>
      <c r="AD79" s="668">
        <f>PROFORMA!AD107</f>
        <v>0</v>
      </c>
      <c r="AE79" s="668">
        <f>PROFORMA!AE107</f>
        <v>1000</v>
      </c>
      <c r="AF79" s="668">
        <f>PROFORMA!AF107</f>
        <v>0</v>
      </c>
      <c r="AG79" s="668">
        <f>PROFORMA!AG107</f>
        <v>0</v>
      </c>
      <c r="AH79" s="668">
        <f>PROFORMA!AH107</f>
        <v>0</v>
      </c>
      <c r="AI79" s="668">
        <f>PROFORMA!AI107</f>
        <v>0</v>
      </c>
      <c r="AJ79" s="668">
        <f>PROFORMA!AJ107</f>
        <v>0</v>
      </c>
      <c r="AK79" s="668">
        <f>PROFORMA!AK107</f>
        <v>0</v>
      </c>
      <c r="AL79" s="668">
        <f>PROFORMA!AL107</f>
        <v>0</v>
      </c>
      <c r="AM79" s="668">
        <f>PROFORMA!AM107</f>
        <v>0</v>
      </c>
      <c r="AN79" s="668">
        <f>PROFORMA!AN107</f>
        <v>0</v>
      </c>
      <c r="AO79" s="668">
        <f>PROFORMA!AO107</f>
        <v>0</v>
      </c>
      <c r="AP79" s="668">
        <f>PROFORMA!AP107</f>
        <v>0</v>
      </c>
      <c r="AQ79" s="668">
        <f>PROFORMA!AQ107</f>
        <v>0</v>
      </c>
      <c r="AR79" s="693">
        <f t="shared" si="30"/>
        <v>6000</v>
      </c>
      <c r="AS79" s="643">
        <f t="shared" si="31"/>
        <v>7000</v>
      </c>
      <c r="AT79" s="643">
        <f t="shared" si="32"/>
        <v>651000</v>
      </c>
      <c r="AU79" s="643"/>
      <c r="AV79" s="643">
        <f t="shared" si="33"/>
        <v>651000</v>
      </c>
    </row>
    <row r="80" spans="1:48" ht="31.2">
      <c r="A80" s="640">
        <v>78</v>
      </c>
      <c r="B80" s="809"/>
      <c r="C80" s="628" t="s">
        <v>350</v>
      </c>
      <c r="D80" s="609">
        <v>910</v>
      </c>
      <c r="E80" s="688">
        <f>PROFORMA!F108</f>
        <v>118000</v>
      </c>
      <c r="F80" s="688">
        <f>PROFORMA!G108</f>
        <v>0</v>
      </c>
      <c r="G80" s="688">
        <f>PROFORMA!H108</f>
        <v>0</v>
      </c>
      <c r="H80" s="688">
        <f>PROFORMA!I108</f>
        <v>0</v>
      </c>
      <c r="I80" s="688">
        <f>PROFORMA!J108</f>
        <v>0</v>
      </c>
      <c r="J80" s="688">
        <f>PROFORMA!K108</f>
        <v>0</v>
      </c>
      <c r="K80" s="688">
        <f>PROFORMA!L108</f>
        <v>0</v>
      </c>
      <c r="L80" s="688">
        <f>PROFORMA!M108</f>
        <v>0</v>
      </c>
      <c r="M80" s="688">
        <f>PROFORMA!N108</f>
        <v>0</v>
      </c>
      <c r="N80" s="688">
        <f>PROFORMA!O108</f>
        <v>0</v>
      </c>
      <c r="O80" s="688">
        <f>PROFORMA!P108</f>
        <v>0</v>
      </c>
      <c r="P80" s="688">
        <f>PROFORMA!Q108</f>
        <v>0</v>
      </c>
      <c r="Q80" s="688">
        <f>PROFORMA!R108</f>
        <v>0</v>
      </c>
      <c r="R80" s="688">
        <f>PROFORMA!S108</f>
        <v>0</v>
      </c>
      <c r="S80" s="688">
        <f>PROFORMA!T108</f>
        <v>0</v>
      </c>
      <c r="T80" s="688">
        <f>PROFORMA!U108</f>
        <v>0</v>
      </c>
      <c r="U80" s="688">
        <f>PROFORMA!V108</f>
        <v>0</v>
      </c>
      <c r="V80" s="688">
        <f>PROFORMA!W108</f>
        <v>0</v>
      </c>
      <c r="W80" s="688">
        <f>PROFORMA!X108</f>
        <v>0</v>
      </c>
      <c r="X80" s="688">
        <f>PROFORMA!Y108</f>
        <v>0</v>
      </c>
      <c r="Y80" s="691">
        <f t="shared" si="26"/>
        <v>0</v>
      </c>
      <c r="Z80" s="688">
        <f>PROFORMA!Z108</f>
        <v>0</v>
      </c>
      <c r="AA80" s="688">
        <f>PROFORMA!AA108</f>
        <v>0</v>
      </c>
      <c r="AB80" s="688">
        <f>PROFORMA!AB108</f>
        <v>0</v>
      </c>
      <c r="AC80" s="688">
        <f>PROFORMA!AC108</f>
        <v>1000</v>
      </c>
      <c r="AD80" s="688">
        <f>PROFORMA!AD108</f>
        <v>0</v>
      </c>
      <c r="AE80" s="688">
        <f>PROFORMA!AE108</f>
        <v>0</v>
      </c>
      <c r="AF80" s="688">
        <f>PROFORMA!AF108</f>
        <v>0</v>
      </c>
      <c r="AG80" s="688">
        <f>PROFORMA!AG108</f>
        <v>0</v>
      </c>
      <c r="AH80" s="688">
        <f>PROFORMA!AH108</f>
        <v>0</v>
      </c>
      <c r="AI80" s="688">
        <f>PROFORMA!AI108</f>
        <v>0</v>
      </c>
      <c r="AJ80" s="688">
        <f>PROFORMA!AJ108</f>
        <v>0</v>
      </c>
      <c r="AK80" s="688">
        <f>PROFORMA!AK108</f>
        <v>0</v>
      </c>
      <c r="AL80" s="688">
        <f>PROFORMA!AL108</f>
        <v>0</v>
      </c>
      <c r="AM80" s="688">
        <f>PROFORMA!AM108</f>
        <v>0</v>
      </c>
      <c r="AN80" s="688">
        <f>PROFORMA!AN108</f>
        <v>0</v>
      </c>
      <c r="AO80" s="688">
        <f>PROFORMA!AO108</f>
        <v>0</v>
      </c>
      <c r="AP80" s="688">
        <f>PROFORMA!AP108</f>
        <v>0</v>
      </c>
      <c r="AQ80" s="688">
        <f>PROFORMA!AQ108</f>
        <v>0</v>
      </c>
      <c r="AR80" s="694">
        <f t="shared" si="30"/>
        <v>1000</v>
      </c>
      <c r="AS80" s="692">
        <f t="shared" si="31"/>
        <v>1000</v>
      </c>
      <c r="AT80" s="692">
        <f t="shared" si="32"/>
        <v>119000</v>
      </c>
      <c r="AU80" s="692"/>
      <c r="AV80" s="692">
        <f t="shared" si="33"/>
        <v>119000</v>
      </c>
    </row>
    <row r="81" spans="1:48">
      <c r="A81" s="640">
        <v>79</v>
      </c>
      <c r="B81" s="607"/>
      <c r="C81" s="632" t="s">
        <v>29</v>
      </c>
      <c r="D81" s="664"/>
      <c r="E81" s="650">
        <f>SUM(E77:E80)</f>
        <v>9664000</v>
      </c>
      <c r="F81" s="650">
        <f t="shared" ref="F81:X81" si="36">SUM(F77:F80)</f>
        <v>0</v>
      </c>
      <c r="G81" s="650">
        <f t="shared" si="36"/>
        <v>0</v>
      </c>
      <c r="H81" s="650">
        <f t="shared" si="36"/>
        <v>0</v>
      </c>
      <c r="I81" s="650">
        <f t="shared" si="36"/>
        <v>0</v>
      </c>
      <c r="J81" s="650">
        <f t="shared" si="36"/>
        <v>0</v>
      </c>
      <c r="K81" s="650">
        <f t="shared" si="36"/>
        <v>0</v>
      </c>
      <c r="L81" s="650">
        <f t="shared" si="36"/>
        <v>0</v>
      </c>
      <c r="M81" s="650">
        <f t="shared" si="36"/>
        <v>0</v>
      </c>
      <c r="N81" s="650">
        <f t="shared" si="36"/>
        <v>0</v>
      </c>
      <c r="O81" s="650">
        <f t="shared" si="36"/>
        <v>0</v>
      </c>
      <c r="P81" s="650">
        <f t="shared" si="36"/>
        <v>0</v>
      </c>
      <c r="Q81" s="650">
        <f t="shared" si="36"/>
        <v>0</v>
      </c>
      <c r="R81" s="650">
        <f t="shared" si="36"/>
        <v>0</v>
      </c>
      <c r="S81" s="650">
        <f t="shared" si="36"/>
        <v>0</v>
      </c>
      <c r="T81" s="650">
        <f t="shared" si="36"/>
        <v>-8485000</v>
      </c>
      <c r="U81" s="650">
        <f t="shared" si="36"/>
        <v>1000</v>
      </c>
      <c r="V81" s="650">
        <f t="shared" si="36"/>
        <v>0</v>
      </c>
      <c r="W81" s="650">
        <f t="shared" si="36"/>
        <v>0</v>
      </c>
      <c r="X81" s="650">
        <f t="shared" si="36"/>
        <v>0</v>
      </c>
      <c r="Y81" s="690">
        <f t="shared" si="26"/>
        <v>-8484000</v>
      </c>
      <c r="Z81" s="650">
        <f t="shared" ref="Z81:AV81" si="37">SUM(Z77:Z80)</f>
        <v>0</v>
      </c>
      <c r="AA81" s="650">
        <f t="shared" si="37"/>
        <v>0</v>
      </c>
      <c r="AB81" s="650">
        <f t="shared" si="37"/>
        <v>0</v>
      </c>
      <c r="AC81" s="650">
        <f t="shared" si="37"/>
        <v>18000</v>
      </c>
      <c r="AD81" s="650">
        <f t="shared" si="37"/>
        <v>0</v>
      </c>
      <c r="AE81" s="650">
        <f t="shared" si="37"/>
        <v>7000</v>
      </c>
      <c r="AF81" s="650">
        <f t="shared" si="37"/>
        <v>0</v>
      </c>
      <c r="AG81" s="650">
        <f t="shared" si="37"/>
        <v>0</v>
      </c>
      <c r="AH81" s="650">
        <f t="shared" si="37"/>
        <v>0</v>
      </c>
      <c r="AI81" s="650">
        <f t="shared" si="37"/>
        <v>0</v>
      </c>
      <c r="AJ81" s="650">
        <f t="shared" si="37"/>
        <v>0</v>
      </c>
      <c r="AK81" s="650">
        <f t="shared" si="37"/>
        <v>0</v>
      </c>
      <c r="AL81" s="650">
        <f t="shared" si="37"/>
        <v>0</v>
      </c>
      <c r="AM81" s="650">
        <f t="shared" si="37"/>
        <v>0</v>
      </c>
      <c r="AN81" s="650">
        <f t="shared" si="37"/>
        <v>0</v>
      </c>
      <c r="AO81" s="650">
        <f t="shared" si="37"/>
        <v>0</v>
      </c>
      <c r="AP81" s="650">
        <f t="shared" si="37"/>
        <v>0</v>
      </c>
      <c r="AQ81" s="650">
        <f t="shared" si="37"/>
        <v>0</v>
      </c>
      <c r="AR81" s="650">
        <f t="shared" si="37"/>
        <v>25000</v>
      </c>
      <c r="AS81" s="650">
        <f t="shared" si="37"/>
        <v>-8459000</v>
      </c>
      <c r="AT81" s="650">
        <f t="shared" si="37"/>
        <v>1205000</v>
      </c>
      <c r="AU81" s="650">
        <f t="shared" si="37"/>
        <v>0</v>
      </c>
      <c r="AV81" s="650">
        <f t="shared" si="37"/>
        <v>1205000</v>
      </c>
    </row>
    <row r="82" spans="1:48">
      <c r="A82" s="640">
        <v>80</v>
      </c>
      <c r="B82" s="811" t="s">
        <v>30</v>
      </c>
      <c r="C82" s="667" t="s">
        <v>13</v>
      </c>
      <c r="D82" s="609">
        <v>911</v>
      </c>
      <c r="E82" s="650">
        <f>PROFORMA!F112</f>
        <v>0</v>
      </c>
      <c r="F82" s="650">
        <f>PROFORMA!G112</f>
        <v>0</v>
      </c>
      <c r="G82" s="650">
        <f>PROFORMA!H112</f>
        <v>0</v>
      </c>
      <c r="H82" s="650">
        <f>PROFORMA!I112</f>
        <v>0</v>
      </c>
      <c r="I82" s="650">
        <f>PROFORMA!J112</f>
        <v>0</v>
      </c>
      <c r="J82" s="650">
        <f>PROFORMA!K112</f>
        <v>0</v>
      </c>
      <c r="K82" s="650">
        <f>PROFORMA!L112</f>
        <v>0</v>
      </c>
      <c r="L82" s="650">
        <f>PROFORMA!M112</f>
        <v>0</v>
      </c>
      <c r="M82" s="650">
        <f>PROFORMA!N112</f>
        <v>0</v>
      </c>
      <c r="N82" s="650">
        <f>PROFORMA!O112</f>
        <v>0</v>
      </c>
      <c r="O82" s="650">
        <f>PROFORMA!P112</f>
        <v>0</v>
      </c>
      <c r="P82" s="650">
        <f>PROFORMA!Q112</f>
        <v>0</v>
      </c>
      <c r="Q82" s="650">
        <f>PROFORMA!R112</f>
        <v>0</v>
      </c>
      <c r="R82" s="650">
        <f>PROFORMA!S112</f>
        <v>0</v>
      </c>
      <c r="S82" s="650">
        <f>PROFORMA!T112</f>
        <v>0</v>
      </c>
      <c r="T82" s="650">
        <f>PROFORMA!U112</f>
        <v>0</v>
      </c>
      <c r="U82" s="650">
        <f>PROFORMA!V112</f>
        <v>0</v>
      </c>
      <c r="V82" s="650">
        <f>PROFORMA!W112</f>
        <v>0</v>
      </c>
      <c r="W82" s="650">
        <f>PROFORMA!X112</f>
        <v>0</v>
      </c>
      <c r="X82" s="650">
        <f>PROFORMA!Y112</f>
        <v>0</v>
      </c>
      <c r="Y82" s="690">
        <f t="shared" si="26"/>
        <v>0</v>
      </c>
      <c r="Z82" s="650">
        <f>PROFORMA!Z112</f>
        <v>0</v>
      </c>
      <c r="AA82" s="650">
        <f>PROFORMA!AA112</f>
        <v>0</v>
      </c>
      <c r="AB82" s="650">
        <f>PROFORMA!AB112</f>
        <v>0</v>
      </c>
      <c r="AC82" s="650">
        <f>PROFORMA!AC112</f>
        <v>0</v>
      </c>
      <c r="AD82" s="650">
        <f>PROFORMA!AD112</f>
        <v>0</v>
      </c>
      <c r="AE82" s="650">
        <f>PROFORMA!AE112</f>
        <v>0</v>
      </c>
      <c r="AF82" s="650">
        <f>PROFORMA!AF112</f>
        <v>0</v>
      </c>
      <c r="AG82" s="650">
        <f>PROFORMA!AG112</f>
        <v>0</v>
      </c>
      <c r="AH82" s="650">
        <f>PROFORMA!AH112</f>
        <v>0</v>
      </c>
      <c r="AI82" s="650">
        <f>PROFORMA!AI112</f>
        <v>0</v>
      </c>
      <c r="AJ82" s="650">
        <f>PROFORMA!AJ112</f>
        <v>0</v>
      </c>
      <c r="AK82" s="650">
        <f>PROFORMA!AK112</f>
        <v>0</v>
      </c>
      <c r="AL82" s="650">
        <f>PROFORMA!AL112</f>
        <v>0</v>
      </c>
      <c r="AM82" s="650">
        <f>PROFORMA!AM112</f>
        <v>0</v>
      </c>
      <c r="AN82" s="650">
        <f>PROFORMA!AN112</f>
        <v>0</v>
      </c>
      <c r="AO82" s="650">
        <f>PROFORMA!AO112</f>
        <v>0</v>
      </c>
      <c r="AP82" s="650">
        <f>PROFORMA!AP112</f>
        <v>0</v>
      </c>
      <c r="AQ82" s="650">
        <f>PROFORMA!AQ112</f>
        <v>0</v>
      </c>
      <c r="AR82" s="693">
        <f t="shared" si="30"/>
        <v>0</v>
      </c>
      <c r="AS82" s="643">
        <f t="shared" si="31"/>
        <v>0</v>
      </c>
      <c r="AT82" s="643">
        <f t="shared" si="32"/>
        <v>0</v>
      </c>
      <c r="AU82" s="643"/>
      <c r="AV82" s="643">
        <f t="shared" si="33"/>
        <v>0</v>
      </c>
    </row>
    <row r="83" spans="1:48">
      <c r="A83" s="640">
        <v>81</v>
      </c>
      <c r="B83" s="811"/>
      <c r="C83" s="667" t="s">
        <v>33</v>
      </c>
      <c r="D83" s="609">
        <v>912</v>
      </c>
      <c r="E83" s="650">
        <f>PROFORMA!F113</f>
        <v>0</v>
      </c>
      <c r="F83" s="650">
        <f>PROFORMA!G113</f>
        <v>0</v>
      </c>
      <c r="G83" s="650">
        <f>PROFORMA!H113</f>
        <v>0</v>
      </c>
      <c r="H83" s="650">
        <f>PROFORMA!I113</f>
        <v>0</v>
      </c>
      <c r="I83" s="650">
        <f>PROFORMA!J113</f>
        <v>0</v>
      </c>
      <c r="J83" s="650">
        <f>PROFORMA!K113</f>
        <v>0</v>
      </c>
      <c r="K83" s="650">
        <f>PROFORMA!L113</f>
        <v>0</v>
      </c>
      <c r="L83" s="650">
        <f>PROFORMA!M113</f>
        <v>0</v>
      </c>
      <c r="M83" s="650">
        <f>PROFORMA!N113</f>
        <v>0</v>
      </c>
      <c r="N83" s="650">
        <f>PROFORMA!O113</f>
        <v>0</v>
      </c>
      <c r="O83" s="650">
        <f>PROFORMA!P113</f>
        <v>0</v>
      </c>
      <c r="P83" s="650">
        <f>PROFORMA!Q113</f>
        <v>0</v>
      </c>
      <c r="Q83" s="650">
        <f>PROFORMA!R113</f>
        <v>0</v>
      </c>
      <c r="R83" s="650">
        <f>PROFORMA!S113</f>
        <v>0</v>
      </c>
      <c r="S83" s="650">
        <f>PROFORMA!T113</f>
        <v>0</v>
      </c>
      <c r="T83" s="650">
        <f>PROFORMA!U113</f>
        <v>0</v>
      </c>
      <c r="U83" s="650">
        <f>PROFORMA!V113</f>
        <v>0</v>
      </c>
      <c r="V83" s="650">
        <f>PROFORMA!W113</f>
        <v>0</v>
      </c>
      <c r="W83" s="650">
        <f>PROFORMA!X113</f>
        <v>0</v>
      </c>
      <c r="X83" s="650">
        <f>PROFORMA!Y113</f>
        <v>0</v>
      </c>
      <c r="Y83" s="690">
        <f t="shared" si="26"/>
        <v>0</v>
      </c>
      <c r="Z83" s="650">
        <f>PROFORMA!Z113</f>
        <v>0</v>
      </c>
      <c r="AA83" s="650">
        <f>PROFORMA!AA113</f>
        <v>0</v>
      </c>
      <c r="AB83" s="650">
        <f>PROFORMA!AB113</f>
        <v>0</v>
      </c>
      <c r="AC83" s="650">
        <f>PROFORMA!AC113</f>
        <v>0</v>
      </c>
      <c r="AD83" s="650">
        <f>PROFORMA!AD113</f>
        <v>0</v>
      </c>
      <c r="AE83" s="650">
        <f>PROFORMA!AE113</f>
        <v>0</v>
      </c>
      <c r="AF83" s="650">
        <f>PROFORMA!AF113</f>
        <v>0</v>
      </c>
      <c r="AG83" s="650">
        <f>PROFORMA!AG113</f>
        <v>0</v>
      </c>
      <c r="AH83" s="650">
        <f>PROFORMA!AH113</f>
        <v>0</v>
      </c>
      <c r="AI83" s="650">
        <f>PROFORMA!AI113</f>
        <v>0</v>
      </c>
      <c r="AJ83" s="650">
        <f>PROFORMA!AJ113</f>
        <v>0</v>
      </c>
      <c r="AK83" s="650">
        <f>PROFORMA!AK113</f>
        <v>0</v>
      </c>
      <c r="AL83" s="650">
        <f>PROFORMA!AL113</f>
        <v>0</v>
      </c>
      <c r="AM83" s="650">
        <f>PROFORMA!AM113</f>
        <v>0</v>
      </c>
      <c r="AN83" s="650">
        <f>PROFORMA!AN113</f>
        <v>0</v>
      </c>
      <c r="AO83" s="650">
        <f>PROFORMA!AO113</f>
        <v>0</v>
      </c>
      <c r="AP83" s="650">
        <f>PROFORMA!AP113</f>
        <v>0</v>
      </c>
      <c r="AQ83" s="650">
        <f>PROFORMA!AQ113</f>
        <v>0</v>
      </c>
      <c r="AR83" s="693">
        <f t="shared" si="30"/>
        <v>0</v>
      </c>
      <c r="AS83" s="643">
        <f t="shared" si="31"/>
        <v>0</v>
      </c>
      <c r="AT83" s="643">
        <f t="shared" si="32"/>
        <v>0</v>
      </c>
      <c r="AU83" s="643"/>
      <c r="AV83" s="643">
        <f t="shared" si="33"/>
        <v>0</v>
      </c>
    </row>
    <row r="84" spans="1:48">
      <c r="A84" s="640">
        <v>82</v>
      </c>
      <c r="B84" s="811"/>
      <c r="C84" s="667" t="s">
        <v>35</v>
      </c>
      <c r="D84" s="609">
        <v>913</v>
      </c>
      <c r="E84" s="650">
        <f>PROFORMA!F114</f>
        <v>0</v>
      </c>
      <c r="F84" s="650">
        <f>PROFORMA!G114</f>
        <v>0</v>
      </c>
      <c r="G84" s="650">
        <f>PROFORMA!H114</f>
        <v>0</v>
      </c>
      <c r="H84" s="650">
        <f>PROFORMA!I114</f>
        <v>0</v>
      </c>
      <c r="I84" s="650">
        <f>PROFORMA!J114</f>
        <v>0</v>
      </c>
      <c r="J84" s="650">
        <f>PROFORMA!K114</f>
        <v>0</v>
      </c>
      <c r="K84" s="650">
        <f>PROFORMA!L114</f>
        <v>0</v>
      </c>
      <c r="L84" s="650">
        <f>PROFORMA!M114</f>
        <v>0</v>
      </c>
      <c r="M84" s="650">
        <f>PROFORMA!N114</f>
        <v>0</v>
      </c>
      <c r="N84" s="650">
        <f>PROFORMA!O114</f>
        <v>0</v>
      </c>
      <c r="O84" s="650">
        <f>PROFORMA!P114</f>
        <v>0</v>
      </c>
      <c r="P84" s="650">
        <f>PROFORMA!Q114</f>
        <v>0</v>
      </c>
      <c r="Q84" s="650">
        <f>PROFORMA!R114</f>
        <v>0</v>
      </c>
      <c r="R84" s="650">
        <f>PROFORMA!S114</f>
        <v>0</v>
      </c>
      <c r="S84" s="650">
        <f>PROFORMA!T114</f>
        <v>0</v>
      </c>
      <c r="T84" s="650">
        <f>PROFORMA!U114</f>
        <v>0</v>
      </c>
      <c r="U84" s="650">
        <f>PROFORMA!V114</f>
        <v>0</v>
      </c>
      <c r="V84" s="650">
        <f>PROFORMA!W114</f>
        <v>0</v>
      </c>
      <c r="W84" s="650">
        <f>PROFORMA!X114</f>
        <v>0</v>
      </c>
      <c r="X84" s="650">
        <f>PROFORMA!Y114</f>
        <v>0</v>
      </c>
      <c r="Y84" s="690">
        <f t="shared" si="26"/>
        <v>0</v>
      </c>
      <c r="Z84" s="650">
        <f>PROFORMA!Z114</f>
        <v>0</v>
      </c>
      <c r="AA84" s="650">
        <f>PROFORMA!AA114</f>
        <v>0</v>
      </c>
      <c r="AB84" s="650">
        <f>PROFORMA!AB114</f>
        <v>0</v>
      </c>
      <c r="AC84" s="650">
        <f>PROFORMA!AC114</f>
        <v>0</v>
      </c>
      <c r="AD84" s="650">
        <f>PROFORMA!AD114</f>
        <v>0</v>
      </c>
      <c r="AE84" s="650">
        <f>PROFORMA!AE114</f>
        <v>0</v>
      </c>
      <c r="AF84" s="650">
        <f>PROFORMA!AF114</f>
        <v>0</v>
      </c>
      <c r="AG84" s="650">
        <f>PROFORMA!AG114</f>
        <v>0</v>
      </c>
      <c r="AH84" s="650">
        <f>PROFORMA!AH114</f>
        <v>0</v>
      </c>
      <c r="AI84" s="650">
        <f>PROFORMA!AI114</f>
        <v>0</v>
      </c>
      <c r="AJ84" s="650">
        <f>PROFORMA!AJ114</f>
        <v>0</v>
      </c>
      <c r="AK84" s="650">
        <f>PROFORMA!AK114</f>
        <v>0</v>
      </c>
      <c r="AL84" s="650">
        <f>PROFORMA!AL114</f>
        <v>0</v>
      </c>
      <c r="AM84" s="650">
        <f>PROFORMA!AM114</f>
        <v>0</v>
      </c>
      <c r="AN84" s="650">
        <f>PROFORMA!AN114</f>
        <v>0</v>
      </c>
      <c r="AO84" s="650">
        <f>PROFORMA!AO114</f>
        <v>0</v>
      </c>
      <c r="AP84" s="650">
        <f>PROFORMA!AP114</f>
        <v>0</v>
      </c>
      <c r="AQ84" s="650">
        <f>PROFORMA!AQ114</f>
        <v>0</v>
      </c>
      <c r="AR84" s="693">
        <f t="shared" si="30"/>
        <v>0</v>
      </c>
      <c r="AS84" s="643">
        <f t="shared" si="31"/>
        <v>0</v>
      </c>
      <c r="AT84" s="643">
        <f t="shared" si="32"/>
        <v>0</v>
      </c>
      <c r="AU84" s="643"/>
      <c r="AV84" s="643">
        <f t="shared" si="33"/>
        <v>0</v>
      </c>
    </row>
    <row r="85" spans="1:48">
      <c r="A85" s="640">
        <v>83</v>
      </c>
      <c r="B85" s="811"/>
      <c r="C85" s="667" t="s">
        <v>37</v>
      </c>
      <c r="D85" s="609">
        <v>916</v>
      </c>
      <c r="E85" s="689">
        <f>PROFORMA!F115</f>
        <v>0</v>
      </c>
      <c r="F85" s="689">
        <f>PROFORMA!G115</f>
        <v>0</v>
      </c>
      <c r="G85" s="689">
        <f>PROFORMA!H115</f>
        <v>0</v>
      </c>
      <c r="H85" s="689">
        <f>PROFORMA!I115</f>
        <v>0</v>
      </c>
      <c r="I85" s="689">
        <f>PROFORMA!J115</f>
        <v>0</v>
      </c>
      <c r="J85" s="689">
        <f>PROFORMA!K115</f>
        <v>0</v>
      </c>
      <c r="K85" s="689">
        <f>PROFORMA!L115</f>
        <v>0</v>
      </c>
      <c r="L85" s="689">
        <f>PROFORMA!M115</f>
        <v>0</v>
      </c>
      <c r="M85" s="689">
        <f>PROFORMA!N115</f>
        <v>0</v>
      </c>
      <c r="N85" s="689">
        <f>PROFORMA!O115</f>
        <v>0</v>
      </c>
      <c r="O85" s="689">
        <f>PROFORMA!P115</f>
        <v>0</v>
      </c>
      <c r="P85" s="689">
        <f>PROFORMA!Q115</f>
        <v>0</v>
      </c>
      <c r="Q85" s="689">
        <f>PROFORMA!R115</f>
        <v>0</v>
      </c>
      <c r="R85" s="689">
        <f>PROFORMA!S115</f>
        <v>0</v>
      </c>
      <c r="S85" s="689">
        <f>PROFORMA!T115</f>
        <v>0</v>
      </c>
      <c r="T85" s="689">
        <f>PROFORMA!U115</f>
        <v>0</v>
      </c>
      <c r="U85" s="689">
        <f>PROFORMA!V115</f>
        <v>0</v>
      </c>
      <c r="V85" s="689">
        <f>PROFORMA!W115</f>
        <v>0</v>
      </c>
      <c r="W85" s="689">
        <f>PROFORMA!X115</f>
        <v>0</v>
      </c>
      <c r="X85" s="689">
        <f>PROFORMA!Y115</f>
        <v>0</v>
      </c>
      <c r="Y85" s="691">
        <f t="shared" si="26"/>
        <v>0</v>
      </c>
      <c r="Z85" s="689">
        <f>PROFORMA!Z115</f>
        <v>0</v>
      </c>
      <c r="AA85" s="689">
        <f>PROFORMA!AA115</f>
        <v>0</v>
      </c>
      <c r="AB85" s="689">
        <f>PROFORMA!AB115</f>
        <v>0</v>
      </c>
      <c r="AC85" s="689">
        <f>PROFORMA!AC115</f>
        <v>0</v>
      </c>
      <c r="AD85" s="689">
        <f>PROFORMA!AD115</f>
        <v>0</v>
      </c>
      <c r="AE85" s="689">
        <f>PROFORMA!AE115</f>
        <v>0</v>
      </c>
      <c r="AF85" s="689">
        <f>PROFORMA!AF115</f>
        <v>0</v>
      </c>
      <c r="AG85" s="689">
        <f>PROFORMA!AG115</f>
        <v>0</v>
      </c>
      <c r="AH85" s="689">
        <f>PROFORMA!AH115</f>
        <v>0</v>
      </c>
      <c r="AI85" s="689">
        <f>PROFORMA!AI115</f>
        <v>0</v>
      </c>
      <c r="AJ85" s="689">
        <f>PROFORMA!AJ115</f>
        <v>0</v>
      </c>
      <c r="AK85" s="689">
        <f>PROFORMA!AK115</f>
        <v>0</v>
      </c>
      <c r="AL85" s="689">
        <f>PROFORMA!AL115</f>
        <v>0</v>
      </c>
      <c r="AM85" s="689">
        <f>PROFORMA!AM115</f>
        <v>0</v>
      </c>
      <c r="AN85" s="689">
        <f>PROFORMA!AN115</f>
        <v>0</v>
      </c>
      <c r="AO85" s="689">
        <f>PROFORMA!AO115</f>
        <v>0</v>
      </c>
      <c r="AP85" s="689">
        <f>PROFORMA!AP115</f>
        <v>0</v>
      </c>
      <c r="AQ85" s="689">
        <f>PROFORMA!AQ115</f>
        <v>0</v>
      </c>
      <c r="AR85" s="694">
        <f t="shared" si="30"/>
        <v>0</v>
      </c>
      <c r="AS85" s="692">
        <f t="shared" si="31"/>
        <v>0</v>
      </c>
      <c r="AT85" s="692">
        <f t="shared" si="32"/>
        <v>0</v>
      </c>
      <c r="AU85" s="692"/>
      <c r="AV85" s="692">
        <f t="shared" si="33"/>
        <v>0</v>
      </c>
    </row>
    <row r="86" spans="1:48">
      <c r="A86" s="640">
        <v>84</v>
      </c>
      <c r="B86" s="607"/>
      <c r="C86" s="632" t="s">
        <v>38</v>
      </c>
      <c r="D86" s="664"/>
      <c r="E86" s="689">
        <f>SUM(E82:E85)</f>
        <v>0</v>
      </c>
      <c r="F86" s="689">
        <f t="shared" ref="F86:X86" si="38">SUM(F82:F85)</f>
        <v>0</v>
      </c>
      <c r="G86" s="689">
        <f t="shared" si="38"/>
        <v>0</v>
      </c>
      <c r="H86" s="689">
        <f t="shared" si="38"/>
        <v>0</v>
      </c>
      <c r="I86" s="689">
        <f t="shared" si="38"/>
        <v>0</v>
      </c>
      <c r="J86" s="689">
        <f t="shared" si="38"/>
        <v>0</v>
      </c>
      <c r="K86" s="689">
        <f t="shared" si="38"/>
        <v>0</v>
      </c>
      <c r="L86" s="689">
        <f t="shared" si="38"/>
        <v>0</v>
      </c>
      <c r="M86" s="689">
        <f t="shared" si="38"/>
        <v>0</v>
      </c>
      <c r="N86" s="689">
        <f t="shared" si="38"/>
        <v>0</v>
      </c>
      <c r="O86" s="689">
        <f t="shared" si="38"/>
        <v>0</v>
      </c>
      <c r="P86" s="689">
        <f t="shared" si="38"/>
        <v>0</v>
      </c>
      <c r="Q86" s="689">
        <f t="shared" si="38"/>
        <v>0</v>
      </c>
      <c r="R86" s="689">
        <f t="shared" si="38"/>
        <v>0</v>
      </c>
      <c r="S86" s="689">
        <f t="shared" si="38"/>
        <v>0</v>
      </c>
      <c r="T86" s="689">
        <f t="shared" si="38"/>
        <v>0</v>
      </c>
      <c r="U86" s="689">
        <f t="shared" si="38"/>
        <v>0</v>
      </c>
      <c r="V86" s="689">
        <f t="shared" si="38"/>
        <v>0</v>
      </c>
      <c r="W86" s="689">
        <f t="shared" si="38"/>
        <v>0</v>
      </c>
      <c r="X86" s="689">
        <f t="shared" si="38"/>
        <v>0</v>
      </c>
      <c r="Y86" s="691">
        <f t="shared" si="26"/>
        <v>0</v>
      </c>
      <c r="Z86" s="689">
        <f t="shared" ref="Z86:AV86" si="39">SUM(Z82:Z85)</f>
        <v>0</v>
      </c>
      <c r="AA86" s="689">
        <f t="shared" si="39"/>
        <v>0</v>
      </c>
      <c r="AB86" s="689">
        <f t="shared" si="39"/>
        <v>0</v>
      </c>
      <c r="AC86" s="689">
        <f t="shared" si="39"/>
        <v>0</v>
      </c>
      <c r="AD86" s="689">
        <f t="shared" si="39"/>
        <v>0</v>
      </c>
      <c r="AE86" s="689">
        <f t="shared" si="39"/>
        <v>0</v>
      </c>
      <c r="AF86" s="689">
        <f t="shared" si="39"/>
        <v>0</v>
      </c>
      <c r="AG86" s="689">
        <f t="shared" si="39"/>
        <v>0</v>
      </c>
      <c r="AH86" s="689">
        <f t="shared" si="39"/>
        <v>0</v>
      </c>
      <c r="AI86" s="689">
        <f t="shared" si="39"/>
        <v>0</v>
      </c>
      <c r="AJ86" s="689">
        <f t="shared" si="39"/>
        <v>0</v>
      </c>
      <c r="AK86" s="689">
        <f t="shared" si="39"/>
        <v>0</v>
      </c>
      <c r="AL86" s="689">
        <f t="shared" si="39"/>
        <v>0</v>
      </c>
      <c r="AM86" s="689">
        <f t="shared" si="39"/>
        <v>0</v>
      </c>
      <c r="AN86" s="689">
        <f t="shared" si="39"/>
        <v>0</v>
      </c>
      <c r="AO86" s="689">
        <f t="shared" si="39"/>
        <v>0</v>
      </c>
      <c r="AP86" s="689">
        <f t="shared" si="39"/>
        <v>0</v>
      </c>
      <c r="AQ86" s="689">
        <f t="shared" si="39"/>
        <v>0</v>
      </c>
      <c r="AR86" s="689">
        <f t="shared" si="39"/>
        <v>0</v>
      </c>
      <c r="AS86" s="689">
        <f t="shared" si="39"/>
        <v>0</v>
      </c>
      <c r="AT86" s="689">
        <f t="shared" si="39"/>
        <v>0</v>
      </c>
      <c r="AU86" s="689">
        <f t="shared" si="39"/>
        <v>0</v>
      </c>
      <c r="AV86" s="689">
        <f t="shared" si="39"/>
        <v>0</v>
      </c>
    </row>
    <row r="87" spans="1:48">
      <c r="A87" s="640">
        <v>85</v>
      </c>
      <c r="B87" s="607"/>
      <c r="C87" s="669" t="s">
        <v>39</v>
      </c>
      <c r="D87" s="669"/>
      <c r="E87" s="650">
        <f>E25+E47+E70+E76+E81+E86</f>
        <v>131186000</v>
      </c>
      <c r="F87" s="650">
        <f t="shared" ref="F87:X87" si="40">F25+F47+F70+F76+F81+F86</f>
        <v>0</v>
      </c>
      <c r="G87" s="650">
        <f t="shared" si="40"/>
        <v>15000</v>
      </c>
      <c r="H87" s="650">
        <f t="shared" si="40"/>
        <v>0</v>
      </c>
      <c r="I87" s="650">
        <f t="shared" si="40"/>
        <v>0</v>
      </c>
      <c r="J87" s="650">
        <f t="shared" si="40"/>
        <v>0</v>
      </c>
      <c r="K87" s="650">
        <f t="shared" si="40"/>
        <v>0</v>
      </c>
      <c r="L87" s="650">
        <f t="shared" si="40"/>
        <v>166000</v>
      </c>
      <c r="M87" s="650">
        <f t="shared" si="40"/>
        <v>0</v>
      </c>
      <c r="N87" s="650">
        <f t="shared" si="40"/>
        <v>0</v>
      </c>
      <c r="O87" s="650">
        <f t="shared" si="40"/>
        <v>0</v>
      </c>
      <c r="P87" s="650">
        <f t="shared" si="40"/>
        <v>0</v>
      </c>
      <c r="Q87" s="650">
        <f t="shared" si="40"/>
        <v>0</v>
      </c>
      <c r="R87" s="650">
        <f t="shared" si="40"/>
        <v>0</v>
      </c>
      <c r="S87" s="650">
        <f t="shared" si="40"/>
        <v>-1671000</v>
      </c>
      <c r="T87" s="650">
        <f t="shared" si="40"/>
        <v>-54268000</v>
      </c>
      <c r="U87" s="650">
        <f t="shared" si="40"/>
        <v>-1000</v>
      </c>
      <c r="V87" s="650">
        <f t="shared" si="40"/>
        <v>0</v>
      </c>
      <c r="W87" s="650">
        <f t="shared" si="40"/>
        <v>0</v>
      </c>
      <c r="X87" s="650">
        <f t="shared" si="40"/>
        <v>0</v>
      </c>
      <c r="Y87" s="690">
        <f t="shared" si="26"/>
        <v>-55759000</v>
      </c>
      <c r="Z87" s="650">
        <f t="shared" ref="Z87:AV87" si="41">Z25+Z47+Z70+Z76+Z81+Z86</f>
        <v>-51286000</v>
      </c>
      <c r="AA87" s="650">
        <f t="shared" si="41"/>
        <v>0</v>
      </c>
      <c r="AB87" s="650">
        <f t="shared" si="41"/>
        <v>0</v>
      </c>
      <c r="AC87" s="650">
        <f t="shared" si="41"/>
        <v>675000</v>
      </c>
      <c r="AD87" s="650">
        <f t="shared" si="41"/>
        <v>0</v>
      </c>
      <c r="AE87" s="650">
        <f t="shared" si="41"/>
        <v>242000</v>
      </c>
      <c r="AF87" s="650">
        <f t="shared" si="41"/>
        <v>0</v>
      </c>
      <c r="AG87" s="650">
        <f t="shared" si="41"/>
        <v>0</v>
      </c>
      <c r="AH87" s="650">
        <f t="shared" si="41"/>
        <v>0</v>
      </c>
      <c r="AI87" s="650">
        <f t="shared" si="41"/>
        <v>67000</v>
      </c>
      <c r="AJ87" s="650">
        <f t="shared" si="41"/>
        <v>0</v>
      </c>
      <c r="AK87" s="650">
        <f t="shared" si="41"/>
        <v>0</v>
      </c>
      <c r="AL87" s="650">
        <f t="shared" si="41"/>
        <v>0</v>
      </c>
      <c r="AM87" s="650">
        <f t="shared" si="41"/>
        <v>0</v>
      </c>
      <c r="AN87" s="650">
        <f t="shared" si="41"/>
        <v>0</v>
      </c>
      <c r="AO87" s="650">
        <f t="shared" si="41"/>
        <v>-995000</v>
      </c>
      <c r="AP87" s="650">
        <f t="shared" si="41"/>
        <v>0</v>
      </c>
      <c r="AQ87" s="650">
        <f t="shared" si="41"/>
        <v>0</v>
      </c>
      <c r="AR87" s="650">
        <f t="shared" si="41"/>
        <v>-51297000</v>
      </c>
      <c r="AS87" s="650">
        <f t="shared" si="41"/>
        <v>-107056000</v>
      </c>
      <c r="AT87" s="650">
        <f t="shared" si="41"/>
        <v>24130000</v>
      </c>
      <c r="AU87" s="650">
        <f t="shared" si="41"/>
        <v>0</v>
      </c>
      <c r="AV87" s="650">
        <f t="shared" si="41"/>
        <v>24130000</v>
      </c>
    </row>
    <row r="88" spans="1:48">
      <c r="A88" s="640">
        <v>86</v>
      </c>
      <c r="B88" s="607"/>
      <c r="C88" s="607"/>
      <c r="D88" s="607"/>
      <c r="E88" s="650"/>
      <c r="F88" s="650"/>
      <c r="G88" s="650"/>
      <c r="H88" s="650"/>
      <c r="I88" s="650"/>
      <c r="J88" s="650"/>
      <c r="K88" s="650"/>
      <c r="L88" s="650"/>
      <c r="M88" s="650"/>
      <c r="N88" s="650"/>
      <c r="O88" s="650"/>
      <c r="P88" s="650"/>
      <c r="Q88" s="650"/>
      <c r="R88" s="650"/>
      <c r="S88" s="650"/>
      <c r="T88" s="650"/>
      <c r="U88" s="650"/>
      <c r="V88" s="650"/>
      <c r="W88" s="650"/>
      <c r="X88" s="650"/>
      <c r="Y88" s="690">
        <f t="shared" si="26"/>
        <v>0</v>
      </c>
      <c r="Z88" s="650"/>
      <c r="AA88" s="650"/>
      <c r="AB88" s="650"/>
      <c r="AC88" s="650"/>
      <c r="AD88" s="650"/>
      <c r="AE88" s="650"/>
      <c r="AF88" s="650"/>
      <c r="AG88" s="650"/>
      <c r="AH88" s="650"/>
      <c r="AI88" s="650"/>
      <c r="AJ88" s="650"/>
      <c r="AK88" s="650"/>
      <c r="AL88" s="650"/>
      <c r="AM88" s="650"/>
      <c r="AN88" s="650"/>
      <c r="AO88" s="650"/>
      <c r="AP88" s="650"/>
      <c r="AQ88" s="650"/>
      <c r="AR88" s="693">
        <f t="shared" si="30"/>
        <v>0</v>
      </c>
      <c r="AS88" s="643">
        <f t="shared" si="31"/>
        <v>0</v>
      </c>
      <c r="AT88" s="643">
        <f t="shared" si="32"/>
        <v>0</v>
      </c>
      <c r="AU88" s="643"/>
      <c r="AV88" s="643">
        <f t="shared" si="33"/>
        <v>0</v>
      </c>
    </row>
    <row r="89" spans="1:48">
      <c r="A89" s="640">
        <v>87</v>
      </c>
      <c r="B89" s="811" t="s">
        <v>40</v>
      </c>
      <c r="C89" s="628" t="s">
        <v>741</v>
      </c>
      <c r="D89" s="656">
        <v>920</v>
      </c>
      <c r="E89" s="649">
        <f>PROFORMA!F128</f>
        <v>6965000</v>
      </c>
      <c r="F89" s="649">
        <f>PROFORMA!G128</f>
        <v>0</v>
      </c>
      <c r="G89" s="649">
        <f>PROFORMA!H128</f>
        <v>0</v>
      </c>
      <c r="H89" s="649">
        <f>PROFORMA!I128</f>
        <v>0</v>
      </c>
      <c r="I89" s="649">
        <f>PROFORMA!J128</f>
        <v>0</v>
      </c>
      <c r="J89" s="649">
        <f>PROFORMA!K128</f>
        <v>0</v>
      </c>
      <c r="K89" s="649">
        <f>PROFORMA!L128</f>
        <v>0</v>
      </c>
      <c r="L89" s="649">
        <f>PROFORMA!M128</f>
        <v>0</v>
      </c>
      <c r="M89" s="649">
        <f>PROFORMA!N128</f>
        <v>0</v>
      </c>
      <c r="N89" s="649">
        <f>PROFORMA!O128</f>
        <v>0</v>
      </c>
      <c r="O89" s="649">
        <f>PROFORMA!P128</f>
        <v>0</v>
      </c>
      <c r="P89" s="649">
        <f>PROFORMA!Q128</f>
        <v>0</v>
      </c>
      <c r="Q89" s="649">
        <f>PROFORMA!R128</f>
        <v>0</v>
      </c>
      <c r="R89" s="649">
        <f>PROFORMA!S128</f>
        <v>0</v>
      </c>
      <c r="S89" s="649">
        <f>PROFORMA!T128</f>
        <v>0</v>
      </c>
      <c r="T89" s="649">
        <f>PROFORMA!U128</f>
        <v>16000</v>
      </c>
      <c r="U89" s="649">
        <f>PROFORMA!V128</f>
        <v>-235000</v>
      </c>
      <c r="V89" s="649">
        <f>PROFORMA!W128</f>
        <v>219000</v>
      </c>
      <c r="W89" s="649">
        <f>PROFORMA!X128</f>
        <v>0</v>
      </c>
      <c r="X89" s="649">
        <f>PROFORMA!Y128</f>
        <v>0</v>
      </c>
      <c r="Y89" s="690">
        <f t="shared" si="26"/>
        <v>0</v>
      </c>
      <c r="Z89" s="649">
        <f>PROFORMA!Z128</f>
        <v>0</v>
      </c>
      <c r="AA89" s="649">
        <f>PROFORMA!AA128</f>
        <v>0</v>
      </c>
      <c r="AB89" s="649">
        <f>PROFORMA!AB128</f>
        <v>0</v>
      </c>
      <c r="AC89" s="649">
        <f>PROFORMA!AC128</f>
        <v>250000</v>
      </c>
      <c r="AD89" s="649">
        <f>PROFORMA!AD128</f>
        <v>-97000</v>
      </c>
      <c r="AE89" s="649">
        <f>PROFORMA!AE128</f>
        <v>0</v>
      </c>
      <c r="AF89" s="649">
        <f>PROFORMA!AF128</f>
        <v>1079000</v>
      </c>
      <c r="AG89" s="649">
        <f>PROFORMA!AG128</f>
        <v>0</v>
      </c>
      <c r="AH89" s="649">
        <f>PROFORMA!AH128</f>
        <v>0</v>
      </c>
      <c r="AI89" s="649">
        <f>PROFORMA!AI128</f>
        <v>0</v>
      </c>
      <c r="AJ89" s="649">
        <f>PROFORMA!AJ128</f>
        <v>0</v>
      </c>
      <c r="AK89" s="649">
        <f>PROFORMA!AK128</f>
        <v>0</v>
      </c>
      <c r="AL89" s="649">
        <f>PROFORMA!AL128</f>
        <v>0</v>
      </c>
      <c r="AM89" s="649">
        <f>PROFORMA!AM128</f>
        <v>0</v>
      </c>
      <c r="AN89" s="649">
        <f>PROFORMA!AN128</f>
        <v>0</v>
      </c>
      <c r="AO89" s="649">
        <f>PROFORMA!AO128</f>
        <v>0</v>
      </c>
      <c r="AP89" s="649">
        <f>PROFORMA!AP128</f>
        <v>0</v>
      </c>
      <c r="AQ89" s="649">
        <f>PROFORMA!AQ128</f>
        <v>0</v>
      </c>
      <c r="AR89" s="693">
        <f t="shared" si="30"/>
        <v>1232000</v>
      </c>
      <c r="AS89" s="643">
        <f t="shared" si="31"/>
        <v>1232000</v>
      </c>
      <c r="AT89" s="643">
        <f t="shared" si="32"/>
        <v>8197000</v>
      </c>
      <c r="AU89" s="643"/>
      <c r="AV89" s="643">
        <f t="shared" si="33"/>
        <v>8197000</v>
      </c>
    </row>
    <row r="90" spans="1:48">
      <c r="A90" s="640">
        <v>88</v>
      </c>
      <c r="B90" s="811"/>
      <c r="C90" s="628" t="s">
        <v>44</v>
      </c>
      <c r="D90" s="656">
        <v>921</v>
      </c>
      <c r="E90" s="649">
        <f>PROFORMA!F129</f>
        <v>973000</v>
      </c>
      <c r="F90" s="649">
        <f>PROFORMA!G129</f>
        <v>0</v>
      </c>
      <c r="G90" s="649">
        <f>PROFORMA!H129</f>
        <v>0</v>
      </c>
      <c r="H90" s="649">
        <f>PROFORMA!I129</f>
        <v>0</v>
      </c>
      <c r="I90" s="649">
        <f>PROFORMA!J129</f>
        <v>0</v>
      </c>
      <c r="J90" s="649">
        <f>PROFORMA!K129</f>
        <v>0</v>
      </c>
      <c r="K90" s="649">
        <f>PROFORMA!L129</f>
        <v>0</v>
      </c>
      <c r="L90" s="649">
        <f>PROFORMA!M129</f>
        <v>0</v>
      </c>
      <c r="M90" s="649">
        <f>PROFORMA!N129</f>
        <v>0</v>
      </c>
      <c r="N90" s="649">
        <f>PROFORMA!O129</f>
        <v>0</v>
      </c>
      <c r="O90" s="649">
        <f>PROFORMA!P129</f>
        <v>0</v>
      </c>
      <c r="P90" s="649">
        <f>PROFORMA!Q129</f>
        <v>-16000</v>
      </c>
      <c r="Q90" s="649">
        <f>PROFORMA!R129</f>
        <v>0</v>
      </c>
      <c r="R90" s="649">
        <f>PROFORMA!S129</f>
        <v>0</v>
      </c>
      <c r="S90" s="649">
        <f>PROFORMA!T129</f>
        <v>0</v>
      </c>
      <c r="T90" s="649">
        <f>PROFORMA!U129</f>
        <v>0</v>
      </c>
      <c r="U90" s="649">
        <f>PROFORMA!V129</f>
        <v>-2000</v>
      </c>
      <c r="V90" s="649">
        <f>PROFORMA!W129</f>
        <v>0</v>
      </c>
      <c r="W90" s="649">
        <f>PROFORMA!X129</f>
        <v>0</v>
      </c>
      <c r="X90" s="649">
        <f>PROFORMA!Y129</f>
        <v>0</v>
      </c>
      <c r="Y90" s="690">
        <f t="shared" si="26"/>
        <v>-18000</v>
      </c>
      <c r="Z90" s="649">
        <f>PROFORMA!Z129</f>
        <v>0</v>
      </c>
      <c r="AA90" s="649">
        <f>PROFORMA!AA129</f>
        <v>0</v>
      </c>
      <c r="AB90" s="649">
        <f>PROFORMA!AB129</f>
        <v>0</v>
      </c>
      <c r="AC90" s="649">
        <f>PROFORMA!AC129</f>
        <v>5000</v>
      </c>
      <c r="AD90" s="649">
        <f>PROFORMA!AD129</f>
        <v>0</v>
      </c>
      <c r="AE90" s="649">
        <f>PROFORMA!AE129</f>
        <v>0</v>
      </c>
      <c r="AF90" s="649">
        <f>PROFORMA!AF129</f>
        <v>0</v>
      </c>
      <c r="AG90" s="649">
        <f>PROFORMA!AG129</f>
        <v>0</v>
      </c>
      <c r="AH90" s="649">
        <f>PROFORMA!AH129</f>
        <v>0</v>
      </c>
      <c r="AI90" s="649">
        <f>PROFORMA!AI129</f>
        <v>0</v>
      </c>
      <c r="AJ90" s="649">
        <f>PROFORMA!AJ129</f>
        <v>0</v>
      </c>
      <c r="AK90" s="649">
        <f>PROFORMA!AK129</f>
        <v>0</v>
      </c>
      <c r="AL90" s="649">
        <f>PROFORMA!AL129</f>
        <v>0</v>
      </c>
      <c r="AM90" s="649">
        <f>PROFORMA!AM129</f>
        <v>0</v>
      </c>
      <c r="AN90" s="649">
        <f>PROFORMA!AN129</f>
        <v>0</v>
      </c>
      <c r="AO90" s="649">
        <f>PROFORMA!AO129</f>
        <v>0</v>
      </c>
      <c r="AP90" s="649">
        <f>PROFORMA!AP129</f>
        <v>0</v>
      </c>
      <c r="AQ90" s="649">
        <f>PROFORMA!AQ129</f>
        <v>0</v>
      </c>
      <c r="AR90" s="693">
        <f t="shared" si="30"/>
        <v>5000</v>
      </c>
      <c r="AS90" s="643">
        <f t="shared" si="31"/>
        <v>-13000</v>
      </c>
      <c r="AT90" s="643">
        <f t="shared" si="32"/>
        <v>960000</v>
      </c>
      <c r="AU90" s="643"/>
      <c r="AV90" s="643">
        <f t="shared" si="33"/>
        <v>960000</v>
      </c>
    </row>
    <row r="91" spans="1:48" ht="31.2">
      <c r="A91" s="640">
        <v>89</v>
      </c>
      <c r="B91" s="811"/>
      <c r="C91" s="628" t="s">
        <v>740</v>
      </c>
      <c r="D91" s="656">
        <v>922</v>
      </c>
      <c r="E91" s="649">
        <f>PROFORMA!F130</f>
        <v>-13000</v>
      </c>
      <c r="F91" s="649">
        <f>PROFORMA!G130</f>
        <v>0</v>
      </c>
      <c r="G91" s="649">
        <f>PROFORMA!H130</f>
        <v>0</v>
      </c>
      <c r="H91" s="649">
        <f>PROFORMA!I130</f>
        <v>0</v>
      </c>
      <c r="I91" s="649">
        <f>PROFORMA!J130</f>
        <v>0</v>
      </c>
      <c r="J91" s="649">
        <f>PROFORMA!K130</f>
        <v>0</v>
      </c>
      <c r="K91" s="649">
        <f>PROFORMA!L130</f>
        <v>0</v>
      </c>
      <c r="L91" s="649">
        <f>PROFORMA!M130</f>
        <v>0</v>
      </c>
      <c r="M91" s="649">
        <f>PROFORMA!N130</f>
        <v>0</v>
      </c>
      <c r="N91" s="649">
        <f>PROFORMA!O130</f>
        <v>0</v>
      </c>
      <c r="O91" s="649">
        <f>PROFORMA!P130</f>
        <v>0</v>
      </c>
      <c r="P91" s="649">
        <f>PROFORMA!Q130</f>
        <v>0</v>
      </c>
      <c r="Q91" s="649">
        <f>PROFORMA!R130</f>
        <v>0</v>
      </c>
      <c r="R91" s="649">
        <f>PROFORMA!S130</f>
        <v>0</v>
      </c>
      <c r="S91" s="649">
        <f>PROFORMA!T130</f>
        <v>0</v>
      </c>
      <c r="T91" s="649">
        <f>PROFORMA!U130</f>
        <v>0</v>
      </c>
      <c r="U91" s="649">
        <f>PROFORMA!V130</f>
        <v>0</v>
      </c>
      <c r="V91" s="649">
        <f>PROFORMA!W130</f>
        <v>0</v>
      </c>
      <c r="W91" s="649">
        <f>PROFORMA!X130</f>
        <v>0</v>
      </c>
      <c r="X91" s="649">
        <f>PROFORMA!Y130</f>
        <v>0</v>
      </c>
      <c r="Y91" s="690">
        <f t="shared" si="26"/>
        <v>0</v>
      </c>
      <c r="Z91" s="649">
        <f>PROFORMA!Z130</f>
        <v>0</v>
      </c>
      <c r="AA91" s="649">
        <f>PROFORMA!AA130</f>
        <v>0</v>
      </c>
      <c r="AB91" s="649">
        <f>PROFORMA!AB130</f>
        <v>0</v>
      </c>
      <c r="AC91" s="649">
        <f>PROFORMA!AC130</f>
        <v>0</v>
      </c>
      <c r="AD91" s="649">
        <f>PROFORMA!AD130</f>
        <v>0</v>
      </c>
      <c r="AE91" s="649">
        <f>PROFORMA!AE130</f>
        <v>0</v>
      </c>
      <c r="AF91" s="649">
        <f>PROFORMA!AF130</f>
        <v>0</v>
      </c>
      <c r="AG91" s="649">
        <f>PROFORMA!AG130</f>
        <v>0</v>
      </c>
      <c r="AH91" s="649">
        <f>PROFORMA!AH130</f>
        <v>0</v>
      </c>
      <c r="AI91" s="649">
        <f>PROFORMA!AI130</f>
        <v>0</v>
      </c>
      <c r="AJ91" s="649">
        <f>PROFORMA!AJ130</f>
        <v>0</v>
      </c>
      <c r="AK91" s="649">
        <f>PROFORMA!AK130</f>
        <v>0</v>
      </c>
      <c r="AL91" s="649">
        <f>PROFORMA!AL130</f>
        <v>0</v>
      </c>
      <c r="AM91" s="649">
        <f>PROFORMA!AM130</f>
        <v>0</v>
      </c>
      <c r="AN91" s="649">
        <f>PROFORMA!AN130</f>
        <v>0</v>
      </c>
      <c r="AO91" s="649">
        <f>PROFORMA!AO130</f>
        <v>0</v>
      </c>
      <c r="AP91" s="649">
        <f>PROFORMA!AP130</f>
        <v>0</v>
      </c>
      <c r="AQ91" s="649">
        <f>PROFORMA!AQ130</f>
        <v>0</v>
      </c>
      <c r="AR91" s="693">
        <f t="shared" si="30"/>
        <v>0</v>
      </c>
      <c r="AS91" s="643">
        <f t="shared" si="31"/>
        <v>0</v>
      </c>
      <c r="AT91" s="643">
        <f t="shared" si="32"/>
        <v>-13000</v>
      </c>
      <c r="AU91" s="643"/>
      <c r="AV91" s="643">
        <f t="shared" si="33"/>
        <v>-13000</v>
      </c>
    </row>
    <row r="92" spans="1:48">
      <c r="A92" s="640">
        <v>90</v>
      </c>
      <c r="B92" s="811"/>
      <c r="C92" s="628" t="s">
        <v>48</v>
      </c>
      <c r="D92" s="656">
        <v>923</v>
      </c>
      <c r="E92" s="649">
        <f>PROFORMA!F131</f>
        <v>1950000</v>
      </c>
      <c r="F92" s="649">
        <f>PROFORMA!G131</f>
        <v>0</v>
      </c>
      <c r="G92" s="649">
        <f>PROFORMA!H131</f>
        <v>0</v>
      </c>
      <c r="H92" s="649">
        <f>PROFORMA!I131</f>
        <v>0</v>
      </c>
      <c r="I92" s="649">
        <f>PROFORMA!J131</f>
        <v>0</v>
      </c>
      <c r="J92" s="649">
        <f>PROFORMA!K131</f>
        <v>0</v>
      </c>
      <c r="K92" s="649">
        <f>PROFORMA!L131</f>
        <v>0</v>
      </c>
      <c r="L92" s="649">
        <f>PROFORMA!M131</f>
        <v>0</v>
      </c>
      <c r="M92" s="649">
        <f>PROFORMA!N131</f>
        <v>0</v>
      </c>
      <c r="N92" s="649">
        <f>PROFORMA!O131</f>
        <v>0</v>
      </c>
      <c r="O92" s="649">
        <f>PROFORMA!P131</f>
        <v>0</v>
      </c>
      <c r="P92" s="649">
        <f>PROFORMA!Q131</f>
        <v>0</v>
      </c>
      <c r="Q92" s="649">
        <f>PROFORMA!R131</f>
        <v>0</v>
      </c>
      <c r="R92" s="649">
        <f>PROFORMA!S131</f>
        <v>0</v>
      </c>
      <c r="S92" s="649">
        <f>PROFORMA!T131</f>
        <v>0</v>
      </c>
      <c r="T92" s="649">
        <f>PROFORMA!U131</f>
        <v>0</v>
      </c>
      <c r="U92" s="649">
        <f>PROFORMA!V131</f>
        <v>0</v>
      </c>
      <c r="V92" s="649">
        <f>PROFORMA!W131</f>
        <v>0</v>
      </c>
      <c r="W92" s="649">
        <f>PROFORMA!X131</f>
        <v>0</v>
      </c>
      <c r="X92" s="649">
        <f>PROFORMA!Y131</f>
        <v>0</v>
      </c>
      <c r="Y92" s="690">
        <f t="shared" si="26"/>
        <v>0</v>
      </c>
      <c r="Z92" s="649">
        <f>PROFORMA!Z131</f>
        <v>0</v>
      </c>
      <c r="AA92" s="649">
        <f>PROFORMA!AA131</f>
        <v>0</v>
      </c>
      <c r="AB92" s="649">
        <f>PROFORMA!AB131</f>
        <v>0</v>
      </c>
      <c r="AC92" s="649">
        <f>PROFORMA!AC131</f>
        <v>0</v>
      </c>
      <c r="AD92" s="649">
        <f>PROFORMA!AD131</f>
        <v>0</v>
      </c>
      <c r="AE92" s="649">
        <f>PROFORMA!AE131</f>
        <v>0</v>
      </c>
      <c r="AF92" s="649">
        <f>PROFORMA!AF131</f>
        <v>0</v>
      </c>
      <c r="AG92" s="649">
        <f>PROFORMA!AG131</f>
        <v>0</v>
      </c>
      <c r="AH92" s="649">
        <f>PROFORMA!AH131</f>
        <v>0</v>
      </c>
      <c r="AI92" s="649">
        <f>PROFORMA!AI131</f>
        <v>0</v>
      </c>
      <c r="AJ92" s="649">
        <f>PROFORMA!AJ131</f>
        <v>0</v>
      </c>
      <c r="AK92" s="649">
        <f>PROFORMA!AK131</f>
        <v>0</v>
      </c>
      <c r="AL92" s="649">
        <f>PROFORMA!AL131</f>
        <v>0</v>
      </c>
      <c r="AM92" s="649">
        <f>PROFORMA!AM131</f>
        <v>0</v>
      </c>
      <c r="AN92" s="649">
        <f>PROFORMA!AN131</f>
        <v>0</v>
      </c>
      <c r="AO92" s="649">
        <f>PROFORMA!AO131</f>
        <v>0</v>
      </c>
      <c r="AP92" s="649">
        <f>PROFORMA!AP131</f>
        <v>0</v>
      </c>
      <c r="AQ92" s="649">
        <f>PROFORMA!AQ131</f>
        <v>0</v>
      </c>
      <c r="AR92" s="693">
        <f t="shared" si="30"/>
        <v>0</v>
      </c>
      <c r="AS92" s="643">
        <f t="shared" si="31"/>
        <v>0</v>
      </c>
      <c r="AT92" s="643">
        <f t="shared" si="32"/>
        <v>1950000</v>
      </c>
      <c r="AU92" s="643"/>
      <c r="AV92" s="643">
        <f t="shared" si="33"/>
        <v>1950000</v>
      </c>
    </row>
    <row r="93" spans="1:48">
      <c r="A93" s="640">
        <v>91</v>
      </c>
      <c r="B93" s="811"/>
      <c r="C93" s="628" t="s">
        <v>50</v>
      </c>
      <c r="D93" s="656">
        <v>924</v>
      </c>
      <c r="E93" s="649">
        <f>PROFORMA!F132</f>
        <v>248000</v>
      </c>
      <c r="F93" s="649">
        <f>PROFORMA!G132</f>
        <v>0</v>
      </c>
      <c r="G93" s="649">
        <f>PROFORMA!H132</f>
        <v>0</v>
      </c>
      <c r="H93" s="649">
        <f>PROFORMA!I132</f>
        <v>0</v>
      </c>
      <c r="I93" s="649">
        <f>PROFORMA!J132</f>
        <v>0</v>
      </c>
      <c r="J93" s="649">
        <f>PROFORMA!K132</f>
        <v>0</v>
      </c>
      <c r="K93" s="649">
        <f>PROFORMA!L132</f>
        <v>0</v>
      </c>
      <c r="L93" s="649">
        <f>PROFORMA!M132</f>
        <v>0</v>
      </c>
      <c r="M93" s="649">
        <f>PROFORMA!N132</f>
        <v>0</v>
      </c>
      <c r="N93" s="649">
        <f>PROFORMA!O132</f>
        <v>0</v>
      </c>
      <c r="O93" s="649">
        <f>PROFORMA!P132</f>
        <v>0</v>
      </c>
      <c r="P93" s="649">
        <f>PROFORMA!Q132</f>
        <v>0</v>
      </c>
      <c r="Q93" s="649">
        <f>PROFORMA!R132</f>
        <v>0</v>
      </c>
      <c r="R93" s="649">
        <f>PROFORMA!S132</f>
        <v>0</v>
      </c>
      <c r="S93" s="649">
        <f>PROFORMA!T132</f>
        <v>0</v>
      </c>
      <c r="T93" s="649">
        <f>PROFORMA!U132</f>
        <v>0</v>
      </c>
      <c r="U93" s="649">
        <f>PROFORMA!V132</f>
        <v>0</v>
      </c>
      <c r="V93" s="649">
        <f>PROFORMA!W132</f>
        <v>0</v>
      </c>
      <c r="W93" s="649">
        <f>PROFORMA!X132</f>
        <v>0</v>
      </c>
      <c r="X93" s="649">
        <f>PROFORMA!Y132</f>
        <v>0</v>
      </c>
      <c r="Y93" s="690">
        <f t="shared" si="26"/>
        <v>0</v>
      </c>
      <c r="Z93" s="649">
        <f>PROFORMA!Z132</f>
        <v>0</v>
      </c>
      <c r="AA93" s="649">
        <f>PROFORMA!AA132</f>
        <v>0</v>
      </c>
      <c r="AB93" s="649">
        <f>PROFORMA!AB132</f>
        <v>0</v>
      </c>
      <c r="AC93" s="649">
        <f>PROFORMA!AC132</f>
        <v>0</v>
      </c>
      <c r="AD93" s="649">
        <f>PROFORMA!AD132</f>
        <v>0</v>
      </c>
      <c r="AE93" s="649">
        <f>PROFORMA!AE132</f>
        <v>0</v>
      </c>
      <c r="AF93" s="649">
        <f>PROFORMA!AF132</f>
        <v>0</v>
      </c>
      <c r="AG93" s="649">
        <f>PROFORMA!AG132</f>
        <v>0</v>
      </c>
      <c r="AH93" s="649">
        <f>PROFORMA!AH132</f>
        <v>0</v>
      </c>
      <c r="AI93" s="649">
        <f>PROFORMA!AI132</f>
        <v>0</v>
      </c>
      <c r="AJ93" s="649">
        <f>PROFORMA!AJ132</f>
        <v>0</v>
      </c>
      <c r="AK93" s="649">
        <f>PROFORMA!AK132</f>
        <v>0</v>
      </c>
      <c r="AL93" s="649">
        <f>PROFORMA!AL132</f>
        <v>0</v>
      </c>
      <c r="AM93" s="649">
        <f>PROFORMA!AM132</f>
        <v>0</v>
      </c>
      <c r="AN93" s="649">
        <f>PROFORMA!AN132</f>
        <v>0</v>
      </c>
      <c r="AO93" s="649">
        <f>PROFORMA!AO132</f>
        <v>0</v>
      </c>
      <c r="AP93" s="649">
        <f>PROFORMA!AP132</f>
        <v>0</v>
      </c>
      <c r="AQ93" s="649">
        <f>PROFORMA!AQ132</f>
        <v>0</v>
      </c>
      <c r="AR93" s="693">
        <f t="shared" si="30"/>
        <v>0</v>
      </c>
      <c r="AS93" s="643">
        <f t="shared" si="31"/>
        <v>0</v>
      </c>
      <c r="AT93" s="643">
        <f t="shared" si="32"/>
        <v>248000</v>
      </c>
      <c r="AU93" s="643"/>
      <c r="AV93" s="643">
        <f t="shared" si="33"/>
        <v>248000</v>
      </c>
    </row>
    <row r="94" spans="1:48">
      <c r="A94" s="640">
        <v>92</v>
      </c>
      <c r="B94" s="811"/>
      <c r="C94" s="628" t="s">
        <v>52</v>
      </c>
      <c r="D94" s="656">
        <v>925</v>
      </c>
      <c r="E94" s="649">
        <f>PROFORMA!F133</f>
        <v>596000</v>
      </c>
      <c r="F94" s="649">
        <f>PROFORMA!G133</f>
        <v>0</v>
      </c>
      <c r="G94" s="649">
        <f>PROFORMA!H133</f>
        <v>0</v>
      </c>
      <c r="H94" s="649">
        <f>PROFORMA!I133</f>
        <v>0</v>
      </c>
      <c r="I94" s="649">
        <f>PROFORMA!J133</f>
        <v>0</v>
      </c>
      <c r="J94" s="649">
        <f>PROFORMA!K133</f>
        <v>0</v>
      </c>
      <c r="K94" s="649">
        <f>PROFORMA!L133</f>
        <v>0</v>
      </c>
      <c r="L94" s="649">
        <f>PROFORMA!M133</f>
        <v>0</v>
      </c>
      <c r="M94" s="649">
        <f>PROFORMA!N133</f>
        <v>0</v>
      </c>
      <c r="N94" s="649">
        <f>PROFORMA!O133</f>
        <v>-9000</v>
      </c>
      <c r="O94" s="649">
        <f>PROFORMA!P133</f>
        <v>0</v>
      </c>
      <c r="P94" s="649">
        <f>PROFORMA!Q133</f>
        <v>0</v>
      </c>
      <c r="Q94" s="649">
        <f>PROFORMA!R133</f>
        <v>0</v>
      </c>
      <c r="R94" s="649">
        <f>PROFORMA!S133</f>
        <v>0</v>
      </c>
      <c r="S94" s="649">
        <f>PROFORMA!T133</f>
        <v>0</v>
      </c>
      <c r="T94" s="649">
        <f>PROFORMA!U133</f>
        <v>0</v>
      </c>
      <c r="U94" s="649">
        <f>PROFORMA!V133</f>
        <v>-9000</v>
      </c>
      <c r="V94" s="649">
        <f>PROFORMA!W133</f>
        <v>0</v>
      </c>
      <c r="W94" s="649">
        <f>PROFORMA!X133</f>
        <v>0</v>
      </c>
      <c r="X94" s="649">
        <f>PROFORMA!Y133</f>
        <v>0</v>
      </c>
      <c r="Y94" s="690">
        <f t="shared" si="26"/>
        <v>-18000</v>
      </c>
      <c r="Z94" s="649">
        <f>PROFORMA!Z133</f>
        <v>0</v>
      </c>
      <c r="AA94" s="649">
        <f>PROFORMA!AA133</f>
        <v>0</v>
      </c>
      <c r="AB94" s="649">
        <f>PROFORMA!AB133</f>
        <v>0</v>
      </c>
      <c r="AC94" s="649">
        <f>PROFORMA!AC133</f>
        <v>0</v>
      </c>
      <c r="AD94" s="649">
        <f>PROFORMA!AD133</f>
        <v>0</v>
      </c>
      <c r="AE94" s="649">
        <f>PROFORMA!AE133</f>
        <v>0</v>
      </c>
      <c r="AF94" s="649">
        <f>PROFORMA!AF133</f>
        <v>0</v>
      </c>
      <c r="AG94" s="649">
        <f>PROFORMA!AG133</f>
        <v>0</v>
      </c>
      <c r="AH94" s="649">
        <f>PROFORMA!AH133</f>
        <v>0</v>
      </c>
      <c r="AI94" s="649">
        <f>PROFORMA!AI133</f>
        <v>0</v>
      </c>
      <c r="AJ94" s="649">
        <f>PROFORMA!AJ133</f>
        <v>0</v>
      </c>
      <c r="AK94" s="649">
        <f>PROFORMA!AK133</f>
        <v>0</v>
      </c>
      <c r="AL94" s="649">
        <f>PROFORMA!AL133</f>
        <v>0</v>
      </c>
      <c r="AM94" s="649">
        <f>PROFORMA!AM133</f>
        <v>0</v>
      </c>
      <c r="AN94" s="649">
        <f>PROFORMA!AN133</f>
        <v>0</v>
      </c>
      <c r="AO94" s="649">
        <f>PROFORMA!AO133</f>
        <v>0</v>
      </c>
      <c r="AP94" s="649">
        <f>PROFORMA!AP133</f>
        <v>0</v>
      </c>
      <c r="AQ94" s="649">
        <f>PROFORMA!AQ133</f>
        <v>0</v>
      </c>
      <c r="AR94" s="693">
        <f t="shared" si="30"/>
        <v>0</v>
      </c>
      <c r="AS94" s="643">
        <f t="shared" si="31"/>
        <v>-18000</v>
      </c>
      <c r="AT94" s="643">
        <f t="shared" si="32"/>
        <v>578000</v>
      </c>
      <c r="AU94" s="643"/>
      <c r="AV94" s="643">
        <f t="shared" si="33"/>
        <v>578000</v>
      </c>
    </row>
    <row r="95" spans="1:48">
      <c r="A95" s="640">
        <v>93</v>
      </c>
      <c r="B95" s="811"/>
      <c r="C95" s="628" t="s">
        <v>54</v>
      </c>
      <c r="D95" s="656">
        <v>926</v>
      </c>
      <c r="E95" s="649">
        <f>PROFORMA!F134</f>
        <v>416000</v>
      </c>
      <c r="F95" s="649">
        <f>PROFORMA!G134</f>
        <v>0</v>
      </c>
      <c r="G95" s="649">
        <f>PROFORMA!H134</f>
        <v>0</v>
      </c>
      <c r="H95" s="649">
        <f>PROFORMA!I134</f>
        <v>0</v>
      </c>
      <c r="I95" s="649">
        <f>PROFORMA!J134</f>
        <v>0</v>
      </c>
      <c r="J95" s="649">
        <f>PROFORMA!K134</f>
        <v>0</v>
      </c>
      <c r="K95" s="649">
        <f>PROFORMA!L134</f>
        <v>0</v>
      </c>
      <c r="L95" s="649">
        <f>PROFORMA!M134</f>
        <v>0</v>
      </c>
      <c r="M95" s="649">
        <f>PROFORMA!N134</f>
        <v>0</v>
      </c>
      <c r="N95" s="649">
        <f>PROFORMA!O134</f>
        <v>0</v>
      </c>
      <c r="O95" s="649">
        <f>PROFORMA!P134</f>
        <v>0</v>
      </c>
      <c r="P95" s="649">
        <f>PROFORMA!Q134</f>
        <v>0</v>
      </c>
      <c r="Q95" s="649">
        <f>PROFORMA!R134</f>
        <v>0</v>
      </c>
      <c r="R95" s="649">
        <f>PROFORMA!S134</f>
        <v>0</v>
      </c>
      <c r="S95" s="649">
        <f>PROFORMA!T134</f>
        <v>0</v>
      </c>
      <c r="T95" s="649">
        <f>PROFORMA!U134</f>
        <v>0</v>
      </c>
      <c r="U95" s="649">
        <f>PROFORMA!V134</f>
        <v>0</v>
      </c>
      <c r="V95" s="649">
        <f>PROFORMA!W134</f>
        <v>0</v>
      </c>
      <c r="W95" s="649">
        <f>PROFORMA!X134</f>
        <v>0</v>
      </c>
      <c r="X95" s="649">
        <f>PROFORMA!Y134</f>
        <v>0</v>
      </c>
      <c r="Y95" s="690">
        <f t="shared" si="26"/>
        <v>0</v>
      </c>
      <c r="Z95" s="649">
        <f>PROFORMA!Z134</f>
        <v>0</v>
      </c>
      <c r="AA95" s="649">
        <f>PROFORMA!AA134</f>
        <v>0</v>
      </c>
      <c r="AB95" s="649">
        <f>PROFORMA!AB134</f>
        <v>0</v>
      </c>
      <c r="AC95" s="649">
        <f>PROFORMA!AC134</f>
        <v>4000</v>
      </c>
      <c r="AD95" s="649">
        <f>PROFORMA!AD134</f>
        <v>0</v>
      </c>
      <c r="AE95" s="649">
        <f>PROFORMA!AE134</f>
        <v>99000</v>
      </c>
      <c r="AF95" s="649">
        <f>PROFORMA!AF134</f>
        <v>0</v>
      </c>
      <c r="AG95" s="649">
        <f>PROFORMA!AG134</f>
        <v>0</v>
      </c>
      <c r="AH95" s="649">
        <f>PROFORMA!AH134</f>
        <v>0</v>
      </c>
      <c r="AI95" s="649">
        <f>PROFORMA!AI134</f>
        <v>0</v>
      </c>
      <c r="AJ95" s="649">
        <f>PROFORMA!AJ134</f>
        <v>0</v>
      </c>
      <c r="AK95" s="649">
        <f>PROFORMA!AK134</f>
        <v>0</v>
      </c>
      <c r="AL95" s="649">
        <f>PROFORMA!AL134</f>
        <v>0</v>
      </c>
      <c r="AM95" s="649">
        <f>PROFORMA!AM134</f>
        <v>0</v>
      </c>
      <c r="AN95" s="649">
        <f>PROFORMA!AN134</f>
        <v>0</v>
      </c>
      <c r="AO95" s="649">
        <f>PROFORMA!AO134</f>
        <v>0</v>
      </c>
      <c r="AP95" s="649">
        <f>PROFORMA!AP134</f>
        <v>0</v>
      </c>
      <c r="AQ95" s="649">
        <f>PROFORMA!AQ134</f>
        <v>0</v>
      </c>
      <c r="AR95" s="693">
        <f t="shared" si="30"/>
        <v>103000</v>
      </c>
      <c r="AS95" s="643">
        <f t="shared" si="31"/>
        <v>103000</v>
      </c>
      <c r="AT95" s="643">
        <f t="shared" si="32"/>
        <v>519000</v>
      </c>
      <c r="AU95" s="643"/>
      <c r="AV95" s="643">
        <f t="shared" si="33"/>
        <v>519000</v>
      </c>
    </row>
    <row r="96" spans="1:48">
      <c r="A96" s="640">
        <v>94</v>
      </c>
      <c r="B96" s="811"/>
      <c r="C96" s="628" t="s">
        <v>56</v>
      </c>
      <c r="D96" s="656">
        <v>927</v>
      </c>
      <c r="E96" s="649">
        <f>PROFORMA!F135</f>
        <v>0</v>
      </c>
      <c r="F96" s="649">
        <f>PROFORMA!G135</f>
        <v>0</v>
      </c>
      <c r="G96" s="649">
        <f>PROFORMA!H135</f>
        <v>0</v>
      </c>
      <c r="H96" s="649">
        <f>PROFORMA!I135</f>
        <v>0</v>
      </c>
      <c r="I96" s="649">
        <f>PROFORMA!J135</f>
        <v>0</v>
      </c>
      <c r="J96" s="649">
        <f>PROFORMA!K135</f>
        <v>0</v>
      </c>
      <c r="K96" s="649">
        <f>PROFORMA!L135</f>
        <v>0</v>
      </c>
      <c r="L96" s="649">
        <f>PROFORMA!M135</f>
        <v>0</v>
      </c>
      <c r="M96" s="649">
        <f>PROFORMA!N135</f>
        <v>0</v>
      </c>
      <c r="N96" s="649">
        <f>PROFORMA!O135</f>
        <v>0</v>
      </c>
      <c r="O96" s="649">
        <f>PROFORMA!P135</f>
        <v>0</v>
      </c>
      <c r="P96" s="649">
        <f>PROFORMA!Q135</f>
        <v>0</v>
      </c>
      <c r="Q96" s="649">
        <f>PROFORMA!R135</f>
        <v>0</v>
      </c>
      <c r="R96" s="649">
        <f>PROFORMA!S135</f>
        <v>0</v>
      </c>
      <c r="S96" s="649">
        <f>PROFORMA!T135</f>
        <v>0</v>
      </c>
      <c r="T96" s="649">
        <f>PROFORMA!U135</f>
        <v>0</v>
      </c>
      <c r="U96" s="649">
        <f>PROFORMA!V135</f>
        <v>0</v>
      </c>
      <c r="V96" s="649">
        <f>PROFORMA!W135</f>
        <v>0</v>
      </c>
      <c r="W96" s="649">
        <f>PROFORMA!X135</f>
        <v>0</v>
      </c>
      <c r="X96" s="649">
        <f>PROFORMA!Y135</f>
        <v>0</v>
      </c>
      <c r="Y96" s="690">
        <f t="shared" si="26"/>
        <v>0</v>
      </c>
      <c r="Z96" s="649">
        <f>PROFORMA!Z135</f>
        <v>0</v>
      </c>
      <c r="AA96" s="649">
        <f>PROFORMA!AA135</f>
        <v>0</v>
      </c>
      <c r="AB96" s="649">
        <f>PROFORMA!AB135</f>
        <v>0</v>
      </c>
      <c r="AC96" s="649">
        <f>PROFORMA!AC135</f>
        <v>0</v>
      </c>
      <c r="AD96" s="649">
        <f>PROFORMA!AD135</f>
        <v>0</v>
      </c>
      <c r="AE96" s="649">
        <f>PROFORMA!AE135</f>
        <v>0</v>
      </c>
      <c r="AF96" s="649">
        <f>PROFORMA!AF135</f>
        <v>0</v>
      </c>
      <c r="AG96" s="649">
        <f>PROFORMA!AG135</f>
        <v>0</v>
      </c>
      <c r="AH96" s="649">
        <f>PROFORMA!AH135</f>
        <v>0</v>
      </c>
      <c r="AI96" s="649">
        <f>PROFORMA!AI135</f>
        <v>0</v>
      </c>
      <c r="AJ96" s="649">
        <f>PROFORMA!AJ135</f>
        <v>0</v>
      </c>
      <c r="AK96" s="649">
        <f>PROFORMA!AK135</f>
        <v>0</v>
      </c>
      <c r="AL96" s="649">
        <f>PROFORMA!AL135</f>
        <v>0</v>
      </c>
      <c r="AM96" s="649">
        <f>PROFORMA!AM135</f>
        <v>0</v>
      </c>
      <c r="AN96" s="649">
        <f>PROFORMA!AN135</f>
        <v>0</v>
      </c>
      <c r="AO96" s="649">
        <f>PROFORMA!AO135</f>
        <v>0</v>
      </c>
      <c r="AP96" s="649">
        <f>PROFORMA!AP135</f>
        <v>0</v>
      </c>
      <c r="AQ96" s="649">
        <f>PROFORMA!AQ135</f>
        <v>0</v>
      </c>
      <c r="AR96" s="693">
        <f t="shared" si="30"/>
        <v>0</v>
      </c>
      <c r="AS96" s="643">
        <f t="shared" si="31"/>
        <v>0</v>
      </c>
      <c r="AT96" s="643">
        <f t="shared" si="32"/>
        <v>0</v>
      </c>
      <c r="AU96" s="643"/>
      <c r="AV96" s="643">
        <f t="shared" si="33"/>
        <v>0</v>
      </c>
    </row>
    <row r="97" spans="1:48">
      <c r="A97" s="640">
        <v>95</v>
      </c>
      <c r="B97" s="811"/>
      <c r="C97" s="628" t="s">
        <v>58</v>
      </c>
      <c r="D97" s="656">
        <v>928</v>
      </c>
      <c r="E97" s="649">
        <f>PROFORMA!F136</f>
        <v>801000</v>
      </c>
      <c r="F97" s="649">
        <f>PROFORMA!G136</f>
        <v>0</v>
      </c>
      <c r="G97" s="649">
        <f>PROFORMA!H136</f>
        <v>0</v>
      </c>
      <c r="H97" s="649">
        <f>PROFORMA!I136</f>
        <v>0</v>
      </c>
      <c r="I97" s="649">
        <f>PROFORMA!J136</f>
        <v>0</v>
      </c>
      <c r="J97" s="649">
        <f>PROFORMA!K136</f>
        <v>0</v>
      </c>
      <c r="K97" s="649">
        <f>PROFORMA!L136</f>
        <v>0</v>
      </c>
      <c r="L97" s="649">
        <f>PROFORMA!M136</f>
        <v>0</v>
      </c>
      <c r="M97" s="649">
        <f>PROFORMA!N136</f>
        <v>-58000</v>
      </c>
      <c r="N97" s="649">
        <f>PROFORMA!O136</f>
        <v>0</v>
      </c>
      <c r="O97" s="649">
        <f>PROFORMA!P136</f>
        <v>0</v>
      </c>
      <c r="P97" s="649">
        <f>PROFORMA!Q136</f>
        <v>0</v>
      </c>
      <c r="Q97" s="649">
        <f>PROFORMA!R136</f>
        <v>0</v>
      </c>
      <c r="R97" s="649">
        <f>PROFORMA!S136</f>
        <v>0</v>
      </c>
      <c r="S97" s="649">
        <f>PROFORMA!T136</f>
        <v>-8000</v>
      </c>
      <c r="T97" s="649">
        <f>PROFORMA!U136</f>
        <v>0</v>
      </c>
      <c r="U97" s="649">
        <f>PROFORMA!V136</f>
        <v>-31000</v>
      </c>
      <c r="V97" s="649">
        <f>PROFORMA!W136</f>
        <v>0</v>
      </c>
      <c r="W97" s="649">
        <f>PROFORMA!X136</f>
        <v>0</v>
      </c>
      <c r="X97" s="649">
        <f>PROFORMA!Y136</f>
        <v>0</v>
      </c>
      <c r="Y97" s="690">
        <f t="shared" si="26"/>
        <v>-97000</v>
      </c>
      <c r="Z97" s="649">
        <f>PROFORMA!Z136</f>
        <v>-83000</v>
      </c>
      <c r="AA97" s="649">
        <f>PROFORMA!AA136</f>
        <v>0</v>
      </c>
      <c r="AB97" s="649">
        <f>PROFORMA!AB136</f>
        <v>0</v>
      </c>
      <c r="AC97" s="649">
        <f>PROFORMA!AC136</f>
        <v>17000</v>
      </c>
      <c r="AD97" s="649">
        <f>PROFORMA!AD136</f>
        <v>0</v>
      </c>
      <c r="AE97" s="649">
        <f>PROFORMA!AE136</f>
        <v>0</v>
      </c>
      <c r="AF97" s="649">
        <f>PROFORMA!AF136</f>
        <v>0</v>
      </c>
      <c r="AG97" s="649">
        <f>PROFORMA!AG136</f>
        <v>0</v>
      </c>
      <c r="AH97" s="649">
        <f>PROFORMA!AH136</f>
        <v>0</v>
      </c>
      <c r="AI97" s="649">
        <f>PROFORMA!AI136</f>
        <v>0</v>
      </c>
      <c r="AJ97" s="649">
        <f>PROFORMA!AJ136</f>
        <v>0</v>
      </c>
      <c r="AK97" s="649">
        <f>PROFORMA!AK136</f>
        <v>0</v>
      </c>
      <c r="AL97" s="649">
        <f>PROFORMA!AL136</f>
        <v>0</v>
      </c>
      <c r="AM97" s="649">
        <f>PROFORMA!AM136</f>
        <v>0</v>
      </c>
      <c r="AN97" s="649">
        <f>PROFORMA!AN136</f>
        <v>0</v>
      </c>
      <c r="AO97" s="649">
        <f>PROFORMA!AO136</f>
        <v>0</v>
      </c>
      <c r="AP97" s="649">
        <f>PROFORMA!AP136</f>
        <v>0</v>
      </c>
      <c r="AQ97" s="649">
        <f>PROFORMA!AQ136</f>
        <v>0</v>
      </c>
      <c r="AR97" s="693">
        <f t="shared" si="30"/>
        <v>-66000</v>
      </c>
      <c r="AS97" s="643">
        <f t="shared" si="31"/>
        <v>-163000</v>
      </c>
      <c r="AT97" s="643">
        <f t="shared" si="32"/>
        <v>638000</v>
      </c>
      <c r="AU97" s="643"/>
      <c r="AV97" s="643">
        <f t="shared" si="33"/>
        <v>638000</v>
      </c>
    </row>
    <row r="98" spans="1:48">
      <c r="A98" s="640">
        <v>96</v>
      </c>
      <c r="B98" s="811"/>
      <c r="C98" s="628" t="s">
        <v>60</v>
      </c>
      <c r="D98" s="656">
        <v>930</v>
      </c>
      <c r="E98" s="649">
        <f>PROFORMA!F137</f>
        <v>962000</v>
      </c>
      <c r="F98" s="649">
        <f>PROFORMA!G137</f>
        <v>0</v>
      </c>
      <c r="G98" s="649">
        <f>PROFORMA!H137</f>
        <v>0</v>
      </c>
      <c r="H98" s="649">
        <f>PROFORMA!I137</f>
        <v>0</v>
      </c>
      <c r="I98" s="649">
        <f>PROFORMA!J137</f>
        <v>0</v>
      </c>
      <c r="J98" s="649">
        <f>PROFORMA!K137</f>
        <v>0</v>
      </c>
      <c r="K98" s="649">
        <f>PROFORMA!L137</f>
        <v>0</v>
      </c>
      <c r="L98" s="649">
        <f>PROFORMA!M137</f>
        <v>0</v>
      </c>
      <c r="M98" s="649">
        <f>PROFORMA!N137</f>
        <v>0</v>
      </c>
      <c r="N98" s="649">
        <f>PROFORMA!O137</f>
        <v>0</v>
      </c>
      <c r="O98" s="649">
        <f>PROFORMA!P137</f>
        <v>0</v>
      </c>
      <c r="P98" s="649">
        <f>PROFORMA!Q137</f>
        <v>0</v>
      </c>
      <c r="Q98" s="649">
        <f>PROFORMA!R137</f>
        <v>0</v>
      </c>
      <c r="R98" s="649">
        <f>PROFORMA!S137</f>
        <v>0</v>
      </c>
      <c r="S98" s="649">
        <f>PROFORMA!T137</f>
        <v>0</v>
      </c>
      <c r="T98" s="649">
        <f>PROFORMA!U137</f>
        <v>0</v>
      </c>
      <c r="U98" s="649">
        <f>PROFORMA!V137</f>
        <v>-120000</v>
      </c>
      <c r="V98" s="649">
        <f>PROFORMA!W137</f>
        <v>0</v>
      </c>
      <c r="W98" s="649">
        <f>PROFORMA!X137</f>
        <v>0</v>
      </c>
      <c r="X98" s="649">
        <f>PROFORMA!Y137</f>
        <v>0</v>
      </c>
      <c r="Y98" s="690">
        <f t="shared" si="26"/>
        <v>-120000</v>
      </c>
      <c r="Z98" s="649">
        <f>PROFORMA!Z137</f>
        <v>0</v>
      </c>
      <c r="AA98" s="649">
        <f>PROFORMA!AA137</f>
        <v>0</v>
      </c>
      <c r="AB98" s="649">
        <f>PROFORMA!AB137</f>
        <v>0</v>
      </c>
      <c r="AC98" s="649">
        <f>PROFORMA!AC137</f>
        <v>5000</v>
      </c>
      <c r="AD98" s="649">
        <f>PROFORMA!AD137</f>
        <v>0</v>
      </c>
      <c r="AE98" s="649">
        <f>PROFORMA!AE137</f>
        <v>0</v>
      </c>
      <c r="AF98" s="649">
        <f>PROFORMA!AF137</f>
        <v>0</v>
      </c>
      <c r="AG98" s="649">
        <f>PROFORMA!AG137</f>
        <v>624000</v>
      </c>
      <c r="AH98" s="649">
        <f>PROFORMA!AH137</f>
        <v>0</v>
      </c>
      <c r="AI98" s="649">
        <f>PROFORMA!AI137</f>
        <v>0</v>
      </c>
      <c r="AJ98" s="649">
        <f>PROFORMA!AJ137</f>
        <v>0</v>
      </c>
      <c r="AK98" s="649">
        <f>PROFORMA!AK137</f>
        <v>0</v>
      </c>
      <c r="AL98" s="649">
        <f>PROFORMA!AL137</f>
        <v>0</v>
      </c>
      <c r="AM98" s="649">
        <f>PROFORMA!AM137</f>
        <v>0</v>
      </c>
      <c r="AN98" s="649">
        <f>PROFORMA!AN137</f>
        <v>0</v>
      </c>
      <c r="AO98" s="649">
        <f>PROFORMA!AO137</f>
        <v>0</v>
      </c>
      <c r="AP98" s="649">
        <f>PROFORMA!AP137</f>
        <v>0</v>
      </c>
      <c r="AQ98" s="649">
        <f>PROFORMA!AQ137</f>
        <v>0</v>
      </c>
      <c r="AR98" s="693">
        <f t="shared" si="30"/>
        <v>629000</v>
      </c>
      <c r="AS98" s="643">
        <f t="shared" si="31"/>
        <v>509000</v>
      </c>
      <c r="AT98" s="643">
        <f t="shared" si="32"/>
        <v>1471000</v>
      </c>
      <c r="AU98" s="643"/>
      <c r="AV98" s="643">
        <f t="shared" si="33"/>
        <v>1471000</v>
      </c>
    </row>
    <row r="99" spans="1:48">
      <c r="A99" s="640">
        <v>97</v>
      </c>
      <c r="B99" s="811"/>
      <c r="C99" s="628" t="s">
        <v>2</v>
      </c>
      <c r="D99" s="656">
        <v>931</v>
      </c>
      <c r="E99" s="649">
        <f>PROFORMA!F138</f>
        <v>72000</v>
      </c>
      <c r="F99" s="649">
        <f>PROFORMA!G138</f>
        <v>0</v>
      </c>
      <c r="G99" s="649">
        <f>PROFORMA!H138</f>
        <v>0</v>
      </c>
      <c r="H99" s="649">
        <f>PROFORMA!I138</f>
        <v>0</v>
      </c>
      <c r="I99" s="649">
        <f>PROFORMA!J138</f>
        <v>0</v>
      </c>
      <c r="J99" s="649">
        <f>PROFORMA!K138</f>
        <v>0</v>
      </c>
      <c r="K99" s="649">
        <f>PROFORMA!L138</f>
        <v>0</v>
      </c>
      <c r="L99" s="649">
        <f>PROFORMA!M138</f>
        <v>0</v>
      </c>
      <c r="M99" s="649">
        <f>PROFORMA!N138</f>
        <v>0</v>
      </c>
      <c r="N99" s="649">
        <f>PROFORMA!O138</f>
        <v>0</v>
      </c>
      <c r="O99" s="649">
        <f>PROFORMA!P138</f>
        <v>0</v>
      </c>
      <c r="P99" s="649">
        <f>PROFORMA!Q138</f>
        <v>0</v>
      </c>
      <c r="Q99" s="649">
        <f>PROFORMA!R138</f>
        <v>0</v>
      </c>
      <c r="R99" s="649">
        <f>PROFORMA!S138</f>
        <v>0</v>
      </c>
      <c r="S99" s="649">
        <f>PROFORMA!T138</f>
        <v>0</v>
      </c>
      <c r="T99" s="649">
        <f>PROFORMA!U138</f>
        <v>0</v>
      </c>
      <c r="U99" s="649">
        <f>PROFORMA!V138</f>
        <v>0</v>
      </c>
      <c r="V99" s="649">
        <f>PROFORMA!W138</f>
        <v>0</v>
      </c>
      <c r="W99" s="649">
        <f>PROFORMA!X138</f>
        <v>0</v>
      </c>
      <c r="X99" s="649">
        <f>PROFORMA!Y138</f>
        <v>0</v>
      </c>
      <c r="Y99" s="690">
        <f t="shared" si="26"/>
        <v>0</v>
      </c>
      <c r="Z99" s="649">
        <f>PROFORMA!Z138</f>
        <v>0</v>
      </c>
      <c r="AA99" s="649">
        <f>PROFORMA!AA138</f>
        <v>0</v>
      </c>
      <c r="AB99" s="649">
        <f>PROFORMA!AB138</f>
        <v>0</v>
      </c>
      <c r="AC99" s="649">
        <f>PROFORMA!AC138</f>
        <v>0</v>
      </c>
      <c r="AD99" s="649">
        <f>PROFORMA!AD138</f>
        <v>0</v>
      </c>
      <c r="AE99" s="649">
        <f>PROFORMA!AE138</f>
        <v>0</v>
      </c>
      <c r="AF99" s="649">
        <f>PROFORMA!AF138</f>
        <v>0</v>
      </c>
      <c r="AG99" s="649">
        <f>PROFORMA!AG138</f>
        <v>0</v>
      </c>
      <c r="AH99" s="649">
        <f>PROFORMA!AH138</f>
        <v>0</v>
      </c>
      <c r="AI99" s="649">
        <f>PROFORMA!AI138</f>
        <v>0</v>
      </c>
      <c r="AJ99" s="649">
        <f>PROFORMA!AJ138</f>
        <v>0</v>
      </c>
      <c r="AK99" s="649">
        <f>PROFORMA!AK138</f>
        <v>0</v>
      </c>
      <c r="AL99" s="649">
        <f>PROFORMA!AL138</f>
        <v>0</v>
      </c>
      <c r="AM99" s="649">
        <f>PROFORMA!AM138</f>
        <v>0</v>
      </c>
      <c r="AN99" s="649">
        <f>PROFORMA!AN138</f>
        <v>0</v>
      </c>
      <c r="AO99" s="649">
        <f>PROFORMA!AO138</f>
        <v>0</v>
      </c>
      <c r="AP99" s="649">
        <f>PROFORMA!AP138</f>
        <v>0</v>
      </c>
      <c r="AQ99" s="649">
        <f>PROFORMA!AQ138</f>
        <v>0</v>
      </c>
      <c r="AR99" s="693">
        <f t="shared" si="30"/>
        <v>0</v>
      </c>
      <c r="AS99" s="643">
        <f t="shared" si="31"/>
        <v>0</v>
      </c>
      <c r="AT99" s="643">
        <f t="shared" si="32"/>
        <v>72000</v>
      </c>
      <c r="AU99" s="643"/>
      <c r="AV99" s="643">
        <f t="shared" si="33"/>
        <v>72000</v>
      </c>
    </row>
    <row r="100" spans="1:48">
      <c r="A100" s="640">
        <v>98</v>
      </c>
      <c r="B100" s="811"/>
      <c r="C100" s="628" t="s">
        <v>63</v>
      </c>
      <c r="D100" s="656">
        <v>935</v>
      </c>
      <c r="E100" s="685">
        <f>PROFORMA!F139</f>
        <v>2726000</v>
      </c>
      <c r="F100" s="685">
        <f>PROFORMA!G139</f>
        <v>0</v>
      </c>
      <c r="G100" s="685">
        <f>PROFORMA!H139</f>
        <v>0</v>
      </c>
      <c r="H100" s="685">
        <f>PROFORMA!I139</f>
        <v>0</v>
      </c>
      <c r="I100" s="685">
        <f>PROFORMA!J139</f>
        <v>0</v>
      </c>
      <c r="J100" s="685">
        <f>PROFORMA!K139</f>
        <v>0</v>
      </c>
      <c r="K100" s="685">
        <f>PROFORMA!L139</f>
        <v>0</v>
      </c>
      <c r="L100" s="685">
        <f>PROFORMA!M139</f>
        <v>0</v>
      </c>
      <c r="M100" s="685">
        <f>PROFORMA!N139</f>
        <v>0</v>
      </c>
      <c r="N100" s="685">
        <f>PROFORMA!O139</f>
        <v>0</v>
      </c>
      <c r="O100" s="685">
        <f>PROFORMA!P139</f>
        <v>0</v>
      </c>
      <c r="P100" s="685">
        <f>PROFORMA!Q139</f>
        <v>0</v>
      </c>
      <c r="Q100" s="685">
        <f>PROFORMA!R139</f>
        <v>0</v>
      </c>
      <c r="R100" s="685">
        <f>PROFORMA!S139</f>
        <v>0</v>
      </c>
      <c r="S100" s="685">
        <f>PROFORMA!T139</f>
        <v>0</v>
      </c>
      <c r="T100" s="685">
        <f>PROFORMA!U139</f>
        <v>0</v>
      </c>
      <c r="U100" s="685">
        <f>PROFORMA!V139</f>
        <v>-2000</v>
      </c>
      <c r="V100" s="685">
        <f>PROFORMA!W139</f>
        <v>0</v>
      </c>
      <c r="W100" s="685">
        <f>PROFORMA!X139</f>
        <v>0</v>
      </c>
      <c r="X100" s="685">
        <f>PROFORMA!Y139</f>
        <v>0</v>
      </c>
      <c r="Y100" s="691">
        <f t="shared" si="26"/>
        <v>-2000</v>
      </c>
      <c r="Z100" s="685">
        <f>PROFORMA!Z139</f>
        <v>0</v>
      </c>
      <c r="AA100" s="685">
        <f>PROFORMA!AA139</f>
        <v>0</v>
      </c>
      <c r="AB100" s="685">
        <f>PROFORMA!AB139</f>
        <v>0</v>
      </c>
      <c r="AC100" s="685">
        <f>PROFORMA!AC139</f>
        <v>21000</v>
      </c>
      <c r="AD100" s="685">
        <f>PROFORMA!AD139</f>
        <v>0</v>
      </c>
      <c r="AE100" s="685">
        <f>PROFORMA!AE139</f>
        <v>0</v>
      </c>
      <c r="AF100" s="685">
        <f>PROFORMA!AF139</f>
        <v>0</v>
      </c>
      <c r="AG100" s="685">
        <f>PROFORMA!AG139</f>
        <v>0</v>
      </c>
      <c r="AH100" s="685">
        <f>PROFORMA!AH139</f>
        <v>0</v>
      </c>
      <c r="AI100" s="685">
        <f>PROFORMA!AI139</f>
        <v>0</v>
      </c>
      <c r="AJ100" s="685">
        <f>PROFORMA!AJ139</f>
        <v>0</v>
      </c>
      <c r="AK100" s="685">
        <f>PROFORMA!AK139</f>
        <v>0</v>
      </c>
      <c r="AL100" s="685">
        <f>PROFORMA!AL139</f>
        <v>0</v>
      </c>
      <c r="AM100" s="685">
        <f>PROFORMA!AM139</f>
        <v>0</v>
      </c>
      <c r="AN100" s="685">
        <f>PROFORMA!AN139</f>
        <v>0</v>
      </c>
      <c r="AO100" s="685">
        <f>PROFORMA!AO139</f>
        <v>0</v>
      </c>
      <c r="AP100" s="685">
        <f>PROFORMA!AP139</f>
        <v>0</v>
      </c>
      <c r="AQ100" s="685">
        <f>PROFORMA!AQ139</f>
        <v>0</v>
      </c>
      <c r="AR100" s="694">
        <f t="shared" si="30"/>
        <v>21000</v>
      </c>
      <c r="AS100" s="692">
        <f t="shared" si="31"/>
        <v>19000</v>
      </c>
      <c r="AT100" s="692">
        <f t="shared" si="32"/>
        <v>2745000</v>
      </c>
      <c r="AU100" s="692"/>
      <c r="AV100" s="692">
        <f t="shared" si="33"/>
        <v>2745000</v>
      </c>
    </row>
    <row r="101" spans="1:48">
      <c r="A101" s="640">
        <v>99</v>
      </c>
      <c r="B101" s="607"/>
      <c r="C101" s="632" t="s">
        <v>1360</v>
      </c>
      <c r="D101" s="632"/>
      <c r="E101" s="650">
        <f>SUM(E89:E100)</f>
        <v>15696000</v>
      </c>
      <c r="F101" s="650">
        <f t="shared" ref="F101:X101" si="42">SUM(F89:F100)</f>
        <v>0</v>
      </c>
      <c r="G101" s="650">
        <f t="shared" si="42"/>
        <v>0</v>
      </c>
      <c r="H101" s="650">
        <f t="shared" si="42"/>
        <v>0</v>
      </c>
      <c r="I101" s="650">
        <f t="shared" si="42"/>
        <v>0</v>
      </c>
      <c r="J101" s="650">
        <f t="shared" si="42"/>
        <v>0</v>
      </c>
      <c r="K101" s="650">
        <f t="shared" si="42"/>
        <v>0</v>
      </c>
      <c r="L101" s="650">
        <f t="shared" si="42"/>
        <v>0</v>
      </c>
      <c r="M101" s="650">
        <f t="shared" si="42"/>
        <v>-58000</v>
      </c>
      <c r="N101" s="650">
        <f t="shared" si="42"/>
        <v>-9000</v>
      </c>
      <c r="O101" s="650">
        <f t="shared" si="42"/>
        <v>0</v>
      </c>
      <c r="P101" s="650">
        <f t="shared" si="42"/>
        <v>-16000</v>
      </c>
      <c r="Q101" s="650">
        <f t="shared" si="42"/>
        <v>0</v>
      </c>
      <c r="R101" s="650">
        <f t="shared" si="42"/>
        <v>0</v>
      </c>
      <c r="S101" s="650">
        <f t="shared" si="42"/>
        <v>-8000</v>
      </c>
      <c r="T101" s="650">
        <f t="shared" si="42"/>
        <v>16000</v>
      </c>
      <c r="U101" s="650">
        <f t="shared" si="42"/>
        <v>-399000</v>
      </c>
      <c r="V101" s="650">
        <f t="shared" si="42"/>
        <v>219000</v>
      </c>
      <c r="W101" s="650">
        <f t="shared" si="42"/>
        <v>0</v>
      </c>
      <c r="X101" s="650">
        <f t="shared" si="42"/>
        <v>0</v>
      </c>
      <c r="Y101" s="690">
        <f t="shared" si="26"/>
        <v>-255000</v>
      </c>
      <c r="Z101" s="650">
        <f t="shared" ref="Z101:AV101" si="43">SUM(Z89:Z100)</f>
        <v>-83000</v>
      </c>
      <c r="AA101" s="650">
        <f t="shared" si="43"/>
        <v>0</v>
      </c>
      <c r="AB101" s="650">
        <f t="shared" si="43"/>
        <v>0</v>
      </c>
      <c r="AC101" s="650">
        <f t="shared" si="43"/>
        <v>302000</v>
      </c>
      <c r="AD101" s="650">
        <f t="shared" si="43"/>
        <v>-97000</v>
      </c>
      <c r="AE101" s="650">
        <f t="shared" si="43"/>
        <v>99000</v>
      </c>
      <c r="AF101" s="650">
        <f t="shared" si="43"/>
        <v>1079000</v>
      </c>
      <c r="AG101" s="650">
        <f t="shared" si="43"/>
        <v>624000</v>
      </c>
      <c r="AH101" s="650">
        <f t="shared" si="43"/>
        <v>0</v>
      </c>
      <c r="AI101" s="650">
        <f t="shared" si="43"/>
        <v>0</v>
      </c>
      <c r="AJ101" s="650">
        <f t="shared" si="43"/>
        <v>0</v>
      </c>
      <c r="AK101" s="650">
        <f t="shared" si="43"/>
        <v>0</v>
      </c>
      <c r="AL101" s="650">
        <f t="shared" si="43"/>
        <v>0</v>
      </c>
      <c r="AM101" s="650">
        <f t="shared" si="43"/>
        <v>0</v>
      </c>
      <c r="AN101" s="650">
        <f t="shared" si="43"/>
        <v>0</v>
      </c>
      <c r="AO101" s="650">
        <f t="shared" si="43"/>
        <v>0</v>
      </c>
      <c r="AP101" s="650">
        <f t="shared" si="43"/>
        <v>0</v>
      </c>
      <c r="AQ101" s="650">
        <f t="shared" si="43"/>
        <v>0</v>
      </c>
      <c r="AR101" s="650">
        <f t="shared" si="43"/>
        <v>1924000</v>
      </c>
      <c r="AS101" s="650">
        <f t="shared" si="43"/>
        <v>1669000</v>
      </c>
      <c r="AT101" s="650">
        <f t="shared" si="43"/>
        <v>17365000</v>
      </c>
      <c r="AU101" s="650">
        <f t="shared" si="43"/>
        <v>0</v>
      </c>
      <c r="AV101" s="650">
        <f t="shared" si="43"/>
        <v>17365000</v>
      </c>
    </row>
    <row r="102" spans="1:48">
      <c r="A102" s="640">
        <v>100</v>
      </c>
      <c r="B102" s="607"/>
      <c r="C102" s="657"/>
      <c r="D102" s="657"/>
      <c r="E102" s="650"/>
      <c r="F102" s="650"/>
      <c r="G102" s="650"/>
      <c r="H102" s="650"/>
      <c r="I102" s="650"/>
      <c r="J102" s="650"/>
      <c r="K102" s="650"/>
      <c r="L102" s="650"/>
      <c r="M102" s="650"/>
      <c r="N102" s="650"/>
      <c r="O102" s="650"/>
      <c r="P102" s="650"/>
      <c r="Q102" s="650"/>
      <c r="R102" s="650"/>
      <c r="S102" s="650"/>
      <c r="T102" s="650"/>
      <c r="U102" s="650"/>
      <c r="V102" s="650"/>
      <c r="W102" s="650"/>
      <c r="X102" s="650"/>
      <c r="Y102" s="690">
        <f t="shared" si="26"/>
        <v>0</v>
      </c>
      <c r="Z102" s="650"/>
      <c r="AA102" s="650"/>
      <c r="AB102" s="650"/>
      <c r="AC102" s="650"/>
      <c r="AD102" s="650"/>
      <c r="AE102" s="650"/>
      <c r="AF102" s="650"/>
      <c r="AG102" s="650"/>
      <c r="AH102" s="650"/>
      <c r="AI102" s="650"/>
      <c r="AJ102" s="650"/>
      <c r="AK102" s="650"/>
      <c r="AL102" s="650"/>
      <c r="AM102" s="650"/>
      <c r="AN102" s="650"/>
      <c r="AO102" s="650"/>
      <c r="AP102" s="650"/>
      <c r="AQ102" s="650"/>
      <c r="AR102" s="693">
        <f t="shared" si="30"/>
        <v>0</v>
      </c>
      <c r="AS102" s="643">
        <f t="shared" si="31"/>
        <v>0</v>
      </c>
      <c r="AT102" s="643">
        <f t="shared" si="32"/>
        <v>0</v>
      </c>
      <c r="AU102" s="643"/>
      <c r="AV102" s="643">
        <f t="shared" si="33"/>
        <v>0</v>
      </c>
    </row>
    <row r="103" spans="1:48">
      <c r="A103" s="640">
        <v>101</v>
      </c>
      <c r="B103" s="607"/>
      <c r="C103" s="669" t="s">
        <v>65</v>
      </c>
      <c r="D103" s="669"/>
      <c r="E103" s="650">
        <f>E87+E101</f>
        <v>146882000</v>
      </c>
      <c r="F103" s="650">
        <f t="shared" ref="F103:X103" si="44">F87+F101</f>
        <v>0</v>
      </c>
      <c r="G103" s="650">
        <f t="shared" si="44"/>
        <v>15000</v>
      </c>
      <c r="H103" s="650">
        <f t="shared" si="44"/>
        <v>0</v>
      </c>
      <c r="I103" s="650">
        <f t="shared" si="44"/>
        <v>0</v>
      </c>
      <c r="J103" s="650">
        <f t="shared" si="44"/>
        <v>0</v>
      </c>
      <c r="K103" s="650">
        <f t="shared" si="44"/>
        <v>0</v>
      </c>
      <c r="L103" s="650">
        <f t="shared" si="44"/>
        <v>166000</v>
      </c>
      <c r="M103" s="650">
        <f t="shared" si="44"/>
        <v>-58000</v>
      </c>
      <c r="N103" s="650">
        <f t="shared" si="44"/>
        <v>-9000</v>
      </c>
      <c r="O103" s="650">
        <f t="shared" si="44"/>
        <v>0</v>
      </c>
      <c r="P103" s="650">
        <f t="shared" si="44"/>
        <v>-16000</v>
      </c>
      <c r="Q103" s="650">
        <f t="shared" si="44"/>
        <v>0</v>
      </c>
      <c r="R103" s="650">
        <f t="shared" si="44"/>
        <v>0</v>
      </c>
      <c r="S103" s="650">
        <f t="shared" si="44"/>
        <v>-1679000</v>
      </c>
      <c r="T103" s="650">
        <f t="shared" si="44"/>
        <v>-54252000</v>
      </c>
      <c r="U103" s="650">
        <f t="shared" si="44"/>
        <v>-400000</v>
      </c>
      <c r="V103" s="650">
        <f t="shared" si="44"/>
        <v>219000</v>
      </c>
      <c r="W103" s="650">
        <f t="shared" si="44"/>
        <v>0</v>
      </c>
      <c r="X103" s="650">
        <f t="shared" si="44"/>
        <v>0</v>
      </c>
      <c r="Y103" s="690">
        <f t="shared" si="26"/>
        <v>-56014000</v>
      </c>
      <c r="Z103" s="650">
        <f>Z87+Z101</f>
        <v>-51369000</v>
      </c>
      <c r="AA103" s="650">
        <f t="shared" ref="AA103:AR103" si="45">AA87+AA101</f>
        <v>0</v>
      </c>
      <c r="AB103" s="650">
        <f t="shared" si="45"/>
        <v>0</v>
      </c>
      <c r="AC103" s="650">
        <f t="shared" si="45"/>
        <v>977000</v>
      </c>
      <c r="AD103" s="650">
        <f t="shared" si="45"/>
        <v>-97000</v>
      </c>
      <c r="AE103" s="650">
        <f t="shared" si="45"/>
        <v>341000</v>
      </c>
      <c r="AF103" s="650">
        <f t="shared" si="45"/>
        <v>1079000</v>
      </c>
      <c r="AG103" s="650">
        <f t="shared" si="45"/>
        <v>624000</v>
      </c>
      <c r="AH103" s="650">
        <f t="shared" si="45"/>
        <v>0</v>
      </c>
      <c r="AI103" s="650">
        <f t="shared" si="45"/>
        <v>67000</v>
      </c>
      <c r="AJ103" s="650">
        <f t="shared" si="45"/>
        <v>0</v>
      </c>
      <c r="AK103" s="650">
        <f t="shared" si="45"/>
        <v>0</v>
      </c>
      <c r="AL103" s="650">
        <f t="shared" si="45"/>
        <v>0</v>
      </c>
      <c r="AM103" s="650">
        <f t="shared" si="45"/>
        <v>0</v>
      </c>
      <c r="AN103" s="650">
        <f t="shared" si="45"/>
        <v>0</v>
      </c>
      <c r="AO103" s="650">
        <f t="shared" si="45"/>
        <v>-995000</v>
      </c>
      <c r="AP103" s="650">
        <f t="shared" si="45"/>
        <v>0</v>
      </c>
      <c r="AQ103" s="650">
        <f t="shared" si="45"/>
        <v>0</v>
      </c>
      <c r="AR103" s="650">
        <f t="shared" si="45"/>
        <v>-49373000</v>
      </c>
      <c r="AS103" s="643">
        <f>Y103+AR103</f>
        <v>-105387000</v>
      </c>
      <c r="AT103" s="643">
        <f t="shared" si="32"/>
        <v>41495000</v>
      </c>
      <c r="AU103" s="643"/>
      <c r="AV103" s="643">
        <f t="shared" si="33"/>
        <v>41495000</v>
      </c>
    </row>
    <row r="104" spans="1:48">
      <c r="A104" s="640">
        <v>102</v>
      </c>
      <c r="B104" s="607"/>
      <c r="C104" s="607"/>
      <c r="D104" s="607"/>
      <c r="E104" s="650"/>
      <c r="F104" s="650"/>
      <c r="G104" s="650"/>
      <c r="H104" s="650"/>
      <c r="I104" s="650"/>
      <c r="J104" s="650"/>
      <c r="K104" s="650"/>
      <c r="L104" s="650"/>
      <c r="M104" s="650"/>
      <c r="N104" s="650"/>
      <c r="O104" s="650"/>
      <c r="P104" s="650"/>
      <c r="Q104" s="650"/>
      <c r="R104" s="650"/>
      <c r="S104" s="650"/>
      <c r="T104" s="650"/>
      <c r="U104" s="650"/>
      <c r="V104" s="650"/>
      <c r="W104" s="650"/>
      <c r="X104" s="650"/>
      <c r="Y104" s="690">
        <f t="shared" si="26"/>
        <v>0</v>
      </c>
      <c r="Z104" s="650"/>
      <c r="AA104" s="650"/>
      <c r="AB104" s="650"/>
      <c r="AC104" s="650"/>
      <c r="AD104" s="650"/>
      <c r="AE104" s="650"/>
      <c r="AF104" s="650"/>
      <c r="AG104" s="650"/>
      <c r="AH104" s="650"/>
      <c r="AI104" s="650"/>
      <c r="AJ104" s="650"/>
      <c r="AK104" s="650"/>
      <c r="AL104" s="650"/>
      <c r="AM104" s="650"/>
      <c r="AN104" s="650"/>
      <c r="AO104" s="650"/>
      <c r="AP104" s="650"/>
      <c r="AQ104" s="650"/>
      <c r="AR104" s="693">
        <f t="shared" si="30"/>
        <v>0</v>
      </c>
      <c r="AS104" s="643">
        <f t="shared" si="31"/>
        <v>0</v>
      </c>
      <c r="AT104" s="643">
        <f t="shared" si="32"/>
        <v>0</v>
      </c>
      <c r="AU104" s="643"/>
      <c r="AV104" s="643">
        <f t="shared" si="33"/>
        <v>0</v>
      </c>
    </row>
    <row r="105" spans="1:48" ht="15.45" customHeight="1">
      <c r="A105" s="640">
        <v>103</v>
      </c>
      <c r="B105" s="811" t="s">
        <v>358</v>
      </c>
      <c r="C105" s="658" t="s">
        <v>359</v>
      </c>
      <c r="D105" s="659" t="s">
        <v>1266</v>
      </c>
      <c r="E105" s="649">
        <f>PROFORMA!F168</f>
        <v>1000</v>
      </c>
      <c r="F105" s="649">
        <f>PROFORMA!G168</f>
        <v>0</v>
      </c>
      <c r="G105" s="649">
        <f>PROFORMA!H168</f>
        <v>0</v>
      </c>
      <c r="H105" s="649">
        <f>PROFORMA!I168</f>
        <v>0</v>
      </c>
      <c r="I105" s="649">
        <f>PROFORMA!J168</f>
        <v>0</v>
      </c>
      <c r="J105" s="649">
        <f>PROFORMA!K168</f>
        <v>0</v>
      </c>
      <c r="K105" s="649">
        <f>PROFORMA!L168</f>
        <v>0</v>
      </c>
      <c r="L105" s="649">
        <f>PROFORMA!M168</f>
        <v>0</v>
      </c>
      <c r="M105" s="649">
        <f>PROFORMA!N168</f>
        <v>0</v>
      </c>
      <c r="N105" s="649">
        <f>PROFORMA!O168</f>
        <v>0</v>
      </c>
      <c r="O105" s="649">
        <f>PROFORMA!P168</f>
        <v>0</v>
      </c>
      <c r="P105" s="649">
        <f>PROFORMA!Q168</f>
        <v>0</v>
      </c>
      <c r="Q105" s="649">
        <f>PROFORMA!R168</f>
        <v>0</v>
      </c>
      <c r="R105" s="649">
        <f>PROFORMA!S168</f>
        <v>0</v>
      </c>
      <c r="S105" s="649">
        <f>PROFORMA!T168</f>
        <v>0</v>
      </c>
      <c r="T105" s="649">
        <f>PROFORMA!U168</f>
        <v>0</v>
      </c>
      <c r="U105" s="649">
        <f>PROFORMA!V168</f>
        <v>0</v>
      </c>
      <c r="V105" s="649">
        <f>PROFORMA!W168</f>
        <v>0</v>
      </c>
      <c r="W105" s="649">
        <f>PROFORMA!X168</f>
        <v>0</v>
      </c>
      <c r="X105" s="649">
        <f>PROFORMA!Y168</f>
        <v>0</v>
      </c>
      <c r="Y105" s="690">
        <f t="shared" si="26"/>
        <v>0</v>
      </c>
      <c r="Z105" s="649">
        <f>PROFORMA!Z168</f>
        <v>0</v>
      </c>
      <c r="AA105" s="649">
        <f>PROFORMA!AA168</f>
        <v>0</v>
      </c>
      <c r="AB105" s="649">
        <f>PROFORMA!AB168</f>
        <v>0</v>
      </c>
      <c r="AC105" s="649">
        <f>PROFORMA!AC168</f>
        <v>0</v>
      </c>
      <c r="AD105" s="649">
        <f>PROFORMA!AD168</f>
        <v>0</v>
      </c>
      <c r="AE105" s="649">
        <f>PROFORMA!AE168</f>
        <v>0</v>
      </c>
      <c r="AF105" s="649">
        <f>PROFORMA!AF168</f>
        <v>0</v>
      </c>
      <c r="AG105" s="649">
        <f>PROFORMA!AG168</f>
        <v>0</v>
      </c>
      <c r="AH105" s="649">
        <f>PROFORMA!AH168</f>
        <v>0</v>
      </c>
      <c r="AI105" s="649">
        <f>PROFORMA!AI168</f>
        <v>0</v>
      </c>
      <c r="AJ105" s="649">
        <f>PROFORMA!AJ168</f>
        <v>0</v>
      </c>
      <c r="AK105" s="649">
        <f>PROFORMA!AK168</f>
        <v>0</v>
      </c>
      <c r="AL105" s="649">
        <f>PROFORMA!AL168</f>
        <v>0</v>
      </c>
      <c r="AM105" s="649">
        <f>PROFORMA!AM168</f>
        <v>0</v>
      </c>
      <c r="AN105" s="649">
        <f>PROFORMA!AN168</f>
        <v>0</v>
      </c>
      <c r="AO105" s="649">
        <f>PROFORMA!AO168</f>
        <v>0</v>
      </c>
      <c r="AP105" s="649">
        <f>PROFORMA!AP168</f>
        <v>0</v>
      </c>
      <c r="AQ105" s="649">
        <f>PROFORMA!AQ168</f>
        <v>0</v>
      </c>
      <c r="AR105" s="693">
        <f t="shared" si="30"/>
        <v>0</v>
      </c>
      <c r="AS105" s="643">
        <f t="shared" si="31"/>
        <v>0</v>
      </c>
      <c r="AT105" s="643">
        <f t="shared" si="32"/>
        <v>1000</v>
      </c>
      <c r="AU105" s="643"/>
      <c r="AV105" s="643">
        <f t="shared" si="33"/>
        <v>1000</v>
      </c>
    </row>
    <row r="106" spans="1:48" ht="15.45" customHeight="1">
      <c r="A106" s="640">
        <v>104</v>
      </c>
      <c r="B106" s="811"/>
      <c r="C106" s="658" t="s">
        <v>360</v>
      </c>
      <c r="D106" s="659" t="s">
        <v>1266</v>
      </c>
      <c r="E106" s="649">
        <f>PROFORMA!F169</f>
        <v>28000</v>
      </c>
      <c r="F106" s="649">
        <f>PROFORMA!G169</f>
        <v>0</v>
      </c>
      <c r="G106" s="649">
        <f>PROFORMA!H169</f>
        <v>0</v>
      </c>
      <c r="H106" s="649">
        <f>PROFORMA!I169</f>
        <v>0</v>
      </c>
      <c r="I106" s="649">
        <f>PROFORMA!J169</f>
        <v>0</v>
      </c>
      <c r="J106" s="649">
        <f>PROFORMA!K169</f>
        <v>0</v>
      </c>
      <c r="K106" s="649">
        <f>PROFORMA!L169</f>
        <v>0</v>
      </c>
      <c r="L106" s="649">
        <f>PROFORMA!M169</f>
        <v>0</v>
      </c>
      <c r="M106" s="649">
        <f>PROFORMA!N169</f>
        <v>0</v>
      </c>
      <c r="N106" s="649">
        <f>PROFORMA!O169</f>
        <v>0</v>
      </c>
      <c r="O106" s="649">
        <f>PROFORMA!P169</f>
        <v>0</v>
      </c>
      <c r="P106" s="649">
        <f>PROFORMA!Q169</f>
        <v>0</v>
      </c>
      <c r="Q106" s="649">
        <f>PROFORMA!R169</f>
        <v>0</v>
      </c>
      <c r="R106" s="649">
        <f>PROFORMA!S169</f>
        <v>0</v>
      </c>
      <c r="S106" s="649">
        <f>PROFORMA!T169</f>
        <v>0</v>
      </c>
      <c r="T106" s="649">
        <f>PROFORMA!U169</f>
        <v>0</v>
      </c>
      <c r="U106" s="649">
        <f>PROFORMA!V169</f>
        <v>0</v>
      </c>
      <c r="V106" s="649">
        <f>PROFORMA!W169</f>
        <v>0</v>
      </c>
      <c r="W106" s="649">
        <f>PROFORMA!X169</f>
        <v>0</v>
      </c>
      <c r="X106" s="649">
        <f>PROFORMA!Y169</f>
        <v>-9000</v>
      </c>
      <c r="Y106" s="690">
        <f t="shared" si="26"/>
        <v>-9000</v>
      </c>
      <c r="Z106" s="649">
        <f>PROFORMA!Z169</f>
        <v>0</v>
      </c>
      <c r="AA106" s="649">
        <f>PROFORMA!AA169</f>
        <v>0</v>
      </c>
      <c r="AB106" s="649">
        <f>PROFORMA!AB169</f>
        <v>0</v>
      </c>
      <c r="AC106" s="649">
        <f>PROFORMA!AC169</f>
        <v>0</v>
      </c>
      <c r="AD106" s="649">
        <f>PROFORMA!AD169</f>
        <v>0</v>
      </c>
      <c r="AE106" s="649">
        <f>PROFORMA!AE169</f>
        <v>0</v>
      </c>
      <c r="AF106" s="649">
        <f>PROFORMA!AF169</f>
        <v>0</v>
      </c>
      <c r="AG106" s="649">
        <f>PROFORMA!AG169</f>
        <v>0</v>
      </c>
      <c r="AH106" s="649">
        <f>PROFORMA!AH169</f>
        <v>0</v>
      </c>
      <c r="AI106" s="649">
        <f>PROFORMA!AI169</f>
        <v>0</v>
      </c>
      <c r="AJ106" s="649">
        <f>PROFORMA!AJ169</f>
        <v>0</v>
      </c>
      <c r="AK106" s="649">
        <f>PROFORMA!AK169</f>
        <v>1000</v>
      </c>
      <c r="AL106" s="649">
        <f>PROFORMA!AL169</f>
        <v>0</v>
      </c>
      <c r="AM106" s="649">
        <f>PROFORMA!AM169</f>
        <v>0</v>
      </c>
      <c r="AN106" s="649">
        <f>PROFORMA!AN169</f>
        <v>0</v>
      </c>
      <c r="AO106" s="649">
        <f>PROFORMA!AO169</f>
        <v>0</v>
      </c>
      <c r="AP106" s="649">
        <f>PROFORMA!AP169</f>
        <v>0</v>
      </c>
      <c r="AQ106" s="649">
        <f>PROFORMA!AQ169</f>
        <v>0</v>
      </c>
      <c r="AR106" s="693">
        <f t="shared" si="30"/>
        <v>1000</v>
      </c>
      <c r="AS106" s="643">
        <f t="shared" si="31"/>
        <v>-8000</v>
      </c>
      <c r="AT106" s="643">
        <f t="shared" si="32"/>
        <v>20000</v>
      </c>
      <c r="AU106" s="643"/>
      <c r="AV106" s="643">
        <f t="shared" si="33"/>
        <v>20000</v>
      </c>
    </row>
    <row r="107" spans="1:48" ht="15.45" customHeight="1">
      <c r="A107" s="640">
        <v>105</v>
      </c>
      <c r="B107" s="811"/>
      <c r="C107" s="658" t="s">
        <v>361</v>
      </c>
      <c r="D107" s="659" t="s">
        <v>1266</v>
      </c>
      <c r="E107" s="649">
        <f>PROFORMA!F170</f>
        <v>159000</v>
      </c>
      <c r="F107" s="649">
        <f>PROFORMA!G170</f>
        <v>0</v>
      </c>
      <c r="G107" s="649">
        <f>PROFORMA!H170</f>
        <v>0</v>
      </c>
      <c r="H107" s="649">
        <f>PROFORMA!I170</f>
        <v>0</v>
      </c>
      <c r="I107" s="649">
        <f>PROFORMA!J170</f>
        <v>0</v>
      </c>
      <c r="J107" s="649">
        <f>PROFORMA!K170</f>
        <v>0</v>
      </c>
      <c r="K107" s="649">
        <f>PROFORMA!L170</f>
        <v>0</v>
      </c>
      <c r="L107" s="649">
        <f>PROFORMA!M170</f>
        <v>0</v>
      </c>
      <c r="M107" s="649">
        <f>PROFORMA!N170</f>
        <v>0</v>
      </c>
      <c r="N107" s="649">
        <f>PROFORMA!O170</f>
        <v>0</v>
      </c>
      <c r="O107" s="649">
        <f>PROFORMA!P170</f>
        <v>0</v>
      </c>
      <c r="P107" s="649">
        <f>PROFORMA!Q170</f>
        <v>0</v>
      </c>
      <c r="Q107" s="649">
        <f>PROFORMA!R170</f>
        <v>0</v>
      </c>
      <c r="R107" s="649">
        <f>PROFORMA!S170</f>
        <v>0</v>
      </c>
      <c r="S107" s="649">
        <f>PROFORMA!T170</f>
        <v>0</v>
      </c>
      <c r="T107" s="649">
        <f>PROFORMA!U170</f>
        <v>0</v>
      </c>
      <c r="U107" s="649">
        <f>PROFORMA!V170</f>
        <v>0</v>
      </c>
      <c r="V107" s="649">
        <f>PROFORMA!W170</f>
        <v>0</v>
      </c>
      <c r="W107" s="649">
        <f>PROFORMA!X170</f>
        <v>0</v>
      </c>
      <c r="X107" s="649">
        <f>PROFORMA!Y170</f>
        <v>-54000</v>
      </c>
      <c r="Y107" s="690">
        <f t="shared" si="26"/>
        <v>-54000</v>
      </c>
      <c r="Z107" s="649">
        <f>PROFORMA!Z170</f>
        <v>0</v>
      </c>
      <c r="AA107" s="649">
        <f>PROFORMA!AA170</f>
        <v>0</v>
      </c>
      <c r="AB107" s="649">
        <f>PROFORMA!AB170</f>
        <v>0</v>
      </c>
      <c r="AC107" s="649">
        <f>PROFORMA!AC170</f>
        <v>0</v>
      </c>
      <c r="AD107" s="649">
        <f>PROFORMA!AD170</f>
        <v>0</v>
      </c>
      <c r="AE107" s="649">
        <f>PROFORMA!AE170</f>
        <v>0</v>
      </c>
      <c r="AF107" s="649">
        <f>PROFORMA!AF170</f>
        <v>0</v>
      </c>
      <c r="AG107" s="649">
        <f>PROFORMA!AG170</f>
        <v>0</v>
      </c>
      <c r="AH107" s="649">
        <f>PROFORMA!AH170</f>
        <v>0</v>
      </c>
      <c r="AI107" s="649">
        <f>PROFORMA!AI170</f>
        <v>0</v>
      </c>
      <c r="AJ107" s="649">
        <f>PROFORMA!AJ170</f>
        <v>0</v>
      </c>
      <c r="AK107" s="649">
        <f>PROFORMA!AK170</f>
        <v>7000</v>
      </c>
      <c r="AL107" s="649">
        <f>PROFORMA!AL170</f>
        <v>0</v>
      </c>
      <c r="AM107" s="649">
        <f>PROFORMA!AM170</f>
        <v>0</v>
      </c>
      <c r="AN107" s="649">
        <f>PROFORMA!AN170</f>
        <v>0</v>
      </c>
      <c r="AO107" s="649">
        <f>PROFORMA!AO170</f>
        <v>0</v>
      </c>
      <c r="AP107" s="649">
        <f>PROFORMA!AP170</f>
        <v>0</v>
      </c>
      <c r="AQ107" s="649">
        <f>PROFORMA!AQ170</f>
        <v>0</v>
      </c>
      <c r="AR107" s="693">
        <f t="shared" si="30"/>
        <v>7000</v>
      </c>
      <c r="AS107" s="643">
        <f t="shared" si="31"/>
        <v>-47000</v>
      </c>
      <c r="AT107" s="643">
        <f t="shared" si="32"/>
        <v>112000</v>
      </c>
      <c r="AU107" s="643"/>
      <c r="AV107" s="643">
        <f t="shared" si="33"/>
        <v>112000</v>
      </c>
    </row>
    <row r="108" spans="1:48" ht="15.45" customHeight="1">
      <c r="A108" s="640">
        <v>106</v>
      </c>
      <c r="B108" s="811"/>
      <c r="C108" s="658" t="s">
        <v>362</v>
      </c>
      <c r="D108" s="659" t="s">
        <v>1266</v>
      </c>
      <c r="E108" s="649">
        <f>PROFORMA!F171</f>
        <v>10000</v>
      </c>
      <c r="F108" s="649">
        <f>PROFORMA!G171</f>
        <v>0</v>
      </c>
      <c r="G108" s="649">
        <f>PROFORMA!H171</f>
        <v>0</v>
      </c>
      <c r="H108" s="649">
        <f>PROFORMA!I171</f>
        <v>0</v>
      </c>
      <c r="I108" s="649">
        <f>PROFORMA!J171</f>
        <v>0</v>
      </c>
      <c r="J108" s="649">
        <f>PROFORMA!K171</f>
        <v>0</v>
      </c>
      <c r="K108" s="649">
        <f>PROFORMA!L171</f>
        <v>0</v>
      </c>
      <c r="L108" s="649">
        <f>PROFORMA!M171</f>
        <v>0</v>
      </c>
      <c r="M108" s="649">
        <f>PROFORMA!N171</f>
        <v>0</v>
      </c>
      <c r="N108" s="649">
        <f>PROFORMA!O171</f>
        <v>0</v>
      </c>
      <c r="O108" s="649">
        <f>PROFORMA!P171</f>
        <v>0</v>
      </c>
      <c r="P108" s="649">
        <f>PROFORMA!Q171</f>
        <v>0</v>
      </c>
      <c r="Q108" s="649">
        <f>PROFORMA!R171</f>
        <v>0</v>
      </c>
      <c r="R108" s="649">
        <f>PROFORMA!S171</f>
        <v>0</v>
      </c>
      <c r="S108" s="649">
        <f>PROFORMA!T171</f>
        <v>0</v>
      </c>
      <c r="T108" s="649">
        <f>PROFORMA!U171</f>
        <v>0</v>
      </c>
      <c r="U108" s="649">
        <f>PROFORMA!V171</f>
        <v>0</v>
      </c>
      <c r="V108" s="649">
        <f>PROFORMA!W171</f>
        <v>0</v>
      </c>
      <c r="W108" s="649">
        <f>PROFORMA!X171</f>
        <v>0</v>
      </c>
      <c r="X108" s="649">
        <f>PROFORMA!Y171</f>
        <v>-3000</v>
      </c>
      <c r="Y108" s="690">
        <f t="shared" si="26"/>
        <v>-3000</v>
      </c>
      <c r="Z108" s="649">
        <f>PROFORMA!Z171</f>
        <v>0</v>
      </c>
      <c r="AA108" s="649">
        <f>PROFORMA!AA171</f>
        <v>0</v>
      </c>
      <c r="AB108" s="649">
        <f>PROFORMA!AB171</f>
        <v>0</v>
      </c>
      <c r="AC108" s="649">
        <f>PROFORMA!AC171</f>
        <v>0</v>
      </c>
      <c r="AD108" s="649">
        <f>PROFORMA!AD171</f>
        <v>0</v>
      </c>
      <c r="AE108" s="649">
        <f>PROFORMA!AE171</f>
        <v>0</v>
      </c>
      <c r="AF108" s="649">
        <f>PROFORMA!AF171</f>
        <v>0</v>
      </c>
      <c r="AG108" s="649">
        <f>PROFORMA!AG171</f>
        <v>0</v>
      </c>
      <c r="AH108" s="649">
        <f>PROFORMA!AH171</f>
        <v>0</v>
      </c>
      <c r="AI108" s="649">
        <f>PROFORMA!AI171</f>
        <v>0</v>
      </c>
      <c r="AJ108" s="649">
        <f>PROFORMA!AJ171</f>
        <v>0</v>
      </c>
      <c r="AK108" s="649">
        <f>PROFORMA!AK171</f>
        <v>0</v>
      </c>
      <c r="AL108" s="649">
        <f>PROFORMA!AL171</f>
        <v>0</v>
      </c>
      <c r="AM108" s="649">
        <f>PROFORMA!AM171</f>
        <v>0</v>
      </c>
      <c r="AN108" s="649">
        <f>PROFORMA!AN171</f>
        <v>0</v>
      </c>
      <c r="AO108" s="649">
        <f>PROFORMA!AO171</f>
        <v>0</v>
      </c>
      <c r="AP108" s="649">
        <f>PROFORMA!AP171</f>
        <v>0</v>
      </c>
      <c r="AQ108" s="649">
        <f>PROFORMA!AQ171</f>
        <v>0</v>
      </c>
      <c r="AR108" s="693">
        <f t="shared" si="30"/>
        <v>0</v>
      </c>
      <c r="AS108" s="643">
        <f t="shared" si="31"/>
        <v>-3000</v>
      </c>
      <c r="AT108" s="643">
        <f t="shared" si="32"/>
        <v>7000</v>
      </c>
      <c r="AU108" s="643"/>
      <c r="AV108" s="643">
        <f t="shared" si="33"/>
        <v>7000</v>
      </c>
    </row>
    <row r="109" spans="1:48" ht="15.45" customHeight="1">
      <c r="A109" s="640">
        <v>107</v>
      </c>
      <c r="B109" s="811"/>
      <c r="C109" s="658" t="s">
        <v>363</v>
      </c>
      <c r="D109" s="659" t="s">
        <v>1266</v>
      </c>
      <c r="E109" s="649">
        <f>PROFORMA!F172</f>
        <v>157000</v>
      </c>
      <c r="F109" s="649">
        <f>PROFORMA!G172</f>
        <v>0</v>
      </c>
      <c r="G109" s="649">
        <f>PROFORMA!H172</f>
        <v>0</v>
      </c>
      <c r="H109" s="649">
        <f>PROFORMA!I172</f>
        <v>0</v>
      </c>
      <c r="I109" s="649">
        <f>PROFORMA!J172</f>
        <v>0</v>
      </c>
      <c r="J109" s="649">
        <f>PROFORMA!K172</f>
        <v>0</v>
      </c>
      <c r="K109" s="649">
        <f>PROFORMA!L172</f>
        <v>0</v>
      </c>
      <c r="L109" s="649">
        <f>PROFORMA!M172</f>
        <v>0</v>
      </c>
      <c r="M109" s="649">
        <f>PROFORMA!N172</f>
        <v>0</v>
      </c>
      <c r="N109" s="649">
        <f>PROFORMA!O172</f>
        <v>0</v>
      </c>
      <c r="O109" s="649">
        <f>PROFORMA!P172</f>
        <v>0</v>
      </c>
      <c r="P109" s="649">
        <f>PROFORMA!Q172</f>
        <v>0</v>
      </c>
      <c r="Q109" s="649">
        <f>PROFORMA!R172</f>
        <v>0</v>
      </c>
      <c r="R109" s="649">
        <f>PROFORMA!S172</f>
        <v>0</v>
      </c>
      <c r="S109" s="649">
        <f>PROFORMA!T172</f>
        <v>0</v>
      </c>
      <c r="T109" s="649">
        <f>PROFORMA!U172</f>
        <v>0</v>
      </c>
      <c r="U109" s="649">
        <f>PROFORMA!V172</f>
        <v>0</v>
      </c>
      <c r="V109" s="649">
        <f>PROFORMA!W172</f>
        <v>0</v>
      </c>
      <c r="W109" s="649">
        <f>PROFORMA!X172</f>
        <v>0</v>
      </c>
      <c r="X109" s="649">
        <f>PROFORMA!Y172</f>
        <v>-52000</v>
      </c>
      <c r="Y109" s="690">
        <f t="shared" si="26"/>
        <v>-52000</v>
      </c>
      <c r="Z109" s="649">
        <f>PROFORMA!Z172</f>
        <v>0</v>
      </c>
      <c r="AA109" s="649">
        <f>PROFORMA!AA172</f>
        <v>0</v>
      </c>
      <c r="AB109" s="649">
        <f>PROFORMA!AB172</f>
        <v>0</v>
      </c>
      <c r="AC109" s="649">
        <f>PROFORMA!AC172</f>
        <v>0</v>
      </c>
      <c r="AD109" s="649">
        <f>PROFORMA!AD172</f>
        <v>0</v>
      </c>
      <c r="AE109" s="649">
        <f>PROFORMA!AE172</f>
        <v>0</v>
      </c>
      <c r="AF109" s="649">
        <f>PROFORMA!AF172</f>
        <v>0</v>
      </c>
      <c r="AG109" s="649">
        <f>PROFORMA!AG172</f>
        <v>0</v>
      </c>
      <c r="AH109" s="649">
        <f>PROFORMA!AH172</f>
        <v>0</v>
      </c>
      <c r="AI109" s="649">
        <f>PROFORMA!AI172</f>
        <v>0</v>
      </c>
      <c r="AJ109" s="649">
        <f>PROFORMA!AJ172</f>
        <v>0</v>
      </c>
      <c r="AK109" s="649">
        <f>PROFORMA!AK172</f>
        <v>6000</v>
      </c>
      <c r="AL109" s="649">
        <f>PROFORMA!AL172</f>
        <v>0</v>
      </c>
      <c r="AM109" s="649">
        <f>PROFORMA!AM172</f>
        <v>0</v>
      </c>
      <c r="AN109" s="649">
        <f>PROFORMA!AN172</f>
        <v>0</v>
      </c>
      <c r="AO109" s="649">
        <f>PROFORMA!AO172</f>
        <v>0</v>
      </c>
      <c r="AP109" s="649">
        <f>PROFORMA!AP172</f>
        <v>0</v>
      </c>
      <c r="AQ109" s="649">
        <f>PROFORMA!AQ172</f>
        <v>0</v>
      </c>
      <c r="AR109" s="693">
        <f t="shared" si="30"/>
        <v>6000</v>
      </c>
      <c r="AS109" s="643">
        <f t="shared" si="31"/>
        <v>-46000</v>
      </c>
      <c r="AT109" s="643">
        <f t="shared" si="32"/>
        <v>111000</v>
      </c>
      <c r="AU109" s="643"/>
      <c r="AV109" s="643">
        <f t="shared" si="33"/>
        <v>111000</v>
      </c>
    </row>
    <row r="110" spans="1:48" ht="15.45" customHeight="1">
      <c r="A110" s="640">
        <v>108</v>
      </c>
      <c r="B110" s="811"/>
      <c r="C110" s="658" t="s">
        <v>364</v>
      </c>
      <c r="D110" s="659" t="s">
        <v>1266</v>
      </c>
      <c r="E110" s="649">
        <f>PROFORMA!F173</f>
        <v>100000</v>
      </c>
      <c r="F110" s="649">
        <f>PROFORMA!G173</f>
        <v>0</v>
      </c>
      <c r="G110" s="649">
        <f>PROFORMA!H173</f>
        <v>0</v>
      </c>
      <c r="H110" s="649">
        <f>PROFORMA!I173</f>
        <v>0</v>
      </c>
      <c r="I110" s="649">
        <f>PROFORMA!J173</f>
        <v>0</v>
      </c>
      <c r="J110" s="649">
        <f>PROFORMA!K173</f>
        <v>0</v>
      </c>
      <c r="K110" s="649">
        <f>PROFORMA!L173</f>
        <v>0</v>
      </c>
      <c r="L110" s="649">
        <f>PROFORMA!M173</f>
        <v>0</v>
      </c>
      <c r="M110" s="649">
        <f>PROFORMA!N173</f>
        <v>0</v>
      </c>
      <c r="N110" s="649">
        <f>PROFORMA!O173</f>
        <v>0</v>
      </c>
      <c r="O110" s="649">
        <f>PROFORMA!P173</f>
        <v>0</v>
      </c>
      <c r="P110" s="649">
        <f>PROFORMA!Q173</f>
        <v>0</v>
      </c>
      <c r="Q110" s="649">
        <f>PROFORMA!R173</f>
        <v>0</v>
      </c>
      <c r="R110" s="649">
        <f>PROFORMA!S173</f>
        <v>0</v>
      </c>
      <c r="S110" s="649">
        <f>PROFORMA!T173</f>
        <v>0</v>
      </c>
      <c r="T110" s="649">
        <f>PROFORMA!U173</f>
        <v>0</v>
      </c>
      <c r="U110" s="649">
        <f>PROFORMA!V173</f>
        <v>0</v>
      </c>
      <c r="V110" s="649">
        <f>PROFORMA!W173</f>
        <v>0</v>
      </c>
      <c r="W110" s="649">
        <f>PROFORMA!X173</f>
        <v>0</v>
      </c>
      <c r="X110" s="649">
        <f>PROFORMA!Y173</f>
        <v>-33000</v>
      </c>
      <c r="Y110" s="690">
        <f t="shared" si="26"/>
        <v>-33000</v>
      </c>
      <c r="Z110" s="649">
        <f>PROFORMA!Z173</f>
        <v>0</v>
      </c>
      <c r="AA110" s="649">
        <f>PROFORMA!AA173</f>
        <v>0</v>
      </c>
      <c r="AB110" s="649">
        <f>PROFORMA!AB173</f>
        <v>0</v>
      </c>
      <c r="AC110" s="649">
        <f>PROFORMA!AC173</f>
        <v>0</v>
      </c>
      <c r="AD110" s="649">
        <f>PROFORMA!AD173</f>
        <v>0</v>
      </c>
      <c r="AE110" s="649">
        <f>PROFORMA!AE173</f>
        <v>0</v>
      </c>
      <c r="AF110" s="649">
        <f>PROFORMA!AF173</f>
        <v>0</v>
      </c>
      <c r="AG110" s="649">
        <f>PROFORMA!AG173</f>
        <v>0</v>
      </c>
      <c r="AH110" s="649">
        <f>PROFORMA!AH173</f>
        <v>0</v>
      </c>
      <c r="AI110" s="649">
        <f>PROFORMA!AI173</f>
        <v>0</v>
      </c>
      <c r="AJ110" s="649">
        <f>PROFORMA!AJ173</f>
        <v>0</v>
      </c>
      <c r="AK110" s="649">
        <f>PROFORMA!AK173</f>
        <v>4000</v>
      </c>
      <c r="AL110" s="649">
        <f>PROFORMA!AL173</f>
        <v>0</v>
      </c>
      <c r="AM110" s="649">
        <f>PROFORMA!AM173</f>
        <v>0</v>
      </c>
      <c r="AN110" s="649">
        <f>PROFORMA!AN173</f>
        <v>0</v>
      </c>
      <c r="AO110" s="649">
        <f>PROFORMA!AO173</f>
        <v>0</v>
      </c>
      <c r="AP110" s="649">
        <f>PROFORMA!AP173</f>
        <v>0</v>
      </c>
      <c r="AQ110" s="649">
        <f>PROFORMA!AQ173</f>
        <v>0</v>
      </c>
      <c r="AR110" s="693">
        <f t="shared" si="30"/>
        <v>4000</v>
      </c>
      <c r="AS110" s="643">
        <f t="shared" si="31"/>
        <v>-29000</v>
      </c>
      <c r="AT110" s="643">
        <f t="shared" si="32"/>
        <v>71000</v>
      </c>
      <c r="AU110" s="643"/>
      <c r="AV110" s="643">
        <f t="shared" si="33"/>
        <v>71000</v>
      </c>
    </row>
    <row r="111" spans="1:48" ht="15.45" customHeight="1">
      <c r="A111" s="640">
        <v>109</v>
      </c>
      <c r="B111" s="811"/>
      <c r="C111" s="658" t="s">
        <v>365</v>
      </c>
      <c r="D111" s="659" t="s">
        <v>1266</v>
      </c>
      <c r="E111" s="649">
        <f>PROFORMA!F174</f>
        <v>2000</v>
      </c>
      <c r="F111" s="649">
        <f>PROFORMA!G174</f>
        <v>0</v>
      </c>
      <c r="G111" s="649">
        <f>PROFORMA!H174</f>
        <v>0</v>
      </c>
      <c r="H111" s="649">
        <f>PROFORMA!I174</f>
        <v>0</v>
      </c>
      <c r="I111" s="649">
        <f>PROFORMA!J174</f>
        <v>0</v>
      </c>
      <c r="J111" s="649">
        <f>PROFORMA!K174</f>
        <v>0</v>
      </c>
      <c r="K111" s="649">
        <f>PROFORMA!L174</f>
        <v>0</v>
      </c>
      <c r="L111" s="649">
        <f>PROFORMA!M174</f>
        <v>0</v>
      </c>
      <c r="M111" s="649">
        <f>PROFORMA!N174</f>
        <v>0</v>
      </c>
      <c r="N111" s="649">
        <f>PROFORMA!O174</f>
        <v>0</v>
      </c>
      <c r="O111" s="649">
        <f>PROFORMA!P174</f>
        <v>0</v>
      </c>
      <c r="P111" s="649">
        <f>PROFORMA!Q174</f>
        <v>0</v>
      </c>
      <c r="Q111" s="649">
        <f>PROFORMA!R174</f>
        <v>0</v>
      </c>
      <c r="R111" s="649">
        <f>PROFORMA!S174</f>
        <v>0</v>
      </c>
      <c r="S111" s="649">
        <f>PROFORMA!T174</f>
        <v>0</v>
      </c>
      <c r="T111" s="649">
        <f>PROFORMA!U174</f>
        <v>0</v>
      </c>
      <c r="U111" s="649">
        <f>PROFORMA!V174</f>
        <v>0</v>
      </c>
      <c r="V111" s="649">
        <f>PROFORMA!W174</f>
        <v>0</v>
      </c>
      <c r="W111" s="649">
        <f>PROFORMA!X174</f>
        <v>0</v>
      </c>
      <c r="X111" s="649">
        <f>PROFORMA!Y174</f>
        <v>-1000</v>
      </c>
      <c r="Y111" s="690">
        <f t="shared" si="26"/>
        <v>-1000</v>
      </c>
      <c r="Z111" s="649">
        <f>PROFORMA!Z174</f>
        <v>0</v>
      </c>
      <c r="AA111" s="649">
        <f>PROFORMA!AA174</f>
        <v>0</v>
      </c>
      <c r="AB111" s="649">
        <f>PROFORMA!AB174</f>
        <v>0</v>
      </c>
      <c r="AC111" s="649">
        <f>PROFORMA!AC174</f>
        <v>0</v>
      </c>
      <c r="AD111" s="649">
        <f>PROFORMA!AD174</f>
        <v>0</v>
      </c>
      <c r="AE111" s="649">
        <f>PROFORMA!AE174</f>
        <v>0</v>
      </c>
      <c r="AF111" s="649">
        <f>PROFORMA!AF174</f>
        <v>0</v>
      </c>
      <c r="AG111" s="649">
        <f>PROFORMA!AG174</f>
        <v>0</v>
      </c>
      <c r="AH111" s="649">
        <f>PROFORMA!AH174</f>
        <v>0</v>
      </c>
      <c r="AI111" s="649">
        <f>PROFORMA!AI174</f>
        <v>0</v>
      </c>
      <c r="AJ111" s="649">
        <f>PROFORMA!AJ174</f>
        <v>0</v>
      </c>
      <c r="AK111" s="649">
        <f>PROFORMA!AK174</f>
        <v>0</v>
      </c>
      <c r="AL111" s="649">
        <f>PROFORMA!AL174</f>
        <v>0</v>
      </c>
      <c r="AM111" s="649">
        <f>PROFORMA!AM174</f>
        <v>0</v>
      </c>
      <c r="AN111" s="649">
        <f>PROFORMA!AN174</f>
        <v>0</v>
      </c>
      <c r="AO111" s="649">
        <f>PROFORMA!AO174</f>
        <v>0</v>
      </c>
      <c r="AP111" s="649">
        <f>PROFORMA!AP174</f>
        <v>0</v>
      </c>
      <c r="AQ111" s="649">
        <f>PROFORMA!AQ174</f>
        <v>0</v>
      </c>
      <c r="AR111" s="693">
        <f t="shared" si="30"/>
        <v>0</v>
      </c>
      <c r="AS111" s="643">
        <f t="shared" si="31"/>
        <v>-1000</v>
      </c>
      <c r="AT111" s="643">
        <f t="shared" si="32"/>
        <v>1000</v>
      </c>
      <c r="AU111" s="643"/>
      <c r="AV111" s="643">
        <f t="shared" si="33"/>
        <v>1000</v>
      </c>
    </row>
    <row r="112" spans="1:48" ht="15.45" customHeight="1">
      <c r="A112" s="640">
        <v>110</v>
      </c>
      <c r="B112" s="811"/>
      <c r="C112" s="658" t="s">
        <v>366</v>
      </c>
      <c r="D112" s="659" t="s">
        <v>1266</v>
      </c>
      <c r="E112" s="685">
        <f>PROFORMA!F175</f>
        <v>37000</v>
      </c>
      <c r="F112" s="685">
        <f>PROFORMA!G175</f>
        <v>0</v>
      </c>
      <c r="G112" s="685">
        <f>PROFORMA!H175</f>
        <v>0</v>
      </c>
      <c r="H112" s="685">
        <f>PROFORMA!I175</f>
        <v>0</v>
      </c>
      <c r="I112" s="685">
        <f>PROFORMA!J175</f>
        <v>0</v>
      </c>
      <c r="J112" s="685">
        <f>PROFORMA!K175</f>
        <v>0</v>
      </c>
      <c r="K112" s="685">
        <f>PROFORMA!L175</f>
        <v>0</v>
      </c>
      <c r="L112" s="685">
        <f>PROFORMA!M175</f>
        <v>0</v>
      </c>
      <c r="M112" s="685">
        <f>PROFORMA!N175</f>
        <v>0</v>
      </c>
      <c r="N112" s="685">
        <f>PROFORMA!O175</f>
        <v>0</v>
      </c>
      <c r="O112" s="685">
        <f>PROFORMA!P175</f>
        <v>0</v>
      </c>
      <c r="P112" s="685">
        <f>PROFORMA!Q175</f>
        <v>0</v>
      </c>
      <c r="Q112" s="685">
        <f>PROFORMA!R175</f>
        <v>0</v>
      </c>
      <c r="R112" s="685">
        <f>PROFORMA!S175</f>
        <v>0</v>
      </c>
      <c r="S112" s="685">
        <f>PROFORMA!T175</f>
        <v>0</v>
      </c>
      <c r="T112" s="685">
        <f>PROFORMA!U175</f>
        <v>0</v>
      </c>
      <c r="U112" s="685">
        <f>PROFORMA!V175</f>
        <v>0</v>
      </c>
      <c r="V112" s="685">
        <f>PROFORMA!W175</f>
        <v>0</v>
      </c>
      <c r="W112" s="685">
        <f>PROFORMA!X175</f>
        <v>0</v>
      </c>
      <c r="X112" s="685">
        <f>PROFORMA!Y175</f>
        <v>-12000</v>
      </c>
      <c r="Y112" s="691">
        <f t="shared" si="26"/>
        <v>-12000</v>
      </c>
      <c r="Z112" s="685">
        <f>PROFORMA!Z175</f>
        <v>0</v>
      </c>
      <c r="AA112" s="685">
        <f>PROFORMA!AA175</f>
        <v>0</v>
      </c>
      <c r="AB112" s="685">
        <f>PROFORMA!AB175</f>
        <v>0</v>
      </c>
      <c r="AC112" s="685">
        <f>PROFORMA!AC175</f>
        <v>0</v>
      </c>
      <c r="AD112" s="685">
        <f>PROFORMA!AD175</f>
        <v>0</v>
      </c>
      <c r="AE112" s="685">
        <f>PROFORMA!AE175</f>
        <v>0</v>
      </c>
      <c r="AF112" s="685">
        <f>PROFORMA!AF175</f>
        <v>0</v>
      </c>
      <c r="AG112" s="685">
        <f>PROFORMA!AG175</f>
        <v>0</v>
      </c>
      <c r="AH112" s="685">
        <f>PROFORMA!AH175</f>
        <v>0</v>
      </c>
      <c r="AI112" s="685">
        <f>PROFORMA!AI175</f>
        <v>0</v>
      </c>
      <c r="AJ112" s="685">
        <f>PROFORMA!AJ175</f>
        <v>0</v>
      </c>
      <c r="AK112" s="685">
        <f>PROFORMA!AK175</f>
        <v>1000</v>
      </c>
      <c r="AL112" s="685">
        <f>PROFORMA!AL175</f>
        <v>0</v>
      </c>
      <c r="AM112" s="685">
        <f>PROFORMA!AM175</f>
        <v>0</v>
      </c>
      <c r="AN112" s="685">
        <f>PROFORMA!AN175</f>
        <v>0</v>
      </c>
      <c r="AO112" s="685">
        <f>PROFORMA!AO175</f>
        <v>0</v>
      </c>
      <c r="AP112" s="685">
        <f>PROFORMA!AP175</f>
        <v>0</v>
      </c>
      <c r="AQ112" s="685">
        <f>PROFORMA!AQ175</f>
        <v>0</v>
      </c>
      <c r="AR112" s="694">
        <f t="shared" si="30"/>
        <v>1000</v>
      </c>
      <c r="AS112" s="692">
        <f t="shared" si="31"/>
        <v>-11000</v>
      </c>
      <c r="AT112" s="692">
        <f t="shared" si="32"/>
        <v>26000</v>
      </c>
      <c r="AU112" s="692"/>
      <c r="AV112" s="692">
        <f t="shared" si="33"/>
        <v>26000</v>
      </c>
    </row>
    <row r="113" spans="1:48">
      <c r="A113" s="640">
        <v>111</v>
      </c>
      <c r="B113" s="608"/>
      <c r="C113" s="671" t="s">
        <v>1361</v>
      </c>
      <c r="D113" s="670"/>
      <c r="E113" s="663">
        <f>SUM(E105:E112)</f>
        <v>494000</v>
      </c>
      <c r="F113" s="663">
        <f t="shared" ref="F113:X113" si="46">SUM(F105:F112)</f>
        <v>0</v>
      </c>
      <c r="G113" s="663">
        <f t="shared" si="46"/>
        <v>0</v>
      </c>
      <c r="H113" s="663">
        <f t="shared" si="46"/>
        <v>0</v>
      </c>
      <c r="I113" s="663">
        <f t="shared" si="46"/>
        <v>0</v>
      </c>
      <c r="J113" s="663">
        <f t="shared" si="46"/>
        <v>0</v>
      </c>
      <c r="K113" s="663">
        <f t="shared" si="46"/>
        <v>0</v>
      </c>
      <c r="L113" s="663">
        <f t="shared" si="46"/>
        <v>0</v>
      </c>
      <c r="M113" s="663">
        <f t="shared" si="46"/>
        <v>0</v>
      </c>
      <c r="N113" s="663">
        <f t="shared" si="46"/>
        <v>0</v>
      </c>
      <c r="O113" s="663">
        <f t="shared" si="46"/>
        <v>0</v>
      </c>
      <c r="P113" s="663">
        <f t="shared" si="46"/>
        <v>0</v>
      </c>
      <c r="Q113" s="663">
        <f t="shared" si="46"/>
        <v>0</v>
      </c>
      <c r="R113" s="663">
        <f t="shared" si="46"/>
        <v>0</v>
      </c>
      <c r="S113" s="663">
        <f t="shared" si="46"/>
        <v>0</v>
      </c>
      <c r="T113" s="663">
        <f t="shared" si="46"/>
        <v>0</v>
      </c>
      <c r="U113" s="663">
        <f t="shared" si="46"/>
        <v>0</v>
      </c>
      <c r="V113" s="663">
        <f t="shared" si="46"/>
        <v>0</v>
      </c>
      <c r="W113" s="663">
        <f t="shared" si="46"/>
        <v>0</v>
      </c>
      <c r="X113" s="663">
        <f t="shared" si="46"/>
        <v>-164000</v>
      </c>
      <c r="Y113" s="690">
        <f t="shared" si="26"/>
        <v>-164000</v>
      </c>
      <c r="Z113" s="663">
        <f t="shared" ref="Z113:AV113" si="47">SUM(Z105:Z112)</f>
        <v>0</v>
      </c>
      <c r="AA113" s="663">
        <f t="shared" si="47"/>
        <v>0</v>
      </c>
      <c r="AB113" s="663">
        <f t="shared" si="47"/>
        <v>0</v>
      </c>
      <c r="AC113" s="663">
        <f t="shared" si="47"/>
        <v>0</v>
      </c>
      <c r="AD113" s="663">
        <f t="shared" si="47"/>
        <v>0</v>
      </c>
      <c r="AE113" s="663">
        <f t="shared" si="47"/>
        <v>0</v>
      </c>
      <c r="AF113" s="663">
        <f t="shared" si="47"/>
        <v>0</v>
      </c>
      <c r="AG113" s="663">
        <f t="shared" si="47"/>
        <v>0</v>
      </c>
      <c r="AH113" s="663">
        <f t="shared" si="47"/>
        <v>0</v>
      </c>
      <c r="AI113" s="663">
        <f t="shared" si="47"/>
        <v>0</v>
      </c>
      <c r="AJ113" s="663">
        <f t="shared" si="47"/>
        <v>0</v>
      </c>
      <c r="AK113" s="663">
        <f t="shared" si="47"/>
        <v>19000</v>
      </c>
      <c r="AL113" s="663">
        <f t="shared" si="47"/>
        <v>0</v>
      </c>
      <c r="AM113" s="663">
        <f t="shared" si="47"/>
        <v>0</v>
      </c>
      <c r="AN113" s="663">
        <f t="shared" si="47"/>
        <v>0</v>
      </c>
      <c r="AO113" s="663">
        <f t="shared" si="47"/>
        <v>0</v>
      </c>
      <c r="AP113" s="663">
        <f t="shared" si="47"/>
        <v>0</v>
      </c>
      <c r="AQ113" s="663">
        <f t="shared" si="47"/>
        <v>0</v>
      </c>
      <c r="AR113" s="663">
        <f t="shared" si="47"/>
        <v>19000</v>
      </c>
      <c r="AS113" s="663">
        <f t="shared" si="47"/>
        <v>-145000</v>
      </c>
      <c r="AT113" s="663">
        <f t="shared" si="47"/>
        <v>349000</v>
      </c>
      <c r="AU113" s="663">
        <f t="shared" si="47"/>
        <v>0</v>
      </c>
      <c r="AV113" s="663">
        <f t="shared" si="47"/>
        <v>349000</v>
      </c>
    </row>
    <row r="114" spans="1:48" ht="15.45" customHeight="1">
      <c r="A114" s="640">
        <v>112</v>
      </c>
      <c r="B114" s="811" t="s">
        <v>70</v>
      </c>
      <c r="C114" s="658" t="s">
        <v>359</v>
      </c>
      <c r="D114" s="659"/>
      <c r="E114" s="649">
        <f>PROFORMA!F187</f>
        <v>6000</v>
      </c>
      <c r="F114" s="649">
        <f>PROFORMA!G187</f>
        <v>0</v>
      </c>
      <c r="G114" s="649">
        <f>PROFORMA!H187</f>
        <v>0</v>
      </c>
      <c r="H114" s="649">
        <f>PROFORMA!I187</f>
        <v>0</v>
      </c>
      <c r="I114" s="649">
        <f>PROFORMA!J187</f>
        <v>0</v>
      </c>
      <c r="J114" s="649">
        <f>PROFORMA!K187</f>
        <v>0</v>
      </c>
      <c r="K114" s="649">
        <f>PROFORMA!L187</f>
        <v>0</v>
      </c>
      <c r="L114" s="649">
        <f>PROFORMA!M187</f>
        <v>0</v>
      </c>
      <c r="M114" s="649">
        <f>PROFORMA!N187</f>
        <v>0</v>
      </c>
      <c r="N114" s="649">
        <f>PROFORMA!O187</f>
        <v>0</v>
      </c>
      <c r="O114" s="649">
        <f>PROFORMA!P187</f>
        <v>0</v>
      </c>
      <c r="P114" s="649">
        <f>PROFORMA!Q187</f>
        <v>0</v>
      </c>
      <c r="Q114" s="649">
        <f>PROFORMA!R187</f>
        <v>0</v>
      </c>
      <c r="R114" s="649">
        <f>PROFORMA!S187</f>
        <v>0</v>
      </c>
      <c r="S114" s="649">
        <f>PROFORMA!T187</f>
        <v>0</v>
      </c>
      <c r="T114" s="649">
        <f>PROFORMA!U187</f>
        <v>0</v>
      </c>
      <c r="U114" s="649">
        <f>PROFORMA!V187</f>
        <v>0</v>
      </c>
      <c r="V114" s="649">
        <f>PROFORMA!W187</f>
        <v>0</v>
      </c>
      <c r="W114" s="649">
        <f>PROFORMA!X187</f>
        <v>0</v>
      </c>
      <c r="X114" s="649">
        <f>PROFORMA!Y187</f>
        <v>0</v>
      </c>
      <c r="Y114" s="690">
        <f t="shared" si="26"/>
        <v>0</v>
      </c>
      <c r="Z114" s="649">
        <f>PROFORMA!Z187</f>
        <v>0</v>
      </c>
      <c r="AA114" s="649">
        <f>PROFORMA!AA187</f>
        <v>0</v>
      </c>
      <c r="AB114" s="649">
        <f>PROFORMA!AB187</f>
        <v>0</v>
      </c>
      <c r="AC114" s="649">
        <f>PROFORMA!AC187</f>
        <v>0</v>
      </c>
      <c r="AD114" s="649">
        <f>PROFORMA!AD187</f>
        <v>0</v>
      </c>
      <c r="AE114" s="649">
        <f>PROFORMA!AE187</f>
        <v>0</v>
      </c>
      <c r="AF114" s="649">
        <f>PROFORMA!AF187</f>
        <v>0</v>
      </c>
      <c r="AG114" s="649">
        <f>PROFORMA!AG187</f>
        <v>0</v>
      </c>
      <c r="AH114" s="649">
        <f>PROFORMA!AH187</f>
        <v>0</v>
      </c>
      <c r="AI114" s="649">
        <f>PROFORMA!AI187</f>
        <v>0</v>
      </c>
      <c r="AJ114" s="649">
        <f>PROFORMA!AJ187</f>
        <v>0</v>
      </c>
      <c r="AK114" s="649">
        <f>PROFORMA!AK187</f>
        <v>0</v>
      </c>
      <c r="AL114" s="649">
        <f>PROFORMA!AL187</f>
        <v>0</v>
      </c>
      <c r="AM114" s="649">
        <f>PROFORMA!AM187</f>
        <v>0</v>
      </c>
      <c r="AN114" s="649">
        <f>PROFORMA!AN187</f>
        <v>0</v>
      </c>
      <c r="AO114" s="649">
        <f>PROFORMA!AO187</f>
        <v>0</v>
      </c>
      <c r="AP114" s="649">
        <f>PROFORMA!AP187</f>
        <v>0</v>
      </c>
      <c r="AQ114" s="649">
        <f>PROFORMA!AQ187</f>
        <v>0</v>
      </c>
      <c r="AR114" s="693">
        <f t="shared" si="30"/>
        <v>0</v>
      </c>
      <c r="AS114" s="643">
        <f t="shared" si="31"/>
        <v>0</v>
      </c>
      <c r="AT114" s="643">
        <f t="shared" si="32"/>
        <v>6000</v>
      </c>
      <c r="AU114" s="643"/>
      <c r="AV114" s="643">
        <f t="shared" si="33"/>
        <v>6000</v>
      </c>
    </row>
    <row r="115" spans="1:48" ht="15.45" customHeight="1">
      <c r="A115" s="640">
        <v>113</v>
      </c>
      <c r="B115" s="811"/>
      <c r="C115" s="658" t="s">
        <v>360</v>
      </c>
      <c r="D115" s="659"/>
      <c r="E115" s="649">
        <f>PROFORMA!F188</f>
        <v>15000</v>
      </c>
      <c r="F115" s="649">
        <f>PROFORMA!G188</f>
        <v>0</v>
      </c>
      <c r="G115" s="649">
        <f>PROFORMA!H188</f>
        <v>0</v>
      </c>
      <c r="H115" s="649">
        <f>PROFORMA!I188</f>
        <v>0</v>
      </c>
      <c r="I115" s="649">
        <f>PROFORMA!J188</f>
        <v>0</v>
      </c>
      <c r="J115" s="649">
        <f>PROFORMA!K188</f>
        <v>0</v>
      </c>
      <c r="K115" s="649">
        <f>PROFORMA!L188</f>
        <v>0</v>
      </c>
      <c r="L115" s="649">
        <f>PROFORMA!M188</f>
        <v>0</v>
      </c>
      <c r="M115" s="649">
        <f>PROFORMA!N188</f>
        <v>0</v>
      </c>
      <c r="N115" s="649">
        <f>PROFORMA!O188</f>
        <v>0</v>
      </c>
      <c r="O115" s="649">
        <f>PROFORMA!P188</f>
        <v>0</v>
      </c>
      <c r="P115" s="649">
        <f>PROFORMA!Q188</f>
        <v>0</v>
      </c>
      <c r="Q115" s="649">
        <f>PROFORMA!R188</f>
        <v>0</v>
      </c>
      <c r="R115" s="649">
        <f>PROFORMA!S188</f>
        <v>0</v>
      </c>
      <c r="S115" s="649">
        <f>PROFORMA!T188</f>
        <v>0</v>
      </c>
      <c r="T115" s="649">
        <f>PROFORMA!U188</f>
        <v>0</v>
      </c>
      <c r="U115" s="649">
        <f>PROFORMA!V188</f>
        <v>0</v>
      </c>
      <c r="V115" s="649">
        <f>PROFORMA!W188</f>
        <v>0</v>
      </c>
      <c r="W115" s="649">
        <f>PROFORMA!X188</f>
        <v>0</v>
      </c>
      <c r="X115" s="649">
        <f>PROFORMA!Y188</f>
        <v>0</v>
      </c>
      <c r="Y115" s="690">
        <f t="shared" si="26"/>
        <v>0</v>
      </c>
      <c r="Z115" s="649">
        <f>PROFORMA!Z188</f>
        <v>0</v>
      </c>
      <c r="AA115" s="649">
        <f>PROFORMA!AA188</f>
        <v>0</v>
      </c>
      <c r="AB115" s="649">
        <f>PROFORMA!AB188</f>
        <v>0</v>
      </c>
      <c r="AC115" s="649">
        <f>PROFORMA!AC188</f>
        <v>0</v>
      </c>
      <c r="AD115" s="649">
        <f>PROFORMA!AD188</f>
        <v>0</v>
      </c>
      <c r="AE115" s="649">
        <f>PROFORMA!AE188</f>
        <v>0</v>
      </c>
      <c r="AF115" s="649">
        <f>PROFORMA!AF188</f>
        <v>0</v>
      </c>
      <c r="AG115" s="649">
        <f>PROFORMA!AG188</f>
        <v>0</v>
      </c>
      <c r="AH115" s="649">
        <f>PROFORMA!AH188</f>
        <v>0</v>
      </c>
      <c r="AI115" s="649">
        <f>PROFORMA!AI188</f>
        <v>0</v>
      </c>
      <c r="AJ115" s="649">
        <f>PROFORMA!AJ188</f>
        <v>0</v>
      </c>
      <c r="AK115" s="649">
        <f>PROFORMA!AK188</f>
        <v>0</v>
      </c>
      <c r="AL115" s="649">
        <f>PROFORMA!AL188</f>
        <v>0</v>
      </c>
      <c r="AM115" s="649">
        <f>PROFORMA!AM188</f>
        <v>0</v>
      </c>
      <c r="AN115" s="649">
        <f>PROFORMA!AN188</f>
        <v>0</v>
      </c>
      <c r="AO115" s="649">
        <f>PROFORMA!AO188</f>
        <v>0</v>
      </c>
      <c r="AP115" s="649">
        <f>PROFORMA!AP188</f>
        <v>0</v>
      </c>
      <c r="AQ115" s="649">
        <f>PROFORMA!AQ188</f>
        <v>0</v>
      </c>
      <c r="AR115" s="693">
        <f t="shared" si="30"/>
        <v>0</v>
      </c>
      <c r="AS115" s="643">
        <f t="shared" si="31"/>
        <v>0</v>
      </c>
      <c r="AT115" s="643">
        <f t="shared" si="32"/>
        <v>15000</v>
      </c>
      <c r="AU115" s="643"/>
      <c r="AV115" s="643">
        <f t="shared" si="33"/>
        <v>15000</v>
      </c>
    </row>
    <row r="116" spans="1:48" ht="15.45" customHeight="1">
      <c r="A116" s="640">
        <v>114</v>
      </c>
      <c r="B116" s="811"/>
      <c r="C116" s="658" t="s">
        <v>367</v>
      </c>
      <c r="D116" s="659"/>
      <c r="E116" s="649">
        <f>PROFORMA!F189</f>
        <v>5613000</v>
      </c>
      <c r="F116" s="649">
        <f>PROFORMA!G189</f>
        <v>0</v>
      </c>
      <c r="G116" s="649">
        <f>PROFORMA!H189</f>
        <v>0</v>
      </c>
      <c r="H116" s="649">
        <f>PROFORMA!I189</f>
        <v>0</v>
      </c>
      <c r="I116" s="649">
        <f>PROFORMA!J189</f>
        <v>0</v>
      </c>
      <c r="J116" s="649">
        <f>PROFORMA!K189</f>
        <v>0</v>
      </c>
      <c r="K116" s="649">
        <f>PROFORMA!L189</f>
        <v>0</v>
      </c>
      <c r="L116" s="649">
        <f>PROFORMA!M189</f>
        <v>0</v>
      </c>
      <c r="M116" s="649">
        <f>PROFORMA!N189</f>
        <v>0</v>
      </c>
      <c r="N116" s="649">
        <f>PROFORMA!O189</f>
        <v>0</v>
      </c>
      <c r="O116" s="649">
        <f>PROFORMA!P189</f>
        <v>0</v>
      </c>
      <c r="P116" s="649">
        <f>PROFORMA!Q189</f>
        <v>0</v>
      </c>
      <c r="Q116" s="649">
        <f>PROFORMA!R189</f>
        <v>0</v>
      </c>
      <c r="R116" s="649">
        <f>PROFORMA!S189</f>
        <v>0</v>
      </c>
      <c r="S116" s="649">
        <f>PROFORMA!T189</f>
        <v>0</v>
      </c>
      <c r="T116" s="649">
        <f>PROFORMA!U189</f>
        <v>0</v>
      </c>
      <c r="U116" s="649">
        <f>PROFORMA!V189</f>
        <v>0</v>
      </c>
      <c r="V116" s="649">
        <f>PROFORMA!W189</f>
        <v>0</v>
      </c>
      <c r="W116" s="649">
        <f>PROFORMA!X189</f>
        <v>0</v>
      </c>
      <c r="X116" s="649">
        <f>PROFORMA!Y189</f>
        <v>-52000</v>
      </c>
      <c r="Y116" s="690">
        <f t="shared" si="26"/>
        <v>-52000</v>
      </c>
      <c r="Z116" s="649">
        <f>PROFORMA!Z189</f>
        <v>0</v>
      </c>
      <c r="AA116" s="649">
        <f>PROFORMA!AA189</f>
        <v>0</v>
      </c>
      <c r="AB116" s="649">
        <f>PROFORMA!AB189</f>
        <v>0</v>
      </c>
      <c r="AC116" s="649">
        <f>PROFORMA!AC189</f>
        <v>0</v>
      </c>
      <c r="AD116" s="649">
        <f>PROFORMA!AD189</f>
        <v>0</v>
      </c>
      <c r="AE116" s="649">
        <f>PROFORMA!AE189</f>
        <v>0</v>
      </c>
      <c r="AF116" s="649">
        <f>PROFORMA!AF189</f>
        <v>0</v>
      </c>
      <c r="AG116" s="649">
        <f>PROFORMA!AG189</f>
        <v>0</v>
      </c>
      <c r="AH116" s="649">
        <f>PROFORMA!AH189</f>
        <v>0</v>
      </c>
      <c r="AI116" s="649">
        <f>PROFORMA!AI189</f>
        <v>0</v>
      </c>
      <c r="AJ116" s="649">
        <f>PROFORMA!AJ189</f>
        <v>0</v>
      </c>
      <c r="AK116" s="649">
        <f>PROFORMA!AK189</f>
        <v>45000</v>
      </c>
      <c r="AL116" s="649">
        <f>PROFORMA!AL189</f>
        <v>38000</v>
      </c>
      <c r="AM116" s="649">
        <f>PROFORMA!AM189</f>
        <v>125000</v>
      </c>
      <c r="AN116" s="649">
        <f>PROFORMA!AN189</f>
        <v>0</v>
      </c>
      <c r="AO116" s="649">
        <f>PROFORMA!AO189</f>
        <v>0</v>
      </c>
      <c r="AP116" s="649">
        <f>PROFORMA!AP189</f>
        <v>0</v>
      </c>
      <c r="AQ116" s="649">
        <f>PROFORMA!AQ189</f>
        <v>0</v>
      </c>
      <c r="AR116" s="693">
        <f t="shared" si="30"/>
        <v>208000</v>
      </c>
      <c r="AS116" s="643">
        <f t="shared" si="31"/>
        <v>156000</v>
      </c>
      <c r="AT116" s="643">
        <f t="shared" si="32"/>
        <v>5769000</v>
      </c>
      <c r="AU116" s="643"/>
      <c r="AV116" s="643">
        <f t="shared" si="33"/>
        <v>5769000</v>
      </c>
    </row>
    <row r="117" spans="1:48" ht="15.45" customHeight="1">
      <c r="A117" s="640">
        <v>115</v>
      </c>
      <c r="B117" s="811"/>
      <c r="C117" s="658" t="s">
        <v>367</v>
      </c>
      <c r="D117" s="659"/>
      <c r="E117" s="649">
        <f>PROFORMA!F190</f>
        <v>0</v>
      </c>
      <c r="F117" s="649">
        <f>PROFORMA!G190</f>
        <v>0</v>
      </c>
      <c r="G117" s="649">
        <f>PROFORMA!H190</f>
        <v>0</v>
      </c>
      <c r="H117" s="649">
        <f>PROFORMA!I190</f>
        <v>0</v>
      </c>
      <c r="I117" s="649">
        <f>PROFORMA!J190</f>
        <v>0</v>
      </c>
      <c r="J117" s="649">
        <f>PROFORMA!K190</f>
        <v>0</v>
      </c>
      <c r="K117" s="649">
        <f>PROFORMA!L190</f>
        <v>0</v>
      </c>
      <c r="L117" s="649">
        <f>PROFORMA!M190</f>
        <v>0</v>
      </c>
      <c r="M117" s="649">
        <f>PROFORMA!N190</f>
        <v>0</v>
      </c>
      <c r="N117" s="649">
        <f>PROFORMA!O190</f>
        <v>0</v>
      </c>
      <c r="O117" s="649">
        <f>PROFORMA!P190</f>
        <v>0</v>
      </c>
      <c r="P117" s="649">
        <f>PROFORMA!Q190</f>
        <v>0</v>
      </c>
      <c r="Q117" s="649">
        <f>PROFORMA!R190</f>
        <v>0</v>
      </c>
      <c r="R117" s="649">
        <f>PROFORMA!S190</f>
        <v>0</v>
      </c>
      <c r="S117" s="649">
        <f>PROFORMA!T190</f>
        <v>0</v>
      </c>
      <c r="T117" s="649">
        <f>PROFORMA!U190</f>
        <v>0</v>
      </c>
      <c r="U117" s="649">
        <f>PROFORMA!V190</f>
        <v>0</v>
      </c>
      <c r="V117" s="649">
        <f>PROFORMA!W190</f>
        <v>0</v>
      </c>
      <c r="W117" s="649">
        <f>PROFORMA!X190</f>
        <v>0</v>
      </c>
      <c r="X117" s="649">
        <f>PROFORMA!Y190</f>
        <v>0</v>
      </c>
      <c r="Y117" s="690">
        <f t="shared" si="26"/>
        <v>0</v>
      </c>
      <c r="Z117" s="649">
        <f>PROFORMA!Z190</f>
        <v>0</v>
      </c>
      <c r="AA117" s="649">
        <f>PROFORMA!AA190</f>
        <v>0</v>
      </c>
      <c r="AB117" s="649">
        <f>PROFORMA!AB190</f>
        <v>0</v>
      </c>
      <c r="AC117" s="649">
        <f>PROFORMA!AC190</f>
        <v>0</v>
      </c>
      <c r="AD117" s="649">
        <f>PROFORMA!AD190</f>
        <v>0</v>
      </c>
      <c r="AE117" s="649">
        <f>PROFORMA!AE190</f>
        <v>0</v>
      </c>
      <c r="AF117" s="649">
        <f>PROFORMA!AF190</f>
        <v>0</v>
      </c>
      <c r="AG117" s="649">
        <f>PROFORMA!AG190</f>
        <v>0</v>
      </c>
      <c r="AH117" s="649">
        <f>PROFORMA!AH190</f>
        <v>0</v>
      </c>
      <c r="AI117" s="649">
        <f>PROFORMA!AI190</f>
        <v>0</v>
      </c>
      <c r="AJ117" s="649">
        <f>PROFORMA!AJ190</f>
        <v>0</v>
      </c>
      <c r="AK117" s="649">
        <f>PROFORMA!AK190</f>
        <v>0</v>
      </c>
      <c r="AL117" s="649">
        <f>PROFORMA!AL190</f>
        <v>0</v>
      </c>
      <c r="AM117" s="649">
        <f>PROFORMA!AM190</f>
        <v>0</v>
      </c>
      <c r="AN117" s="649">
        <f>PROFORMA!AN190</f>
        <v>0</v>
      </c>
      <c r="AO117" s="649">
        <f>PROFORMA!AO190</f>
        <v>0</v>
      </c>
      <c r="AP117" s="649">
        <f>PROFORMA!AP190</f>
        <v>0</v>
      </c>
      <c r="AQ117" s="649">
        <f>PROFORMA!AQ190</f>
        <v>0</v>
      </c>
      <c r="AR117" s="693">
        <f t="shared" si="30"/>
        <v>0</v>
      </c>
      <c r="AS117" s="643">
        <f t="shared" si="31"/>
        <v>0</v>
      </c>
      <c r="AT117" s="643">
        <f t="shared" si="32"/>
        <v>0</v>
      </c>
      <c r="AU117" s="643"/>
      <c r="AV117" s="643">
        <f t="shared" si="33"/>
        <v>0</v>
      </c>
    </row>
    <row r="118" spans="1:48" ht="15.45" customHeight="1">
      <c r="A118" s="640">
        <v>116</v>
      </c>
      <c r="B118" s="811"/>
      <c r="C118" s="658" t="s">
        <v>368</v>
      </c>
      <c r="D118" s="659"/>
      <c r="E118" s="649">
        <f>PROFORMA!F191</f>
        <v>140000</v>
      </c>
      <c r="F118" s="649">
        <f>PROFORMA!G191</f>
        <v>0</v>
      </c>
      <c r="G118" s="649">
        <f>PROFORMA!H191</f>
        <v>0</v>
      </c>
      <c r="H118" s="649">
        <f>PROFORMA!I191</f>
        <v>0</v>
      </c>
      <c r="I118" s="649">
        <f>PROFORMA!J191</f>
        <v>0</v>
      </c>
      <c r="J118" s="649">
        <f>PROFORMA!K191</f>
        <v>0</v>
      </c>
      <c r="K118" s="649">
        <f>PROFORMA!L191</f>
        <v>0</v>
      </c>
      <c r="L118" s="649">
        <f>PROFORMA!M191</f>
        <v>0</v>
      </c>
      <c r="M118" s="649">
        <f>PROFORMA!N191</f>
        <v>0</v>
      </c>
      <c r="N118" s="649">
        <f>PROFORMA!O191</f>
        <v>0</v>
      </c>
      <c r="O118" s="649">
        <f>PROFORMA!P191</f>
        <v>0</v>
      </c>
      <c r="P118" s="649">
        <f>PROFORMA!Q191</f>
        <v>0</v>
      </c>
      <c r="Q118" s="649">
        <f>PROFORMA!R191</f>
        <v>0</v>
      </c>
      <c r="R118" s="649">
        <f>PROFORMA!S191</f>
        <v>0</v>
      </c>
      <c r="S118" s="649">
        <f>PROFORMA!T191</f>
        <v>0</v>
      </c>
      <c r="T118" s="649">
        <f>PROFORMA!U191</f>
        <v>0</v>
      </c>
      <c r="U118" s="649">
        <f>PROFORMA!V191</f>
        <v>0</v>
      </c>
      <c r="V118" s="649">
        <f>PROFORMA!W191</f>
        <v>0</v>
      </c>
      <c r="W118" s="649">
        <f>PROFORMA!X191</f>
        <v>0</v>
      </c>
      <c r="X118" s="649">
        <f>PROFORMA!Y191</f>
        <v>-1000</v>
      </c>
      <c r="Y118" s="690">
        <f t="shared" si="26"/>
        <v>-1000</v>
      </c>
      <c r="Z118" s="649">
        <f>PROFORMA!Z191</f>
        <v>0</v>
      </c>
      <c r="AA118" s="649">
        <f>PROFORMA!AA191</f>
        <v>0</v>
      </c>
      <c r="AB118" s="649">
        <f>PROFORMA!AB191</f>
        <v>0</v>
      </c>
      <c r="AC118" s="649">
        <f>PROFORMA!AC191</f>
        <v>0</v>
      </c>
      <c r="AD118" s="649">
        <f>PROFORMA!AD191</f>
        <v>0</v>
      </c>
      <c r="AE118" s="649">
        <f>PROFORMA!AE191</f>
        <v>0</v>
      </c>
      <c r="AF118" s="649">
        <f>PROFORMA!AF191</f>
        <v>0</v>
      </c>
      <c r="AG118" s="649">
        <f>PROFORMA!AG191</f>
        <v>0</v>
      </c>
      <c r="AH118" s="649">
        <f>PROFORMA!AH191</f>
        <v>0</v>
      </c>
      <c r="AI118" s="649">
        <f>PROFORMA!AI191</f>
        <v>0</v>
      </c>
      <c r="AJ118" s="649">
        <f>PROFORMA!AJ191</f>
        <v>0</v>
      </c>
      <c r="AK118" s="649">
        <f>PROFORMA!AK191</f>
        <v>1000</v>
      </c>
      <c r="AL118" s="649">
        <f>PROFORMA!AL191</f>
        <v>1000</v>
      </c>
      <c r="AM118" s="649">
        <f>PROFORMA!AM191</f>
        <v>3000</v>
      </c>
      <c r="AN118" s="649">
        <f>PROFORMA!AN191</f>
        <v>0</v>
      </c>
      <c r="AO118" s="649">
        <f>PROFORMA!AO191</f>
        <v>0</v>
      </c>
      <c r="AP118" s="649">
        <f>PROFORMA!AP191</f>
        <v>0</v>
      </c>
      <c r="AQ118" s="649">
        <f>PROFORMA!AQ191</f>
        <v>0</v>
      </c>
      <c r="AR118" s="693">
        <f t="shared" si="30"/>
        <v>5000</v>
      </c>
      <c r="AS118" s="643">
        <f t="shared" si="31"/>
        <v>4000</v>
      </c>
      <c r="AT118" s="643">
        <f t="shared" si="32"/>
        <v>144000</v>
      </c>
      <c r="AU118" s="643"/>
      <c r="AV118" s="643">
        <f t="shared" si="33"/>
        <v>144000</v>
      </c>
    </row>
    <row r="119" spans="1:48" ht="15.45" customHeight="1">
      <c r="A119" s="640">
        <v>117</v>
      </c>
      <c r="B119" s="811"/>
      <c r="C119" s="658" t="s">
        <v>369</v>
      </c>
      <c r="D119" s="659"/>
      <c r="E119" s="649">
        <f>PROFORMA!F192</f>
        <v>50000</v>
      </c>
      <c r="F119" s="649">
        <f>PROFORMA!G192</f>
        <v>0</v>
      </c>
      <c r="G119" s="649">
        <f>PROFORMA!H192</f>
        <v>0</v>
      </c>
      <c r="H119" s="649">
        <f>PROFORMA!I192</f>
        <v>0</v>
      </c>
      <c r="I119" s="649">
        <f>PROFORMA!J192</f>
        <v>0</v>
      </c>
      <c r="J119" s="649">
        <f>PROFORMA!K192</f>
        <v>0</v>
      </c>
      <c r="K119" s="649">
        <f>PROFORMA!L192</f>
        <v>0</v>
      </c>
      <c r="L119" s="649">
        <f>PROFORMA!M192</f>
        <v>0</v>
      </c>
      <c r="M119" s="649">
        <f>PROFORMA!N192</f>
        <v>0</v>
      </c>
      <c r="N119" s="649">
        <f>PROFORMA!O192</f>
        <v>0</v>
      </c>
      <c r="O119" s="649">
        <f>PROFORMA!P192</f>
        <v>0</v>
      </c>
      <c r="P119" s="649">
        <f>PROFORMA!Q192</f>
        <v>0</v>
      </c>
      <c r="Q119" s="649">
        <f>PROFORMA!R192</f>
        <v>0</v>
      </c>
      <c r="R119" s="649">
        <f>PROFORMA!S192</f>
        <v>0</v>
      </c>
      <c r="S119" s="649">
        <f>PROFORMA!T192</f>
        <v>0</v>
      </c>
      <c r="T119" s="649">
        <f>PROFORMA!U192</f>
        <v>0</v>
      </c>
      <c r="U119" s="649">
        <f>PROFORMA!V192</f>
        <v>0</v>
      </c>
      <c r="V119" s="649">
        <f>PROFORMA!W192</f>
        <v>0</v>
      </c>
      <c r="W119" s="649">
        <f>PROFORMA!X192</f>
        <v>0</v>
      </c>
      <c r="X119" s="649">
        <f>PROFORMA!Y192</f>
        <v>0</v>
      </c>
      <c r="Y119" s="690">
        <f t="shared" si="26"/>
        <v>0</v>
      </c>
      <c r="Z119" s="649">
        <f>PROFORMA!Z192</f>
        <v>0</v>
      </c>
      <c r="AA119" s="649">
        <f>PROFORMA!AA192</f>
        <v>0</v>
      </c>
      <c r="AB119" s="649">
        <f>PROFORMA!AB192</f>
        <v>0</v>
      </c>
      <c r="AC119" s="649">
        <f>PROFORMA!AC192</f>
        <v>0</v>
      </c>
      <c r="AD119" s="649">
        <f>PROFORMA!AD192</f>
        <v>0</v>
      </c>
      <c r="AE119" s="649">
        <f>PROFORMA!AE192</f>
        <v>0</v>
      </c>
      <c r="AF119" s="649">
        <f>PROFORMA!AF192</f>
        <v>0</v>
      </c>
      <c r="AG119" s="649">
        <f>PROFORMA!AG192</f>
        <v>0</v>
      </c>
      <c r="AH119" s="649">
        <f>PROFORMA!AH192</f>
        <v>0</v>
      </c>
      <c r="AI119" s="649">
        <f>PROFORMA!AI192</f>
        <v>0</v>
      </c>
      <c r="AJ119" s="649">
        <f>PROFORMA!AJ192</f>
        <v>0</v>
      </c>
      <c r="AK119" s="649">
        <f>PROFORMA!AK192</f>
        <v>0</v>
      </c>
      <c r="AL119" s="649">
        <f>PROFORMA!AL192</f>
        <v>0</v>
      </c>
      <c r="AM119" s="649">
        <f>PROFORMA!AM192</f>
        <v>1000</v>
      </c>
      <c r="AN119" s="649">
        <f>PROFORMA!AN192</f>
        <v>0</v>
      </c>
      <c r="AO119" s="649">
        <f>PROFORMA!AO192</f>
        <v>0</v>
      </c>
      <c r="AP119" s="649">
        <f>PROFORMA!AP192</f>
        <v>0</v>
      </c>
      <c r="AQ119" s="649">
        <f>PROFORMA!AQ192</f>
        <v>0</v>
      </c>
      <c r="AR119" s="693">
        <f t="shared" si="30"/>
        <v>1000</v>
      </c>
      <c r="AS119" s="643">
        <f t="shared" si="31"/>
        <v>1000</v>
      </c>
      <c r="AT119" s="643">
        <f t="shared" si="32"/>
        <v>51000</v>
      </c>
      <c r="AU119" s="643"/>
      <c r="AV119" s="643">
        <f t="shared" si="33"/>
        <v>51000</v>
      </c>
    </row>
    <row r="120" spans="1:48" ht="15.45" customHeight="1">
      <c r="A120" s="640">
        <v>118</v>
      </c>
      <c r="B120" s="811"/>
      <c r="C120" s="658" t="s">
        <v>370</v>
      </c>
      <c r="D120" s="659"/>
      <c r="E120" s="649">
        <f>PROFORMA!F193</f>
        <v>4325000</v>
      </c>
      <c r="F120" s="649">
        <f>PROFORMA!G193</f>
        <v>0</v>
      </c>
      <c r="G120" s="649">
        <f>PROFORMA!H193</f>
        <v>0</v>
      </c>
      <c r="H120" s="649">
        <f>PROFORMA!I193</f>
        <v>0</v>
      </c>
      <c r="I120" s="649">
        <f>PROFORMA!J193</f>
        <v>0</v>
      </c>
      <c r="J120" s="649">
        <f>PROFORMA!K193</f>
        <v>0</v>
      </c>
      <c r="K120" s="649">
        <f>PROFORMA!L193</f>
        <v>0</v>
      </c>
      <c r="L120" s="649">
        <f>PROFORMA!M193</f>
        <v>0</v>
      </c>
      <c r="M120" s="649">
        <f>PROFORMA!N193</f>
        <v>0</v>
      </c>
      <c r="N120" s="649">
        <f>PROFORMA!O193</f>
        <v>0</v>
      </c>
      <c r="O120" s="649">
        <f>PROFORMA!P193</f>
        <v>0</v>
      </c>
      <c r="P120" s="649">
        <f>PROFORMA!Q193</f>
        <v>0</v>
      </c>
      <c r="Q120" s="649">
        <f>PROFORMA!R193</f>
        <v>0</v>
      </c>
      <c r="R120" s="649">
        <f>PROFORMA!S193</f>
        <v>0</v>
      </c>
      <c r="S120" s="649">
        <f>PROFORMA!T193</f>
        <v>0</v>
      </c>
      <c r="T120" s="649">
        <f>PROFORMA!U193</f>
        <v>0</v>
      </c>
      <c r="U120" s="649">
        <f>PROFORMA!V193</f>
        <v>0</v>
      </c>
      <c r="V120" s="649">
        <f>PROFORMA!W193</f>
        <v>0</v>
      </c>
      <c r="W120" s="649">
        <f>PROFORMA!X193</f>
        <v>0</v>
      </c>
      <c r="X120" s="649">
        <f>PROFORMA!Y193</f>
        <v>-39000</v>
      </c>
      <c r="Y120" s="690">
        <f t="shared" si="26"/>
        <v>-39000</v>
      </c>
      <c r="Z120" s="649">
        <f>PROFORMA!Z193</f>
        <v>0</v>
      </c>
      <c r="AA120" s="649">
        <f>PROFORMA!AA193</f>
        <v>0</v>
      </c>
      <c r="AB120" s="649">
        <f>PROFORMA!AB193</f>
        <v>0</v>
      </c>
      <c r="AC120" s="649">
        <f>PROFORMA!AC193</f>
        <v>0</v>
      </c>
      <c r="AD120" s="649">
        <f>PROFORMA!AD193</f>
        <v>0</v>
      </c>
      <c r="AE120" s="649">
        <f>PROFORMA!AE193</f>
        <v>0</v>
      </c>
      <c r="AF120" s="649">
        <f>PROFORMA!AF193</f>
        <v>0</v>
      </c>
      <c r="AG120" s="649">
        <f>PROFORMA!AG193</f>
        <v>0</v>
      </c>
      <c r="AH120" s="649">
        <f>PROFORMA!AH193</f>
        <v>0</v>
      </c>
      <c r="AI120" s="649">
        <f>PROFORMA!AI193</f>
        <v>0</v>
      </c>
      <c r="AJ120" s="649">
        <f>PROFORMA!AJ193</f>
        <v>0</v>
      </c>
      <c r="AK120" s="649">
        <f>PROFORMA!AK193</f>
        <v>36000</v>
      </c>
      <c r="AL120" s="649">
        <f>PROFORMA!AL193</f>
        <v>29000</v>
      </c>
      <c r="AM120" s="649">
        <f>PROFORMA!AM193</f>
        <v>96000</v>
      </c>
      <c r="AN120" s="649">
        <f>PROFORMA!AN193</f>
        <v>0</v>
      </c>
      <c r="AO120" s="649">
        <f>PROFORMA!AO193</f>
        <v>0</v>
      </c>
      <c r="AP120" s="649">
        <f>PROFORMA!AP193</f>
        <v>0</v>
      </c>
      <c r="AQ120" s="649">
        <f>PROFORMA!AQ193</f>
        <v>0</v>
      </c>
      <c r="AR120" s="693">
        <f t="shared" si="30"/>
        <v>161000</v>
      </c>
      <c r="AS120" s="643">
        <f t="shared" si="31"/>
        <v>122000</v>
      </c>
      <c r="AT120" s="643">
        <f t="shared" si="32"/>
        <v>4447000</v>
      </c>
      <c r="AU120" s="643"/>
      <c r="AV120" s="643">
        <f t="shared" si="33"/>
        <v>4447000</v>
      </c>
    </row>
    <row r="121" spans="1:48" ht="15.45" customHeight="1">
      <c r="A121" s="640">
        <v>119</v>
      </c>
      <c r="B121" s="811"/>
      <c r="C121" s="658" t="s">
        <v>371</v>
      </c>
      <c r="D121" s="659"/>
      <c r="E121" s="649">
        <f>PROFORMA!F194</f>
        <v>2279000</v>
      </c>
      <c r="F121" s="649">
        <f>PROFORMA!G194</f>
        <v>0</v>
      </c>
      <c r="G121" s="649">
        <f>PROFORMA!H194</f>
        <v>0</v>
      </c>
      <c r="H121" s="649">
        <f>PROFORMA!I194</f>
        <v>0</v>
      </c>
      <c r="I121" s="649">
        <f>PROFORMA!J194</f>
        <v>0</v>
      </c>
      <c r="J121" s="649">
        <f>PROFORMA!K194</f>
        <v>0</v>
      </c>
      <c r="K121" s="649">
        <f>PROFORMA!L194</f>
        <v>0</v>
      </c>
      <c r="L121" s="649">
        <f>PROFORMA!M194</f>
        <v>0</v>
      </c>
      <c r="M121" s="649">
        <f>PROFORMA!N194</f>
        <v>0</v>
      </c>
      <c r="N121" s="649">
        <f>PROFORMA!O194</f>
        <v>0</v>
      </c>
      <c r="O121" s="649">
        <f>PROFORMA!P194</f>
        <v>0</v>
      </c>
      <c r="P121" s="649">
        <f>PROFORMA!Q194</f>
        <v>0</v>
      </c>
      <c r="Q121" s="649">
        <f>PROFORMA!R194</f>
        <v>0</v>
      </c>
      <c r="R121" s="649">
        <f>PROFORMA!S194</f>
        <v>0</v>
      </c>
      <c r="S121" s="649">
        <f>PROFORMA!T194</f>
        <v>0</v>
      </c>
      <c r="T121" s="649">
        <f>PROFORMA!U194</f>
        <v>0</v>
      </c>
      <c r="U121" s="649">
        <f>PROFORMA!V194</f>
        <v>0</v>
      </c>
      <c r="V121" s="649">
        <f>PROFORMA!W194</f>
        <v>0</v>
      </c>
      <c r="W121" s="649">
        <f>PROFORMA!X194</f>
        <v>0</v>
      </c>
      <c r="X121" s="649">
        <f>PROFORMA!Y194</f>
        <v>-20000</v>
      </c>
      <c r="Y121" s="690">
        <f t="shared" si="26"/>
        <v>-20000</v>
      </c>
      <c r="Z121" s="649">
        <f>PROFORMA!Z194</f>
        <v>0</v>
      </c>
      <c r="AA121" s="649">
        <f>PROFORMA!AA194</f>
        <v>0</v>
      </c>
      <c r="AB121" s="649">
        <f>PROFORMA!AB194</f>
        <v>0</v>
      </c>
      <c r="AC121" s="649">
        <f>PROFORMA!AC194</f>
        <v>0</v>
      </c>
      <c r="AD121" s="649">
        <f>PROFORMA!AD194</f>
        <v>0</v>
      </c>
      <c r="AE121" s="649">
        <f>PROFORMA!AE194</f>
        <v>0</v>
      </c>
      <c r="AF121" s="649">
        <f>PROFORMA!AF194</f>
        <v>0</v>
      </c>
      <c r="AG121" s="649">
        <f>PROFORMA!AG194</f>
        <v>0</v>
      </c>
      <c r="AH121" s="649">
        <f>PROFORMA!AH194</f>
        <v>0</v>
      </c>
      <c r="AI121" s="649">
        <f>PROFORMA!AI194</f>
        <v>0</v>
      </c>
      <c r="AJ121" s="649">
        <f>PROFORMA!AJ194</f>
        <v>0</v>
      </c>
      <c r="AK121" s="649">
        <f>PROFORMA!AK194</f>
        <v>18000</v>
      </c>
      <c r="AL121" s="649">
        <f>PROFORMA!AL194</f>
        <v>15000</v>
      </c>
      <c r="AM121" s="649">
        <f>PROFORMA!AM194</f>
        <v>50000</v>
      </c>
      <c r="AN121" s="649">
        <f>PROFORMA!AN194</f>
        <v>0</v>
      </c>
      <c r="AO121" s="649">
        <f>PROFORMA!AO194</f>
        <v>865000</v>
      </c>
      <c r="AP121" s="649">
        <f>PROFORMA!AP194</f>
        <v>0</v>
      </c>
      <c r="AQ121" s="649">
        <f>PROFORMA!AQ194</f>
        <v>0</v>
      </c>
      <c r="AR121" s="693">
        <f t="shared" si="30"/>
        <v>948000</v>
      </c>
      <c r="AS121" s="643">
        <f t="shared" si="31"/>
        <v>928000</v>
      </c>
      <c r="AT121" s="643">
        <f t="shared" si="32"/>
        <v>3207000</v>
      </c>
      <c r="AU121" s="643"/>
      <c r="AV121" s="643">
        <f t="shared" si="33"/>
        <v>3207000</v>
      </c>
    </row>
    <row r="122" spans="1:48" ht="15.45" customHeight="1">
      <c r="A122" s="640">
        <v>120</v>
      </c>
      <c r="B122" s="811"/>
      <c r="C122" s="658" t="s">
        <v>372</v>
      </c>
      <c r="D122" s="659"/>
      <c r="E122" s="649">
        <f>PROFORMA!F195</f>
        <v>0</v>
      </c>
      <c r="F122" s="649">
        <f>PROFORMA!G195</f>
        <v>0</v>
      </c>
      <c r="G122" s="649">
        <f>PROFORMA!H195</f>
        <v>0</v>
      </c>
      <c r="H122" s="649">
        <f>PROFORMA!I195</f>
        <v>0</v>
      </c>
      <c r="I122" s="649">
        <f>PROFORMA!J195</f>
        <v>0</v>
      </c>
      <c r="J122" s="649">
        <f>PROFORMA!K195</f>
        <v>0</v>
      </c>
      <c r="K122" s="649">
        <f>PROFORMA!L195</f>
        <v>0</v>
      </c>
      <c r="L122" s="649">
        <f>PROFORMA!M195</f>
        <v>0</v>
      </c>
      <c r="M122" s="649">
        <f>PROFORMA!N195</f>
        <v>0</v>
      </c>
      <c r="N122" s="649">
        <f>PROFORMA!O195</f>
        <v>0</v>
      </c>
      <c r="O122" s="649">
        <f>PROFORMA!P195</f>
        <v>0</v>
      </c>
      <c r="P122" s="649">
        <f>PROFORMA!Q195</f>
        <v>0</v>
      </c>
      <c r="Q122" s="649">
        <f>PROFORMA!R195</f>
        <v>0</v>
      </c>
      <c r="R122" s="649">
        <f>PROFORMA!S195</f>
        <v>0</v>
      </c>
      <c r="S122" s="649">
        <f>PROFORMA!T195</f>
        <v>0</v>
      </c>
      <c r="T122" s="649">
        <f>PROFORMA!U195</f>
        <v>0</v>
      </c>
      <c r="U122" s="649">
        <f>PROFORMA!V195</f>
        <v>0</v>
      </c>
      <c r="V122" s="649">
        <f>PROFORMA!W195</f>
        <v>0</v>
      </c>
      <c r="W122" s="649">
        <f>PROFORMA!X195</f>
        <v>0</v>
      </c>
      <c r="X122" s="649">
        <f>PROFORMA!Y195</f>
        <v>0</v>
      </c>
      <c r="Y122" s="690">
        <f t="shared" si="26"/>
        <v>0</v>
      </c>
      <c r="Z122" s="649">
        <f>PROFORMA!Z195</f>
        <v>0</v>
      </c>
      <c r="AA122" s="649">
        <f>PROFORMA!AA195</f>
        <v>0</v>
      </c>
      <c r="AB122" s="649">
        <f>PROFORMA!AB195</f>
        <v>0</v>
      </c>
      <c r="AC122" s="649">
        <f>PROFORMA!AC195</f>
        <v>0</v>
      </c>
      <c r="AD122" s="649">
        <f>PROFORMA!AD195</f>
        <v>0</v>
      </c>
      <c r="AE122" s="649">
        <f>PROFORMA!AE195</f>
        <v>0</v>
      </c>
      <c r="AF122" s="649">
        <f>PROFORMA!AF195</f>
        <v>0</v>
      </c>
      <c r="AG122" s="649">
        <f>PROFORMA!AG195</f>
        <v>0</v>
      </c>
      <c r="AH122" s="649">
        <f>PROFORMA!AH195</f>
        <v>0</v>
      </c>
      <c r="AI122" s="649">
        <f>PROFORMA!AI195</f>
        <v>0</v>
      </c>
      <c r="AJ122" s="649">
        <f>PROFORMA!AJ195</f>
        <v>0</v>
      </c>
      <c r="AK122" s="649">
        <f>PROFORMA!AK195</f>
        <v>0</v>
      </c>
      <c r="AL122" s="649">
        <f>PROFORMA!AL195</f>
        <v>0</v>
      </c>
      <c r="AM122" s="649">
        <f>PROFORMA!AM195</f>
        <v>0</v>
      </c>
      <c r="AN122" s="649">
        <f>PROFORMA!AN195</f>
        <v>0</v>
      </c>
      <c r="AO122" s="649">
        <f>PROFORMA!AO195</f>
        <v>0</v>
      </c>
      <c r="AP122" s="649">
        <f>PROFORMA!AP195</f>
        <v>0</v>
      </c>
      <c r="AQ122" s="649">
        <f>PROFORMA!AQ195</f>
        <v>0</v>
      </c>
      <c r="AR122" s="693">
        <f t="shared" si="30"/>
        <v>0</v>
      </c>
      <c r="AS122" s="643">
        <f t="shared" si="31"/>
        <v>0</v>
      </c>
      <c r="AT122" s="643">
        <f t="shared" si="32"/>
        <v>0</v>
      </c>
      <c r="AU122" s="643"/>
      <c r="AV122" s="643">
        <f t="shared" si="33"/>
        <v>0</v>
      </c>
    </row>
    <row r="123" spans="1:48" ht="15.45" customHeight="1">
      <c r="A123" s="640">
        <v>121</v>
      </c>
      <c r="B123" s="811"/>
      <c r="C123" s="658" t="s">
        <v>373</v>
      </c>
      <c r="D123" s="659"/>
      <c r="E123" s="649">
        <f>PROFORMA!F196</f>
        <v>0</v>
      </c>
      <c r="F123" s="649">
        <f>PROFORMA!G196</f>
        <v>0</v>
      </c>
      <c r="G123" s="649">
        <f>PROFORMA!H196</f>
        <v>0</v>
      </c>
      <c r="H123" s="649">
        <f>PROFORMA!I196</f>
        <v>0</v>
      </c>
      <c r="I123" s="649">
        <f>PROFORMA!J196</f>
        <v>0</v>
      </c>
      <c r="J123" s="649">
        <f>PROFORMA!K196</f>
        <v>0</v>
      </c>
      <c r="K123" s="649">
        <f>PROFORMA!L196</f>
        <v>0</v>
      </c>
      <c r="L123" s="649">
        <f>PROFORMA!M196</f>
        <v>0</v>
      </c>
      <c r="M123" s="649">
        <f>PROFORMA!N196</f>
        <v>0</v>
      </c>
      <c r="N123" s="649">
        <f>PROFORMA!O196</f>
        <v>0</v>
      </c>
      <c r="O123" s="649">
        <f>PROFORMA!P196</f>
        <v>0</v>
      </c>
      <c r="P123" s="649">
        <f>PROFORMA!Q196</f>
        <v>0</v>
      </c>
      <c r="Q123" s="649">
        <f>PROFORMA!R196</f>
        <v>0</v>
      </c>
      <c r="R123" s="649">
        <f>PROFORMA!S196</f>
        <v>0</v>
      </c>
      <c r="S123" s="649">
        <f>PROFORMA!T196</f>
        <v>0</v>
      </c>
      <c r="T123" s="649">
        <f>PROFORMA!U196</f>
        <v>0</v>
      </c>
      <c r="U123" s="649">
        <f>PROFORMA!V196</f>
        <v>0</v>
      </c>
      <c r="V123" s="649">
        <f>PROFORMA!W196</f>
        <v>0</v>
      </c>
      <c r="W123" s="649">
        <f>PROFORMA!X196</f>
        <v>0</v>
      </c>
      <c r="X123" s="649">
        <f>PROFORMA!Y196</f>
        <v>0</v>
      </c>
      <c r="Y123" s="690">
        <f t="shared" si="26"/>
        <v>0</v>
      </c>
      <c r="Z123" s="649">
        <f>PROFORMA!Z196</f>
        <v>0</v>
      </c>
      <c r="AA123" s="649">
        <f>PROFORMA!AA196</f>
        <v>0</v>
      </c>
      <c r="AB123" s="649">
        <f>PROFORMA!AB196</f>
        <v>0</v>
      </c>
      <c r="AC123" s="649">
        <f>PROFORMA!AC196</f>
        <v>0</v>
      </c>
      <c r="AD123" s="649">
        <f>PROFORMA!AD196</f>
        <v>0</v>
      </c>
      <c r="AE123" s="649">
        <f>PROFORMA!AE196</f>
        <v>0</v>
      </c>
      <c r="AF123" s="649">
        <f>PROFORMA!AF196</f>
        <v>0</v>
      </c>
      <c r="AG123" s="649">
        <f>PROFORMA!AG196</f>
        <v>0</v>
      </c>
      <c r="AH123" s="649">
        <f>PROFORMA!AH196</f>
        <v>0</v>
      </c>
      <c r="AI123" s="649">
        <f>PROFORMA!AI196</f>
        <v>0</v>
      </c>
      <c r="AJ123" s="649">
        <f>PROFORMA!AJ196</f>
        <v>0</v>
      </c>
      <c r="AK123" s="649">
        <f>PROFORMA!AK196</f>
        <v>0</v>
      </c>
      <c r="AL123" s="649">
        <f>PROFORMA!AL196</f>
        <v>0</v>
      </c>
      <c r="AM123" s="649">
        <f>PROFORMA!AM196</f>
        <v>0</v>
      </c>
      <c r="AN123" s="649">
        <f>PROFORMA!AN196</f>
        <v>0</v>
      </c>
      <c r="AO123" s="649">
        <f>PROFORMA!AO196</f>
        <v>0</v>
      </c>
      <c r="AP123" s="649">
        <f>PROFORMA!AP196</f>
        <v>0</v>
      </c>
      <c r="AQ123" s="649">
        <f>PROFORMA!AQ196</f>
        <v>0</v>
      </c>
      <c r="AR123" s="693">
        <f t="shared" si="30"/>
        <v>0</v>
      </c>
      <c r="AS123" s="643">
        <f t="shared" si="31"/>
        <v>0</v>
      </c>
      <c r="AT123" s="643">
        <f t="shared" si="32"/>
        <v>0</v>
      </c>
      <c r="AU123" s="643"/>
      <c r="AV123" s="643">
        <f t="shared" si="33"/>
        <v>0</v>
      </c>
    </row>
    <row r="124" spans="1:48" ht="15.45" customHeight="1">
      <c r="A124" s="640">
        <v>122</v>
      </c>
      <c r="B124" s="811"/>
      <c r="C124" s="658" t="s">
        <v>374</v>
      </c>
      <c r="D124" s="659"/>
      <c r="E124" s="649">
        <f>PROFORMA!F197</f>
        <v>0</v>
      </c>
      <c r="F124" s="649">
        <f>PROFORMA!G197</f>
        <v>0</v>
      </c>
      <c r="G124" s="649">
        <f>PROFORMA!H197</f>
        <v>0</v>
      </c>
      <c r="H124" s="649">
        <f>PROFORMA!I197</f>
        <v>0</v>
      </c>
      <c r="I124" s="649">
        <f>PROFORMA!J197</f>
        <v>0</v>
      </c>
      <c r="J124" s="649">
        <f>PROFORMA!K197</f>
        <v>0</v>
      </c>
      <c r="K124" s="649">
        <f>PROFORMA!L197</f>
        <v>0</v>
      </c>
      <c r="L124" s="649">
        <f>PROFORMA!M197</f>
        <v>0</v>
      </c>
      <c r="M124" s="649">
        <f>PROFORMA!N197</f>
        <v>0</v>
      </c>
      <c r="N124" s="649">
        <f>PROFORMA!O197</f>
        <v>0</v>
      </c>
      <c r="O124" s="649">
        <f>PROFORMA!P197</f>
        <v>0</v>
      </c>
      <c r="P124" s="649">
        <f>PROFORMA!Q197</f>
        <v>0</v>
      </c>
      <c r="Q124" s="649">
        <f>PROFORMA!R197</f>
        <v>0</v>
      </c>
      <c r="R124" s="649">
        <f>PROFORMA!S197</f>
        <v>0</v>
      </c>
      <c r="S124" s="649">
        <f>PROFORMA!T197</f>
        <v>0</v>
      </c>
      <c r="T124" s="649">
        <f>PROFORMA!U197</f>
        <v>0</v>
      </c>
      <c r="U124" s="649">
        <f>PROFORMA!V197</f>
        <v>0</v>
      </c>
      <c r="V124" s="649">
        <f>PROFORMA!W197</f>
        <v>0</v>
      </c>
      <c r="W124" s="649">
        <f>PROFORMA!X197</f>
        <v>0</v>
      </c>
      <c r="X124" s="649">
        <f>PROFORMA!Y197</f>
        <v>0</v>
      </c>
      <c r="Y124" s="690">
        <f t="shared" si="26"/>
        <v>0</v>
      </c>
      <c r="Z124" s="649">
        <f>PROFORMA!Z197</f>
        <v>0</v>
      </c>
      <c r="AA124" s="649">
        <f>PROFORMA!AA197</f>
        <v>0</v>
      </c>
      <c r="AB124" s="649">
        <f>PROFORMA!AB197</f>
        <v>0</v>
      </c>
      <c r="AC124" s="649">
        <f>PROFORMA!AC197</f>
        <v>0</v>
      </c>
      <c r="AD124" s="649">
        <f>PROFORMA!AD197</f>
        <v>0</v>
      </c>
      <c r="AE124" s="649">
        <f>PROFORMA!AE197</f>
        <v>0</v>
      </c>
      <c r="AF124" s="649">
        <f>PROFORMA!AF197</f>
        <v>0</v>
      </c>
      <c r="AG124" s="649">
        <f>PROFORMA!AG197</f>
        <v>0</v>
      </c>
      <c r="AH124" s="649">
        <f>PROFORMA!AH197</f>
        <v>0</v>
      </c>
      <c r="AI124" s="649">
        <f>PROFORMA!AI197</f>
        <v>0</v>
      </c>
      <c r="AJ124" s="649">
        <f>PROFORMA!AJ197</f>
        <v>0</v>
      </c>
      <c r="AK124" s="649">
        <f>PROFORMA!AK197</f>
        <v>0</v>
      </c>
      <c r="AL124" s="649">
        <f>PROFORMA!AL197</f>
        <v>0</v>
      </c>
      <c r="AM124" s="649">
        <f>PROFORMA!AM197</f>
        <v>0</v>
      </c>
      <c r="AN124" s="649">
        <f>PROFORMA!AN197</f>
        <v>0</v>
      </c>
      <c r="AO124" s="649">
        <f>PROFORMA!AO197</f>
        <v>0</v>
      </c>
      <c r="AP124" s="649">
        <f>PROFORMA!AP197</f>
        <v>0</v>
      </c>
      <c r="AQ124" s="649">
        <f>PROFORMA!AQ197</f>
        <v>0</v>
      </c>
      <c r="AR124" s="693">
        <f t="shared" si="30"/>
        <v>0</v>
      </c>
      <c r="AS124" s="643">
        <f t="shared" si="31"/>
        <v>0</v>
      </c>
      <c r="AT124" s="643">
        <f t="shared" si="32"/>
        <v>0</v>
      </c>
      <c r="AU124" s="643"/>
      <c r="AV124" s="643">
        <f t="shared" si="33"/>
        <v>0</v>
      </c>
    </row>
    <row r="125" spans="1:48" ht="15.45" customHeight="1">
      <c r="A125" s="640">
        <v>123</v>
      </c>
      <c r="B125" s="811"/>
      <c r="C125" s="658" t="s">
        <v>375</v>
      </c>
      <c r="D125" s="659"/>
      <c r="E125" s="649">
        <f>PROFORMA!F198</f>
        <v>41000</v>
      </c>
      <c r="F125" s="649">
        <f>PROFORMA!G198</f>
        <v>0</v>
      </c>
      <c r="G125" s="649">
        <f>PROFORMA!H198</f>
        <v>0</v>
      </c>
      <c r="H125" s="649">
        <f>PROFORMA!I198</f>
        <v>0</v>
      </c>
      <c r="I125" s="649">
        <f>PROFORMA!J198</f>
        <v>0</v>
      </c>
      <c r="J125" s="649">
        <f>PROFORMA!K198</f>
        <v>0</v>
      </c>
      <c r="K125" s="649">
        <f>PROFORMA!L198</f>
        <v>0</v>
      </c>
      <c r="L125" s="649">
        <f>PROFORMA!M198</f>
        <v>0</v>
      </c>
      <c r="M125" s="649">
        <f>PROFORMA!N198</f>
        <v>0</v>
      </c>
      <c r="N125" s="649">
        <f>PROFORMA!O198</f>
        <v>0</v>
      </c>
      <c r="O125" s="649">
        <f>PROFORMA!P198</f>
        <v>0</v>
      </c>
      <c r="P125" s="649">
        <f>PROFORMA!Q198</f>
        <v>0</v>
      </c>
      <c r="Q125" s="649">
        <f>PROFORMA!R198</f>
        <v>0</v>
      </c>
      <c r="R125" s="649">
        <f>PROFORMA!S198</f>
        <v>0</v>
      </c>
      <c r="S125" s="649">
        <f>PROFORMA!T198</f>
        <v>0</v>
      </c>
      <c r="T125" s="649">
        <f>PROFORMA!U198</f>
        <v>0</v>
      </c>
      <c r="U125" s="649">
        <f>PROFORMA!V198</f>
        <v>0</v>
      </c>
      <c r="V125" s="649">
        <f>PROFORMA!W198</f>
        <v>0</v>
      </c>
      <c r="W125" s="649">
        <f>PROFORMA!X198</f>
        <v>0</v>
      </c>
      <c r="X125" s="649">
        <f>PROFORMA!Y198</f>
        <v>0</v>
      </c>
      <c r="Y125" s="690">
        <f t="shared" si="26"/>
        <v>0</v>
      </c>
      <c r="Z125" s="649">
        <f>PROFORMA!Z198</f>
        <v>0</v>
      </c>
      <c r="AA125" s="649">
        <f>PROFORMA!AA198</f>
        <v>0</v>
      </c>
      <c r="AB125" s="649">
        <f>PROFORMA!AB198</f>
        <v>0</v>
      </c>
      <c r="AC125" s="649">
        <f>PROFORMA!AC198</f>
        <v>0</v>
      </c>
      <c r="AD125" s="649">
        <f>PROFORMA!AD198</f>
        <v>0</v>
      </c>
      <c r="AE125" s="649">
        <f>PROFORMA!AE198</f>
        <v>0</v>
      </c>
      <c r="AF125" s="649">
        <f>PROFORMA!AF198</f>
        <v>0</v>
      </c>
      <c r="AG125" s="649">
        <f>PROFORMA!AG198</f>
        <v>0</v>
      </c>
      <c r="AH125" s="649">
        <f>PROFORMA!AH198</f>
        <v>0</v>
      </c>
      <c r="AI125" s="649">
        <f>PROFORMA!AI198</f>
        <v>0</v>
      </c>
      <c r="AJ125" s="649">
        <f>PROFORMA!AJ198</f>
        <v>0</v>
      </c>
      <c r="AK125" s="649">
        <f>PROFORMA!AK198</f>
        <v>0</v>
      </c>
      <c r="AL125" s="649">
        <f>PROFORMA!AL198</f>
        <v>0</v>
      </c>
      <c r="AM125" s="649">
        <f>PROFORMA!AM198</f>
        <v>1000</v>
      </c>
      <c r="AN125" s="649">
        <f>PROFORMA!AN198</f>
        <v>0</v>
      </c>
      <c r="AO125" s="649">
        <f>PROFORMA!AO198</f>
        <v>0</v>
      </c>
      <c r="AP125" s="649">
        <f>PROFORMA!AP198</f>
        <v>0</v>
      </c>
      <c r="AQ125" s="649">
        <f>PROFORMA!AQ198</f>
        <v>0</v>
      </c>
      <c r="AR125" s="693">
        <f t="shared" si="30"/>
        <v>1000</v>
      </c>
      <c r="AS125" s="643">
        <f t="shared" si="31"/>
        <v>1000</v>
      </c>
      <c r="AT125" s="643">
        <f t="shared" si="32"/>
        <v>42000</v>
      </c>
      <c r="AU125" s="643"/>
      <c r="AV125" s="643">
        <f t="shared" si="33"/>
        <v>42000</v>
      </c>
    </row>
    <row r="126" spans="1:48" ht="15.45" customHeight="1">
      <c r="A126" s="640">
        <v>124</v>
      </c>
      <c r="B126" s="811"/>
      <c r="C126" s="658" t="s">
        <v>366</v>
      </c>
      <c r="D126" s="659"/>
      <c r="E126" s="685">
        <f>PROFORMA!F199</f>
        <v>0</v>
      </c>
      <c r="F126" s="685">
        <f>PROFORMA!G199</f>
        <v>0</v>
      </c>
      <c r="G126" s="685">
        <f>PROFORMA!H199</f>
        <v>0</v>
      </c>
      <c r="H126" s="685">
        <f>PROFORMA!I199</f>
        <v>0</v>
      </c>
      <c r="I126" s="685">
        <f>PROFORMA!J199</f>
        <v>0</v>
      </c>
      <c r="J126" s="685">
        <f>PROFORMA!K199</f>
        <v>0</v>
      </c>
      <c r="K126" s="685">
        <f>PROFORMA!L199</f>
        <v>0</v>
      </c>
      <c r="L126" s="685">
        <f>PROFORMA!M199</f>
        <v>0</v>
      </c>
      <c r="M126" s="685">
        <f>PROFORMA!N199</f>
        <v>0</v>
      </c>
      <c r="N126" s="685">
        <f>PROFORMA!O199</f>
        <v>0</v>
      </c>
      <c r="O126" s="685">
        <f>PROFORMA!P199</f>
        <v>0</v>
      </c>
      <c r="P126" s="685">
        <f>PROFORMA!Q199</f>
        <v>0</v>
      </c>
      <c r="Q126" s="685">
        <f>PROFORMA!R199</f>
        <v>0</v>
      </c>
      <c r="R126" s="685">
        <f>PROFORMA!S199</f>
        <v>-11000</v>
      </c>
      <c r="S126" s="685">
        <f>PROFORMA!T199</f>
        <v>0</v>
      </c>
      <c r="T126" s="685">
        <f>PROFORMA!U199</f>
        <v>0</v>
      </c>
      <c r="U126" s="685">
        <f>PROFORMA!V199</f>
        <v>0</v>
      </c>
      <c r="V126" s="685">
        <f>PROFORMA!W199</f>
        <v>0</v>
      </c>
      <c r="W126" s="685">
        <f>PROFORMA!X199</f>
        <v>0</v>
      </c>
      <c r="X126" s="685">
        <f>PROFORMA!Y199</f>
        <v>0</v>
      </c>
      <c r="Y126" s="691">
        <f t="shared" si="26"/>
        <v>-11000</v>
      </c>
      <c r="Z126" s="685">
        <f>PROFORMA!Z199</f>
        <v>0</v>
      </c>
      <c r="AA126" s="685">
        <f>PROFORMA!AA199</f>
        <v>0</v>
      </c>
      <c r="AB126" s="685">
        <f>PROFORMA!AB199</f>
        <v>0</v>
      </c>
      <c r="AC126" s="685">
        <f>PROFORMA!AC199</f>
        <v>0</v>
      </c>
      <c r="AD126" s="685">
        <f>PROFORMA!AD199</f>
        <v>0</v>
      </c>
      <c r="AE126" s="685">
        <f>PROFORMA!AE199</f>
        <v>0</v>
      </c>
      <c r="AF126" s="685">
        <f>PROFORMA!AF199</f>
        <v>0</v>
      </c>
      <c r="AG126" s="685">
        <f>PROFORMA!AG199</f>
        <v>0</v>
      </c>
      <c r="AH126" s="685">
        <f>PROFORMA!AH199</f>
        <v>0</v>
      </c>
      <c r="AI126" s="685">
        <f>PROFORMA!AI199</f>
        <v>0</v>
      </c>
      <c r="AJ126" s="685">
        <f>PROFORMA!AJ199</f>
        <v>0</v>
      </c>
      <c r="AK126" s="685">
        <f>PROFORMA!AK199</f>
        <v>0</v>
      </c>
      <c r="AL126" s="685">
        <f>PROFORMA!AL199</f>
        <v>0</v>
      </c>
      <c r="AM126" s="685">
        <f>PROFORMA!AM199</f>
        <v>0</v>
      </c>
      <c r="AN126" s="685">
        <f>PROFORMA!AN199</f>
        <v>0</v>
      </c>
      <c r="AO126" s="685">
        <f>PROFORMA!AO199</f>
        <v>0</v>
      </c>
      <c r="AP126" s="685">
        <f>PROFORMA!AP199</f>
        <v>0</v>
      </c>
      <c r="AQ126" s="685">
        <f>PROFORMA!AQ199</f>
        <v>0</v>
      </c>
      <c r="AR126" s="694">
        <f t="shared" si="30"/>
        <v>0</v>
      </c>
      <c r="AS126" s="692">
        <f t="shared" si="31"/>
        <v>-11000</v>
      </c>
      <c r="AT126" s="692">
        <f t="shared" si="32"/>
        <v>-11000</v>
      </c>
      <c r="AU126" s="692"/>
      <c r="AV126" s="692">
        <f t="shared" si="33"/>
        <v>-11000</v>
      </c>
    </row>
    <row r="127" spans="1:48">
      <c r="A127" s="640">
        <v>125</v>
      </c>
      <c r="B127" s="608"/>
      <c r="C127" s="672" t="s">
        <v>1362</v>
      </c>
      <c r="D127" s="670"/>
      <c r="E127" s="663">
        <f>SUM(E114:E126)</f>
        <v>12469000</v>
      </c>
      <c r="F127" s="663">
        <f t="shared" ref="F127:X127" si="48">SUM(F114:F126)</f>
        <v>0</v>
      </c>
      <c r="G127" s="663">
        <f t="shared" si="48"/>
        <v>0</v>
      </c>
      <c r="H127" s="663">
        <f t="shared" si="48"/>
        <v>0</v>
      </c>
      <c r="I127" s="663">
        <f t="shared" si="48"/>
        <v>0</v>
      </c>
      <c r="J127" s="663">
        <f t="shared" si="48"/>
        <v>0</v>
      </c>
      <c r="K127" s="663">
        <f t="shared" si="48"/>
        <v>0</v>
      </c>
      <c r="L127" s="663">
        <f t="shared" si="48"/>
        <v>0</v>
      </c>
      <c r="M127" s="663">
        <f t="shared" si="48"/>
        <v>0</v>
      </c>
      <c r="N127" s="663">
        <f t="shared" si="48"/>
        <v>0</v>
      </c>
      <c r="O127" s="663">
        <f t="shared" si="48"/>
        <v>0</v>
      </c>
      <c r="P127" s="663">
        <f t="shared" si="48"/>
        <v>0</v>
      </c>
      <c r="Q127" s="663">
        <f t="shared" si="48"/>
        <v>0</v>
      </c>
      <c r="R127" s="663">
        <f t="shared" si="48"/>
        <v>-11000</v>
      </c>
      <c r="S127" s="663">
        <f t="shared" si="48"/>
        <v>0</v>
      </c>
      <c r="T127" s="663">
        <f t="shared" si="48"/>
        <v>0</v>
      </c>
      <c r="U127" s="663">
        <f t="shared" si="48"/>
        <v>0</v>
      </c>
      <c r="V127" s="663">
        <f t="shared" si="48"/>
        <v>0</v>
      </c>
      <c r="W127" s="663">
        <f t="shared" si="48"/>
        <v>0</v>
      </c>
      <c r="X127" s="663">
        <f t="shared" si="48"/>
        <v>-112000</v>
      </c>
      <c r="Y127" s="690">
        <f t="shared" si="26"/>
        <v>-123000</v>
      </c>
      <c r="Z127" s="663">
        <f t="shared" ref="Z127:AV127" si="49">SUM(Z114:Z126)</f>
        <v>0</v>
      </c>
      <c r="AA127" s="663">
        <f t="shared" si="49"/>
        <v>0</v>
      </c>
      <c r="AB127" s="663">
        <f t="shared" si="49"/>
        <v>0</v>
      </c>
      <c r="AC127" s="663">
        <f t="shared" si="49"/>
        <v>0</v>
      </c>
      <c r="AD127" s="663">
        <f t="shared" si="49"/>
        <v>0</v>
      </c>
      <c r="AE127" s="663">
        <f t="shared" si="49"/>
        <v>0</v>
      </c>
      <c r="AF127" s="663">
        <f t="shared" si="49"/>
        <v>0</v>
      </c>
      <c r="AG127" s="663">
        <f t="shared" si="49"/>
        <v>0</v>
      </c>
      <c r="AH127" s="663">
        <f t="shared" si="49"/>
        <v>0</v>
      </c>
      <c r="AI127" s="663">
        <f t="shared" si="49"/>
        <v>0</v>
      </c>
      <c r="AJ127" s="663">
        <f t="shared" si="49"/>
        <v>0</v>
      </c>
      <c r="AK127" s="663">
        <f t="shared" si="49"/>
        <v>100000</v>
      </c>
      <c r="AL127" s="663">
        <f t="shared" si="49"/>
        <v>83000</v>
      </c>
      <c r="AM127" s="663">
        <f t="shared" si="49"/>
        <v>276000</v>
      </c>
      <c r="AN127" s="663">
        <f t="shared" si="49"/>
        <v>0</v>
      </c>
      <c r="AO127" s="663">
        <f t="shared" si="49"/>
        <v>865000</v>
      </c>
      <c r="AP127" s="663">
        <f t="shared" si="49"/>
        <v>0</v>
      </c>
      <c r="AQ127" s="663">
        <f t="shared" si="49"/>
        <v>0</v>
      </c>
      <c r="AR127" s="663">
        <f t="shared" si="49"/>
        <v>1324000</v>
      </c>
      <c r="AS127" s="663">
        <f t="shared" si="49"/>
        <v>1201000</v>
      </c>
      <c r="AT127" s="663">
        <f t="shared" si="49"/>
        <v>13670000</v>
      </c>
      <c r="AU127" s="663">
        <f t="shared" si="49"/>
        <v>0</v>
      </c>
      <c r="AV127" s="663">
        <f t="shared" si="49"/>
        <v>13670000</v>
      </c>
    </row>
    <row r="128" spans="1:48">
      <c r="A128" s="640">
        <v>126</v>
      </c>
      <c r="B128" s="811" t="s">
        <v>71</v>
      </c>
      <c r="C128" s="658" t="s">
        <v>359</v>
      </c>
      <c r="D128" s="659"/>
      <c r="E128" s="649">
        <f>PROFORMA!F203</f>
        <v>5000</v>
      </c>
      <c r="F128" s="649">
        <f>PROFORMA!G203</f>
        <v>0</v>
      </c>
      <c r="G128" s="649">
        <f>PROFORMA!H203</f>
        <v>0</v>
      </c>
      <c r="H128" s="649">
        <f>PROFORMA!I203</f>
        <v>0</v>
      </c>
      <c r="I128" s="649">
        <f>PROFORMA!J203</f>
        <v>0</v>
      </c>
      <c r="J128" s="649">
        <f>PROFORMA!K203</f>
        <v>0</v>
      </c>
      <c r="K128" s="649">
        <f>PROFORMA!L203</f>
        <v>0</v>
      </c>
      <c r="L128" s="649">
        <f>PROFORMA!M203</f>
        <v>0</v>
      </c>
      <c r="M128" s="649">
        <f>PROFORMA!N203</f>
        <v>0</v>
      </c>
      <c r="N128" s="649">
        <f>PROFORMA!O203</f>
        <v>0</v>
      </c>
      <c r="O128" s="649">
        <f>PROFORMA!P203</f>
        <v>0</v>
      </c>
      <c r="P128" s="649">
        <f>PROFORMA!Q203</f>
        <v>0</v>
      </c>
      <c r="Q128" s="649">
        <f>PROFORMA!R203</f>
        <v>0</v>
      </c>
      <c r="R128" s="649">
        <f>PROFORMA!S203</f>
        <v>0</v>
      </c>
      <c r="S128" s="649">
        <f>PROFORMA!T203</f>
        <v>0</v>
      </c>
      <c r="T128" s="649">
        <f>PROFORMA!U203</f>
        <v>0</v>
      </c>
      <c r="U128" s="649">
        <f>PROFORMA!V203</f>
        <v>0</v>
      </c>
      <c r="V128" s="649">
        <f>PROFORMA!W203</f>
        <v>0</v>
      </c>
      <c r="W128" s="649">
        <f>PROFORMA!X203</f>
        <v>0</v>
      </c>
      <c r="X128" s="649">
        <f>PROFORMA!Y203</f>
        <v>0</v>
      </c>
      <c r="Y128" s="690">
        <f t="shared" si="26"/>
        <v>0</v>
      </c>
      <c r="Z128" s="649">
        <f>PROFORMA!Z203</f>
        <v>0</v>
      </c>
      <c r="AA128" s="649">
        <f>PROFORMA!AA203</f>
        <v>0</v>
      </c>
      <c r="AB128" s="649">
        <f>PROFORMA!AB203</f>
        <v>0</v>
      </c>
      <c r="AC128" s="649">
        <f>PROFORMA!AC203</f>
        <v>0</v>
      </c>
      <c r="AD128" s="649">
        <f>PROFORMA!AD203</f>
        <v>0</v>
      </c>
      <c r="AE128" s="649">
        <f>PROFORMA!AE203</f>
        <v>0</v>
      </c>
      <c r="AF128" s="649">
        <f>PROFORMA!AF203</f>
        <v>0</v>
      </c>
      <c r="AG128" s="649">
        <f>PROFORMA!AG203</f>
        <v>0</v>
      </c>
      <c r="AH128" s="649">
        <f>PROFORMA!AH203</f>
        <v>0</v>
      </c>
      <c r="AI128" s="649">
        <f>PROFORMA!AI203</f>
        <v>0</v>
      </c>
      <c r="AJ128" s="649">
        <f>PROFORMA!AJ203</f>
        <v>0</v>
      </c>
      <c r="AK128" s="649">
        <f>PROFORMA!AK203</f>
        <v>0</v>
      </c>
      <c r="AL128" s="649">
        <f>PROFORMA!AL203</f>
        <v>0</v>
      </c>
      <c r="AM128" s="649">
        <f>PROFORMA!AM203</f>
        <v>0</v>
      </c>
      <c r="AN128" s="649">
        <f>PROFORMA!AN203</f>
        <v>1000</v>
      </c>
      <c r="AO128" s="649">
        <f>PROFORMA!AO203</f>
        <v>0</v>
      </c>
      <c r="AP128" s="649">
        <f>PROFORMA!AP203</f>
        <v>0</v>
      </c>
      <c r="AQ128" s="649">
        <f>PROFORMA!AQ203</f>
        <v>0</v>
      </c>
      <c r="AR128" s="693">
        <f t="shared" si="30"/>
        <v>1000</v>
      </c>
      <c r="AS128" s="643">
        <f t="shared" si="31"/>
        <v>1000</v>
      </c>
      <c r="AT128" s="643">
        <f t="shared" si="32"/>
        <v>6000</v>
      </c>
      <c r="AU128" s="643"/>
      <c r="AV128" s="643">
        <f t="shared" si="33"/>
        <v>6000</v>
      </c>
    </row>
    <row r="129" spans="1:48" ht="31.2">
      <c r="A129" s="640">
        <v>127</v>
      </c>
      <c r="B129" s="811"/>
      <c r="C129" s="658" t="s">
        <v>360</v>
      </c>
      <c r="D129" s="659"/>
      <c r="E129" s="649">
        <f>PROFORMA!F204</f>
        <v>1226000</v>
      </c>
      <c r="F129" s="649">
        <f>PROFORMA!G204</f>
        <v>0</v>
      </c>
      <c r="G129" s="649">
        <f>PROFORMA!H204</f>
        <v>0</v>
      </c>
      <c r="H129" s="649">
        <f>PROFORMA!I204</f>
        <v>0</v>
      </c>
      <c r="I129" s="649">
        <f>PROFORMA!J204</f>
        <v>0</v>
      </c>
      <c r="J129" s="649">
        <f>PROFORMA!K204</f>
        <v>0</v>
      </c>
      <c r="K129" s="649">
        <f>PROFORMA!L204</f>
        <v>0</v>
      </c>
      <c r="L129" s="649">
        <f>PROFORMA!M204</f>
        <v>0</v>
      </c>
      <c r="M129" s="649">
        <f>PROFORMA!N204</f>
        <v>0</v>
      </c>
      <c r="N129" s="649">
        <f>PROFORMA!O204</f>
        <v>0</v>
      </c>
      <c r="O129" s="649">
        <f>PROFORMA!P204</f>
        <v>0</v>
      </c>
      <c r="P129" s="649">
        <f>PROFORMA!Q204</f>
        <v>0</v>
      </c>
      <c r="Q129" s="649">
        <f>PROFORMA!R204</f>
        <v>0</v>
      </c>
      <c r="R129" s="649">
        <f>PROFORMA!S204</f>
        <v>0</v>
      </c>
      <c r="S129" s="649">
        <f>PROFORMA!T204</f>
        <v>0</v>
      </c>
      <c r="T129" s="649">
        <f>PROFORMA!U204</f>
        <v>0</v>
      </c>
      <c r="U129" s="649">
        <f>PROFORMA!V204</f>
        <v>0</v>
      </c>
      <c r="V129" s="649">
        <f>PROFORMA!W204</f>
        <v>0</v>
      </c>
      <c r="W129" s="649">
        <f>PROFORMA!X204</f>
        <v>0</v>
      </c>
      <c r="X129" s="649">
        <f>PROFORMA!Y204</f>
        <v>7000</v>
      </c>
      <c r="Y129" s="690">
        <f t="shared" si="26"/>
        <v>7000</v>
      </c>
      <c r="Z129" s="649">
        <f>PROFORMA!Z204</f>
        <v>0</v>
      </c>
      <c r="AA129" s="649">
        <f>PROFORMA!AA204</f>
        <v>0</v>
      </c>
      <c r="AB129" s="649">
        <f>PROFORMA!AB204</f>
        <v>0</v>
      </c>
      <c r="AC129" s="649">
        <f>PROFORMA!AC204</f>
        <v>0</v>
      </c>
      <c r="AD129" s="649">
        <f>PROFORMA!AD204</f>
        <v>0</v>
      </c>
      <c r="AE129" s="649">
        <f>PROFORMA!AE204</f>
        <v>0</v>
      </c>
      <c r="AF129" s="649">
        <f>PROFORMA!AF204</f>
        <v>0</v>
      </c>
      <c r="AG129" s="649">
        <f>PROFORMA!AG204</f>
        <v>0</v>
      </c>
      <c r="AH129" s="649">
        <f>PROFORMA!AH204</f>
        <v>0</v>
      </c>
      <c r="AI129" s="649">
        <f>PROFORMA!AI204</f>
        <v>0</v>
      </c>
      <c r="AJ129" s="649">
        <f>PROFORMA!AJ204</f>
        <v>0</v>
      </c>
      <c r="AK129" s="649">
        <f>PROFORMA!AK204</f>
        <v>16000</v>
      </c>
      <c r="AL129" s="649">
        <f>PROFORMA!AL204</f>
        <v>34000</v>
      </c>
      <c r="AM129" s="649">
        <f>PROFORMA!AM204</f>
        <v>0</v>
      </c>
      <c r="AN129" s="649">
        <f>PROFORMA!AN204</f>
        <v>151000</v>
      </c>
      <c r="AO129" s="649">
        <f>PROFORMA!AO204</f>
        <v>0</v>
      </c>
      <c r="AP129" s="649">
        <f>PROFORMA!AP204</f>
        <v>0</v>
      </c>
      <c r="AQ129" s="649">
        <f>PROFORMA!AQ204</f>
        <v>0</v>
      </c>
      <c r="AR129" s="693">
        <f t="shared" si="30"/>
        <v>201000</v>
      </c>
      <c r="AS129" s="643">
        <f t="shared" si="31"/>
        <v>208000</v>
      </c>
      <c r="AT129" s="643">
        <f t="shared" si="32"/>
        <v>1434000</v>
      </c>
      <c r="AU129" s="643"/>
      <c r="AV129" s="643">
        <f t="shared" si="33"/>
        <v>1434000</v>
      </c>
    </row>
    <row r="130" spans="1:48" ht="31.2">
      <c r="A130" s="640">
        <v>128</v>
      </c>
      <c r="B130" s="811"/>
      <c r="C130" s="658" t="s">
        <v>376</v>
      </c>
      <c r="D130" s="659"/>
      <c r="E130" s="649">
        <f>PROFORMA!F205</f>
        <v>2817000</v>
      </c>
      <c r="F130" s="649">
        <f>PROFORMA!G205</f>
        <v>0</v>
      </c>
      <c r="G130" s="649">
        <f>PROFORMA!H205</f>
        <v>0</v>
      </c>
      <c r="H130" s="649">
        <f>PROFORMA!I205</f>
        <v>0</v>
      </c>
      <c r="I130" s="649">
        <f>PROFORMA!J205</f>
        <v>0</v>
      </c>
      <c r="J130" s="649">
        <f>PROFORMA!K205</f>
        <v>0</v>
      </c>
      <c r="K130" s="649">
        <f>PROFORMA!L205</f>
        <v>0</v>
      </c>
      <c r="L130" s="649">
        <f>PROFORMA!M205</f>
        <v>0</v>
      </c>
      <c r="M130" s="649">
        <f>PROFORMA!N205</f>
        <v>0</v>
      </c>
      <c r="N130" s="649">
        <f>PROFORMA!O205</f>
        <v>0</v>
      </c>
      <c r="O130" s="649">
        <f>PROFORMA!P205</f>
        <v>0</v>
      </c>
      <c r="P130" s="649">
        <f>PROFORMA!Q205</f>
        <v>0</v>
      </c>
      <c r="Q130" s="649">
        <f>PROFORMA!R205</f>
        <v>0</v>
      </c>
      <c r="R130" s="649">
        <f>PROFORMA!S205</f>
        <v>0</v>
      </c>
      <c r="S130" s="649">
        <f>PROFORMA!T205</f>
        <v>0</v>
      </c>
      <c r="T130" s="649">
        <f>PROFORMA!U205</f>
        <v>0</v>
      </c>
      <c r="U130" s="649">
        <f>PROFORMA!V205</f>
        <v>0</v>
      </c>
      <c r="V130" s="649">
        <f>PROFORMA!W205</f>
        <v>0</v>
      </c>
      <c r="W130" s="649">
        <f>PROFORMA!X205</f>
        <v>0</v>
      </c>
      <c r="X130" s="649">
        <f>PROFORMA!Y205</f>
        <v>5000</v>
      </c>
      <c r="Y130" s="690">
        <f t="shared" si="26"/>
        <v>5000</v>
      </c>
      <c r="Z130" s="649">
        <f>PROFORMA!Z205</f>
        <v>0</v>
      </c>
      <c r="AA130" s="649">
        <f>PROFORMA!AA205</f>
        <v>0</v>
      </c>
      <c r="AB130" s="649">
        <f>PROFORMA!AB205</f>
        <v>0</v>
      </c>
      <c r="AC130" s="649">
        <f>PROFORMA!AC205</f>
        <v>0</v>
      </c>
      <c r="AD130" s="649">
        <f>PROFORMA!AD205</f>
        <v>0</v>
      </c>
      <c r="AE130" s="649">
        <f>PROFORMA!AE205</f>
        <v>0</v>
      </c>
      <c r="AF130" s="649">
        <f>PROFORMA!AF205</f>
        <v>0</v>
      </c>
      <c r="AG130" s="649">
        <f>PROFORMA!AG205</f>
        <v>0</v>
      </c>
      <c r="AH130" s="649">
        <f>PROFORMA!AH205</f>
        <v>0</v>
      </c>
      <c r="AI130" s="649">
        <f>PROFORMA!AI205</f>
        <v>0</v>
      </c>
      <c r="AJ130" s="649">
        <f>PROFORMA!AJ205</f>
        <v>0</v>
      </c>
      <c r="AK130" s="649">
        <f>PROFORMA!AK205</f>
        <v>37000</v>
      </c>
      <c r="AL130" s="649">
        <f>PROFORMA!AL205</f>
        <v>79000</v>
      </c>
      <c r="AM130" s="649">
        <f>PROFORMA!AM205</f>
        <v>0</v>
      </c>
      <c r="AN130" s="649">
        <f>PROFORMA!AN205</f>
        <v>349000</v>
      </c>
      <c r="AO130" s="649">
        <f>PROFORMA!AO205</f>
        <v>0</v>
      </c>
      <c r="AP130" s="649">
        <f>PROFORMA!AP205</f>
        <v>0</v>
      </c>
      <c r="AQ130" s="649">
        <f>PROFORMA!AQ205</f>
        <v>0</v>
      </c>
      <c r="AR130" s="693">
        <f t="shared" si="30"/>
        <v>465000</v>
      </c>
      <c r="AS130" s="643">
        <f t="shared" si="31"/>
        <v>470000</v>
      </c>
      <c r="AT130" s="643">
        <f t="shared" si="32"/>
        <v>3287000</v>
      </c>
      <c r="AU130" s="643"/>
      <c r="AV130" s="643">
        <f t="shared" si="33"/>
        <v>3287000</v>
      </c>
    </row>
    <row r="131" spans="1:48" ht="31.2">
      <c r="A131" s="640">
        <v>129</v>
      </c>
      <c r="B131" s="811"/>
      <c r="C131" s="658" t="s">
        <v>377</v>
      </c>
      <c r="D131" s="659"/>
      <c r="E131" s="649">
        <f>PROFORMA!F206</f>
        <v>0</v>
      </c>
      <c r="F131" s="649">
        <f>PROFORMA!G206</f>
        <v>0</v>
      </c>
      <c r="G131" s="649">
        <f>PROFORMA!H206</f>
        <v>0</v>
      </c>
      <c r="H131" s="649">
        <f>PROFORMA!I206</f>
        <v>0</v>
      </c>
      <c r="I131" s="649">
        <f>PROFORMA!J206</f>
        <v>0</v>
      </c>
      <c r="J131" s="649">
        <f>PROFORMA!K206</f>
        <v>0</v>
      </c>
      <c r="K131" s="649">
        <f>PROFORMA!L206</f>
        <v>0</v>
      </c>
      <c r="L131" s="649">
        <f>PROFORMA!M206</f>
        <v>0</v>
      </c>
      <c r="M131" s="649">
        <f>PROFORMA!N206</f>
        <v>0</v>
      </c>
      <c r="N131" s="649">
        <f>PROFORMA!O206</f>
        <v>0</v>
      </c>
      <c r="O131" s="649">
        <f>PROFORMA!P206</f>
        <v>0</v>
      </c>
      <c r="P131" s="649">
        <f>PROFORMA!Q206</f>
        <v>0</v>
      </c>
      <c r="Q131" s="649">
        <f>PROFORMA!R206</f>
        <v>0</v>
      </c>
      <c r="R131" s="649">
        <f>PROFORMA!S206</f>
        <v>0</v>
      </c>
      <c r="S131" s="649">
        <f>PROFORMA!T206</f>
        <v>0</v>
      </c>
      <c r="T131" s="649">
        <f>PROFORMA!U206</f>
        <v>0</v>
      </c>
      <c r="U131" s="649">
        <f>PROFORMA!V206</f>
        <v>0</v>
      </c>
      <c r="V131" s="649">
        <f>PROFORMA!W206</f>
        <v>0</v>
      </c>
      <c r="W131" s="649">
        <f>PROFORMA!X206</f>
        <v>0</v>
      </c>
      <c r="X131" s="649">
        <f>PROFORMA!Y206</f>
        <v>0</v>
      </c>
      <c r="Y131" s="690">
        <f t="shared" si="26"/>
        <v>0</v>
      </c>
      <c r="Z131" s="649">
        <f>PROFORMA!Z206</f>
        <v>0</v>
      </c>
      <c r="AA131" s="649">
        <f>PROFORMA!AA206</f>
        <v>0</v>
      </c>
      <c r="AB131" s="649">
        <f>PROFORMA!AB206</f>
        <v>0</v>
      </c>
      <c r="AC131" s="649">
        <f>PROFORMA!AC206</f>
        <v>0</v>
      </c>
      <c r="AD131" s="649">
        <f>PROFORMA!AD206</f>
        <v>0</v>
      </c>
      <c r="AE131" s="649">
        <f>PROFORMA!AE206</f>
        <v>0</v>
      </c>
      <c r="AF131" s="649">
        <f>PROFORMA!AF206</f>
        <v>0</v>
      </c>
      <c r="AG131" s="649">
        <f>PROFORMA!AG206</f>
        <v>0</v>
      </c>
      <c r="AH131" s="649">
        <f>PROFORMA!AH206</f>
        <v>0</v>
      </c>
      <c r="AI131" s="649">
        <f>PROFORMA!AI206</f>
        <v>0</v>
      </c>
      <c r="AJ131" s="649">
        <f>PROFORMA!AJ206</f>
        <v>0</v>
      </c>
      <c r="AK131" s="649">
        <f>PROFORMA!AK206</f>
        <v>0</v>
      </c>
      <c r="AL131" s="649">
        <f>PROFORMA!AL206</f>
        <v>0</v>
      </c>
      <c r="AM131" s="649">
        <f>PROFORMA!AM206</f>
        <v>0</v>
      </c>
      <c r="AN131" s="649">
        <f>PROFORMA!AN206</f>
        <v>0</v>
      </c>
      <c r="AO131" s="649">
        <f>PROFORMA!AO206</f>
        <v>0</v>
      </c>
      <c r="AP131" s="649">
        <f>PROFORMA!AP206</f>
        <v>0</v>
      </c>
      <c r="AQ131" s="649">
        <f>PROFORMA!AQ206</f>
        <v>0</v>
      </c>
      <c r="AR131" s="693">
        <f t="shared" si="30"/>
        <v>0</v>
      </c>
      <c r="AS131" s="643">
        <f t="shared" si="31"/>
        <v>0</v>
      </c>
      <c r="AT131" s="643">
        <f t="shared" si="32"/>
        <v>0</v>
      </c>
      <c r="AU131" s="643"/>
      <c r="AV131" s="643">
        <f t="shared" si="33"/>
        <v>0</v>
      </c>
    </row>
    <row r="132" spans="1:48">
      <c r="A132" s="640">
        <v>130</v>
      </c>
      <c r="B132" s="811"/>
      <c r="C132" s="658" t="s">
        <v>378</v>
      </c>
      <c r="D132" s="659"/>
      <c r="E132" s="649">
        <f>PROFORMA!F207</f>
        <v>36000</v>
      </c>
      <c r="F132" s="649">
        <f>PROFORMA!G207</f>
        <v>0</v>
      </c>
      <c r="G132" s="649">
        <f>PROFORMA!H207</f>
        <v>0</v>
      </c>
      <c r="H132" s="649">
        <f>PROFORMA!I207</f>
        <v>0</v>
      </c>
      <c r="I132" s="649">
        <f>PROFORMA!J207</f>
        <v>0</v>
      </c>
      <c r="J132" s="649">
        <f>PROFORMA!K207</f>
        <v>0</v>
      </c>
      <c r="K132" s="649">
        <f>PROFORMA!L207</f>
        <v>0</v>
      </c>
      <c r="L132" s="649">
        <f>PROFORMA!M207</f>
        <v>0</v>
      </c>
      <c r="M132" s="649">
        <f>PROFORMA!N207</f>
        <v>0</v>
      </c>
      <c r="N132" s="649">
        <f>PROFORMA!O207</f>
        <v>0</v>
      </c>
      <c r="O132" s="649">
        <f>PROFORMA!P207</f>
        <v>0</v>
      </c>
      <c r="P132" s="649">
        <f>PROFORMA!Q207</f>
        <v>0</v>
      </c>
      <c r="Q132" s="649">
        <f>PROFORMA!R207</f>
        <v>0</v>
      </c>
      <c r="R132" s="649">
        <f>PROFORMA!S207</f>
        <v>0</v>
      </c>
      <c r="S132" s="649">
        <f>PROFORMA!T207</f>
        <v>0</v>
      </c>
      <c r="T132" s="649">
        <f>PROFORMA!U207</f>
        <v>0</v>
      </c>
      <c r="U132" s="649">
        <f>PROFORMA!V207</f>
        <v>0</v>
      </c>
      <c r="V132" s="649">
        <f>PROFORMA!W207</f>
        <v>0</v>
      </c>
      <c r="W132" s="649">
        <f>PROFORMA!X207</f>
        <v>0</v>
      </c>
      <c r="X132" s="649">
        <f>PROFORMA!Y207</f>
        <v>0</v>
      </c>
      <c r="Y132" s="690">
        <f t="shared" si="26"/>
        <v>0</v>
      </c>
      <c r="Z132" s="649">
        <f>PROFORMA!Z207</f>
        <v>0</v>
      </c>
      <c r="AA132" s="649">
        <f>PROFORMA!AA207</f>
        <v>0</v>
      </c>
      <c r="AB132" s="649">
        <f>PROFORMA!AB207</f>
        <v>0</v>
      </c>
      <c r="AC132" s="649">
        <f>PROFORMA!AC207</f>
        <v>0</v>
      </c>
      <c r="AD132" s="649">
        <f>PROFORMA!AD207</f>
        <v>0</v>
      </c>
      <c r="AE132" s="649">
        <f>PROFORMA!AE207</f>
        <v>0</v>
      </c>
      <c r="AF132" s="649">
        <f>PROFORMA!AF207</f>
        <v>0</v>
      </c>
      <c r="AG132" s="649">
        <f>PROFORMA!AG207</f>
        <v>0</v>
      </c>
      <c r="AH132" s="649">
        <f>PROFORMA!AH207</f>
        <v>0</v>
      </c>
      <c r="AI132" s="649">
        <f>PROFORMA!AI207</f>
        <v>0</v>
      </c>
      <c r="AJ132" s="649">
        <f>PROFORMA!AJ207</f>
        <v>0</v>
      </c>
      <c r="AK132" s="649">
        <f>PROFORMA!AK207</f>
        <v>0</v>
      </c>
      <c r="AL132" s="649">
        <f>PROFORMA!AL207</f>
        <v>1000</v>
      </c>
      <c r="AM132" s="649">
        <f>PROFORMA!AM207</f>
        <v>0</v>
      </c>
      <c r="AN132" s="649">
        <f>PROFORMA!AN207</f>
        <v>4000</v>
      </c>
      <c r="AO132" s="649">
        <f>PROFORMA!AO207</f>
        <v>0</v>
      </c>
      <c r="AP132" s="649">
        <f>PROFORMA!AP207</f>
        <v>0</v>
      </c>
      <c r="AQ132" s="649">
        <f>PROFORMA!AQ207</f>
        <v>0</v>
      </c>
      <c r="AR132" s="693">
        <f t="shared" si="30"/>
        <v>5000</v>
      </c>
      <c r="AS132" s="643">
        <f t="shared" si="31"/>
        <v>5000</v>
      </c>
      <c r="AT132" s="643">
        <f t="shared" si="32"/>
        <v>41000</v>
      </c>
      <c r="AU132" s="643"/>
      <c r="AV132" s="643">
        <f t="shared" si="33"/>
        <v>41000</v>
      </c>
    </row>
    <row r="133" spans="1:48" ht="31.2">
      <c r="A133" s="640">
        <v>131</v>
      </c>
      <c r="B133" s="811"/>
      <c r="C133" s="658" t="s">
        <v>379</v>
      </c>
      <c r="D133" s="659"/>
      <c r="E133" s="649">
        <f>PROFORMA!F208</f>
        <v>327000</v>
      </c>
      <c r="F133" s="649">
        <f>PROFORMA!G208</f>
        <v>0</v>
      </c>
      <c r="G133" s="649">
        <f>PROFORMA!H208</f>
        <v>0</v>
      </c>
      <c r="H133" s="649">
        <f>PROFORMA!I208</f>
        <v>0</v>
      </c>
      <c r="I133" s="649">
        <f>PROFORMA!J208</f>
        <v>0</v>
      </c>
      <c r="J133" s="649">
        <f>PROFORMA!K208</f>
        <v>0</v>
      </c>
      <c r="K133" s="649">
        <f>PROFORMA!L208</f>
        <v>0</v>
      </c>
      <c r="L133" s="649">
        <f>PROFORMA!M208</f>
        <v>0</v>
      </c>
      <c r="M133" s="649">
        <f>PROFORMA!N208</f>
        <v>0</v>
      </c>
      <c r="N133" s="649">
        <f>PROFORMA!O208</f>
        <v>0</v>
      </c>
      <c r="O133" s="649">
        <f>PROFORMA!P208</f>
        <v>0</v>
      </c>
      <c r="P133" s="649">
        <f>PROFORMA!Q208</f>
        <v>0</v>
      </c>
      <c r="Q133" s="649">
        <f>PROFORMA!R208</f>
        <v>0</v>
      </c>
      <c r="R133" s="649">
        <f>PROFORMA!S208</f>
        <v>0</v>
      </c>
      <c r="S133" s="649">
        <f>PROFORMA!T208</f>
        <v>0</v>
      </c>
      <c r="T133" s="649">
        <f>PROFORMA!U208</f>
        <v>0</v>
      </c>
      <c r="U133" s="649">
        <f>PROFORMA!V208</f>
        <v>0</v>
      </c>
      <c r="V133" s="649">
        <f>PROFORMA!W208</f>
        <v>0</v>
      </c>
      <c r="W133" s="649">
        <f>PROFORMA!X208</f>
        <v>0</v>
      </c>
      <c r="X133" s="649">
        <f>PROFORMA!Y208</f>
        <v>0</v>
      </c>
      <c r="Y133" s="690">
        <f t="shared" ref="Y133:Y197" si="50">SUM(F133:X133)</f>
        <v>0</v>
      </c>
      <c r="Z133" s="649">
        <f>PROFORMA!Z208</f>
        <v>0</v>
      </c>
      <c r="AA133" s="649">
        <f>PROFORMA!AA208</f>
        <v>0</v>
      </c>
      <c r="AB133" s="649">
        <f>PROFORMA!AB208</f>
        <v>0</v>
      </c>
      <c r="AC133" s="649">
        <f>PROFORMA!AC208</f>
        <v>0</v>
      </c>
      <c r="AD133" s="649">
        <f>PROFORMA!AD208</f>
        <v>0</v>
      </c>
      <c r="AE133" s="649">
        <f>PROFORMA!AE208</f>
        <v>0</v>
      </c>
      <c r="AF133" s="649">
        <f>PROFORMA!AF208</f>
        <v>0</v>
      </c>
      <c r="AG133" s="649">
        <f>PROFORMA!AG208</f>
        <v>0</v>
      </c>
      <c r="AH133" s="649">
        <f>PROFORMA!AH208</f>
        <v>0</v>
      </c>
      <c r="AI133" s="649">
        <f>PROFORMA!AI208</f>
        <v>0</v>
      </c>
      <c r="AJ133" s="649">
        <f>PROFORMA!AJ208</f>
        <v>0</v>
      </c>
      <c r="AK133" s="649">
        <f>PROFORMA!AK208</f>
        <v>4000</v>
      </c>
      <c r="AL133" s="649">
        <f>PROFORMA!AL208</f>
        <v>9000</v>
      </c>
      <c r="AM133" s="649">
        <f>PROFORMA!AM208</f>
        <v>0</v>
      </c>
      <c r="AN133" s="649">
        <f>PROFORMA!AN208</f>
        <v>40000</v>
      </c>
      <c r="AO133" s="649">
        <f>PROFORMA!AO208</f>
        <v>0</v>
      </c>
      <c r="AP133" s="649">
        <f>PROFORMA!AP208</f>
        <v>0</v>
      </c>
      <c r="AQ133" s="649">
        <f>PROFORMA!AQ208</f>
        <v>0</v>
      </c>
      <c r="AR133" s="693">
        <f t="shared" ref="AR133:AR196" si="51">SUM(Z133:AQ133)</f>
        <v>53000</v>
      </c>
      <c r="AS133" s="643">
        <f t="shared" ref="AS133:AS196" si="52">Y133+AR133</f>
        <v>53000</v>
      </c>
      <c r="AT133" s="643">
        <f t="shared" ref="AT133:AT196" si="53">E133+AS133</f>
        <v>380000</v>
      </c>
      <c r="AU133" s="643"/>
      <c r="AV133" s="643">
        <f t="shared" ref="AV133:AV196" si="54">AT133+AU133</f>
        <v>380000</v>
      </c>
    </row>
    <row r="134" spans="1:48">
      <c r="A134" s="640">
        <v>132</v>
      </c>
      <c r="B134" s="811"/>
      <c r="C134" s="658" t="s">
        <v>380</v>
      </c>
      <c r="D134" s="659"/>
      <c r="E134" s="649">
        <f>PROFORMA!F209</f>
        <v>36000</v>
      </c>
      <c r="F134" s="649">
        <f>PROFORMA!G209</f>
        <v>0</v>
      </c>
      <c r="G134" s="649">
        <f>PROFORMA!H209</f>
        <v>0</v>
      </c>
      <c r="H134" s="649">
        <f>PROFORMA!I209</f>
        <v>0</v>
      </c>
      <c r="I134" s="649">
        <f>PROFORMA!J209</f>
        <v>0</v>
      </c>
      <c r="J134" s="649">
        <f>PROFORMA!K209</f>
        <v>0</v>
      </c>
      <c r="K134" s="649">
        <f>PROFORMA!L209</f>
        <v>0</v>
      </c>
      <c r="L134" s="649">
        <f>PROFORMA!M209</f>
        <v>0</v>
      </c>
      <c r="M134" s="649">
        <f>PROFORMA!N209</f>
        <v>0</v>
      </c>
      <c r="N134" s="649">
        <f>PROFORMA!O209</f>
        <v>0</v>
      </c>
      <c r="O134" s="649">
        <f>PROFORMA!P209</f>
        <v>0</v>
      </c>
      <c r="P134" s="649">
        <f>PROFORMA!Q209</f>
        <v>0</v>
      </c>
      <c r="Q134" s="649">
        <f>PROFORMA!R209</f>
        <v>0</v>
      </c>
      <c r="R134" s="649">
        <f>PROFORMA!S209</f>
        <v>0</v>
      </c>
      <c r="S134" s="649">
        <f>PROFORMA!T209</f>
        <v>0</v>
      </c>
      <c r="T134" s="649">
        <f>PROFORMA!U209</f>
        <v>0</v>
      </c>
      <c r="U134" s="649">
        <f>PROFORMA!V209</f>
        <v>0</v>
      </c>
      <c r="V134" s="649">
        <f>PROFORMA!W209</f>
        <v>0</v>
      </c>
      <c r="W134" s="649">
        <f>PROFORMA!X209</f>
        <v>0</v>
      </c>
      <c r="X134" s="649">
        <f>PROFORMA!Y209</f>
        <v>0</v>
      </c>
      <c r="Y134" s="690">
        <f t="shared" si="50"/>
        <v>0</v>
      </c>
      <c r="Z134" s="649">
        <f>PROFORMA!Z209</f>
        <v>0</v>
      </c>
      <c r="AA134" s="649">
        <f>PROFORMA!AA209</f>
        <v>0</v>
      </c>
      <c r="AB134" s="649">
        <f>PROFORMA!AB209</f>
        <v>0</v>
      </c>
      <c r="AC134" s="649">
        <f>PROFORMA!AC209</f>
        <v>0</v>
      </c>
      <c r="AD134" s="649">
        <f>PROFORMA!AD209</f>
        <v>0</v>
      </c>
      <c r="AE134" s="649">
        <f>PROFORMA!AE209</f>
        <v>0</v>
      </c>
      <c r="AF134" s="649">
        <f>PROFORMA!AF209</f>
        <v>0</v>
      </c>
      <c r="AG134" s="649">
        <f>PROFORMA!AG209</f>
        <v>0</v>
      </c>
      <c r="AH134" s="649">
        <f>PROFORMA!AH209</f>
        <v>0</v>
      </c>
      <c r="AI134" s="649">
        <f>PROFORMA!AI209</f>
        <v>0</v>
      </c>
      <c r="AJ134" s="649">
        <f>PROFORMA!AJ209</f>
        <v>0</v>
      </c>
      <c r="AK134" s="649">
        <f>PROFORMA!AK209</f>
        <v>0</v>
      </c>
      <c r="AL134" s="649">
        <f>PROFORMA!AL209</f>
        <v>1000</v>
      </c>
      <c r="AM134" s="649">
        <f>PROFORMA!AM209</f>
        <v>0</v>
      </c>
      <c r="AN134" s="649">
        <f>PROFORMA!AN209</f>
        <v>4000</v>
      </c>
      <c r="AO134" s="649">
        <f>PROFORMA!AO209</f>
        <v>0</v>
      </c>
      <c r="AP134" s="649">
        <f>PROFORMA!AP209</f>
        <v>0</v>
      </c>
      <c r="AQ134" s="649">
        <f>PROFORMA!AQ209</f>
        <v>0</v>
      </c>
      <c r="AR134" s="693">
        <f t="shared" si="51"/>
        <v>5000</v>
      </c>
      <c r="AS134" s="643">
        <f t="shared" si="52"/>
        <v>5000</v>
      </c>
      <c r="AT134" s="643">
        <f t="shared" si="53"/>
        <v>41000</v>
      </c>
      <c r="AU134" s="643"/>
      <c r="AV134" s="643">
        <f t="shared" si="54"/>
        <v>41000</v>
      </c>
    </row>
    <row r="135" spans="1:48" ht="31.2">
      <c r="A135" s="640">
        <v>133</v>
      </c>
      <c r="B135" s="811"/>
      <c r="C135" s="658" t="s">
        <v>381</v>
      </c>
      <c r="D135" s="659"/>
      <c r="E135" s="649">
        <f>PROFORMA!F210</f>
        <v>0</v>
      </c>
      <c r="F135" s="649">
        <f>PROFORMA!G210</f>
        <v>0</v>
      </c>
      <c r="G135" s="649">
        <f>PROFORMA!H210</f>
        <v>0</v>
      </c>
      <c r="H135" s="649">
        <f>PROFORMA!I210</f>
        <v>0</v>
      </c>
      <c r="I135" s="649">
        <f>PROFORMA!J210</f>
        <v>0</v>
      </c>
      <c r="J135" s="649">
        <f>PROFORMA!K210</f>
        <v>0</v>
      </c>
      <c r="K135" s="649">
        <f>PROFORMA!L210</f>
        <v>0</v>
      </c>
      <c r="L135" s="649">
        <f>PROFORMA!M210</f>
        <v>0</v>
      </c>
      <c r="M135" s="649">
        <f>PROFORMA!N210</f>
        <v>0</v>
      </c>
      <c r="N135" s="649">
        <f>PROFORMA!O210</f>
        <v>0</v>
      </c>
      <c r="O135" s="649">
        <f>PROFORMA!P210</f>
        <v>0</v>
      </c>
      <c r="P135" s="649">
        <f>PROFORMA!Q210</f>
        <v>0</v>
      </c>
      <c r="Q135" s="649">
        <f>PROFORMA!R210</f>
        <v>0</v>
      </c>
      <c r="R135" s="649">
        <f>PROFORMA!S210</f>
        <v>0</v>
      </c>
      <c r="S135" s="649">
        <f>PROFORMA!T210</f>
        <v>0</v>
      </c>
      <c r="T135" s="649">
        <f>PROFORMA!U210</f>
        <v>0</v>
      </c>
      <c r="U135" s="649">
        <f>PROFORMA!V210</f>
        <v>0</v>
      </c>
      <c r="V135" s="649">
        <f>PROFORMA!W210</f>
        <v>0</v>
      </c>
      <c r="W135" s="649">
        <f>PROFORMA!X210</f>
        <v>0</v>
      </c>
      <c r="X135" s="649">
        <f>PROFORMA!Y210</f>
        <v>0</v>
      </c>
      <c r="Y135" s="690">
        <f t="shared" si="50"/>
        <v>0</v>
      </c>
      <c r="Z135" s="649">
        <f>PROFORMA!Z210</f>
        <v>0</v>
      </c>
      <c r="AA135" s="649">
        <f>PROFORMA!AA210</f>
        <v>0</v>
      </c>
      <c r="AB135" s="649">
        <f>PROFORMA!AB210</f>
        <v>0</v>
      </c>
      <c r="AC135" s="649">
        <f>PROFORMA!AC210</f>
        <v>0</v>
      </c>
      <c r="AD135" s="649">
        <f>PROFORMA!AD210</f>
        <v>0</v>
      </c>
      <c r="AE135" s="649">
        <f>PROFORMA!AE210</f>
        <v>0</v>
      </c>
      <c r="AF135" s="649">
        <f>PROFORMA!AF210</f>
        <v>0</v>
      </c>
      <c r="AG135" s="649">
        <f>PROFORMA!AG210</f>
        <v>0</v>
      </c>
      <c r="AH135" s="649">
        <f>PROFORMA!AH210</f>
        <v>0</v>
      </c>
      <c r="AI135" s="649">
        <f>PROFORMA!AI210</f>
        <v>0</v>
      </c>
      <c r="AJ135" s="649">
        <f>PROFORMA!AJ210</f>
        <v>0</v>
      </c>
      <c r="AK135" s="649">
        <f>PROFORMA!AK210</f>
        <v>0</v>
      </c>
      <c r="AL135" s="649">
        <f>PROFORMA!AL210</f>
        <v>0</v>
      </c>
      <c r="AM135" s="649">
        <f>PROFORMA!AM210</f>
        <v>0</v>
      </c>
      <c r="AN135" s="649">
        <f>PROFORMA!AN210</f>
        <v>0</v>
      </c>
      <c r="AO135" s="649">
        <f>PROFORMA!AO210</f>
        <v>0</v>
      </c>
      <c r="AP135" s="649">
        <f>PROFORMA!AP210</f>
        <v>0</v>
      </c>
      <c r="AQ135" s="649">
        <f>PROFORMA!AQ210</f>
        <v>0</v>
      </c>
      <c r="AR135" s="693">
        <f t="shared" si="51"/>
        <v>0</v>
      </c>
      <c r="AS135" s="643">
        <f t="shared" si="52"/>
        <v>0</v>
      </c>
      <c r="AT135" s="643">
        <f t="shared" si="53"/>
        <v>0</v>
      </c>
      <c r="AU135" s="643"/>
      <c r="AV135" s="643">
        <f t="shared" si="54"/>
        <v>0</v>
      </c>
    </row>
    <row r="136" spans="1:48" ht="31.2">
      <c r="A136" s="640">
        <v>134</v>
      </c>
      <c r="B136" s="811"/>
      <c r="C136" s="658" t="s">
        <v>382</v>
      </c>
      <c r="D136" s="659"/>
      <c r="E136" s="649">
        <f>PROFORMA!F211</f>
        <v>739000</v>
      </c>
      <c r="F136" s="649">
        <f>PROFORMA!G211</f>
        <v>0</v>
      </c>
      <c r="G136" s="649">
        <f>PROFORMA!H211</f>
        <v>0</v>
      </c>
      <c r="H136" s="649">
        <f>PROFORMA!I211</f>
        <v>0</v>
      </c>
      <c r="I136" s="649">
        <f>PROFORMA!J211</f>
        <v>0</v>
      </c>
      <c r="J136" s="649">
        <f>PROFORMA!K211</f>
        <v>0</v>
      </c>
      <c r="K136" s="649">
        <f>PROFORMA!L211</f>
        <v>0</v>
      </c>
      <c r="L136" s="649">
        <f>PROFORMA!M211</f>
        <v>0</v>
      </c>
      <c r="M136" s="649">
        <f>PROFORMA!N211</f>
        <v>0</v>
      </c>
      <c r="N136" s="649">
        <f>PROFORMA!O211</f>
        <v>0</v>
      </c>
      <c r="O136" s="649">
        <f>PROFORMA!P211</f>
        <v>0</v>
      </c>
      <c r="P136" s="649">
        <f>PROFORMA!Q211</f>
        <v>0</v>
      </c>
      <c r="Q136" s="649">
        <f>PROFORMA!R211</f>
        <v>0</v>
      </c>
      <c r="R136" s="649">
        <f>PROFORMA!S211</f>
        <v>0</v>
      </c>
      <c r="S136" s="649">
        <f>PROFORMA!T211</f>
        <v>0</v>
      </c>
      <c r="T136" s="649">
        <f>PROFORMA!U211</f>
        <v>0</v>
      </c>
      <c r="U136" s="649">
        <f>PROFORMA!V211</f>
        <v>0</v>
      </c>
      <c r="V136" s="649">
        <f>PROFORMA!W211</f>
        <v>0</v>
      </c>
      <c r="W136" s="649">
        <f>PROFORMA!X211</f>
        <v>0</v>
      </c>
      <c r="X136" s="649">
        <f>PROFORMA!Y211</f>
        <v>2000</v>
      </c>
      <c r="Y136" s="690">
        <f t="shared" si="50"/>
        <v>2000</v>
      </c>
      <c r="Z136" s="649">
        <f>PROFORMA!Z211</f>
        <v>0</v>
      </c>
      <c r="AA136" s="649">
        <f>PROFORMA!AA211</f>
        <v>0</v>
      </c>
      <c r="AB136" s="649">
        <f>PROFORMA!AB211</f>
        <v>0</v>
      </c>
      <c r="AC136" s="649">
        <f>PROFORMA!AC211</f>
        <v>0</v>
      </c>
      <c r="AD136" s="649">
        <f>PROFORMA!AD211</f>
        <v>0</v>
      </c>
      <c r="AE136" s="649">
        <f>PROFORMA!AE211</f>
        <v>0</v>
      </c>
      <c r="AF136" s="649">
        <f>PROFORMA!AF211</f>
        <v>0</v>
      </c>
      <c r="AG136" s="649">
        <f>PROFORMA!AG211</f>
        <v>0</v>
      </c>
      <c r="AH136" s="649">
        <f>PROFORMA!AH211</f>
        <v>0</v>
      </c>
      <c r="AI136" s="649">
        <f>PROFORMA!AI211</f>
        <v>0</v>
      </c>
      <c r="AJ136" s="649">
        <f>PROFORMA!AJ211</f>
        <v>577000</v>
      </c>
      <c r="AK136" s="649">
        <f>PROFORMA!AK211</f>
        <v>10000</v>
      </c>
      <c r="AL136" s="649">
        <f>PROFORMA!AL211</f>
        <v>21000</v>
      </c>
      <c r="AM136" s="649">
        <f>PROFORMA!AM211</f>
        <v>0</v>
      </c>
      <c r="AN136" s="649">
        <f>PROFORMA!AN211</f>
        <v>91000</v>
      </c>
      <c r="AO136" s="649">
        <f>PROFORMA!AO211</f>
        <v>101000</v>
      </c>
      <c r="AP136" s="649">
        <f>PROFORMA!AP211</f>
        <v>0</v>
      </c>
      <c r="AQ136" s="649">
        <f>PROFORMA!AQ211</f>
        <v>0</v>
      </c>
      <c r="AR136" s="693">
        <f t="shared" si="51"/>
        <v>800000</v>
      </c>
      <c r="AS136" s="643">
        <f t="shared" si="52"/>
        <v>802000</v>
      </c>
      <c r="AT136" s="643">
        <f t="shared" si="53"/>
        <v>1541000</v>
      </c>
      <c r="AU136" s="643"/>
      <c r="AV136" s="643">
        <f t="shared" si="54"/>
        <v>1541000</v>
      </c>
    </row>
    <row r="137" spans="1:48" ht="31.2">
      <c r="A137" s="640">
        <v>135</v>
      </c>
      <c r="B137" s="811"/>
      <c r="C137" s="658" t="s">
        <v>383</v>
      </c>
      <c r="D137" s="659"/>
      <c r="E137" s="685">
        <f>PROFORMA!F212</f>
        <v>15000</v>
      </c>
      <c r="F137" s="685">
        <f>PROFORMA!G212</f>
        <v>0</v>
      </c>
      <c r="G137" s="685">
        <f>PROFORMA!H212</f>
        <v>0</v>
      </c>
      <c r="H137" s="685">
        <f>PROFORMA!I212</f>
        <v>0</v>
      </c>
      <c r="I137" s="685">
        <f>PROFORMA!J212</f>
        <v>0</v>
      </c>
      <c r="J137" s="685">
        <f>PROFORMA!K212</f>
        <v>0</v>
      </c>
      <c r="K137" s="685">
        <f>PROFORMA!L212</f>
        <v>0</v>
      </c>
      <c r="L137" s="685">
        <f>PROFORMA!M212</f>
        <v>0</v>
      </c>
      <c r="M137" s="685">
        <f>PROFORMA!N212</f>
        <v>0</v>
      </c>
      <c r="N137" s="685">
        <f>PROFORMA!O212</f>
        <v>0</v>
      </c>
      <c r="O137" s="685">
        <f>PROFORMA!P212</f>
        <v>0</v>
      </c>
      <c r="P137" s="685">
        <f>PROFORMA!Q212</f>
        <v>0</v>
      </c>
      <c r="Q137" s="685">
        <f>PROFORMA!R212</f>
        <v>0</v>
      </c>
      <c r="R137" s="685">
        <f>PROFORMA!S212</f>
        <v>0</v>
      </c>
      <c r="S137" s="685">
        <f>PROFORMA!T212</f>
        <v>0</v>
      </c>
      <c r="T137" s="685">
        <f>PROFORMA!U212</f>
        <v>0</v>
      </c>
      <c r="U137" s="685">
        <f>PROFORMA!V212</f>
        <v>0</v>
      </c>
      <c r="V137" s="685">
        <f>PROFORMA!W212</f>
        <v>0</v>
      </c>
      <c r="W137" s="685">
        <f>PROFORMA!X212</f>
        <v>0</v>
      </c>
      <c r="X137" s="685">
        <f>PROFORMA!Y212</f>
        <v>0</v>
      </c>
      <c r="Y137" s="691">
        <f t="shared" si="50"/>
        <v>0</v>
      </c>
      <c r="Z137" s="685">
        <f>PROFORMA!Z212</f>
        <v>0</v>
      </c>
      <c r="AA137" s="685">
        <f>PROFORMA!AA212</f>
        <v>0</v>
      </c>
      <c r="AB137" s="685">
        <f>PROFORMA!AB212</f>
        <v>0</v>
      </c>
      <c r="AC137" s="685">
        <f>PROFORMA!AC212</f>
        <v>0</v>
      </c>
      <c r="AD137" s="685">
        <f>PROFORMA!AD212</f>
        <v>0</v>
      </c>
      <c r="AE137" s="685">
        <f>PROFORMA!AE212</f>
        <v>0</v>
      </c>
      <c r="AF137" s="685">
        <f>PROFORMA!AF212</f>
        <v>0</v>
      </c>
      <c r="AG137" s="685">
        <f>PROFORMA!AG212</f>
        <v>0</v>
      </c>
      <c r="AH137" s="685">
        <f>PROFORMA!AH212</f>
        <v>0</v>
      </c>
      <c r="AI137" s="685">
        <f>PROFORMA!AI212</f>
        <v>0</v>
      </c>
      <c r="AJ137" s="685">
        <f>PROFORMA!AJ212</f>
        <v>0</v>
      </c>
      <c r="AK137" s="685">
        <f>PROFORMA!AK212</f>
        <v>0</v>
      </c>
      <c r="AL137" s="685">
        <f>PROFORMA!AL212</f>
        <v>0</v>
      </c>
      <c r="AM137" s="685">
        <f>PROFORMA!AM212</f>
        <v>0</v>
      </c>
      <c r="AN137" s="685">
        <f>PROFORMA!AN212</f>
        <v>2000</v>
      </c>
      <c r="AO137" s="685">
        <f>PROFORMA!AO212</f>
        <v>0</v>
      </c>
      <c r="AP137" s="685">
        <f>PROFORMA!AP212</f>
        <v>0</v>
      </c>
      <c r="AQ137" s="685">
        <f>PROFORMA!AQ212</f>
        <v>0</v>
      </c>
      <c r="AR137" s="694">
        <f t="shared" si="51"/>
        <v>2000</v>
      </c>
      <c r="AS137" s="692">
        <f t="shared" si="52"/>
        <v>2000</v>
      </c>
      <c r="AT137" s="692">
        <f t="shared" si="53"/>
        <v>17000</v>
      </c>
      <c r="AU137" s="692"/>
      <c r="AV137" s="692">
        <f t="shared" si="54"/>
        <v>17000</v>
      </c>
    </row>
    <row r="138" spans="1:48">
      <c r="A138" s="640">
        <v>136</v>
      </c>
      <c r="B138" s="608"/>
      <c r="C138" s="631" t="s">
        <v>1363</v>
      </c>
      <c r="D138" s="670"/>
      <c r="E138" s="663">
        <f>SUM(E128:E137)</f>
        <v>5201000</v>
      </c>
      <c r="F138" s="663">
        <f t="shared" ref="F138:X138" si="55">SUM(F128:F137)</f>
        <v>0</v>
      </c>
      <c r="G138" s="663">
        <f t="shared" si="55"/>
        <v>0</v>
      </c>
      <c r="H138" s="663">
        <f t="shared" si="55"/>
        <v>0</v>
      </c>
      <c r="I138" s="663">
        <f t="shared" si="55"/>
        <v>0</v>
      </c>
      <c r="J138" s="663">
        <f t="shared" si="55"/>
        <v>0</v>
      </c>
      <c r="K138" s="663">
        <f t="shared" si="55"/>
        <v>0</v>
      </c>
      <c r="L138" s="663">
        <f t="shared" si="55"/>
        <v>0</v>
      </c>
      <c r="M138" s="663">
        <f t="shared" si="55"/>
        <v>0</v>
      </c>
      <c r="N138" s="663">
        <f t="shared" si="55"/>
        <v>0</v>
      </c>
      <c r="O138" s="663">
        <f t="shared" si="55"/>
        <v>0</v>
      </c>
      <c r="P138" s="663">
        <f t="shared" si="55"/>
        <v>0</v>
      </c>
      <c r="Q138" s="663">
        <f t="shared" si="55"/>
        <v>0</v>
      </c>
      <c r="R138" s="663">
        <f t="shared" si="55"/>
        <v>0</v>
      </c>
      <c r="S138" s="663">
        <f t="shared" si="55"/>
        <v>0</v>
      </c>
      <c r="T138" s="663">
        <f t="shared" si="55"/>
        <v>0</v>
      </c>
      <c r="U138" s="663">
        <f t="shared" si="55"/>
        <v>0</v>
      </c>
      <c r="V138" s="663">
        <f t="shared" si="55"/>
        <v>0</v>
      </c>
      <c r="W138" s="663">
        <f t="shared" si="55"/>
        <v>0</v>
      </c>
      <c r="X138" s="663">
        <f t="shared" si="55"/>
        <v>14000</v>
      </c>
      <c r="Y138" s="690">
        <f t="shared" si="50"/>
        <v>14000</v>
      </c>
      <c r="Z138" s="663">
        <f t="shared" ref="Z138:AV138" si="56">SUM(Z128:Z137)</f>
        <v>0</v>
      </c>
      <c r="AA138" s="663">
        <f t="shared" si="56"/>
        <v>0</v>
      </c>
      <c r="AB138" s="663">
        <f t="shared" si="56"/>
        <v>0</v>
      </c>
      <c r="AC138" s="663">
        <f t="shared" si="56"/>
        <v>0</v>
      </c>
      <c r="AD138" s="663">
        <f t="shared" si="56"/>
        <v>0</v>
      </c>
      <c r="AE138" s="663">
        <f t="shared" si="56"/>
        <v>0</v>
      </c>
      <c r="AF138" s="663">
        <f t="shared" si="56"/>
        <v>0</v>
      </c>
      <c r="AG138" s="663">
        <f t="shared" si="56"/>
        <v>0</v>
      </c>
      <c r="AH138" s="663">
        <f t="shared" si="56"/>
        <v>0</v>
      </c>
      <c r="AI138" s="663">
        <f t="shared" si="56"/>
        <v>0</v>
      </c>
      <c r="AJ138" s="663">
        <f t="shared" si="56"/>
        <v>577000</v>
      </c>
      <c r="AK138" s="663">
        <f t="shared" si="56"/>
        <v>67000</v>
      </c>
      <c r="AL138" s="663">
        <f t="shared" si="56"/>
        <v>145000</v>
      </c>
      <c r="AM138" s="663">
        <f t="shared" si="56"/>
        <v>0</v>
      </c>
      <c r="AN138" s="663">
        <f t="shared" si="56"/>
        <v>642000</v>
      </c>
      <c r="AO138" s="663">
        <f t="shared" si="56"/>
        <v>101000</v>
      </c>
      <c r="AP138" s="663">
        <f t="shared" si="56"/>
        <v>0</v>
      </c>
      <c r="AQ138" s="663">
        <f t="shared" si="56"/>
        <v>0</v>
      </c>
      <c r="AR138" s="663">
        <f t="shared" si="56"/>
        <v>1532000</v>
      </c>
      <c r="AS138" s="663">
        <f t="shared" si="56"/>
        <v>1546000</v>
      </c>
      <c r="AT138" s="663">
        <f t="shared" si="56"/>
        <v>6747000</v>
      </c>
      <c r="AU138" s="663">
        <f t="shared" si="56"/>
        <v>0</v>
      </c>
      <c r="AV138" s="663">
        <f t="shared" si="56"/>
        <v>6747000</v>
      </c>
    </row>
    <row r="139" spans="1:48" ht="31.05" customHeight="1">
      <c r="A139" s="640">
        <v>137</v>
      </c>
      <c r="B139" s="811" t="s">
        <v>215</v>
      </c>
      <c r="C139" s="628" t="s">
        <v>1219</v>
      </c>
      <c r="D139" s="656">
        <v>407</v>
      </c>
      <c r="E139" s="649">
        <f>PROFORMA!F218</f>
        <v>-1920000</v>
      </c>
      <c r="F139" s="649">
        <f>PROFORMA!G218</f>
        <v>0</v>
      </c>
      <c r="G139" s="649">
        <f>PROFORMA!H218</f>
        <v>0</v>
      </c>
      <c r="H139" s="649">
        <f>PROFORMA!I218</f>
        <v>0</v>
      </c>
      <c r="I139" s="649">
        <f>PROFORMA!J218</f>
        <v>0</v>
      </c>
      <c r="J139" s="649">
        <f>PROFORMA!K218</f>
        <v>0</v>
      </c>
      <c r="K139" s="649">
        <f>PROFORMA!L218</f>
        <v>0</v>
      </c>
      <c r="L139" s="649">
        <f>PROFORMA!M218</f>
        <v>0</v>
      </c>
      <c r="M139" s="649">
        <f>PROFORMA!N218</f>
        <v>0</v>
      </c>
      <c r="N139" s="649">
        <f>PROFORMA!O218</f>
        <v>0</v>
      </c>
      <c r="O139" s="649">
        <f>PROFORMA!P218</f>
        <v>0</v>
      </c>
      <c r="P139" s="649">
        <f>PROFORMA!Q218</f>
        <v>0</v>
      </c>
      <c r="Q139" s="649">
        <f>PROFORMA!R218</f>
        <v>0</v>
      </c>
      <c r="R139" s="649">
        <f>PROFORMA!S218</f>
        <v>0</v>
      </c>
      <c r="S139" s="649">
        <f>PROFORMA!T218</f>
        <v>0</v>
      </c>
      <c r="T139" s="649">
        <f>PROFORMA!U218</f>
        <v>1205000</v>
      </c>
      <c r="U139" s="649">
        <f>PROFORMA!V218</f>
        <v>0</v>
      </c>
      <c r="V139" s="649">
        <f>PROFORMA!W218</f>
        <v>0</v>
      </c>
      <c r="W139" s="649">
        <f>PROFORMA!X218</f>
        <v>0</v>
      </c>
      <c r="X139" s="649">
        <f>PROFORMA!Y218</f>
        <v>0</v>
      </c>
      <c r="Y139" s="690">
        <f t="shared" si="50"/>
        <v>1205000</v>
      </c>
      <c r="Z139" s="649">
        <f>PROFORMA!Z218</f>
        <v>0</v>
      </c>
      <c r="AA139" s="649">
        <f>PROFORMA!AA218</f>
        <v>-230000</v>
      </c>
      <c r="AB139" s="649">
        <f>PROFORMA!AB218</f>
        <v>0</v>
      </c>
      <c r="AC139" s="649">
        <f>PROFORMA!AC218</f>
        <v>0</v>
      </c>
      <c r="AD139" s="649">
        <f>PROFORMA!AD218</f>
        <v>0</v>
      </c>
      <c r="AE139" s="649">
        <f>PROFORMA!AE218</f>
        <v>0</v>
      </c>
      <c r="AF139" s="649">
        <f>PROFORMA!AF218</f>
        <v>0</v>
      </c>
      <c r="AG139" s="649">
        <f>PROFORMA!AG218</f>
        <v>0</v>
      </c>
      <c r="AH139" s="649">
        <f>PROFORMA!AH218</f>
        <v>0</v>
      </c>
      <c r="AI139" s="649">
        <f>PROFORMA!AI218</f>
        <v>0</v>
      </c>
      <c r="AJ139" s="649">
        <f>PROFORMA!AJ218</f>
        <v>0</v>
      </c>
      <c r="AK139" s="649">
        <f>PROFORMA!AK218</f>
        <v>0</v>
      </c>
      <c r="AL139" s="649">
        <f>PROFORMA!AL218</f>
        <v>0</v>
      </c>
      <c r="AM139" s="649">
        <f>PROFORMA!AM218</f>
        <v>0</v>
      </c>
      <c r="AN139" s="649">
        <f>PROFORMA!AN218</f>
        <v>0</v>
      </c>
      <c r="AO139" s="649">
        <f>PROFORMA!AO218</f>
        <v>0</v>
      </c>
      <c r="AP139" s="649">
        <f>PROFORMA!AP218</f>
        <v>0</v>
      </c>
      <c r="AQ139" s="649">
        <f>PROFORMA!AQ218</f>
        <v>0</v>
      </c>
      <c r="AR139" s="693">
        <f t="shared" si="51"/>
        <v>-230000</v>
      </c>
      <c r="AS139" s="643">
        <f t="shared" si="52"/>
        <v>975000</v>
      </c>
      <c r="AT139" s="643">
        <f t="shared" si="53"/>
        <v>-945000</v>
      </c>
      <c r="AU139" s="643"/>
      <c r="AV139" s="643">
        <f t="shared" si="54"/>
        <v>-945000</v>
      </c>
    </row>
    <row r="140" spans="1:48" ht="31.2">
      <c r="A140" s="640">
        <v>138</v>
      </c>
      <c r="B140" s="811"/>
      <c r="C140" s="628" t="s">
        <v>385</v>
      </c>
      <c r="D140" s="673">
        <v>404.2</v>
      </c>
      <c r="E140" s="649">
        <f>PROFORMA!F219</f>
        <v>124000</v>
      </c>
      <c r="F140" s="649">
        <f>PROFORMA!G219</f>
        <v>0</v>
      </c>
      <c r="G140" s="649">
        <f>PROFORMA!H219</f>
        <v>0</v>
      </c>
      <c r="H140" s="649">
        <f>PROFORMA!I219</f>
        <v>0</v>
      </c>
      <c r="I140" s="649">
        <f>PROFORMA!J219</f>
        <v>0</v>
      </c>
      <c r="J140" s="649">
        <f>PROFORMA!K219</f>
        <v>0</v>
      </c>
      <c r="K140" s="649">
        <f>PROFORMA!L219</f>
        <v>0</v>
      </c>
      <c r="L140" s="649">
        <f>PROFORMA!M219</f>
        <v>0</v>
      </c>
      <c r="M140" s="649">
        <f>PROFORMA!N219</f>
        <v>0</v>
      </c>
      <c r="N140" s="649">
        <f>PROFORMA!O219</f>
        <v>0</v>
      </c>
      <c r="O140" s="649">
        <f>PROFORMA!P219</f>
        <v>0</v>
      </c>
      <c r="P140" s="649">
        <f>PROFORMA!Q219</f>
        <v>0</v>
      </c>
      <c r="Q140" s="649">
        <f>PROFORMA!R219</f>
        <v>0</v>
      </c>
      <c r="R140" s="649">
        <f>PROFORMA!S219</f>
        <v>0</v>
      </c>
      <c r="S140" s="649">
        <f>PROFORMA!T219</f>
        <v>0</v>
      </c>
      <c r="T140" s="649">
        <f>PROFORMA!U219</f>
        <v>0</v>
      </c>
      <c r="U140" s="649">
        <f>PROFORMA!V219</f>
        <v>0</v>
      </c>
      <c r="V140" s="649">
        <f>PROFORMA!W219</f>
        <v>0</v>
      </c>
      <c r="W140" s="649">
        <f>PROFORMA!X219</f>
        <v>0</v>
      </c>
      <c r="X140" s="649">
        <f>PROFORMA!Y219</f>
        <v>0</v>
      </c>
      <c r="Y140" s="690">
        <f t="shared" si="50"/>
        <v>0</v>
      </c>
      <c r="Z140" s="649">
        <f>PROFORMA!Z219</f>
        <v>0</v>
      </c>
      <c r="AA140" s="649">
        <f>PROFORMA!AA219</f>
        <v>0</v>
      </c>
      <c r="AB140" s="649">
        <f>PROFORMA!AB219</f>
        <v>0</v>
      </c>
      <c r="AC140" s="649">
        <f>PROFORMA!AC219</f>
        <v>0</v>
      </c>
      <c r="AD140" s="649">
        <f>PROFORMA!AD219</f>
        <v>0</v>
      </c>
      <c r="AE140" s="649">
        <f>PROFORMA!AE219</f>
        <v>0</v>
      </c>
      <c r="AF140" s="649">
        <f>PROFORMA!AF219</f>
        <v>0</v>
      </c>
      <c r="AG140" s="649">
        <f>PROFORMA!AG219</f>
        <v>0</v>
      </c>
      <c r="AH140" s="649">
        <f>PROFORMA!AH219</f>
        <v>0</v>
      </c>
      <c r="AI140" s="649">
        <f>PROFORMA!AI219</f>
        <v>0</v>
      </c>
      <c r="AJ140" s="649">
        <f>PROFORMA!AJ219</f>
        <v>0</v>
      </c>
      <c r="AK140" s="649">
        <f>PROFORMA!AK219</f>
        <v>0</v>
      </c>
      <c r="AL140" s="649">
        <f>PROFORMA!AL219</f>
        <v>0</v>
      </c>
      <c r="AM140" s="649">
        <f>PROFORMA!AM219</f>
        <v>0</v>
      </c>
      <c r="AN140" s="649">
        <f>PROFORMA!AN219</f>
        <v>0</v>
      </c>
      <c r="AO140" s="649">
        <f>PROFORMA!AO219</f>
        <v>0</v>
      </c>
      <c r="AP140" s="649">
        <f>PROFORMA!AP219</f>
        <v>0</v>
      </c>
      <c r="AQ140" s="649">
        <f>PROFORMA!AQ219</f>
        <v>0</v>
      </c>
      <c r="AR140" s="693">
        <f t="shared" si="51"/>
        <v>0</v>
      </c>
      <c r="AS140" s="643">
        <f t="shared" si="52"/>
        <v>0</v>
      </c>
      <c r="AT140" s="643">
        <f t="shared" si="53"/>
        <v>124000</v>
      </c>
      <c r="AU140" s="643"/>
      <c r="AV140" s="643">
        <f t="shared" si="54"/>
        <v>124000</v>
      </c>
    </row>
    <row r="141" spans="1:48" ht="31.2">
      <c r="A141" s="640">
        <v>139</v>
      </c>
      <c r="B141" s="811"/>
      <c r="C141" s="628" t="s">
        <v>386</v>
      </c>
      <c r="D141" s="673">
        <v>404.3</v>
      </c>
      <c r="E141" s="649">
        <f>PROFORMA!F220</f>
        <v>5353000</v>
      </c>
      <c r="F141" s="649">
        <f>PROFORMA!G220</f>
        <v>0</v>
      </c>
      <c r="G141" s="649">
        <f>PROFORMA!H220</f>
        <v>0</v>
      </c>
      <c r="H141" s="649">
        <f>PROFORMA!I220</f>
        <v>0</v>
      </c>
      <c r="I141" s="649">
        <f>PROFORMA!J220</f>
        <v>0</v>
      </c>
      <c r="J141" s="649">
        <f>PROFORMA!K220</f>
        <v>0</v>
      </c>
      <c r="K141" s="649">
        <f>PROFORMA!L220</f>
        <v>0</v>
      </c>
      <c r="L141" s="649">
        <f>PROFORMA!M220</f>
        <v>0</v>
      </c>
      <c r="M141" s="649">
        <f>PROFORMA!N220</f>
        <v>0</v>
      </c>
      <c r="N141" s="649">
        <f>PROFORMA!O220</f>
        <v>0</v>
      </c>
      <c r="O141" s="649">
        <f>PROFORMA!P220</f>
        <v>0</v>
      </c>
      <c r="P141" s="649">
        <f>PROFORMA!Q220</f>
        <v>0</v>
      </c>
      <c r="Q141" s="649">
        <f>PROFORMA!R220</f>
        <v>0</v>
      </c>
      <c r="R141" s="649">
        <f>PROFORMA!S220</f>
        <v>0</v>
      </c>
      <c r="S141" s="649">
        <f>PROFORMA!T220</f>
        <v>0</v>
      </c>
      <c r="T141" s="649">
        <f>PROFORMA!U220</f>
        <v>0</v>
      </c>
      <c r="U141" s="649">
        <f>PROFORMA!V220</f>
        <v>0</v>
      </c>
      <c r="V141" s="649">
        <f>PROFORMA!W220</f>
        <v>0</v>
      </c>
      <c r="W141" s="649">
        <f>PROFORMA!X220</f>
        <v>0</v>
      </c>
      <c r="X141" s="649">
        <f>PROFORMA!Y220</f>
        <v>0</v>
      </c>
      <c r="Y141" s="690">
        <f t="shared" si="50"/>
        <v>0</v>
      </c>
      <c r="Z141" s="649">
        <f>PROFORMA!Z220</f>
        <v>0</v>
      </c>
      <c r="AA141" s="649">
        <f>PROFORMA!AA220</f>
        <v>0</v>
      </c>
      <c r="AB141" s="649">
        <f>PROFORMA!AB220</f>
        <v>0</v>
      </c>
      <c r="AC141" s="649">
        <f>PROFORMA!AC220</f>
        <v>0</v>
      </c>
      <c r="AD141" s="649">
        <f>PROFORMA!AD220</f>
        <v>0</v>
      </c>
      <c r="AE141" s="649">
        <f>PROFORMA!AE220</f>
        <v>0</v>
      </c>
      <c r="AF141" s="649">
        <f>PROFORMA!AF220</f>
        <v>0</v>
      </c>
      <c r="AG141" s="649">
        <f>PROFORMA!AG220</f>
        <v>0</v>
      </c>
      <c r="AH141" s="649">
        <f>PROFORMA!AH220</f>
        <v>0</v>
      </c>
      <c r="AI141" s="649">
        <f>PROFORMA!AI220</f>
        <v>0</v>
      </c>
      <c r="AJ141" s="649">
        <f>PROFORMA!AJ220</f>
        <v>0</v>
      </c>
      <c r="AK141" s="649">
        <f>PROFORMA!AK220</f>
        <v>0</v>
      </c>
      <c r="AL141" s="649">
        <f>PROFORMA!AL220</f>
        <v>0</v>
      </c>
      <c r="AM141" s="649">
        <f>PROFORMA!AM220</f>
        <v>0</v>
      </c>
      <c r="AN141" s="649">
        <f>PROFORMA!AN220</f>
        <v>0</v>
      </c>
      <c r="AO141" s="649">
        <f>PROFORMA!AO220</f>
        <v>3491000</v>
      </c>
      <c r="AP141" s="649">
        <f>PROFORMA!AP220</f>
        <v>0</v>
      </c>
      <c r="AQ141" s="649">
        <f>PROFORMA!AQ220</f>
        <v>0</v>
      </c>
      <c r="AR141" s="693">
        <f t="shared" si="51"/>
        <v>3491000</v>
      </c>
      <c r="AS141" s="643">
        <f t="shared" si="52"/>
        <v>3491000</v>
      </c>
      <c r="AT141" s="643">
        <f t="shared" si="53"/>
        <v>8844000</v>
      </c>
      <c r="AU141" s="643"/>
      <c r="AV141" s="643">
        <f t="shared" si="54"/>
        <v>8844000</v>
      </c>
    </row>
    <row r="142" spans="1:48">
      <c r="A142" s="640">
        <v>140</v>
      </c>
      <c r="B142" s="811"/>
      <c r="C142" s="628" t="s">
        <v>1216</v>
      </c>
      <c r="D142" s="673">
        <v>407.23</v>
      </c>
      <c r="E142" s="649">
        <f>PROFORMA!F221</f>
        <v>-1205000</v>
      </c>
      <c r="F142" s="649">
        <f>PROFORMA!G221</f>
        <v>0</v>
      </c>
      <c r="G142" s="649">
        <f>PROFORMA!H221</f>
        <v>0</v>
      </c>
      <c r="H142" s="649">
        <f>PROFORMA!I221</f>
        <v>0</v>
      </c>
      <c r="I142" s="649">
        <f>PROFORMA!J221</f>
        <v>0</v>
      </c>
      <c r="J142" s="649">
        <f>PROFORMA!K221</f>
        <v>0</v>
      </c>
      <c r="K142" s="649">
        <f>PROFORMA!L221</f>
        <v>0</v>
      </c>
      <c r="L142" s="649">
        <f>PROFORMA!M221</f>
        <v>0</v>
      </c>
      <c r="M142" s="649">
        <f>PROFORMA!N221</f>
        <v>0</v>
      </c>
      <c r="N142" s="649">
        <f>PROFORMA!O221</f>
        <v>0</v>
      </c>
      <c r="O142" s="649">
        <f>PROFORMA!P221</f>
        <v>0</v>
      </c>
      <c r="P142" s="649">
        <f>PROFORMA!Q221</f>
        <v>0</v>
      </c>
      <c r="Q142" s="649">
        <f>PROFORMA!R221</f>
        <v>0</v>
      </c>
      <c r="R142" s="649">
        <f>PROFORMA!S221</f>
        <v>0</v>
      </c>
      <c r="S142" s="649">
        <f>PROFORMA!T221</f>
        <v>0</v>
      </c>
      <c r="T142" s="649">
        <f>PROFORMA!U221</f>
        <v>0</v>
      </c>
      <c r="U142" s="649">
        <f>PROFORMA!V221</f>
        <v>0</v>
      </c>
      <c r="V142" s="649">
        <f>PROFORMA!W221</f>
        <v>0</v>
      </c>
      <c r="W142" s="649">
        <f>PROFORMA!X221</f>
        <v>0</v>
      </c>
      <c r="X142" s="649">
        <f>PROFORMA!Y221</f>
        <v>0</v>
      </c>
      <c r="Y142" s="690">
        <f t="shared" si="50"/>
        <v>0</v>
      </c>
      <c r="Z142" s="649">
        <f>PROFORMA!Z221</f>
        <v>0</v>
      </c>
      <c r="AA142" s="649">
        <f>PROFORMA!AA221</f>
        <v>0</v>
      </c>
      <c r="AB142" s="649">
        <f>PROFORMA!AB221</f>
        <v>0</v>
      </c>
      <c r="AC142" s="649">
        <f>PROFORMA!AC221</f>
        <v>0</v>
      </c>
      <c r="AD142" s="649">
        <f>PROFORMA!AD221</f>
        <v>0</v>
      </c>
      <c r="AE142" s="649">
        <f>PROFORMA!AE221</f>
        <v>0</v>
      </c>
      <c r="AF142" s="649">
        <f>PROFORMA!AF221</f>
        <v>0</v>
      </c>
      <c r="AG142" s="649">
        <f>PROFORMA!AG221</f>
        <v>0</v>
      </c>
      <c r="AH142" s="649">
        <f>PROFORMA!AH221</f>
        <v>0</v>
      </c>
      <c r="AI142" s="649">
        <f>PROFORMA!AI221</f>
        <v>0</v>
      </c>
      <c r="AJ142" s="649">
        <f>PROFORMA!AJ221</f>
        <v>0</v>
      </c>
      <c r="AK142" s="649">
        <f>PROFORMA!AK221</f>
        <v>0</v>
      </c>
      <c r="AL142" s="649">
        <f>PROFORMA!AL221</f>
        <v>0</v>
      </c>
      <c r="AM142" s="649">
        <f>PROFORMA!AM221</f>
        <v>0</v>
      </c>
      <c r="AN142" s="649">
        <f>PROFORMA!AN221</f>
        <v>0</v>
      </c>
      <c r="AO142" s="649">
        <f>PROFORMA!AO221</f>
        <v>0</v>
      </c>
      <c r="AP142" s="649">
        <f>PROFORMA!AP221</f>
        <v>0</v>
      </c>
      <c r="AQ142" s="649">
        <f>PROFORMA!AQ221</f>
        <v>0</v>
      </c>
      <c r="AR142" s="693">
        <f t="shared" si="51"/>
        <v>0</v>
      </c>
      <c r="AS142" s="643">
        <f t="shared" si="52"/>
        <v>0</v>
      </c>
      <c r="AT142" s="643">
        <f t="shared" si="53"/>
        <v>-1205000</v>
      </c>
      <c r="AU142" s="643"/>
      <c r="AV142" s="643">
        <f t="shared" si="54"/>
        <v>-1205000</v>
      </c>
    </row>
    <row r="143" spans="1:48">
      <c r="A143" s="640">
        <v>141</v>
      </c>
      <c r="B143" s="811"/>
      <c r="C143" s="628" t="s">
        <v>1217</v>
      </c>
      <c r="D143" s="674">
        <v>407.30200000000002</v>
      </c>
      <c r="E143" s="649">
        <f>PROFORMA!F222</f>
        <v>584000</v>
      </c>
      <c r="F143" s="649">
        <f>PROFORMA!G222</f>
        <v>0</v>
      </c>
      <c r="G143" s="649">
        <f>PROFORMA!H222</f>
        <v>0</v>
      </c>
      <c r="H143" s="649">
        <f>PROFORMA!I222</f>
        <v>0</v>
      </c>
      <c r="I143" s="649">
        <f>PROFORMA!J222</f>
        <v>0</v>
      </c>
      <c r="J143" s="649">
        <f>PROFORMA!K222</f>
        <v>0</v>
      </c>
      <c r="K143" s="649">
        <f>PROFORMA!L222</f>
        <v>0</v>
      </c>
      <c r="L143" s="649">
        <f>PROFORMA!M222</f>
        <v>0</v>
      </c>
      <c r="M143" s="649">
        <f>PROFORMA!N222</f>
        <v>0</v>
      </c>
      <c r="N143" s="649">
        <f>PROFORMA!O222</f>
        <v>0</v>
      </c>
      <c r="O143" s="649">
        <f>PROFORMA!P222</f>
        <v>0</v>
      </c>
      <c r="P143" s="649">
        <f>PROFORMA!Q222</f>
        <v>0</v>
      </c>
      <c r="Q143" s="649">
        <f>PROFORMA!R222</f>
        <v>0</v>
      </c>
      <c r="R143" s="649">
        <f>PROFORMA!S222</f>
        <v>0</v>
      </c>
      <c r="S143" s="649">
        <f>PROFORMA!T222</f>
        <v>0</v>
      </c>
      <c r="T143" s="649">
        <f>PROFORMA!U222</f>
        <v>0</v>
      </c>
      <c r="U143" s="649">
        <f>PROFORMA!V222</f>
        <v>0</v>
      </c>
      <c r="V143" s="649">
        <f>PROFORMA!W222</f>
        <v>0</v>
      </c>
      <c r="W143" s="649">
        <f>PROFORMA!X222</f>
        <v>0</v>
      </c>
      <c r="X143" s="649">
        <f>PROFORMA!Y222</f>
        <v>0</v>
      </c>
      <c r="Y143" s="690">
        <f t="shared" si="50"/>
        <v>0</v>
      </c>
      <c r="Z143" s="649">
        <f>PROFORMA!Z222</f>
        <v>0</v>
      </c>
      <c r="AA143" s="649">
        <f>PROFORMA!AA222</f>
        <v>0</v>
      </c>
      <c r="AB143" s="649">
        <f>PROFORMA!AB222</f>
        <v>0</v>
      </c>
      <c r="AC143" s="649">
        <f>PROFORMA!AC222</f>
        <v>0</v>
      </c>
      <c r="AD143" s="649">
        <f>PROFORMA!AD222</f>
        <v>0</v>
      </c>
      <c r="AE143" s="649">
        <f>PROFORMA!AE222</f>
        <v>0</v>
      </c>
      <c r="AF143" s="649">
        <f>PROFORMA!AF222</f>
        <v>0</v>
      </c>
      <c r="AG143" s="649">
        <f>PROFORMA!AG222</f>
        <v>0</v>
      </c>
      <c r="AH143" s="649">
        <f>PROFORMA!AH222</f>
        <v>0</v>
      </c>
      <c r="AI143" s="649">
        <f>PROFORMA!AI222</f>
        <v>0</v>
      </c>
      <c r="AJ143" s="649">
        <f>PROFORMA!AJ222</f>
        <v>0</v>
      </c>
      <c r="AK143" s="649">
        <f>PROFORMA!AK222</f>
        <v>0</v>
      </c>
      <c r="AL143" s="649">
        <f>PROFORMA!AL222</f>
        <v>0</v>
      </c>
      <c r="AM143" s="649">
        <f>PROFORMA!AM222</f>
        <v>0</v>
      </c>
      <c r="AN143" s="649">
        <f>PROFORMA!AN222</f>
        <v>0</v>
      </c>
      <c r="AO143" s="649">
        <f>PROFORMA!AO222</f>
        <v>0</v>
      </c>
      <c r="AP143" s="649">
        <f>PROFORMA!AP222</f>
        <v>1550000</v>
      </c>
      <c r="AQ143" s="649">
        <f>PROFORMA!AQ222</f>
        <v>0</v>
      </c>
      <c r="AR143" s="693">
        <f t="shared" si="51"/>
        <v>1550000</v>
      </c>
      <c r="AS143" s="643">
        <f t="shared" si="52"/>
        <v>1550000</v>
      </c>
      <c r="AT143" s="643">
        <f t="shared" si="53"/>
        <v>2134000</v>
      </c>
      <c r="AU143" s="643"/>
      <c r="AV143" s="643">
        <f t="shared" si="54"/>
        <v>2134000</v>
      </c>
    </row>
    <row r="144" spans="1:48">
      <c r="A144" s="640">
        <v>142</v>
      </c>
      <c r="B144" s="811"/>
      <c r="C144" s="628" t="s">
        <v>1218</v>
      </c>
      <c r="D144" s="674">
        <v>407.41399999999999</v>
      </c>
      <c r="E144" s="685">
        <f>PROFORMA!F223</f>
        <v>-462000</v>
      </c>
      <c r="F144" s="685">
        <f>PROFORMA!G223</f>
        <v>0</v>
      </c>
      <c r="G144" s="685">
        <f>PROFORMA!H223</f>
        <v>0</v>
      </c>
      <c r="H144" s="685">
        <f>PROFORMA!I223</f>
        <v>0</v>
      </c>
      <c r="I144" s="685">
        <f>PROFORMA!J223</f>
        <v>0</v>
      </c>
      <c r="J144" s="685">
        <f>PROFORMA!K223</f>
        <v>0</v>
      </c>
      <c r="K144" s="685">
        <f>PROFORMA!L223</f>
        <v>0</v>
      </c>
      <c r="L144" s="685">
        <f>PROFORMA!M223</f>
        <v>0</v>
      </c>
      <c r="M144" s="685">
        <f>PROFORMA!N223</f>
        <v>0</v>
      </c>
      <c r="N144" s="685">
        <f>PROFORMA!O223</f>
        <v>0</v>
      </c>
      <c r="O144" s="685">
        <f>PROFORMA!P223</f>
        <v>0</v>
      </c>
      <c r="P144" s="685">
        <f>PROFORMA!Q223</f>
        <v>0</v>
      </c>
      <c r="Q144" s="685">
        <f>PROFORMA!R223</f>
        <v>0</v>
      </c>
      <c r="R144" s="685">
        <f>PROFORMA!S223</f>
        <v>0</v>
      </c>
      <c r="S144" s="685">
        <f>PROFORMA!T223</f>
        <v>0</v>
      </c>
      <c r="T144" s="685">
        <f>PROFORMA!U223</f>
        <v>0</v>
      </c>
      <c r="U144" s="685">
        <f>PROFORMA!V223</f>
        <v>0</v>
      </c>
      <c r="V144" s="685">
        <f>PROFORMA!W223</f>
        <v>0</v>
      </c>
      <c r="W144" s="685">
        <f>PROFORMA!X223</f>
        <v>0</v>
      </c>
      <c r="X144" s="685">
        <f>PROFORMA!Y223</f>
        <v>0</v>
      </c>
      <c r="Y144" s="691">
        <f t="shared" si="50"/>
        <v>0</v>
      </c>
      <c r="Z144" s="685">
        <f>PROFORMA!Z223</f>
        <v>0</v>
      </c>
      <c r="AA144" s="685">
        <f>PROFORMA!AA223</f>
        <v>0</v>
      </c>
      <c r="AB144" s="685">
        <f>PROFORMA!AB223</f>
        <v>0</v>
      </c>
      <c r="AC144" s="685">
        <f>PROFORMA!AC223</f>
        <v>0</v>
      </c>
      <c r="AD144" s="685">
        <f>PROFORMA!AD223</f>
        <v>0</v>
      </c>
      <c r="AE144" s="685">
        <f>PROFORMA!AE223</f>
        <v>0</v>
      </c>
      <c r="AF144" s="685">
        <f>PROFORMA!AF223</f>
        <v>0</v>
      </c>
      <c r="AG144" s="685">
        <f>PROFORMA!AG223</f>
        <v>0</v>
      </c>
      <c r="AH144" s="685">
        <f>PROFORMA!AH223</f>
        <v>0</v>
      </c>
      <c r="AI144" s="685">
        <f>PROFORMA!AI223</f>
        <v>805000</v>
      </c>
      <c r="AJ144" s="685">
        <f>PROFORMA!AJ223</f>
        <v>0</v>
      </c>
      <c r="AK144" s="685">
        <f>PROFORMA!AK223</f>
        <v>0</v>
      </c>
      <c r="AL144" s="685">
        <f>PROFORMA!AL223</f>
        <v>0</v>
      </c>
      <c r="AM144" s="685">
        <f>PROFORMA!AM223</f>
        <v>0</v>
      </c>
      <c r="AN144" s="685">
        <f>PROFORMA!AN223</f>
        <v>0</v>
      </c>
      <c r="AO144" s="685">
        <f>PROFORMA!AO223</f>
        <v>0</v>
      </c>
      <c r="AP144" s="685">
        <f>PROFORMA!AP223</f>
        <v>0</v>
      </c>
      <c r="AQ144" s="685">
        <f>PROFORMA!AQ223</f>
        <v>0</v>
      </c>
      <c r="AR144" s="694">
        <f t="shared" si="51"/>
        <v>805000</v>
      </c>
      <c r="AS144" s="692">
        <f t="shared" si="52"/>
        <v>805000</v>
      </c>
      <c r="AT144" s="692">
        <f t="shared" si="53"/>
        <v>343000</v>
      </c>
      <c r="AU144" s="692"/>
      <c r="AV144" s="692">
        <f t="shared" si="54"/>
        <v>343000</v>
      </c>
    </row>
    <row r="145" spans="1:48">
      <c r="A145" s="640">
        <v>143</v>
      </c>
      <c r="B145" s="607"/>
      <c r="C145" s="632" t="s">
        <v>1247</v>
      </c>
      <c r="D145" s="632"/>
      <c r="E145" s="689">
        <f>SUM(E139:E144)</f>
        <v>2474000</v>
      </c>
      <c r="F145" s="689">
        <f t="shared" ref="F145:X145" si="57">SUM(F139:F144)</f>
        <v>0</v>
      </c>
      <c r="G145" s="689">
        <f t="shared" si="57"/>
        <v>0</v>
      </c>
      <c r="H145" s="689">
        <f t="shared" si="57"/>
        <v>0</v>
      </c>
      <c r="I145" s="689">
        <f t="shared" si="57"/>
        <v>0</v>
      </c>
      <c r="J145" s="689">
        <f t="shared" si="57"/>
        <v>0</v>
      </c>
      <c r="K145" s="689">
        <f t="shared" si="57"/>
        <v>0</v>
      </c>
      <c r="L145" s="689">
        <f t="shared" si="57"/>
        <v>0</v>
      </c>
      <c r="M145" s="689">
        <f t="shared" si="57"/>
        <v>0</v>
      </c>
      <c r="N145" s="689">
        <f t="shared" si="57"/>
        <v>0</v>
      </c>
      <c r="O145" s="689">
        <f t="shared" si="57"/>
        <v>0</v>
      </c>
      <c r="P145" s="689">
        <f t="shared" si="57"/>
        <v>0</v>
      </c>
      <c r="Q145" s="689">
        <f t="shared" si="57"/>
        <v>0</v>
      </c>
      <c r="R145" s="689">
        <f t="shared" si="57"/>
        <v>0</v>
      </c>
      <c r="S145" s="689">
        <f t="shared" si="57"/>
        <v>0</v>
      </c>
      <c r="T145" s="689">
        <f t="shared" si="57"/>
        <v>1205000</v>
      </c>
      <c r="U145" s="689">
        <f t="shared" si="57"/>
        <v>0</v>
      </c>
      <c r="V145" s="689">
        <f t="shared" si="57"/>
        <v>0</v>
      </c>
      <c r="W145" s="689">
        <f t="shared" si="57"/>
        <v>0</v>
      </c>
      <c r="X145" s="689">
        <f t="shared" si="57"/>
        <v>0</v>
      </c>
      <c r="Y145" s="691">
        <f t="shared" si="50"/>
        <v>1205000</v>
      </c>
      <c r="Z145" s="689">
        <f t="shared" ref="Z145:AV145" si="58">SUM(Z139:Z144)</f>
        <v>0</v>
      </c>
      <c r="AA145" s="689">
        <f t="shared" si="58"/>
        <v>-230000</v>
      </c>
      <c r="AB145" s="689">
        <f t="shared" si="58"/>
        <v>0</v>
      </c>
      <c r="AC145" s="689">
        <f t="shared" si="58"/>
        <v>0</v>
      </c>
      <c r="AD145" s="689">
        <f t="shared" si="58"/>
        <v>0</v>
      </c>
      <c r="AE145" s="689">
        <f t="shared" si="58"/>
        <v>0</v>
      </c>
      <c r="AF145" s="689">
        <f t="shared" si="58"/>
        <v>0</v>
      </c>
      <c r="AG145" s="689">
        <f t="shared" si="58"/>
        <v>0</v>
      </c>
      <c r="AH145" s="689">
        <f t="shared" si="58"/>
        <v>0</v>
      </c>
      <c r="AI145" s="689">
        <f t="shared" si="58"/>
        <v>805000</v>
      </c>
      <c r="AJ145" s="689">
        <f t="shared" si="58"/>
        <v>0</v>
      </c>
      <c r="AK145" s="689">
        <f t="shared" si="58"/>
        <v>0</v>
      </c>
      <c r="AL145" s="689">
        <f t="shared" si="58"/>
        <v>0</v>
      </c>
      <c r="AM145" s="689">
        <f t="shared" si="58"/>
        <v>0</v>
      </c>
      <c r="AN145" s="689">
        <f t="shared" si="58"/>
        <v>0</v>
      </c>
      <c r="AO145" s="689">
        <f t="shared" si="58"/>
        <v>3491000</v>
      </c>
      <c r="AP145" s="689">
        <f t="shared" si="58"/>
        <v>1550000</v>
      </c>
      <c r="AQ145" s="689">
        <f t="shared" si="58"/>
        <v>0</v>
      </c>
      <c r="AR145" s="689">
        <f t="shared" si="58"/>
        <v>5616000</v>
      </c>
      <c r="AS145" s="689">
        <f t="shared" si="58"/>
        <v>6821000</v>
      </c>
      <c r="AT145" s="689">
        <f t="shared" si="58"/>
        <v>9295000</v>
      </c>
      <c r="AU145" s="689">
        <f t="shared" si="58"/>
        <v>0</v>
      </c>
      <c r="AV145" s="689">
        <f t="shared" si="58"/>
        <v>9295000</v>
      </c>
    </row>
    <row r="146" spans="1:48">
      <c r="A146" s="640">
        <v>144</v>
      </c>
      <c r="B146" s="607"/>
      <c r="C146" s="669" t="s">
        <v>724</v>
      </c>
      <c r="D146" s="676"/>
      <c r="E146" s="650">
        <f>E113+E127+E138+E145</f>
        <v>20638000</v>
      </c>
      <c r="F146" s="650">
        <f t="shared" ref="F146:X146" si="59">F113+F127+F138+F145</f>
        <v>0</v>
      </c>
      <c r="G146" s="650">
        <f t="shared" si="59"/>
        <v>0</v>
      </c>
      <c r="H146" s="650">
        <f t="shared" si="59"/>
        <v>0</v>
      </c>
      <c r="I146" s="650">
        <f t="shared" si="59"/>
        <v>0</v>
      </c>
      <c r="J146" s="650">
        <f t="shared" si="59"/>
        <v>0</v>
      </c>
      <c r="K146" s="650">
        <f t="shared" si="59"/>
        <v>0</v>
      </c>
      <c r="L146" s="650">
        <f t="shared" si="59"/>
        <v>0</v>
      </c>
      <c r="M146" s="650">
        <f t="shared" si="59"/>
        <v>0</v>
      </c>
      <c r="N146" s="650">
        <f t="shared" si="59"/>
        <v>0</v>
      </c>
      <c r="O146" s="650">
        <f t="shared" si="59"/>
        <v>0</v>
      </c>
      <c r="P146" s="650">
        <f t="shared" si="59"/>
        <v>0</v>
      </c>
      <c r="Q146" s="650">
        <f t="shared" si="59"/>
        <v>0</v>
      </c>
      <c r="R146" s="650">
        <f t="shared" si="59"/>
        <v>-11000</v>
      </c>
      <c r="S146" s="650">
        <f t="shared" si="59"/>
        <v>0</v>
      </c>
      <c r="T146" s="650">
        <f t="shared" si="59"/>
        <v>1205000</v>
      </c>
      <c r="U146" s="650">
        <f t="shared" si="59"/>
        <v>0</v>
      </c>
      <c r="V146" s="650">
        <f t="shared" si="59"/>
        <v>0</v>
      </c>
      <c r="W146" s="650">
        <f t="shared" si="59"/>
        <v>0</v>
      </c>
      <c r="X146" s="650">
        <f t="shared" si="59"/>
        <v>-262000</v>
      </c>
      <c r="Y146" s="690">
        <f t="shared" si="50"/>
        <v>932000</v>
      </c>
      <c r="Z146" s="650">
        <f t="shared" ref="Z146:AV146" si="60">Z113+Z127+Z138+Z145</f>
        <v>0</v>
      </c>
      <c r="AA146" s="650">
        <f t="shared" si="60"/>
        <v>-230000</v>
      </c>
      <c r="AB146" s="650">
        <f t="shared" si="60"/>
        <v>0</v>
      </c>
      <c r="AC146" s="650">
        <f t="shared" si="60"/>
        <v>0</v>
      </c>
      <c r="AD146" s="650">
        <f t="shared" si="60"/>
        <v>0</v>
      </c>
      <c r="AE146" s="650">
        <f t="shared" si="60"/>
        <v>0</v>
      </c>
      <c r="AF146" s="650">
        <f t="shared" si="60"/>
        <v>0</v>
      </c>
      <c r="AG146" s="650">
        <f t="shared" si="60"/>
        <v>0</v>
      </c>
      <c r="AH146" s="650">
        <f t="shared" si="60"/>
        <v>0</v>
      </c>
      <c r="AI146" s="650">
        <f t="shared" si="60"/>
        <v>805000</v>
      </c>
      <c r="AJ146" s="650">
        <f t="shared" si="60"/>
        <v>577000</v>
      </c>
      <c r="AK146" s="650">
        <f t="shared" si="60"/>
        <v>186000</v>
      </c>
      <c r="AL146" s="650">
        <f t="shared" si="60"/>
        <v>228000</v>
      </c>
      <c r="AM146" s="650">
        <f t="shared" si="60"/>
        <v>276000</v>
      </c>
      <c r="AN146" s="650">
        <f t="shared" si="60"/>
        <v>642000</v>
      </c>
      <c r="AO146" s="650">
        <f t="shared" si="60"/>
        <v>4457000</v>
      </c>
      <c r="AP146" s="650">
        <f t="shared" si="60"/>
        <v>1550000</v>
      </c>
      <c r="AQ146" s="650">
        <f t="shared" si="60"/>
        <v>0</v>
      </c>
      <c r="AR146" s="650">
        <f t="shared" si="60"/>
        <v>8491000</v>
      </c>
      <c r="AS146" s="650">
        <f t="shared" si="60"/>
        <v>9423000</v>
      </c>
      <c r="AT146" s="650">
        <f t="shared" si="60"/>
        <v>30061000</v>
      </c>
      <c r="AU146" s="650">
        <f t="shared" si="60"/>
        <v>0</v>
      </c>
      <c r="AV146" s="650">
        <f t="shared" si="60"/>
        <v>30061000</v>
      </c>
    </row>
    <row r="147" spans="1:48">
      <c r="A147" s="640">
        <v>145</v>
      </c>
      <c r="B147" s="607"/>
      <c r="C147" s="675"/>
      <c r="D147" s="675"/>
      <c r="E147" s="650"/>
      <c r="F147" s="650"/>
      <c r="G147" s="650"/>
      <c r="H147" s="650"/>
      <c r="I147" s="650"/>
      <c r="J147" s="650"/>
      <c r="K147" s="650"/>
      <c r="L147" s="650"/>
      <c r="M147" s="650"/>
      <c r="N147" s="650"/>
      <c r="O147" s="650"/>
      <c r="P147" s="650"/>
      <c r="Q147" s="650"/>
      <c r="R147" s="650"/>
      <c r="S147" s="650"/>
      <c r="T147" s="650"/>
      <c r="U147" s="650"/>
      <c r="V147" s="650"/>
      <c r="W147" s="650"/>
      <c r="X147" s="650"/>
      <c r="Y147" s="690">
        <f t="shared" si="50"/>
        <v>0</v>
      </c>
      <c r="Z147" s="650"/>
      <c r="AA147" s="650"/>
      <c r="AB147" s="650"/>
      <c r="AC147" s="650"/>
      <c r="AD147" s="650"/>
      <c r="AE147" s="650"/>
      <c r="AF147" s="650"/>
      <c r="AG147" s="650"/>
      <c r="AH147" s="650"/>
      <c r="AI147" s="650"/>
      <c r="AJ147" s="650"/>
      <c r="AK147" s="650"/>
      <c r="AL147" s="650"/>
      <c r="AM147" s="650"/>
      <c r="AN147" s="650"/>
      <c r="AO147" s="650"/>
      <c r="AP147" s="650"/>
      <c r="AQ147" s="650"/>
      <c r="AR147" s="693">
        <f t="shared" si="51"/>
        <v>0</v>
      </c>
      <c r="AS147" s="643">
        <f t="shared" si="52"/>
        <v>0</v>
      </c>
      <c r="AT147" s="643">
        <f t="shared" si="53"/>
        <v>0</v>
      </c>
      <c r="AU147" s="643"/>
      <c r="AV147" s="643">
        <f t="shared" si="54"/>
        <v>0</v>
      </c>
    </row>
    <row r="148" spans="1:48" ht="15.45" customHeight="1">
      <c r="A148" s="640">
        <v>146</v>
      </c>
      <c r="B148" s="811" t="s">
        <v>1267</v>
      </c>
      <c r="C148" s="628" t="s">
        <v>1248</v>
      </c>
      <c r="D148" s="660">
        <v>408.1</v>
      </c>
      <c r="E148" s="649">
        <f>PROFORMA!F164</f>
        <v>14062000</v>
      </c>
      <c r="F148" s="649">
        <f>PROFORMA!G164</f>
        <v>0</v>
      </c>
      <c r="G148" s="649">
        <f>PROFORMA!H164</f>
        <v>0</v>
      </c>
      <c r="H148" s="649">
        <f>PROFORMA!I164</f>
        <v>0</v>
      </c>
      <c r="I148" s="649">
        <f>PROFORMA!J164</f>
        <v>0</v>
      </c>
      <c r="J148" s="649">
        <f>PROFORMA!K164</f>
        <v>-5235000</v>
      </c>
      <c r="K148" s="649">
        <f>PROFORMA!L164</f>
        <v>239000</v>
      </c>
      <c r="L148" s="649">
        <f>PROFORMA!M164</f>
        <v>0</v>
      </c>
      <c r="M148" s="649">
        <f>PROFORMA!N164</f>
        <v>0</v>
      </c>
      <c r="N148" s="649">
        <f>PROFORMA!O164</f>
        <v>0</v>
      </c>
      <c r="O148" s="649">
        <f>PROFORMA!P164</f>
        <v>0</v>
      </c>
      <c r="P148" s="649">
        <f>PROFORMA!Q164</f>
        <v>0</v>
      </c>
      <c r="Q148" s="649">
        <f>PROFORMA!R164</f>
        <v>1000</v>
      </c>
      <c r="R148" s="649">
        <f>PROFORMA!S164</f>
        <v>0</v>
      </c>
      <c r="S148" s="649">
        <f>PROFORMA!T164</f>
        <v>-151000</v>
      </c>
      <c r="T148" s="649">
        <f>PROFORMA!U164</f>
        <v>309000</v>
      </c>
      <c r="U148" s="649">
        <f>PROFORMA!V164</f>
        <v>0</v>
      </c>
      <c r="V148" s="649">
        <f>PROFORMA!W164</f>
        <v>0</v>
      </c>
      <c r="W148" s="649">
        <f>PROFORMA!X164</f>
        <v>0</v>
      </c>
      <c r="X148" s="649">
        <f>PROFORMA!Y164</f>
        <v>0</v>
      </c>
      <c r="Y148" s="690">
        <f t="shared" si="50"/>
        <v>-4837000</v>
      </c>
      <c r="Z148" s="649">
        <f>PROFORMA!Z164</f>
        <v>-1591000</v>
      </c>
      <c r="AA148" s="649">
        <f>PROFORMA!AA164</f>
        <v>0</v>
      </c>
      <c r="AB148" s="649">
        <f>PROFORMA!AB164</f>
        <v>0</v>
      </c>
      <c r="AC148" s="649">
        <f>PROFORMA!AC164</f>
        <v>0</v>
      </c>
      <c r="AD148" s="649">
        <f>PROFORMA!AD164</f>
        <v>0</v>
      </c>
      <c r="AE148" s="649">
        <f>PROFORMA!AE164</f>
        <v>0</v>
      </c>
      <c r="AF148" s="649">
        <f>PROFORMA!AF164</f>
        <v>0</v>
      </c>
      <c r="AG148" s="649">
        <f>PROFORMA!AG164</f>
        <v>0</v>
      </c>
      <c r="AH148" s="649">
        <f>PROFORMA!AH164</f>
        <v>463000</v>
      </c>
      <c r="AI148" s="649">
        <f>PROFORMA!AI164</f>
        <v>0</v>
      </c>
      <c r="AJ148" s="649">
        <f>PROFORMA!AJ164</f>
        <v>0</v>
      </c>
      <c r="AK148" s="649">
        <f>PROFORMA!AK164</f>
        <v>0</v>
      </c>
      <c r="AL148" s="649">
        <f>PROFORMA!AL164</f>
        <v>0</v>
      </c>
      <c r="AM148" s="649">
        <f>PROFORMA!AM164</f>
        <v>0</v>
      </c>
      <c r="AN148" s="649">
        <f>PROFORMA!AN164</f>
        <v>0</v>
      </c>
      <c r="AO148" s="649">
        <f>PROFORMA!AO164</f>
        <v>0</v>
      </c>
      <c r="AP148" s="649">
        <f>PROFORMA!AP164</f>
        <v>0</v>
      </c>
      <c r="AQ148" s="649">
        <f>PROFORMA!AQ164</f>
        <v>0</v>
      </c>
      <c r="AR148" s="693">
        <f t="shared" si="51"/>
        <v>-1128000</v>
      </c>
      <c r="AS148" s="643">
        <f t="shared" si="52"/>
        <v>-5965000</v>
      </c>
      <c r="AT148" s="643">
        <f t="shared" si="53"/>
        <v>8097000</v>
      </c>
      <c r="AU148" s="643"/>
      <c r="AV148" s="643">
        <f t="shared" si="54"/>
        <v>8097000</v>
      </c>
    </row>
    <row r="149" spans="1:48" ht="15.45" customHeight="1">
      <c r="A149" s="640">
        <v>147</v>
      </c>
      <c r="B149" s="811"/>
      <c r="C149" s="628" t="s">
        <v>1249</v>
      </c>
      <c r="D149" s="660">
        <v>409.1</v>
      </c>
      <c r="E149" s="649">
        <f>PROFORMA!F231</f>
        <v>-4720000</v>
      </c>
      <c r="F149" s="649">
        <f>PROFORMA!G231</f>
        <v>0</v>
      </c>
      <c r="G149" s="649">
        <f>PROFORMA!H231</f>
        <v>-3000</v>
      </c>
      <c r="H149" s="649">
        <f>PROFORMA!I231</f>
        <v>0</v>
      </c>
      <c r="I149" s="649">
        <f>PROFORMA!J231</f>
        <v>0</v>
      </c>
      <c r="J149" s="649">
        <f>PROFORMA!K231</f>
        <v>-3000</v>
      </c>
      <c r="K149" s="649">
        <f>PROFORMA!L231</f>
        <v>-50000</v>
      </c>
      <c r="L149" s="649">
        <f>PROFORMA!M231</f>
        <v>-35000</v>
      </c>
      <c r="M149" s="649">
        <f>PROFORMA!N231</f>
        <v>12000</v>
      </c>
      <c r="N149" s="649">
        <f>PROFORMA!O231</f>
        <v>2000</v>
      </c>
      <c r="O149" s="649">
        <f>PROFORMA!P231</f>
        <v>0</v>
      </c>
      <c r="P149" s="649">
        <f>PROFORMA!Q231</f>
        <v>3000</v>
      </c>
      <c r="Q149" s="649">
        <f>PROFORMA!R231</f>
        <v>0</v>
      </c>
      <c r="R149" s="649">
        <f>PROFORMA!S231</f>
        <v>2000</v>
      </c>
      <c r="S149" s="649">
        <f>PROFORMA!T231</f>
        <v>-1000</v>
      </c>
      <c r="T149" s="649">
        <f>PROFORMA!U231</f>
        <v>173000</v>
      </c>
      <c r="U149" s="649">
        <f>PROFORMA!V231</f>
        <v>-9000</v>
      </c>
      <c r="V149" s="649">
        <f>PROFORMA!W231</f>
        <v>-46000</v>
      </c>
      <c r="W149" s="649">
        <f>PROFORMA!X231</f>
        <v>222000</v>
      </c>
      <c r="X149" s="649">
        <f>PROFORMA!Y231</f>
        <v>55000</v>
      </c>
      <c r="Y149" s="690">
        <f t="shared" si="50"/>
        <v>322000</v>
      </c>
      <c r="Z149" s="649">
        <f>PROFORMA!Z231</f>
        <v>2176000</v>
      </c>
      <c r="AA149" s="649">
        <f>PROFORMA!AA231</f>
        <v>48000</v>
      </c>
      <c r="AB149" s="649">
        <f>PROFORMA!AB231</f>
        <v>0</v>
      </c>
      <c r="AC149" s="649">
        <f>PROFORMA!AC231</f>
        <v>-205000</v>
      </c>
      <c r="AD149" s="649">
        <f>PROFORMA!AD231</f>
        <v>20000</v>
      </c>
      <c r="AE149" s="649">
        <f>PROFORMA!AE231</f>
        <v>-72000</v>
      </c>
      <c r="AF149" s="649">
        <f>PROFORMA!AF231</f>
        <v>-227000</v>
      </c>
      <c r="AG149" s="649">
        <f>PROFORMA!AG231</f>
        <v>-131000</v>
      </c>
      <c r="AH149" s="649">
        <f>PROFORMA!AH231</f>
        <v>-97000</v>
      </c>
      <c r="AI149" s="649">
        <f>PROFORMA!AI231</f>
        <v>-183000</v>
      </c>
      <c r="AJ149" s="649">
        <f>PROFORMA!AJ231</f>
        <v>-121000</v>
      </c>
      <c r="AK149" s="649">
        <f>PROFORMA!AK231</f>
        <v>-39000</v>
      </c>
      <c r="AL149" s="649">
        <f>PROFORMA!AL231</f>
        <v>-48000</v>
      </c>
      <c r="AM149" s="649">
        <f>PROFORMA!AM231</f>
        <v>-58000</v>
      </c>
      <c r="AN149" s="649">
        <f>PROFORMA!AN231</f>
        <v>-135000</v>
      </c>
      <c r="AO149" s="649">
        <f>PROFORMA!AO231</f>
        <v>-727000</v>
      </c>
      <c r="AP149" s="649">
        <f>PROFORMA!AP231</f>
        <v>-326000</v>
      </c>
      <c r="AQ149" s="649">
        <f>PROFORMA!AQ231</f>
        <v>0</v>
      </c>
      <c r="AR149" s="693">
        <f t="shared" si="51"/>
        <v>-125000</v>
      </c>
      <c r="AS149" s="643">
        <f t="shared" si="52"/>
        <v>197000</v>
      </c>
      <c r="AT149" s="643">
        <f t="shared" si="53"/>
        <v>-4523000</v>
      </c>
      <c r="AU149" s="643"/>
      <c r="AV149" s="643">
        <f t="shared" si="54"/>
        <v>-4523000</v>
      </c>
    </row>
    <row r="150" spans="1:48" ht="15.45" customHeight="1">
      <c r="A150" s="640">
        <v>148</v>
      </c>
      <c r="B150" s="811"/>
      <c r="C150" s="628" t="s">
        <v>1250</v>
      </c>
      <c r="D150" s="660">
        <v>409.1</v>
      </c>
      <c r="E150" s="649"/>
      <c r="F150" s="649"/>
      <c r="G150" s="649"/>
      <c r="H150" s="649"/>
      <c r="I150" s="649"/>
      <c r="J150" s="649"/>
      <c r="K150" s="649"/>
      <c r="L150" s="649"/>
      <c r="M150" s="649"/>
      <c r="N150" s="649"/>
      <c r="O150" s="649"/>
      <c r="P150" s="649"/>
      <c r="Q150" s="649"/>
      <c r="R150" s="649"/>
      <c r="S150" s="649"/>
      <c r="T150" s="649"/>
      <c r="U150" s="649"/>
      <c r="V150" s="649"/>
      <c r="W150" s="649"/>
      <c r="X150" s="649"/>
      <c r="Y150" s="690">
        <f t="shared" si="50"/>
        <v>0</v>
      </c>
      <c r="Z150" s="649"/>
      <c r="AA150" s="649"/>
      <c r="AB150" s="649"/>
      <c r="AC150" s="649"/>
      <c r="AD150" s="649"/>
      <c r="AE150" s="649"/>
      <c r="AF150" s="649"/>
      <c r="AG150" s="649"/>
      <c r="AH150" s="649"/>
      <c r="AI150" s="649"/>
      <c r="AJ150" s="649"/>
      <c r="AK150" s="649"/>
      <c r="AL150" s="649"/>
      <c r="AM150" s="649"/>
      <c r="AN150" s="649"/>
      <c r="AO150" s="649"/>
      <c r="AP150" s="649"/>
      <c r="AQ150" s="649"/>
      <c r="AR150" s="693">
        <f t="shared" si="51"/>
        <v>0</v>
      </c>
      <c r="AS150" s="643">
        <f t="shared" si="52"/>
        <v>0</v>
      </c>
      <c r="AT150" s="643">
        <f t="shared" si="53"/>
        <v>0</v>
      </c>
      <c r="AU150" s="643"/>
      <c r="AV150" s="643">
        <f t="shared" si="54"/>
        <v>0</v>
      </c>
    </row>
    <row r="151" spans="1:48" ht="15.45" customHeight="1">
      <c r="A151" s="640">
        <v>149</v>
      </c>
      <c r="B151" s="811"/>
      <c r="C151" s="628" t="s">
        <v>1251</v>
      </c>
      <c r="D151" s="660" t="s">
        <v>1268</v>
      </c>
      <c r="E151" s="649">
        <f>PROFORMA!F234</f>
        <v>6501000</v>
      </c>
      <c r="F151" s="649">
        <f>PROFORMA!G234</f>
        <v>0</v>
      </c>
      <c r="G151" s="649">
        <f>PROFORMA!H234</f>
        <v>0</v>
      </c>
      <c r="H151" s="649">
        <f>PROFORMA!I234</f>
        <v>0</v>
      </c>
      <c r="I151" s="649">
        <f>PROFORMA!J234</f>
        <v>0</v>
      </c>
      <c r="J151" s="649">
        <f>PROFORMA!K234</f>
        <v>0</v>
      </c>
      <c r="K151" s="649">
        <f>PROFORMA!L234</f>
        <v>0</v>
      </c>
      <c r="L151" s="649">
        <f>PROFORMA!M234</f>
        <v>0</v>
      </c>
      <c r="M151" s="649">
        <f>PROFORMA!N234</f>
        <v>0</v>
      </c>
      <c r="N151" s="649">
        <f>PROFORMA!O234</f>
        <v>0</v>
      </c>
      <c r="O151" s="649">
        <f>PROFORMA!P234</f>
        <v>53000</v>
      </c>
      <c r="P151" s="649">
        <f>PROFORMA!Q234</f>
        <v>0</v>
      </c>
      <c r="Q151" s="649">
        <f>PROFORMA!R234</f>
        <v>0</v>
      </c>
      <c r="R151" s="649">
        <f>PROFORMA!S234</f>
        <v>0</v>
      </c>
      <c r="S151" s="649">
        <f>PROFORMA!T234</f>
        <v>0</v>
      </c>
      <c r="T151" s="649">
        <f>PROFORMA!U234</f>
        <v>651000</v>
      </c>
      <c r="U151" s="649">
        <f>PROFORMA!V234</f>
        <v>0</v>
      </c>
      <c r="V151" s="649">
        <f>PROFORMA!W234</f>
        <v>0</v>
      </c>
      <c r="W151" s="649">
        <f>PROFORMA!X234</f>
        <v>0</v>
      </c>
      <c r="X151" s="649">
        <f>PROFORMA!Y234</f>
        <v>0</v>
      </c>
      <c r="Y151" s="690">
        <f t="shared" si="50"/>
        <v>704000</v>
      </c>
      <c r="Z151" s="649">
        <f>PROFORMA!Z234</f>
        <v>0</v>
      </c>
      <c r="AA151" s="649">
        <f>PROFORMA!AA234</f>
        <v>0</v>
      </c>
      <c r="AB151" s="649">
        <f>PROFORMA!AB234</f>
        <v>41000</v>
      </c>
      <c r="AC151" s="649">
        <f>PROFORMA!AC234</f>
        <v>0</v>
      </c>
      <c r="AD151" s="649">
        <f>PROFORMA!AD234</f>
        <v>0</v>
      </c>
      <c r="AE151" s="649">
        <f>PROFORMA!AE234</f>
        <v>0</v>
      </c>
      <c r="AF151" s="649">
        <f>PROFORMA!AF234</f>
        <v>0</v>
      </c>
      <c r="AG151" s="649">
        <f>PROFORMA!AG234</f>
        <v>0</v>
      </c>
      <c r="AH151" s="649">
        <f>PROFORMA!AH234</f>
        <v>0</v>
      </c>
      <c r="AI151" s="649">
        <f>PROFORMA!AI234</f>
        <v>0</v>
      </c>
      <c r="AJ151" s="649">
        <f>PROFORMA!AJ234</f>
        <v>0</v>
      </c>
      <c r="AK151" s="649">
        <f>PROFORMA!AK234</f>
        <v>0</v>
      </c>
      <c r="AL151" s="649">
        <f>PROFORMA!AL234</f>
        <v>0</v>
      </c>
      <c r="AM151" s="649">
        <f>PROFORMA!AM234</f>
        <v>0</v>
      </c>
      <c r="AN151" s="649">
        <f>PROFORMA!AN234</f>
        <v>0</v>
      </c>
      <c r="AO151" s="649">
        <f>PROFORMA!AO234</f>
        <v>0</v>
      </c>
      <c r="AP151" s="649">
        <f>PROFORMA!AP234</f>
        <v>0</v>
      </c>
      <c r="AQ151" s="649">
        <f>PROFORMA!AQ234</f>
        <v>0</v>
      </c>
      <c r="AR151" s="693">
        <f t="shared" si="51"/>
        <v>41000</v>
      </c>
      <c r="AS151" s="643">
        <f t="shared" si="52"/>
        <v>745000</v>
      </c>
      <c r="AT151" s="643">
        <f t="shared" si="53"/>
        <v>7246000</v>
      </c>
      <c r="AU151" s="643"/>
      <c r="AV151" s="643">
        <f t="shared" si="54"/>
        <v>7246000</v>
      </c>
    </row>
    <row r="152" spans="1:48" ht="15.45" customHeight="1">
      <c r="A152" s="640">
        <v>150</v>
      </c>
      <c r="B152" s="811"/>
      <c r="C152" s="628" t="s">
        <v>1252</v>
      </c>
      <c r="D152" s="660">
        <v>411.4</v>
      </c>
      <c r="E152" s="685">
        <f>PROFORMA!F233</f>
        <v>-12000</v>
      </c>
      <c r="F152" s="685">
        <f>PROFORMA!G233</f>
        <v>0</v>
      </c>
      <c r="G152" s="685">
        <f>PROFORMA!H233</f>
        <v>0</v>
      </c>
      <c r="H152" s="685">
        <f>PROFORMA!I233</f>
        <v>0</v>
      </c>
      <c r="I152" s="685">
        <f>PROFORMA!J233</f>
        <v>0</v>
      </c>
      <c r="J152" s="685">
        <f>PROFORMA!K233</f>
        <v>0</v>
      </c>
      <c r="K152" s="685">
        <f>PROFORMA!L233</f>
        <v>0</v>
      </c>
      <c r="L152" s="685">
        <f>PROFORMA!M233</f>
        <v>0</v>
      </c>
      <c r="M152" s="685">
        <f>PROFORMA!N233</f>
        <v>0</v>
      </c>
      <c r="N152" s="685">
        <f>PROFORMA!O233</f>
        <v>0</v>
      </c>
      <c r="O152" s="685">
        <f>PROFORMA!P233</f>
        <v>0</v>
      </c>
      <c r="P152" s="685">
        <f>PROFORMA!Q233</f>
        <v>0</v>
      </c>
      <c r="Q152" s="685">
        <f>PROFORMA!R233</f>
        <v>0</v>
      </c>
      <c r="R152" s="685">
        <f>PROFORMA!S233</f>
        <v>0</v>
      </c>
      <c r="S152" s="685">
        <f>PROFORMA!T233</f>
        <v>0</v>
      </c>
      <c r="T152" s="685">
        <f>PROFORMA!U233</f>
        <v>0</v>
      </c>
      <c r="U152" s="685">
        <f>PROFORMA!V233</f>
        <v>0</v>
      </c>
      <c r="V152" s="685">
        <f>PROFORMA!W233</f>
        <v>0</v>
      </c>
      <c r="W152" s="685">
        <f>PROFORMA!X233</f>
        <v>0</v>
      </c>
      <c r="X152" s="685">
        <f>PROFORMA!Y233</f>
        <v>0</v>
      </c>
      <c r="Y152" s="691">
        <f t="shared" si="50"/>
        <v>0</v>
      </c>
      <c r="Z152" s="685">
        <f>PROFORMA!Z233</f>
        <v>0</v>
      </c>
      <c r="AA152" s="685">
        <f>PROFORMA!AA233</f>
        <v>0</v>
      </c>
      <c r="AB152" s="685">
        <f>PROFORMA!AB233</f>
        <v>0</v>
      </c>
      <c r="AC152" s="685">
        <f>PROFORMA!AC233</f>
        <v>0</v>
      </c>
      <c r="AD152" s="685">
        <f>PROFORMA!AD233</f>
        <v>0</v>
      </c>
      <c r="AE152" s="685">
        <f>PROFORMA!AE233</f>
        <v>0</v>
      </c>
      <c r="AF152" s="685">
        <f>PROFORMA!AF233</f>
        <v>0</v>
      </c>
      <c r="AG152" s="685">
        <f>PROFORMA!AG233</f>
        <v>0</v>
      </c>
      <c r="AH152" s="685">
        <f>PROFORMA!AH233</f>
        <v>0</v>
      </c>
      <c r="AI152" s="685">
        <f>PROFORMA!AI233</f>
        <v>0</v>
      </c>
      <c r="AJ152" s="685">
        <f>PROFORMA!AJ233</f>
        <v>0</v>
      </c>
      <c r="AK152" s="685">
        <f>PROFORMA!AK233</f>
        <v>0</v>
      </c>
      <c r="AL152" s="685">
        <f>PROFORMA!AL233</f>
        <v>0</v>
      </c>
      <c r="AM152" s="685">
        <f>PROFORMA!AM233</f>
        <v>0</v>
      </c>
      <c r="AN152" s="685">
        <f>PROFORMA!AN233</f>
        <v>0</v>
      </c>
      <c r="AO152" s="685">
        <f>PROFORMA!AO233</f>
        <v>0</v>
      </c>
      <c r="AP152" s="685">
        <f>PROFORMA!AP233</f>
        <v>0</v>
      </c>
      <c r="AQ152" s="685">
        <f>PROFORMA!AQ233</f>
        <v>0</v>
      </c>
      <c r="AR152" s="694">
        <f t="shared" si="51"/>
        <v>0</v>
      </c>
      <c r="AS152" s="692">
        <f t="shared" si="52"/>
        <v>0</v>
      </c>
      <c r="AT152" s="692">
        <f t="shared" si="53"/>
        <v>-12000</v>
      </c>
      <c r="AU152" s="692"/>
      <c r="AV152" s="692">
        <f t="shared" si="54"/>
        <v>-12000</v>
      </c>
    </row>
    <row r="153" spans="1:48">
      <c r="A153" s="640">
        <v>151</v>
      </c>
      <c r="B153" s="607"/>
      <c r="C153" s="632" t="s">
        <v>1253</v>
      </c>
      <c r="D153" s="632"/>
      <c r="E153" s="650">
        <f>SUM(E148:E152)</f>
        <v>15831000</v>
      </c>
      <c r="F153" s="650">
        <f t="shared" ref="F153:X153" si="61">SUM(F148:F152)</f>
        <v>0</v>
      </c>
      <c r="G153" s="650">
        <f t="shared" si="61"/>
        <v>-3000</v>
      </c>
      <c r="H153" s="650">
        <f t="shared" si="61"/>
        <v>0</v>
      </c>
      <c r="I153" s="650">
        <f t="shared" si="61"/>
        <v>0</v>
      </c>
      <c r="J153" s="650">
        <f t="shared" si="61"/>
        <v>-5238000</v>
      </c>
      <c r="K153" s="650">
        <f t="shared" si="61"/>
        <v>189000</v>
      </c>
      <c r="L153" s="650">
        <f t="shared" si="61"/>
        <v>-35000</v>
      </c>
      <c r="M153" s="650">
        <f t="shared" si="61"/>
        <v>12000</v>
      </c>
      <c r="N153" s="650">
        <f t="shared" si="61"/>
        <v>2000</v>
      </c>
      <c r="O153" s="650">
        <f t="shared" si="61"/>
        <v>53000</v>
      </c>
      <c r="P153" s="650">
        <f t="shared" si="61"/>
        <v>3000</v>
      </c>
      <c r="Q153" s="650">
        <f t="shared" si="61"/>
        <v>1000</v>
      </c>
      <c r="R153" s="650">
        <f t="shared" si="61"/>
        <v>2000</v>
      </c>
      <c r="S153" s="650">
        <f t="shared" si="61"/>
        <v>-152000</v>
      </c>
      <c r="T153" s="650">
        <f t="shared" si="61"/>
        <v>1133000</v>
      </c>
      <c r="U153" s="650">
        <f t="shared" si="61"/>
        <v>-9000</v>
      </c>
      <c r="V153" s="650">
        <f t="shared" si="61"/>
        <v>-46000</v>
      </c>
      <c r="W153" s="650">
        <f t="shared" si="61"/>
        <v>222000</v>
      </c>
      <c r="X153" s="650">
        <f t="shared" si="61"/>
        <v>55000</v>
      </c>
      <c r="Y153" s="690">
        <f t="shared" si="50"/>
        <v>-3811000</v>
      </c>
      <c r="Z153" s="650">
        <f t="shared" ref="Z153:AV153" si="62">SUM(Z148:Z152)</f>
        <v>585000</v>
      </c>
      <c r="AA153" s="650">
        <f t="shared" si="62"/>
        <v>48000</v>
      </c>
      <c r="AB153" s="650">
        <f t="shared" si="62"/>
        <v>41000</v>
      </c>
      <c r="AC153" s="650">
        <f t="shared" si="62"/>
        <v>-205000</v>
      </c>
      <c r="AD153" s="650">
        <f t="shared" si="62"/>
        <v>20000</v>
      </c>
      <c r="AE153" s="650">
        <f t="shared" si="62"/>
        <v>-72000</v>
      </c>
      <c r="AF153" s="650">
        <f t="shared" si="62"/>
        <v>-227000</v>
      </c>
      <c r="AG153" s="650">
        <f t="shared" si="62"/>
        <v>-131000</v>
      </c>
      <c r="AH153" s="650">
        <f t="shared" si="62"/>
        <v>366000</v>
      </c>
      <c r="AI153" s="650">
        <f t="shared" si="62"/>
        <v>-183000</v>
      </c>
      <c r="AJ153" s="650">
        <f t="shared" si="62"/>
        <v>-121000</v>
      </c>
      <c r="AK153" s="650">
        <f t="shared" si="62"/>
        <v>-39000</v>
      </c>
      <c r="AL153" s="650">
        <f t="shared" si="62"/>
        <v>-48000</v>
      </c>
      <c r="AM153" s="650">
        <f t="shared" si="62"/>
        <v>-58000</v>
      </c>
      <c r="AN153" s="650">
        <f t="shared" si="62"/>
        <v>-135000</v>
      </c>
      <c r="AO153" s="650">
        <f t="shared" si="62"/>
        <v>-727000</v>
      </c>
      <c r="AP153" s="650">
        <f t="shared" si="62"/>
        <v>-326000</v>
      </c>
      <c r="AQ153" s="650">
        <f t="shared" si="62"/>
        <v>0</v>
      </c>
      <c r="AR153" s="650">
        <f t="shared" si="62"/>
        <v>-1212000</v>
      </c>
      <c r="AS153" s="650">
        <f t="shared" si="62"/>
        <v>-5023000</v>
      </c>
      <c r="AT153" s="650">
        <f t="shared" si="62"/>
        <v>10808000</v>
      </c>
      <c r="AU153" s="650">
        <f t="shared" si="62"/>
        <v>0</v>
      </c>
      <c r="AV153" s="650">
        <f t="shared" si="62"/>
        <v>10808000</v>
      </c>
    </row>
    <row r="154" spans="1:48">
      <c r="A154" s="640">
        <v>152</v>
      </c>
      <c r="B154" s="607"/>
      <c r="C154" s="610"/>
      <c r="D154" s="610"/>
      <c r="E154" s="650"/>
      <c r="F154" s="650"/>
      <c r="G154" s="650"/>
      <c r="H154" s="650"/>
      <c r="I154" s="650"/>
      <c r="J154" s="650"/>
      <c r="K154" s="650"/>
      <c r="L154" s="650"/>
      <c r="M154" s="650"/>
      <c r="N154" s="650"/>
      <c r="O154" s="650"/>
      <c r="P154" s="650"/>
      <c r="Q154" s="650"/>
      <c r="R154" s="650"/>
      <c r="S154" s="650"/>
      <c r="T154" s="650"/>
      <c r="U154" s="650"/>
      <c r="V154" s="650"/>
      <c r="W154" s="650"/>
      <c r="X154" s="650"/>
      <c r="Y154" s="690">
        <f t="shared" si="50"/>
        <v>0</v>
      </c>
      <c r="Z154" s="650"/>
      <c r="AA154" s="650"/>
      <c r="AB154" s="650"/>
      <c r="AC154" s="650"/>
      <c r="AD154" s="650"/>
      <c r="AE154" s="650"/>
      <c r="AF154" s="650"/>
      <c r="AG154" s="650"/>
      <c r="AH154" s="650"/>
      <c r="AI154" s="650"/>
      <c r="AJ154" s="650"/>
      <c r="AK154" s="650"/>
      <c r="AL154" s="650"/>
      <c r="AM154" s="650"/>
      <c r="AN154" s="650"/>
      <c r="AO154" s="650"/>
      <c r="AP154" s="650"/>
      <c r="AQ154" s="650"/>
      <c r="AR154" s="693">
        <f t="shared" si="51"/>
        <v>0</v>
      </c>
      <c r="AS154" s="643">
        <f t="shared" si="52"/>
        <v>0</v>
      </c>
      <c r="AT154" s="643">
        <f t="shared" si="53"/>
        <v>0</v>
      </c>
      <c r="AU154" s="643"/>
      <c r="AV154" s="643">
        <f t="shared" si="54"/>
        <v>0</v>
      </c>
    </row>
    <row r="155" spans="1:48">
      <c r="A155" s="640">
        <v>153</v>
      </c>
      <c r="B155" s="607"/>
      <c r="C155" s="677" t="s">
        <v>77</v>
      </c>
      <c r="D155" s="678"/>
      <c r="E155" s="650">
        <f>E153+E146+E103</f>
        <v>183351000</v>
      </c>
      <c r="F155" s="650">
        <f t="shared" ref="F155:X155" si="63">F153+F146+F103</f>
        <v>0</v>
      </c>
      <c r="G155" s="650">
        <f t="shared" si="63"/>
        <v>12000</v>
      </c>
      <c r="H155" s="650">
        <f t="shared" si="63"/>
        <v>0</v>
      </c>
      <c r="I155" s="650">
        <f t="shared" si="63"/>
        <v>0</v>
      </c>
      <c r="J155" s="650">
        <f t="shared" si="63"/>
        <v>-5238000</v>
      </c>
      <c r="K155" s="650">
        <f t="shared" si="63"/>
        <v>189000</v>
      </c>
      <c r="L155" s="650">
        <f t="shared" si="63"/>
        <v>131000</v>
      </c>
      <c r="M155" s="650">
        <f t="shared" si="63"/>
        <v>-46000</v>
      </c>
      <c r="N155" s="650">
        <f t="shared" si="63"/>
        <v>-7000</v>
      </c>
      <c r="O155" s="650">
        <f t="shared" si="63"/>
        <v>53000</v>
      </c>
      <c r="P155" s="650">
        <f t="shared" si="63"/>
        <v>-13000</v>
      </c>
      <c r="Q155" s="650">
        <f t="shared" si="63"/>
        <v>1000</v>
      </c>
      <c r="R155" s="650">
        <f t="shared" si="63"/>
        <v>-9000</v>
      </c>
      <c r="S155" s="650">
        <f t="shared" si="63"/>
        <v>-1831000</v>
      </c>
      <c r="T155" s="650">
        <f t="shared" si="63"/>
        <v>-51914000</v>
      </c>
      <c r="U155" s="650">
        <f t="shared" si="63"/>
        <v>-409000</v>
      </c>
      <c r="V155" s="650">
        <f t="shared" si="63"/>
        <v>173000</v>
      </c>
      <c r="W155" s="650">
        <f t="shared" si="63"/>
        <v>222000</v>
      </c>
      <c r="X155" s="650">
        <f t="shared" si="63"/>
        <v>-207000</v>
      </c>
      <c r="Y155" s="690">
        <f t="shared" si="50"/>
        <v>-58893000</v>
      </c>
      <c r="Z155" s="650">
        <f>Z153+Z146+Z103</f>
        <v>-50784000</v>
      </c>
      <c r="AA155" s="650">
        <f t="shared" ref="AA155:AV155" si="64">AA153+AA146+AA103</f>
        <v>-182000</v>
      </c>
      <c r="AB155" s="650">
        <f t="shared" si="64"/>
        <v>41000</v>
      </c>
      <c r="AC155" s="650">
        <f t="shared" si="64"/>
        <v>772000</v>
      </c>
      <c r="AD155" s="650">
        <f t="shared" si="64"/>
        <v>-77000</v>
      </c>
      <c r="AE155" s="650">
        <f t="shared" si="64"/>
        <v>269000</v>
      </c>
      <c r="AF155" s="650">
        <f t="shared" si="64"/>
        <v>852000</v>
      </c>
      <c r="AG155" s="650">
        <f t="shared" si="64"/>
        <v>493000</v>
      </c>
      <c r="AH155" s="650">
        <f t="shared" si="64"/>
        <v>366000</v>
      </c>
      <c r="AI155" s="650">
        <f t="shared" si="64"/>
        <v>689000</v>
      </c>
      <c r="AJ155" s="650">
        <f t="shared" si="64"/>
        <v>456000</v>
      </c>
      <c r="AK155" s="650">
        <f t="shared" si="64"/>
        <v>147000</v>
      </c>
      <c r="AL155" s="650">
        <f t="shared" si="64"/>
        <v>180000</v>
      </c>
      <c r="AM155" s="650">
        <f t="shared" si="64"/>
        <v>218000</v>
      </c>
      <c r="AN155" s="650">
        <f t="shared" si="64"/>
        <v>507000</v>
      </c>
      <c r="AO155" s="650">
        <f t="shared" si="64"/>
        <v>2735000</v>
      </c>
      <c r="AP155" s="650">
        <f t="shared" si="64"/>
        <v>1224000</v>
      </c>
      <c r="AQ155" s="650">
        <f t="shared" si="64"/>
        <v>0</v>
      </c>
      <c r="AR155" s="650">
        <f t="shared" si="64"/>
        <v>-42094000</v>
      </c>
      <c r="AS155" s="650">
        <f t="shared" si="64"/>
        <v>-100987000</v>
      </c>
      <c r="AT155" s="650">
        <f t="shared" si="64"/>
        <v>82364000</v>
      </c>
      <c r="AU155" s="650">
        <f t="shared" si="64"/>
        <v>0</v>
      </c>
      <c r="AV155" s="650">
        <f t="shared" si="64"/>
        <v>82364000</v>
      </c>
    </row>
    <row r="156" spans="1:48">
      <c r="A156" s="640">
        <v>154</v>
      </c>
      <c r="B156" s="607"/>
      <c r="C156" s="610"/>
      <c r="D156" s="610"/>
      <c r="E156" s="650"/>
      <c r="F156" s="650"/>
      <c r="G156" s="650"/>
      <c r="H156" s="650"/>
      <c r="I156" s="650"/>
      <c r="J156" s="650"/>
      <c r="K156" s="650"/>
      <c r="L156" s="650"/>
      <c r="M156" s="650"/>
      <c r="N156" s="650"/>
      <c r="O156" s="650"/>
      <c r="P156" s="650"/>
      <c r="Q156" s="650"/>
      <c r="R156" s="650"/>
      <c r="S156" s="650"/>
      <c r="T156" s="650"/>
      <c r="U156" s="650"/>
      <c r="V156" s="650"/>
      <c r="W156" s="650"/>
      <c r="X156" s="650"/>
      <c r="Y156" s="690">
        <f t="shared" si="50"/>
        <v>0</v>
      </c>
      <c r="Z156" s="650"/>
      <c r="AA156" s="650"/>
      <c r="AB156" s="650"/>
      <c r="AC156" s="650"/>
      <c r="AD156" s="650"/>
      <c r="AE156" s="650"/>
      <c r="AF156" s="650"/>
      <c r="AG156" s="650"/>
      <c r="AH156" s="650"/>
      <c r="AI156" s="650"/>
      <c r="AJ156" s="650"/>
      <c r="AK156" s="650"/>
      <c r="AL156" s="650"/>
      <c r="AM156" s="650"/>
      <c r="AN156" s="650"/>
      <c r="AO156" s="650"/>
      <c r="AP156" s="650"/>
      <c r="AQ156" s="650"/>
      <c r="AR156" s="693">
        <f t="shared" si="51"/>
        <v>0</v>
      </c>
      <c r="AS156" s="643">
        <f t="shared" si="52"/>
        <v>0</v>
      </c>
      <c r="AT156" s="643">
        <f t="shared" si="53"/>
        <v>0</v>
      </c>
      <c r="AU156" s="643"/>
      <c r="AV156" s="643">
        <f t="shared" si="54"/>
        <v>0</v>
      </c>
    </row>
    <row r="157" spans="1:48">
      <c r="A157" s="640">
        <v>155</v>
      </c>
      <c r="B157" s="607"/>
      <c r="C157" s="677" t="s">
        <v>654</v>
      </c>
      <c r="D157" s="677"/>
      <c r="E157" s="650">
        <f>E17-E155</f>
        <v>24474000</v>
      </c>
      <c r="F157" s="650">
        <f t="shared" ref="F157:X157" si="65">F17-F155</f>
        <v>0</v>
      </c>
      <c r="G157" s="650">
        <f t="shared" si="65"/>
        <v>-12000</v>
      </c>
      <c r="H157" s="650">
        <f t="shared" si="65"/>
        <v>0</v>
      </c>
      <c r="I157" s="650">
        <f t="shared" si="65"/>
        <v>0</v>
      </c>
      <c r="J157" s="650">
        <f t="shared" si="65"/>
        <v>-9000</v>
      </c>
      <c r="K157" s="650">
        <f t="shared" si="65"/>
        <v>-189000</v>
      </c>
      <c r="L157" s="650">
        <f t="shared" si="65"/>
        <v>-131000</v>
      </c>
      <c r="M157" s="650">
        <f t="shared" si="65"/>
        <v>46000</v>
      </c>
      <c r="N157" s="650">
        <f t="shared" si="65"/>
        <v>7000</v>
      </c>
      <c r="O157" s="650">
        <f t="shared" si="65"/>
        <v>-53000</v>
      </c>
      <c r="P157" s="650">
        <f t="shared" si="65"/>
        <v>13000</v>
      </c>
      <c r="Q157" s="650">
        <f t="shared" si="65"/>
        <v>-1000</v>
      </c>
      <c r="R157" s="650">
        <f t="shared" si="65"/>
        <v>9000</v>
      </c>
      <c r="S157" s="650">
        <f t="shared" si="65"/>
        <v>-5000</v>
      </c>
      <c r="T157" s="650">
        <f t="shared" si="65"/>
        <v>0</v>
      </c>
      <c r="U157" s="650">
        <f t="shared" si="65"/>
        <v>-35000</v>
      </c>
      <c r="V157" s="650">
        <f t="shared" si="65"/>
        <v>-173000</v>
      </c>
      <c r="W157" s="650">
        <f t="shared" si="65"/>
        <v>-222000</v>
      </c>
      <c r="X157" s="650">
        <f t="shared" si="65"/>
        <v>207000</v>
      </c>
      <c r="Y157" s="690">
        <f t="shared" si="50"/>
        <v>-548000</v>
      </c>
      <c r="Z157" s="650">
        <f>Z17-Z155</f>
        <v>8187000</v>
      </c>
      <c r="AA157" s="650">
        <f t="shared" ref="AA157:AV157" si="66">AA17-AA155</f>
        <v>182000</v>
      </c>
      <c r="AB157" s="650">
        <f t="shared" si="66"/>
        <v>-41000</v>
      </c>
      <c r="AC157" s="650">
        <f t="shared" si="66"/>
        <v>-772000</v>
      </c>
      <c r="AD157" s="650">
        <f t="shared" si="66"/>
        <v>77000</v>
      </c>
      <c r="AE157" s="650">
        <f t="shared" si="66"/>
        <v>-269000</v>
      </c>
      <c r="AF157" s="650">
        <f t="shared" si="66"/>
        <v>-852000</v>
      </c>
      <c r="AG157" s="650">
        <f t="shared" si="66"/>
        <v>-493000</v>
      </c>
      <c r="AH157" s="650">
        <f t="shared" si="66"/>
        <v>-366000</v>
      </c>
      <c r="AI157" s="650">
        <f t="shared" si="66"/>
        <v>-689000</v>
      </c>
      <c r="AJ157" s="650">
        <f t="shared" si="66"/>
        <v>-456000</v>
      </c>
      <c r="AK157" s="650">
        <f t="shared" si="66"/>
        <v>-147000</v>
      </c>
      <c r="AL157" s="650">
        <f t="shared" si="66"/>
        <v>-180000</v>
      </c>
      <c r="AM157" s="650">
        <f t="shared" si="66"/>
        <v>-218000</v>
      </c>
      <c r="AN157" s="650">
        <f t="shared" si="66"/>
        <v>-507000</v>
      </c>
      <c r="AO157" s="650">
        <f t="shared" si="66"/>
        <v>-2735000</v>
      </c>
      <c r="AP157" s="650">
        <f t="shared" si="66"/>
        <v>-1224000</v>
      </c>
      <c r="AQ157" s="650">
        <f t="shared" si="66"/>
        <v>0</v>
      </c>
      <c r="AR157" s="650">
        <f t="shared" si="66"/>
        <v>-503000</v>
      </c>
      <c r="AS157" s="650">
        <f t="shared" si="66"/>
        <v>-1051000</v>
      </c>
      <c r="AT157" s="650">
        <f t="shared" si="66"/>
        <v>23423000</v>
      </c>
      <c r="AU157" s="650">
        <f t="shared" si="66"/>
        <v>0</v>
      </c>
      <c r="AV157" s="650">
        <f t="shared" si="66"/>
        <v>23423000</v>
      </c>
    </row>
    <row r="158" spans="1:48">
      <c r="A158" s="640">
        <v>156</v>
      </c>
      <c r="B158" s="607"/>
      <c r="C158" s="610"/>
      <c r="D158" s="610"/>
      <c r="E158" s="650"/>
      <c r="F158" s="650"/>
      <c r="G158" s="650"/>
      <c r="H158" s="650"/>
      <c r="I158" s="650"/>
      <c r="J158" s="650"/>
      <c r="K158" s="650"/>
      <c r="L158" s="650"/>
      <c r="M158" s="650"/>
      <c r="N158" s="650"/>
      <c r="O158" s="650"/>
      <c r="P158" s="650"/>
      <c r="Q158" s="650"/>
      <c r="R158" s="650"/>
      <c r="S158" s="650"/>
      <c r="T158" s="650"/>
      <c r="U158" s="650"/>
      <c r="V158" s="650"/>
      <c r="W158" s="650"/>
      <c r="X158" s="650"/>
      <c r="Y158" s="690">
        <f t="shared" si="50"/>
        <v>0</v>
      </c>
      <c r="Z158" s="650"/>
      <c r="AA158" s="650"/>
      <c r="AB158" s="650"/>
      <c r="AC158" s="650"/>
      <c r="AD158" s="650"/>
      <c r="AE158" s="650"/>
      <c r="AF158" s="650"/>
      <c r="AG158" s="650"/>
      <c r="AH158" s="650"/>
      <c r="AI158" s="650"/>
      <c r="AJ158" s="650"/>
      <c r="AK158" s="650"/>
      <c r="AL158" s="650"/>
      <c r="AM158" s="650"/>
      <c r="AN158" s="650"/>
      <c r="AO158" s="650"/>
      <c r="AP158" s="650"/>
      <c r="AQ158" s="650"/>
      <c r="AR158" s="693">
        <f t="shared" si="51"/>
        <v>0</v>
      </c>
      <c r="AS158" s="643">
        <f t="shared" si="52"/>
        <v>0</v>
      </c>
      <c r="AT158" s="643">
        <f t="shared" si="53"/>
        <v>0</v>
      </c>
      <c r="AU158" s="643"/>
      <c r="AV158" s="643">
        <f t="shared" si="54"/>
        <v>0</v>
      </c>
    </row>
    <row r="159" spans="1:48" ht="15.45" customHeight="1">
      <c r="A159" s="640">
        <v>157</v>
      </c>
      <c r="B159" s="809" t="s">
        <v>1246</v>
      </c>
      <c r="C159" s="628" t="s">
        <v>278</v>
      </c>
      <c r="D159" s="656">
        <v>303</v>
      </c>
      <c r="E159" s="649">
        <f>PROFORMA!F250</f>
        <v>2522000</v>
      </c>
      <c r="F159" s="649">
        <f>PROFORMA!G250</f>
        <v>0</v>
      </c>
      <c r="G159" s="649">
        <f>PROFORMA!H250</f>
        <v>0</v>
      </c>
      <c r="H159" s="649">
        <f>PROFORMA!I250</f>
        <v>0</v>
      </c>
      <c r="I159" s="649">
        <f>PROFORMA!J250</f>
        <v>0</v>
      </c>
      <c r="J159" s="649">
        <f>PROFORMA!K250</f>
        <v>0</v>
      </c>
      <c r="K159" s="649">
        <f>PROFORMA!L250</f>
        <v>0</v>
      </c>
      <c r="L159" s="649">
        <f>PROFORMA!M250</f>
        <v>0</v>
      </c>
      <c r="M159" s="649">
        <f>PROFORMA!N250</f>
        <v>0</v>
      </c>
      <c r="N159" s="649">
        <f>PROFORMA!O250</f>
        <v>0</v>
      </c>
      <c r="O159" s="649">
        <f>PROFORMA!P250</f>
        <v>0</v>
      </c>
      <c r="P159" s="649">
        <f>PROFORMA!Q250</f>
        <v>0</v>
      </c>
      <c r="Q159" s="649">
        <f>PROFORMA!R250</f>
        <v>0</v>
      </c>
      <c r="R159" s="649">
        <f>PROFORMA!S250</f>
        <v>0</v>
      </c>
      <c r="S159" s="649">
        <f>PROFORMA!T250</f>
        <v>0</v>
      </c>
      <c r="T159" s="649">
        <f>PROFORMA!U250</f>
        <v>0</v>
      </c>
      <c r="U159" s="649">
        <f>PROFORMA!V250</f>
        <v>0</v>
      </c>
      <c r="V159" s="649">
        <f>PROFORMA!W250</f>
        <v>0</v>
      </c>
      <c r="W159" s="649">
        <f>PROFORMA!X250</f>
        <v>0</v>
      </c>
      <c r="X159" s="649">
        <f>PROFORMA!Y250</f>
        <v>0</v>
      </c>
      <c r="Y159" s="690">
        <f t="shared" si="50"/>
        <v>0</v>
      </c>
      <c r="Z159" s="649">
        <f>PROFORMA!Z250</f>
        <v>0</v>
      </c>
      <c r="AA159" s="649">
        <f>PROFORMA!AA250</f>
        <v>0</v>
      </c>
      <c r="AB159" s="649">
        <f>PROFORMA!AB250</f>
        <v>0</v>
      </c>
      <c r="AC159" s="649">
        <f>PROFORMA!AC250</f>
        <v>0</v>
      </c>
      <c r="AD159" s="649">
        <f>PROFORMA!AD250</f>
        <v>0</v>
      </c>
      <c r="AE159" s="649">
        <f>PROFORMA!AE250</f>
        <v>0</v>
      </c>
      <c r="AF159" s="649">
        <f>PROFORMA!AF250</f>
        <v>0</v>
      </c>
      <c r="AG159" s="649">
        <f>PROFORMA!AG250</f>
        <v>0</v>
      </c>
      <c r="AH159" s="649">
        <f>PROFORMA!AH250</f>
        <v>0</v>
      </c>
      <c r="AI159" s="649">
        <f>PROFORMA!AI250</f>
        <v>0</v>
      </c>
      <c r="AJ159" s="649">
        <f>PROFORMA!AJ250</f>
        <v>0</v>
      </c>
      <c r="AK159" s="649">
        <f>PROFORMA!AK250</f>
        <v>0</v>
      </c>
      <c r="AL159" s="649">
        <f>PROFORMA!AL250</f>
        <v>0</v>
      </c>
      <c r="AM159" s="649">
        <f>PROFORMA!AM250</f>
        <v>0</v>
      </c>
      <c r="AN159" s="649">
        <f>PROFORMA!AN250</f>
        <v>0</v>
      </c>
      <c r="AO159" s="649">
        <f>PROFORMA!AO250</f>
        <v>0</v>
      </c>
      <c r="AP159" s="649">
        <f>PROFORMA!AP250</f>
        <v>0</v>
      </c>
      <c r="AQ159" s="649">
        <f>PROFORMA!AQ250</f>
        <v>0</v>
      </c>
      <c r="AR159" s="693">
        <f t="shared" si="51"/>
        <v>0</v>
      </c>
      <c r="AS159" s="643">
        <f t="shared" si="52"/>
        <v>0</v>
      </c>
      <c r="AT159" s="643">
        <f t="shared" si="53"/>
        <v>2522000</v>
      </c>
      <c r="AU159" s="643"/>
      <c r="AV159" s="643">
        <f t="shared" si="54"/>
        <v>2522000</v>
      </c>
    </row>
    <row r="160" spans="1:48">
      <c r="A160" s="640">
        <v>158</v>
      </c>
      <c r="B160" s="809"/>
      <c r="C160" s="628" t="s">
        <v>711</v>
      </c>
      <c r="D160" s="660">
        <v>303.10000000000002</v>
      </c>
      <c r="E160" s="649">
        <f>PROFORMA!F251</f>
        <v>31236313</v>
      </c>
      <c r="F160" s="649">
        <f>PROFORMA!G251</f>
        <v>0</v>
      </c>
      <c r="G160" s="649">
        <f>PROFORMA!H251</f>
        <v>0</v>
      </c>
      <c r="H160" s="649">
        <f>PROFORMA!I251</f>
        <v>0</v>
      </c>
      <c r="I160" s="649">
        <f>PROFORMA!J251</f>
        <v>0</v>
      </c>
      <c r="J160" s="649">
        <f>PROFORMA!K251</f>
        <v>0</v>
      </c>
      <c r="K160" s="649">
        <f>PROFORMA!L251</f>
        <v>0</v>
      </c>
      <c r="L160" s="649">
        <f>PROFORMA!M251</f>
        <v>0</v>
      </c>
      <c r="M160" s="649">
        <f>PROFORMA!N251</f>
        <v>0</v>
      </c>
      <c r="N160" s="649">
        <f>PROFORMA!O251</f>
        <v>0</v>
      </c>
      <c r="O160" s="649">
        <f>PROFORMA!P251</f>
        <v>0</v>
      </c>
      <c r="P160" s="649">
        <f>PROFORMA!Q251</f>
        <v>0</v>
      </c>
      <c r="Q160" s="649">
        <f>PROFORMA!R251</f>
        <v>0</v>
      </c>
      <c r="R160" s="649">
        <f>PROFORMA!S251</f>
        <v>0</v>
      </c>
      <c r="S160" s="649">
        <f>PROFORMA!T251</f>
        <v>0</v>
      </c>
      <c r="T160" s="649">
        <f>PROFORMA!U251</f>
        <v>0</v>
      </c>
      <c r="U160" s="649">
        <f>PROFORMA!V251</f>
        <v>0</v>
      </c>
      <c r="V160" s="649">
        <f>PROFORMA!W251</f>
        <v>0</v>
      </c>
      <c r="W160" s="649">
        <f>PROFORMA!X251</f>
        <v>0</v>
      </c>
      <c r="X160" s="649">
        <f>PROFORMA!Y251</f>
        <v>0</v>
      </c>
      <c r="Y160" s="690">
        <f>SUM(F160:X160)</f>
        <v>0</v>
      </c>
      <c r="Z160" s="649">
        <f>PROFORMA!Z251</f>
        <v>0</v>
      </c>
      <c r="AA160" s="649">
        <f>PROFORMA!AA251</f>
        <v>0</v>
      </c>
      <c r="AB160" s="649">
        <f>PROFORMA!AB251</f>
        <v>0</v>
      </c>
      <c r="AC160" s="649">
        <f>PROFORMA!AC251</f>
        <v>0</v>
      </c>
      <c r="AD160" s="649">
        <f>PROFORMA!AD251</f>
        <v>0</v>
      </c>
      <c r="AE160" s="649">
        <f>PROFORMA!AE251</f>
        <v>0</v>
      </c>
      <c r="AF160" s="649">
        <f>PROFORMA!AF251</f>
        <v>0</v>
      </c>
      <c r="AG160" s="649">
        <f>PROFORMA!AG251</f>
        <v>0</v>
      </c>
      <c r="AH160" s="649">
        <f>PROFORMA!AH251</f>
        <v>0</v>
      </c>
      <c r="AI160" s="649">
        <f>PROFORMA!AI251</f>
        <v>0</v>
      </c>
      <c r="AJ160" s="649">
        <f>PROFORMA!AJ251</f>
        <v>1387000</v>
      </c>
      <c r="AK160" s="649">
        <f>PROFORMA!AK251</f>
        <v>279000</v>
      </c>
      <c r="AL160" s="649">
        <f>PROFORMA!AL251</f>
        <v>9000</v>
      </c>
      <c r="AM160" s="649">
        <f>PROFORMA!AM251</f>
        <v>0</v>
      </c>
      <c r="AN160" s="649">
        <f>PROFORMA!AN251</f>
        <v>2231000</v>
      </c>
      <c r="AO160" s="649">
        <f>PROFORMA!AO251</f>
        <v>0</v>
      </c>
      <c r="AP160" s="649">
        <f>PROFORMA!AP251</f>
        <v>0</v>
      </c>
      <c r="AQ160" s="649">
        <f>PROFORMA!AQ251</f>
        <v>0</v>
      </c>
      <c r="AR160" s="798">
        <f t="shared" si="51"/>
        <v>3906000</v>
      </c>
      <c r="AS160" s="799">
        <f t="shared" si="52"/>
        <v>3906000</v>
      </c>
      <c r="AT160" s="799">
        <f t="shared" si="53"/>
        <v>35142313</v>
      </c>
      <c r="AU160" s="799"/>
      <c r="AV160" s="799">
        <f t="shared" si="54"/>
        <v>35142313</v>
      </c>
    </row>
    <row r="161" spans="1:48">
      <c r="A161" s="640"/>
      <c r="B161" s="809"/>
      <c r="C161" s="628" t="s">
        <v>1463</v>
      </c>
      <c r="D161" s="660">
        <v>303.12</v>
      </c>
      <c r="E161" s="649">
        <f>PROFORMA!F252</f>
        <v>8673687</v>
      </c>
      <c r="F161" s="685">
        <f>PROFORMA!G252</f>
        <v>0</v>
      </c>
      <c r="G161" s="685">
        <f>PROFORMA!H252</f>
        <v>0</v>
      </c>
      <c r="H161" s="685">
        <f>PROFORMA!I252</f>
        <v>0</v>
      </c>
      <c r="I161" s="685">
        <f>PROFORMA!J252</f>
        <v>0</v>
      </c>
      <c r="J161" s="685">
        <f>PROFORMA!K252</f>
        <v>0</v>
      </c>
      <c r="K161" s="685">
        <f>PROFORMA!L252</f>
        <v>0</v>
      </c>
      <c r="L161" s="685">
        <f>PROFORMA!M252</f>
        <v>0</v>
      </c>
      <c r="M161" s="685">
        <f>PROFORMA!N252</f>
        <v>0</v>
      </c>
      <c r="N161" s="685">
        <f>PROFORMA!O252</f>
        <v>0</v>
      </c>
      <c r="O161" s="685">
        <f>PROFORMA!P252</f>
        <v>0</v>
      </c>
      <c r="P161" s="685">
        <f>PROFORMA!Q252</f>
        <v>0</v>
      </c>
      <c r="Q161" s="685">
        <f>PROFORMA!R252</f>
        <v>0</v>
      </c>
      <c r="R161" s="685">
        <f>PROFORMA!S252</f>
        <v>0</v>
      </c>
      <c r="S161" s="685">
        <f>PROFORMA!T252</f>
        <v>0</v>
      </c>
      <c r="T161" s="685">
        <f>PROFORMA!U252</f>
        <v>0</v>
      </c>
      <c r="U161" s="685">
        <f>PROFORMA!V252</f>
        <v>0</v>
      </c>
      <c r="V161" s="685">
        <f>PROFORMA!W252</f>
        <v>0</v>
      </c>
      <c r="W161" s="685">
        <f>PROFORMA!X252</f>
        <v>0</v>
      </c>
      <c r="X161" s="685">
        <f>PROFORMA!Y252</f>
        <v>0</v>
      </c>
      <c r="Y161" s="691">
        <f>SUM(F161:X161)</f>
        <v>0</v>
      </c>
      <c r="Z161" s="685">
        <f>PROFORMA!Z252</f>
        <v>0</v>
      </c>
      <c r="AA161" s="685">
        <f>PROFORMA!AA252</f>
        <v>0</v>
      </c>
      <c r="AB161" s="685">
        <f>PROFORMA!AB252</f>
        <v>0</v>
      </c>
      <c r="AC161" s="685">
        <f>PROFORMA!AC252</f>
        <v>0</v>
      </c>
      <c r="AD161" s="685">
        <f>PROFORMA!AD252</f>
        <v>0</v>
      </c>
      <c r="AE161" s="685">
        <f>PROFORMA!AE252</f>
        <v>0</v>
      </c>
      <c r="AF161" s="685">
        <f>PROFORMA!AF252</f>
        <v>0</v>
      </c>
      <c r="AG161" s="685">
        <f>PROFORMA!AG252</f>
        <v>0</v>
      </c>
      <c r="AH161" s="685">
        <f>PROFORMA!AH252</f>
        <v>0</v>
      </c>
      <c r="AI161" s="685">
        <f>PROFORMA!AI252</f>
        <v>0</v>
      </c>
      <c r="AJ161" s="685">
        <f>PROFORMA!AJ252</f>
        <v>0</v>
      </c>
      <c r="AK161" s="685">
        <f>PROFORMA!AK252</f>
        <v>0</v>
      </c>
      <c r="AL161" s="685">
        <f>PROFORMA!AL252</f>
        <v>0</v>
      </c>
      <c r="AM161" s="685">
        <f>PROFORMA!AM252</f>
        <v>0</v>
      </c>
      <c r="AN161" s="685">
        <f>PROFORMA!AN252</f>
        <v>0</v>
      </c>
      <c r="AO161" s="685">
        <f>PROFORMA!AO252</f>
        <v>8572608</v>
      </c>
      <c r="AP161" s="685">
        <f>PROFORMA!AP252</f>
        <v>0</v>
      </c>
      <c r="AQ161" s="685">
        <f>PROFORMA!AQ252</f>
        <v>0</v>
      </c>
      <c r="AR161" s="694">
        <f t="shared" ref="AR161" si="67">SUM(Z161:AQ161)</f>
        <v>8572608</v>
      </c>
      <c r="AS161" s="692">
        <f t="shared" ref="AS161" si="68">Y161+AR161</f>
        <v>8572608</v>
      </c>
      <c r="AT161" s="692">
        <f t="shared" ref="AT161" si="69">E161+AS161</f>
        <v>17246295</v>
      </c>
      <c r="AU161" s="692"/>
      <c r="AV161" s="692">
        <f t="shared" ref="AV161" si="70">AT161+AU161</f>
        <v>17246295</v>
      </c>
    </row>
    <row r="162" spans="1:48">
      <c r="A162" s="640">
        <v>159</v>
      </c>
      <c r="B162" s="630"/>
      <c r="C162" s="632" t="s">
        <v>1269</v>
      </c>
      <c r="D162" s="632"/>
      <c r="E162" s="650">
        <f>SUM(E159:E161)</f>
        <v>42432000</v>
      </c>
      <c r="F162" s="650">
        <f>SUM(F159:F161)</f>
        <v>0</v>
      </c>
      <c r="G162" s="650">
        <f t="shared" ref="G162:W162" si="71">SUM(G159:G161)</f>
        <v>0</v>
      </c>
      <c r="H162" s="650">
        <f t="shared" si="71"/>
        <v>0</v>
      </c>
      <c r="I162" s="650">
        <f t="shared" si="71"/>
        <v>0</v>
      </c>
      <c r="J162" s="650">
        <f t="shared" si="71"/>
        <v>0</v>
      </c>
      <c r="K162" s="650">
        <f t="shared" si="71"/>
        <v>0</v>
      </c>
      <c r="L162" s="650">
        <f t="shared" si="71"/>
        <v>0</v>
      </c>
      <c r="M162" s="650">
        <f t="shared" si="71"/>
        <v>0</v>
      </c>
      <c r="N162" s="650">
        <f t="shared" si="71"/>
        <v>0</v>
      </c>
      <c r="O162" s="650">
        <f t="shared" si="71"/>
        <v>0</v>
      </c>
      <c r="P162" s="650">
        <f t="shared" si="71"/>
        <v>0</v>
      </c>
      <c r="Q162" s="650">
        <f t="shared" si="71"/>
        <v>0</v>
      </c>
      <c r="R162" s="650">
        <f t="shared" si="71"/>
        <v>0</v>
      </c>
      <c r="S162" s="650">
        <f t="shared" si="71"/>
        <v>0</v>
      </c>
      <c r="T162" s="650">
        <f t="shared" si="71"/>
        <v>0</v>
      </c>
      <c r="U162" s="650">
        <f t="shared" si="71"/>
        <v>0</v>
      </c>
      <c r="V162" s="650">
        <f t="shared" si="71"/>
        <v>0</v>
      </c>
      <c r="W162" s="650">
        <f t="shared" si="71"/>
        <v>0</v>
      </c>
      <c r="X162" s="650">
        <f>SUM(X159:X161)</f>
        <v>0</v>
      </c>
      <c r="Y162" s="690">
        <f>SUM(F162:X162)</f>
        <v>0</v>
      </c>
      <c r="Z162" s="650">
        <f>SUM(Z159:Z161)</f>
        <v>0</v>
      </c>
      <c r="AA162" s="650">
        <f t="shared" ref="AA162:AO162" si="72">SUM(AA159:AA161)</f>
        <v>0</v>
      </c>
      <c r="AB162" s="650">
        <f t="shared" si="72"/>
        <v>0</v>
      </c>
      <c r="AC162" s="650">
        <f t="shared" si="72"/>
        <v>0</v>
      </c>
      <c r="AD162" s="650">
        <f t="shared" si="72"/>
        <v>0</v>
      </c>
      <c r="AE162" s="650">
        <f t="shared" si="72"/>
        <v>0</v>
      </c>
      <c r="AF162" s="650">
        <f t="shared" si="72"/>
        <v>0</v>
      </c>
      <c r="AG162" s="650">
        <f t="shared" si="72"/>
        <v>0</v>
      </c>
      <c r="AH162" s="650">
        <f t="shared" si="72"/>
        <v>0</v>
      </c>
      <c r="AI162" s="650">
        <f t="shared" si="72"/>
        <v>0</v>
      </c>
      <c r="AJ162" s="650">
        <f t="shared" si="72"/>
        <v>1387000</v>
      </c>
      <c r="AK162" s="650">
        <f t="shared" si="72"/>
        <v>279000</v>
      </c>
      <c r="AL162" s="650">
        <f t="shared" si="72"/>
        <v>9000</v>
      </c>
      <c r="AM162" s="650">
        <f t="shared" si="72"/>
        <v>0</v>
      </c>
      <c r="AN162" s="650">
        <f t="shared" si="72"/>
        <v>2231000</v>
      </c>
      <c r="AO162" s="650">
        <f t="shared" si="72"/>
        <v>8572608</v>
      </c>
      <c r="AP162" s="650">
        <f>SUM(AP159:AP161)</f>
        <v>0</v>
      </c>
      <c r="AQ162" s="650">
        <f>SUM(AQ159:AQ161)</f>
        <v>0</v>
      </c>
      <c r="AR162" s="650">
        <f>SUM(AR159:AR161)</f>
        <v>12478608</v>
      </c>
      <c r="AS162" s="650">
        <f>SUM(AS159:AS161)</f>
        <v>12478608</v>
      </c>
      <c r="AT162" s="650">
        <f>SUM(AT159:AT161)</f>
        <v>54910608</v>
      </c>
      <c r="AU162" s="650">
        <f>SUM(AU159:AU160)</f>
        <v>0</v>
      </c>
      <c r="AV162" s="650">
        <f>SUM(AV159:AV161)</f>
        <v>54910608</v>
      </c>
    </row>
    <row r="163" spans="1:48" ht="30" customHeight="1">
      <c r="A163" s="640">
        <v>160</v>
      </c>
      <c r="B163" s="809" t="s">
        <v>1270</v>
      </c>
      <c r="C163" s="628" t="s">
        <v>88</v>
      </c>
      <c r="D163" s="656">
        <v>350</v>
      </c>
      <c r="E163" s="649">
        <f>PROFORMA!F256</f>
        <v>912000</v>
      </c>
      <c r="F163" s="649">
        <f>PROFORMA!G256</f>
        <v>0</v>
      </c>
      <c r="G163" s="649">
        <f>PROFORMA!H256</f>
        <v>0</v>
      </c>
      <c r="H163" s="649">
        <f>PROFORMA!I256</f>
        <v>0</v>
      </c>
      <c r="I163" s="649">
        <f>PROFORMA!J256</f>
        <v>0</v>
      </c>
      <c r="J163" s="649">
        <f>PROFORMA!K256</f>
        <v>0</v>
      </c>
      <c r="K163" s="649">
        <f>PROFORMA!L256</f>
        <v>0</v>
      </c>
      <c r="L163" s="649">
        <f>PROFORMA!M256</f>
        <v>0</v>
      </c>
      <c r="M163" s="649">
        <f>PROFORMA!N256</f>
        <v>0</v>
      </c>
      <c r="N163" s="649">
        <f>PROFORMA!O256</f>
        <v>0</v>
      </c>
      <c r="O163" s="649">
        <f>PROFORMA!P256</f>
        <v>0</v>
      </c>
      <c r="P163" s="649">
        <f>PROFORMA!Q256</f>
        <v>0</v>
      </c>
      <c r="Q163" s="649">
        <f>PROFORMA!R256</f>
        <v>0</v>
      </c>
      <c r="R163" s="649">
        <f>PROFORMA!S256</f>
        <v>0</v>
      </c>
      <c r="S163" s="649">
        <f>PROFORMA!T256</f>
        <v>0</v>
      </c>
      <c r="T163" s="649">
        <f>PROFORMA!U256</f>
        <v>0</v>
      </c>
      <c r="U163" s="649">
        <f>PROFORMA!V256</f>
        <v>0</v>
      </c>
      <c r="V163" s="649">
        <f>PROFORMA!W256</f>
        <v>0</v>
      </c>
      <c r="W163" s="649">
        <f>PROFORMA!X256</f>
        <v>0</v>
      </c>
      <c r="X163" s="649">
        <f>PROFORMA!Y256</f>
        <v>21000</v>
      </c>
      <c r="Y163" s="690">
        <f t="shared" si="50"/>
        <v>21000</v>
      </c>
      <c r="Z163" s="649">
        <f>PROFORMA!Z256</f>
        <v>0</v>
      </c>
      <c r="AA163" s="649">
        <f>PROFORMA!AA256</f>
        <v>0</v>
      </c>
      <c r="AB163" s="649">
        <f>PROFORMA!AB256</f>
        <v>0</v>
      </c>
      <c r="AC163" s="649">
        <f>PROFORMA!AC256</f>
        <v>0</v>
      </c>
      <c r="AD163" s="649">
        <f>PROFORMA!AD256</f>
        <v>0</v>
      </c>
      <c r="AE163" s="649">
        <f>PROFORMA!AE256</f>
        <v>0</v>
      </c>
      <c r="AF163" s="649">
        <f>PROFORMA!AF256</f>
        <v>0</v>
      </c>
      <c r="AG163" s="649">
        <f>PROFORMA!AG256</f>
        <v>0</v>
      </c>
      <c r="AH163" s="649">
        <f>PROFORMA!AH256</f>
        <v>0</v>
      </c>
      <c r="AI163" s="649">
        <f>PROFORMA!AI256</f>
        <v>0</v>
      </c>
      <c r="AJ163" s="649">
        <f>PROFORMA!AJ256</f>
        <v>0</v>
      </c>
      <c r="AK163" s="649">
        <f>PROFORMA!AK256</f>
        <v>41000</v>
      </c>
      <c r="AL163" s="649">
        <f>PROFORMA!AL256</f>
        <v>0</v>
      </c>
      <c r="AM163" s="649">
        <f>PROFORMA!AM256</f>
        <v>0</v>
      </c>
      <c r="AN163" s="649">
        <f>PROFORMA!AN256</f>
        <v>0</v>
      </c>
      <c r="AO163" s="649">
        <f>PROFORMA!AO256</f>
        <v>0</v>
      </c>
      <c r="AP163" s="649">
        <f>PROFORMA!AP256</f>
        <v>0</v>
      </c>
      <c r="AQ163" s="649">
        <f>PROFORMA!AQ256</f>
        <v>0</v>
      </c>
      <c r="AR163" s="693">
        <f t="shared" si="51"/>
        <v>41000</v>
      </c>
      <c r="AS163" s="643">
        <f t="shared" si="52"/>
        <v>62000</v>
      </c>
      <c r="AT163" s="643">
        <f t="shared" si="53"/>
        <v>974000</v>
      </c>
      <c r="AU163" s="643"/>
      <c r="AV163" s="643">
        <f t="shared" si="54"/>
        <v>974000</v>
      </c>
    </row>
    <row r="164" spans="1:48">
      <c r="A164" s="640">
        <v>161</v>
      </c>
      <c r="B164" s="809"/>
      <c r="C164" s="628" t="s">
        <v>89</v>
      </c>
      <c r="D164" s="656">
        <v>351</v>
      </c>
      <c r="E164" s="649">
        <f>PROFORMA!F257</f>
        <v>1897000</v>
      </c>
      <c r="F164" s="649">
        <f>PROFORMA!G257</f>
        <v>0</v>
      </c>
      <c r="G164" s="649">
        <f>PROFORMA!H257</f>
        <v>0</v>
      </c>
      <c r="H164" s="649">
        <f>PROFORMA!I257</f>
        <v>0</v>
      </c>
      <c r="I164" s="649">
        <f>PROFORMA!J257</f>
        <v>0</v>
      </c>
      <c r="J164" s="649">
        <f>PROFORMA!K257</f>
        <v>0</v>
      </c>
      <c r="K164" s="649">
        <f>PROFORMA!L257</f>
        <v>0</v>
      </c>
      <c r="L164" s="649">
        <f>PROFORMA!M257</f>
        <v>0</v>
      </c>
      <c r="M164" s="649">
        <f>PROFORMA!N257</f>
        <v>0</v>
      </c>
      <c r="N164" s="649">
        <f>PROFORMA!O257</f>
        <v>0</v>
      </c>
      <c r="O164" s="649">
        <f>PROFORMA!P257</f>
        <v>0</v>
      </c>
      <c r="P164" s="649">
        <f>PROFORMA!Q257</f>
        <v>0</v>
      </c>
      <c r="Q164" s="649">
        <f>PROFORMA!R257</f>
        <v>0</v>
      </c>
      <c r="R164" s="649">
        <f>PROFORMA!S257</f>
        <v>0</v>
      </c>
      <c r="S164" s="649">
        <f>PROFORMA!T257</f>
        <v>0</v>
      </c>
      <c r="T164" s="649">
        <f>PROFORMA!U257</f>
        <v>0</v>
      </c>
      <c r="U164" s="649">
        <f>PROFORMA!V257</f>
        <v>0</v>
      </c>
      <c r="V164" s="649">
        <f>PROFORMA!W257</f>
        <v>0</v>
      </c>
      <c r="W164" s="649">
        <f>PROFORMA!X257</f>
        <v>0</v>
      </c>
      <c r="X164" s="649">
        <f>PROFORMA!Y257</f>
        <v>45000</v>
      </c>
      <c r="Y164" s="690">
        <f t="shared" si="50"/>
        <v>45000</v>
      </c>
      <c r="Z164" s="649">
        <f>PROFORMA!Z257</f>
        <v>0</v>
      </c>
      <c r="AA164" s="649">
        <f>PROFORMA!AA257</f>
        <v>0</v>
      </c>
      <c r="AB164" s="649">
        <f>PROFORMA!AB257</f>
        <v>0</v>
      </c>
      <c r="AC164" s="649">
        <f>PROFORMA!AC257</f>
        <v>0</v>
      </c>
      <c r="AD164" s="649">
        <f>PROFORMA!AD257</f>
        <v>0</v>
      </c>
      <c r="AE164" s="649">
        <f>PROFORMA!AE257</f>
        <v>0</v>
      </c>
      <c r="AF164" s="649">
        <f>PROFORMA!AF257</f>
        <v>0</v>
      </c>
      <c r="AG164" s="649">
        <f>PROFORMA!AG257</f>
        <v>0</v>
      </c>
      <c r="AH164" s="649">
        <f>PROFORMA!AH257</f>
        <v>0</v>
      </c>
      <c r="AI164" s="649">
        <f>PROFORMA!AI257</f>
        <v>0</v>
      </c>
      <c r="AJ164" s="649">
        <f>PROFORMA!AJ257</f>
        <v>0</v>
      </c>
      <c r="AK164" s="649">
        <f>PROFORMA!AK257</f>
        <v>86000</v>
      </c>
      <c r="AL164" s="649">
        <f>PROFORMA!AL257</f>
        <v>0</v>
      </c>
      <c r="AM164" s="649">
        <f>PROFORMA!AM257</f>
        <v>0</v>
      </c>
      <c r="AN164" s="649">
        <f>PROFORMA!AN257</f>
        <v>0</v>
      </c>
      <c r="AO164" s="649">
        <f>PROFORMA!AO257</f>
        <v>0</v>
      </c>
      <c r="AP164" s="649">
        <f>PROFORMA!AP257</f>
        <v>0</v>
      </c>
      <c r="AQ164" s="649">
        <f>PROFORMA!AQ257</f>
        <v>0</v>
      </c>
      <c r="AR164" s="693">
        <f t="shared" si="51"/>
        <v>86000</v>
      </c>
      <c r="AS164" s="643">
        <f t="shared" si="52"/>
        <v>131000</v>
      </c>
      <c r="AT164" s="643">
        <f t="shared" si="53"/>
        <v>2028000</v>
      </c>
      <c r="AU164" s="643"/>
      <c r="AV164" s="643">
        <f t="shared" si="54"/>
        <v>2028000</v>
      </c>
    </row>
    <row r="165" spans="1:48">
      <c r="A165" s="640">
        <v>162</v>
      </c>
      <c r="B165" s="809"/>
      <c r="C165" s="628" t="s">
        <v>238</v>
      </c>
      <c r="D165" s="656">
        <v>352</v>
      </c>
      <c r="E165" s="649">
        <f>PROFORMA!F258</f>
        <v>13705000</v>
      </c>
      <c r="F165" s="649">
        <f>PROFORMA!G258</f>
        <v>0</v>
      </c>
      <c r="G165" s="649">
        <f>PROFORMA!H258</f>
        <v>0</v>
      </c>
      <c r="H165" s="649">
        <f>PROFORMA!I258</f>
        <v>0</v>
      </c>
      <c r="I165" s="649">
        <f>PROFORMA!J258</f>
        <v>0</v>
      </c>
      <c r="J165" s="649">
        <f>PROFORMA!K258</f>
        <v>0</v>
      </c>
      <c r="K165" s="649">
        <f>PROFORMA!L258</f>
        <v>0</v>
      </c>
      <c r="L165" s="649">
        <f>PROFORMA!M258</f>
        <v>0</v>
      </c>
      <c r="M165" s="649">
        <f>PROFORMA!N258</f>
        <v>0</v>
      </c>
      <c r="N165" s="649">
        <f>PROFORMA!O258</f>
        <v>0</v>
      </c>
      <c r="O165" s="649">
        <f>PROFORMA!P258</f>
        <v>0</v>
      </c>
      <c r="P165" s="649">
        <f>PROFORMA!Q258</f>
        <v>0</v>
      </c>
      <c r="Q165" s="649">
        <f>PROFORMA!R258</f>
        <v>0</v>
      </c>
      <c r="R165" s="649">
        <f>PROFORMA!S258</f>
        <v>0</v>
      </c>
      <c r="S165" s="649">
        <f>PROFORMA!T258</f>
        <v>0</v>
      </c>
      <c r="T165" s="649">
        <f>PROFORMA!U258</f>
        <v>0</v>
      </c>
      <c r="U165" s="649">
        <f>PROFORMA!V258</f>
        <v>0</v>
      </c>
      <c r="V165" s="649">
        <f>PROFORMA!W258</f>
        <v>0</v>
      </c>
      <c r="W165" s="649">
        <f>PROFORMA!X258</f>
        <v>0</v>
      </c>
      <c r="X165" s="649">
        <f>PROFORMA!Y258</f>
        <v>323000</v>
      </c>
      <c r="Y165" s="690">
        <f t="shared" si="50"/>
        <v>323000</v>
      </c>
      <c r="Z165" s="649">
        <f>PROFORMA!Z258</f>
        <v>0</v>
      </c>
      <c r="AA165" s="649">
        <f>PROFORMA!AA258</f>
        <v>0</v>
      </c>
      <c r="AB165" s="649">
        <f>PROFORMA!AB258</f>
        <v>0</v>
      </c>
      <c r="AC165" s="649">
        <f>PROFORMA!AC258</f>
        <v>0</v>
      </c>
      <c r="AD165" s="649">
        <f>PROFORMA!AD258</f>
        <v>0</v>
      </c>
      <c r="AE165" s="649">
        <f>PROFORMA!AE258</f>
        <v>0</v>
      </c>
      <c r="AF165" s="649">
        <f>PROFORMA!AF258</f>
        <v>0</v>
      </c>
      <c r="AG165" s="649">
        <f>PROFORMA!AG258</f>
        <v>0</v>
      </c>
      <c r="AH165" s="649">
        <f>PROFORMA!AH258</f>
        <v>0</v>
      </c>
      <c r="AI165" s="649">
        <f>PROFORMA!AI258</f>
        <v>0</v>
      </c>
      <c r="AJ165" s="649">
        <f>PROFORMA!AJ258</f>
        <v>0</v>
      </c>
      <c r="AK165" s="649">
        <f>PROFORMA!AK258</f>
        <v>619000</v>
      </c>
      <c r="AL165" s="649">
        <f>PROFORMA!AL258</f>
        <v>0</v>
      </c>
      <c r="AM165" s="649">
        <f>PROFORMA!AM258</f>
        <v>0</v>
      </c>
      <c r="AN165" s="649">
        <f>PROFORMA!AN258</f>
        <v>0</v>
      </c>
      <c r="AO165" s="649">
        <f>PROFORMA!AO258</f>
        <v>0</v>
      </c>
      <c r="AP165" s="649">
        <f>PROFORMA!AP258</f>
        <v>0</v>
      </c>
      <c r="AQ165" s="649">
        <f>PROFORMA!AQ258</f>
        <v>0</v>
      </c>
      <c r="AR165" s="693">
        <f t="shared" si="51"/>
        <v>619000</v>
      </c>
      <c r="AS165" s="643">
        <f t="shared" si="52"/>
        <v>942000</v>
      </c>
      <c r="AT165" s="643">
        <f t="shared" si="53"/>
        <v>14647000</v>
      </c>
      <c r="AU165" s="643"/>
      <c r="AV165" s="643">
        <f t="shared" si="54"/>
        <v>14647000</v>
      </c>
    </row>
    <row r="166" spans="1:48">
      <c r="A166" s="640">
        <v>163</v>
      </c>
      <c r="B166" s="809"/>
      <c r="C166" s="628" t="s">
        <v>239</v>
      </c>
      <c r="D166" s="656">
        <v>353</v>
      </c>
      <c r="E166" s="649">
        <f>PROFORMA!F259</f>
        <v>805000</v>
      </c>
      <c r="F166" s="649">
        <f>PROFORMA!G259</f>
        <v>0</v>
      </c>
      <c r="G166" s="649">
        <f>PROFORMA!H259</f>
        <v>0</v>
      </c>
      <c r="H166" s="649">
        <f>PROFORMA!I259</f>
        <v>0</v>
      </c>
      <c r="I166" s="649">
        <f>PROFORMA!J259</f>
        <v>0</v>
      </c>
      <c r="J166" s="649">
        <f>PROFORMA!K259</f>
        <v>0</v>
      </c>
      <c r="K166" s="649">
        <f>PROFORMA!L259</f>
        <v>0</v>
      </c>
      <c r="L166" s="649">
        <f>PROFORMA!M259</f>
        <v>0</v>
      </c>
      <c r="M166" s="649">
        <f>PROFORMA!N259</f>
        <v>0</v>
      </c>
      <c r="N166" s="649">
        <f>PROFORMA!O259</f>
        <v>0</v>
      </c>
      <c r="O166" s="649">
        <f>PROFORMA!P259</f>
        <v>0</v>
      </c>
      <c r="P166" s="649">
        <f>PROFORMA!Q259</f>
        <v>0</v>
      </c>
      <c r="Q166" s="649">
        <f>PROFORMA!R259</f>
        <v>0</v>
      </c>
      <c r="R166" s="649">
        <f>PROFORMA!S259</f>
        <v>0</v>
      </c>
      <c r="S166" s="649">
        <f>PROFORMA!T259</f>
        <v>0</v>
      </c>
      <c r="T166" s="649">
        <f>PROFORMA!U259</f>
        <v>0</v>
      </c>
      <c r="U166" s="649">
        <f>PROFORMA!V259</f>
        <v>0</v>
      </c>
      <c r="V166" s="649">
        <f>PROFORMA!W259</f>
        <v>0</v>
      </c>
      <c r="W166" s="649">
        <f>PROFORMA!X259</f>
        <v>0</v>
      </c>
      <c r="X166" s="649">
        <f>PROFORMA!Y259</f>
        <v>19000</v>
      </c>
      <c r="Y166" s="690">
        <f t="shared" si="50"/>
        <v>19000</v>
      </c>
      <c r="Z166" s="649">
        <f>PROFORMA!Z259</f>
        <v>0</v>
      </c>
      <c r="AA166" s="649">
        <f>PROFORMA!AA259</f>
        <v>0</v>
      </c>
      <c r="AB166" s="649">
        <f>PROFORMA!AB259</f>
        <v>0</v>
      </c>
      <c r="AC166" s="649">
        <f>PROFORMA!AC259</f>
        <v>0</v>
      </c>
      <c r="AD166" s="649">
        <f>PROFORMA!AD259</f>
        <v>0</v>
      </c>
      <c r="AE166" s="649">
        <f>PROFORMA!AE259</f>
        <v>0</v>
      </c>
      <c r="AF166" s="649">
        <f>PROFORMA!AF259</f>
        <v>0</v>
      </c>
      <c r="AG166" s="649">
        <f>PROFORMA!AG259</f>
        <v>0</v>
      </c>
      <c r="AH166" s="649">
        <f>PROFORMA!AH259</f>
        <v>0</v>
      </c>
      <c r="AI166" s="649">
        <f>PROFORMA!AI259</f>
        <v>0</v>
      </c>
      <c r="AJ166" s="649">
        <f>PROFORMA!AJ259</f>
        <v>0</v>
      </c>
      <c r="AK166" s="649">
        <f>PROFORMA!AK259</f>
        <v>36000</v>
      </c>
      <c r="AL166" s="649">
        <f>PROFORMA!AL259</f>
        <v>0</v>
      </c>
      <c r="AM166" s="649">
        <f>PROFORMA!AM259</f>
        <v>0</v>
      </c>
      <c r="AN166" s="649">
        <f>PROFORMA!AN259</f>
        <v>0</v>
      </c>
      <c r="AO166" s="649">
        <f>PROFORMA!AO259</f>
        <v>0</v>
      </c>
      <c r="AP166" s="649">
        <f>PROFORMA!AP259</f>
        <v>0</v>
      </c>
      <c r="AQ166" s="649">
        <f>PROFORMA!AQ259</f>
        <v>0</v>
      </c>
      <c r="AR166" s="693">
        <f t="shared" si="51"/>
        <v>36000</v>
      </c>
      <c r="AS166" s="643">
        <f t="shared" si="52"/>
        <v>55000</v>
      </c>
      <c r="AT166" s="643">
        <f t="shared" si="53"/>
        <v>860000</v>
      </c>
      <c r="AU166" s="643"/>
      <c r="AV166" s="643">
        <f t="shared" si="54"/>
        <v>860000</v>
      </c>
    </row>
    <row r="167" spans="1:48">
      <c r="A167" s="640">
        <v>164</v>
      </c>
      <c r="B167" s="809"/>
      <c r="C167" s="628" t="s">
        <v>240</v>
      </c>
      <c r="D167" s="656">
        <v>354</v>
      </c>
      <c r="E167" s="649">
        <f>PROFORMA!F260</f>
        <v>9056000</v>
      </c>
      <c r="F167" s="649">
        <f>PROFORMA!G260</f>
        <v>0</v>
      </c>
      <c r="G167" s="649">
        <f>PROFORMA!H260</f>
        <v>0</v>
      </c>
      <c r="H167" s="649">
        <f>PROFORMA!I260</f>
        <v>0</v>
      </c>
      <c r="I167" s="649">
        <f>PROFORMA!J260</f>
        <v>0</v>
      </c>
      <c r="J167" s="649">
        <f>PROFORMA!K260</f>
        <v>0</v>
      </c>
      <c r="K167" s="649">
        <f>PROFORMA!L260</f>
        <v>0</v>
      </c>
      <c r="L167" s="649">
        <f>PROFORMA!M260</f>
        <v>0</v>
      </c>
      <c r="M167" s="649">
        <f>PROFORMA!N260</f>
        <v>0</v>
      </c>
      <c r="N167" s="649">
        <f>PROFORMA!O260</f>
        <v>0</v>
      </c>
      <c r="O167" s="649">
        <f>PROFORMA!P260</f>
        <v>0</v>
      </c>
      <c r="P167" s="649">
        <f>PROFORMA!Q260</f>
        <v>0</v>
      </c>
      <c r="Q167" s="649">
        <f>PROFORMA!R260</f>
        <v>0</v>
      </c>
      <c r="R167" s="649">
        <f>PROFORMA!S260</f>
        <v>0</v>
      </c>
      <c r="S167" s="649">
        <f>PROFORMA!T260</f>
        <v>0</v>
      </c>
      <c r="T167" s="649">
        <f>PROFORMA!U260</f>
        <v>0</v>
      </c>
      <c r="U167" s="649">
        <f>PROFORMA!V260</f>
        <v>0</v>
      </c>
      <c r="V167" s="649">
        <f>PROFORMA!W260</f>
        <v>0</v>
      </c>
      <c r="W167" s="649">
        <f>PROFORMA!X260</f>
        <v>0</v>
      </c>
      <c r="X167" s="649">
        <f>PROFORMA!Y260</f>
        <v>213000</v>
      </c>
      <c r="Y167" s="690">
        <f t="shared" si="50"/>
        <v>213000</v>
      </c>
      <c r="Z167" s="649">
        <f>PROFORMA!Z260</f>
        <v>0</v>
      </c>
      <c r="AA167" s="649">
        <f>PROFORMA!AA260</f>
        <v>0</v>
      </c>
      <c r="AB167" s="649">
        <f>PROFORMA!AB260</f>
        <v>0</v>
      </c>
      <c r="AC167" s="649">
        <f>PROFORMA!AC260</f>
        <v>0</v>
      </c>
      <c r="AD167" s="649">
        <f>PROFORMA!AD260</f>
        <v>0</v>
      </c>
      <c r="AE167" s="649">
        <f>PROFORMA!AE260</f>
        <v>0</v>
      </c>
      <c r="AF167" s="649">
        <f>PROFORMA!AF260</f>
        <v>0</v>
      </c>
      <c r="AG167" s="649">
        <f>PROFORMA!AG260</f>
        <v>0</v>
      </c>
      <c r="AH167" s="649">
        <f>PROFORMA!AH260</f>
        <v>0</v>
      </c>
      <c r="AI167" s="649">
        <f>PROFORMA!AI260</f>
        <v>0</v>
      </c>
      <c r="AJ167" s="649">
        <f>PROFORMA!AJ260</f>
        <v>0</v>
      </c>
      <c r="AK167" s="649">
        <f>PROFORMA!AK260</f>
        <v>409000</v>
      </c>
      <c r="AL167" s="649">
        <f>PROFORMA!AL260</f>
        <v>0</v>
      </c>
      <c r="AM167" s="649">
        <f>PROFORMA!AM260</f>
        <v>0</v>
      </c>
      <c r="AN167" s="649">
        <f>PROFORMA!AN260</f>
        <v>0</v>
      </c>
      <c r="AO167" s="649">
        <f>PROFORMA!AO260</f>
        <v>0</v>
      </c>
      <c r="AP167" s="649">
        <f>PROFORMA!AP260</f>
        <v>0</v>
      </c>
      <c r="AQ167" s="649">
        <f>PROFORMA!AQ260</f>
        <v>0</v>
      </c>
      <c r="AR167" s="693">
        <f t="shared" si="51"/>
        <v>409000</v>
      </c>
      <c r="AS167" s="643">
        <f t="shared" si="52"/>
        <v>622000</v>
      </c>
      <c r="AT167" s="643">
        <f t="shared" si="53"/>
        <v>9678000</v>
      </c>
      <c r="AU167" s="643"/>
      <c r="AV167" s="643">
        <f t="shared" si="54"/>
        <v>9678000</v>
      </c>
    </row>
    <row r="168" spans="1:48">
      <c r="A168" s="640">
        <v>165</v>
      </c>
      <c r="B168" s="809"/>
      <c r="C168" s="628" t="s">
        <v>241</v>
      </c>
      <c r="D168" s="656">
        <v>355</v>
      </c>
      <c r="E168" s="649">
        <f>PROFORMA!F261</f>
        <v>1098000</v>
      </c>
      <c r="F168" s="649">
        <f>PROFORMA!G261</f>
        <v>0</v>
      </c>
      <c r="G168" s="649">
        <f>PROFORMA!H261</f>
        <v>0</v>
      </c>
      <c r="H168" s="649">
        <f>PROFORMA!I261</f>
        <v>0</v>
      </c>
      <c r="I168" s="649">
        <f>PROFORMA!J261</f>
        <v>0</v>
      </c>
      <c r="J168" s="649">
        <f>PROFORMA!K261</f>
        <v>0</v>
      </c>
      <c r="K168" s="649">
        <f>PROFORMA!L261</f>
        <v>0</v>
      </c>
      <c r="L168" s="649">
        <f>PROFORMA!M261</f>
        <v>0</v>
      </c>
      <c r="M168" s="649">
        <f>PROFORMA!N261</f>
        <v>0</v>
      </c>
      <c r="N168" s="649">
        <f>PROFORMA!O261</f>
        <v>0</v>
      </c>
      <c r="O168" s="649">
        <f>PROFORMA!P261</f>
        <v>0</v>
      </c>
      <c r="P168" s="649">
        <f>PROFORMA!Q261</f>
        <v>0</v>
      </c>
      <c r="Q168" s="649">
        <f>PROFORMA!R261</f>
        <v>0</v>
      </c>
      <c r="R168" s="649">
        <f>PROFORMA!S261</f>
        <v>0</v>
      </c>
      <c r="S168" s="649">
        <f>PROFORMA!T261</f>
        <v>0</v>
      </c>
      <c r="T168" s="649">
        <f>PROFORMA!U261</f>
        <v>0</v>
      </c>
      <c r="U168" s="649">
        <f>PROFORMA!V261</f>
        <v>0</v>
      </c>
      <c r="V168" s="649">
        <f>PROFORMA!W261</f>
        <v>0</v>
      </c>
      <c r="W168" s="649">
        <f>PROFORMA!X261</f>
        <v>0</v>
      </c>
      <c r="X168" s="649">
        <f>PROFORMA!Y261</f>
        <v>26000</v>
      </c>
      <c r="Y168" s="690">
        <f t="shared" si="50"/>
        <v>26000</v>
      </c>
      <c r="Z168" s="649">
        <f>PROFORMA!Z261</f>
        <v>0</v>
      </c>
      <c r="AA168" s="649">
        <f>PROFORMA!AA261</f>
        <v>0</v>
      </c>
      <c r="AB168" s="649">
        <f>PROFORMA!AB261</f>
        <v>0</v>
      </c>
      <c r="AC168" s="649">
        <f>PROFORMA!AC261</f>
        <v>0</v>
      </c>
      <c r="AD168" s="649">
        <f>PROFORMA!AD261</f>
        <v>0</v>
      </c>
      <c r="AE168" s="649">
        <f>PROFORMA!AE261</f>
        <v>0</v>
      </c>
      <c r="AF168" s="649">
        <f>PROFORMA!AF261</f>
        <v>0</v>
      </c>
      <c r="AG168" s="649">
        <f>PROFORMA!AG261</f>
        <v>0</v>
      </c>
      <c r="AH168" s="649">
        <f>PROFORMA!AH261</f>
        <v>0</v>
      </c>
      <c r="AI168" s="649">
        <f>PROFORMA!AI261</f>
        <v>0</v>
      </c>
      <c r="AJ168" s="649">
        <f>PROFORMA!AJ261</f>
        <v>0</v>
      </c>
      <c r="AK168" s="649">
        <f>PROFORMA!AK261</f>
        <v>50000</v>
      </c>
      <c r="AL168" s="649">
        <f>PROFORMA!AL261</f>
        <v>0</v>
      </c>
      <c r="AM168" s="649">
        <f>PROFORMA!AM261</f>
        <v>0</v>
      </c>
      <c r="AN168" s="649">
        <f>PROFORMA!AN261</f>
        <v>0</v>
      </c>
      <c r="AO168" s="649">
        <f>PROFORMA!AO261</f>
        <v>0</v>
      </c>
      <c r="AP168" s="649">
        <f>PROFORMA!AP261</f>
        <v>0</v>
      </c>
      <c r="AQ168" s="649">
        <f>PROFORMA!AQ261</f>
        <v>0</v>
      </c>
      <c r="AR168" s="693">
        <f t="shared" si="51"/>
        <v>50000</v>
      </c>
      <c r="AS168" s="643">
        <f t="shared" si="52"/>
        <v>76000</v>
      </c>
      <c r="AT168" s="643">
        <f t="shared" si="53"/>
        <v>1174000</v>
      </c>
      <c r="AU168" s="643"/>
      <c r="AV168" s="643">
        <f t="shared" si="54"/>
        <v>1174000</v>
      </c>
    </row>
    <row r="169" spans="1:48">
      <c r="A169" s="640">
        <v>166</v>
      </c>
      <c r="B169" s="809"/>
      <c r="C169" s="628" t="s">
        <v>242</v>
      </c>
      <c r="D169" s="656">
        <v>356</v>
      </c>
      <c r="E169" s="649">
        <f>PROFORMA!F262</f>
        <v>289000</v>
      </c>
      <c r="F169" s="649">
        <f>PROFORMA!G262</f>
        <v>0</v>
      </c>
      <c r="G169" s="649">
        <f>PROFORMA!H262</f>
        <v>0</v>
      </c>
      <c r="H169" s="649">
        <f>PROFORMA!I262</f>
        <v>0</v>
      </c>
      <c r="I169" s="649">
        <f>PROFORMA!J262</f>
        <v>0</v>
      </c>
      <c r="J169" s="649">
        <f>PROFORMA!K262</f>
        <v>0</v>
      </c>
      <c r="K169" s="649">
        <f>PROFORMA!L262</f>
        <v>0</v>
      </c>
      <c r="L169" s="649">
        <f>PROFORMA!M262</f>
        <v>0</v>
      </c>
      <c r="M169" s="649">
        <f>PROFORMA!N262</f>
        <v>0</v>
      </c>
      <c r="N169" s="649">
        <f>PROFORMA!O262</f>
        <v>0</v>
      </c>
      <c r="O169" s="649">
        <f>PROFORMA!P262</f>
        <v>0</v>
      </c>
      <c r="P169" s="649">
        <f>PROFORMA!Q262</f>
        <v>0</v>
      </c>
      <c r="Q169" s="649">
        <f>PROFORMA!R262</f>
        <v>0</v>
      </c>
      <c r="R169" s="649">
        <f>PROFORMA!S262</f>
        <v>0</v>
      </c>
      <c r="S169" s="649">
        <f>PROFORMA!T262</f>
        <v>0</v>
      </c>
      <c r="T169" s="649">
        <f>PROFORMA!U262</f>
        <v>0</v>
      </c>
      <c r="U169" s="649">
        <f>PROFORMA!V262</f>
        <v>0</v>
      </c>
      <c r="V169" s="649">
        <f>PROFORMA!W262</f>
        <v>0</v>
      </c>
      <c r="W169" s="649">
        <f>PROFORMA!X262</f>
        <v>0</v>
      </c>
      <c r="X169" s="649">
        <f>PROFORMA!Y262</f>
        <v>7000</v>
      </c>
      <c r="Y169" s="690">
        <f t="shared" si="50"/>
        <v>7000</v>
      </c>
      <c r="Z169" s="649">
        <f>PROFORMA!Z262</f>
        <v>0</v>
      </c>
      <c r="AA169" s="649">
        <f>PROFORMA!AA262</f>
        <v>0</v>
      </c>
      <c r="AB169" s="649">
        <f>PROFORMA!AB262</f>
        <v>0</v>
      </c>
      <c r="AC169" s="649">
        <f>PROFORMA!AC262</f>
        <v>0</v>
      </c>
      <c r="AD169" s="649">
        <f>PROFORMA!AD262</f>
        <v>0</v>
      </c>
      <c r="AE169" s="649">
        <f>PROFORMA!AE262</f>
        <v>0</v>
      </c>
      <c r="AF169" s="649">
        <f>PROFORMA!AF262</f>
        <v>0</v>
      </c>
      <c r="AG169" s="649">
        <f>PROFORMA!AG262</f>
        <v>0</v>
      </c>
      <c r="AH169" s="649">
        <f>PROFORMA!AH262</f>
        <v>0</v>
      </c>
      <c r="AI169" s="649">
        <f>PROFORMA!AI262</f>
        <v>0</v>
      </c>
      <c r="AJ169" s="649">
        <f>PROFORMA!AJ262</f>
        <v>0</v>
      </c>
      <c r="AK169" s="649">
        <f>PROFORMA!AK262</f>
        <v>13000</v>
      </c>
      <c r="AL169" s="649">
        <f>PROFORMA!AL262</f>
        <v>0</v>
      </c>
      <c r="AM169" s="649">
        <f>PROFORMA!AM262</f>
        <v>0</v>
      </c>
      <c r="AN169" s="649">
        <f>PROFORMA!AN262</f>
        <v>0</v>
      </c>
      <c r="AO169" s="649">
        <f>PROFORMA!AO262</f>
        <v>0</v>
      </c>
      <c r="AP169" s="649">
        <f>PROFORMA!AP262</f>
        <v>0</v>
      </c>
      <c r="AQ169" s="649">
        <f>PROFORMA!AQ262</f>
        <v>0</v>
      </c>
      <c r="AR169" s="693">
        <f t="shared" si="51"/>
        <v>13000</v>
      </c>
      <c r="AS169" s="643">
        <f t="shared" si="52"/>
        <v>20000</v>
      </c>
      <c r="AT169" s="643">
        <f t="shared" si="53"/>
        <v>309000</v>
      </c>
      <c r="AU169" s="643"/>
      <c r="AV169" s="643">
        <f t="shared" si="54"/>
        <v>309000</v>
      </c>
    </row>
    <row r="170" spans="1:48">
      <c r="A170" s="640">
        <v>167</v>
      </c>
      <c r="B170" s="809"/>
      <c r="C170" s="628" t="s">
        <v>243</v>
      </c>
      <c r="D170" s="656">
        <v>357</v>
      </c>
      <c r="E170" s="685">
        <f>PROFORMA!F263</f>
        <v>1952000</v>
      </c>
      <c r="F170" s="685">
        <f>PROFORMA!G263</f>
        <v>0</v>
      </c>
      <c r="G170" s="685">
        <f>PROFORMA!H263</f>
        <v>0</v>
      </c>
      <c r="H170" s="685">
        <f>PROFORMA!I263</f>
        <v>0</v>
      </c>
      <c r="I170" s="685">
        <f>PROFORMA!J263</f>
        <v>0</v>
      </c>
      <c r="J170" s="685">
        <f>PROFORMA!K263</f>
        <v>0</v>
      </c>
      <c r="K170" s="685">
        <f>PROFORMA!L263</f>
        <v>0</v>
      </c>
      <c r="L170" s="685">
        <f>PROFORMA!M263</f>
        <v>0</v>
      </c>
      <c r="M170" s="685">
        <f>PROFORMA!N263</f>
        <v>0</v>
      </c>
      <c r="N170" s="685">
        <f>PROFORMA!O263</f>
        <v>0</v>
      </c>
      <c r="O170" s="685">
        <f>PROFORMA!P263</f>
        <v>0</v>
      </c>
      <c r="P170" s="685">
        <f>PROFORMA!Q263</f>
        <v>0</v>
      </c>
      <c r="Q170" s="685">
        <f>PROFORMA!R263</f>
        <v>0</v>
      </c>
      <c r="R170" s="685">
        <f>PROFORMA!S263</f>
        <v>0</v>
      </c>
      <c r="S170" s="685">
        <f>PROFORMA!T263</f>
        <v>0</v>
      </c>
      <c r="T170" s="685">
        <f>PROFORMA!U263</f>
        <v>0</v>
      </c>
      <c r="U170" s="685">
        <f>PROFORMA!V263</f>
        <v>0</v>
      </c>
      <c r="V170" s="685">
        <f>PROFORMA!W263</f>
        <v>0</v>
      </c>
      <c r="W170" s="685">
        <f>PROFORMA!X263</f>
        <v>0</v>
      </c>
      <c r="X170" s="685">
        <f>PROFORMA!Y263</f>
        <v>46000</v>
      </c>
      <c r="Y170" s="691">
        <f t="shared" si="50"/>
        <v>46000</v>
      </c>
      <c r="Z170" s="685">
        <f>PROFORMA!Z263</f>
        <v>0</v>
      </c>
      <c r="AA170" s="685">
        <f>PROFORMA!AA263</f>
        <v>0</v>
      </c>
      <c r="AB170" s="685">
        <f>PROFORMA!AB263</f>
        <v>0</v>
      </c>
      <c r="AC170" s="685">
        <f>PROFORMA!AC263</f>
        <v>0</v>
      </c>
      <c r="AD170" s="685">
        <f>PROFORMA!AD263</f>
        <v>0</v>
      </c>
      <c r="AE170" s="685">
        <f>PROFORMA!AE263</f>
        <v>0</v>
      </c>
      <c r="AF170" s="685">
        <f>PROFORMA!AF263</f>
        <v>0</v>
      </c>
      <c r="AG170" s="685">
        <f>PROFORMA!AG263</f>
        <v>0</v>
      </c>
      <c r="AH170" s="685">
        <f>PROFORMA!AH263</f>
        <v>0</v>
      </c>
      <c r="AI170" s="685">
        <f>PROFORMA!AI263</f>
        <v>0</v>
      </c>
      <c r="AJ170" s="685">
        <f>PROFORMA!AJ263</f>
        <v>0</v>
      </c>
      <c r="AK170" s="685">
        <f>PROFORMA!AK263</f>
        <v>88000</v>
      </c>
      <c r="AL170" s="685">
        <f>PROFORMA!AL263</f>
        <v>0</v>
      </c>
      <c r="AM170" s="685">
        <f>PROFORMA!AM263</f>
        <v>0</v>
      </c>
      <c r="AN170" s="685">
        <f>PROFORMA!AN263</f>
        <v>0</v>
      </c>
      <c r="AO170" s="685">
        <f>PROFORMA!AO263</f>
        <v>0</v>
      </c>
      <c r="AP170" s="685">
        <f>PROFORMA!AP263</f>
        <v>0</v>
      </c>
      <c r="AQ170" s="685">
        <f>PROFORMA!AQ263</f>
        <v>0</v>
      </c>
      <c r="AR170" s="694">
        <f t="shared" si="51"/>
        <v>88000</v>
      </c>
      <c r="AS170" s="692">
        <f t="shared" si="52"/>
        <v>134000</v>
      </c>
      <c r="AT170" s="692">
        <f t="shared" si="53"/>
        <v>2086000</v>
      </c>
      <c r="AU170" s="692"/>
      <c r="AV170" s="692">
        <f t="shared" si="54"/>
        <v>2086000</v>
      </c>
    </row>
    <row r="171" spans="1:48">
      <c r="A171" s="640">
        <v>168</v>
      </c>
      <c r="B171" s="630"/>
      <c r="C171" s="632" t="s">
        <v>1273</v>
      </c>
      <c r="D171" s="632"/>
      <c r="E171" s="650">
        <f>SUM(E163:E170)</f>
        <v>29714000</v>
      </c>
      <c r="F171" s="650">
        <f t="shared" ref="F171:X171" si="73">SUM(F163:F170)</f>
        <v>0</v>
      </c>
      <c r="G171" s="650">
        <f t="shared" si="73"/>
        <v>0</v>
      </c>
      <c r="H171" s="650">
        <f t="shared" si="73"/>
        <v>0</v>
      </c>
      <c r="I171" s="650">
        <f t="shared" si="73"/>
        <v>0</v>
      </c>
      <c r="J171" s="650">
        <f t="shared" si="73"/>
        <v>0</v>
      </c>
      <c r="K171" s="650">
        <f t="shared" si="73"/>
        <v>0</v>
      </c>
      <c r="L171" s="650">
        <f t="shared" si="73"/>
        <v>0</v>
      </c>
      <c r="M171" s="650">
        <f t="shared" si="73"/>
        <v>0</v>
      </c>
      <c r="N171" s="650">
        <f t="shared" si="73"/>
        <v>0</v>
      </c>
      <c r="O171" s="650">
        <f t="shared" si="73"/>
        <v>0</v>
      </c>
      <c r="P171" s="650">
        <f t="shared" si="73"/>
        <v>0</v>
      </c>
      <c r="Q171" s="650">
        <f t="shared" si="73"/>
        <v>0</v>
      </c>
      <c r="R171" s="650">
        <f t="shared" si="73"/>
        <v>0</v>
      </c>
      <c r="S171" s="650">
        <f t="shared" si="73"/>
        <v>0</v>
      </c>
      <c r="T171" s="650">
        <f t="shared" si="73"/>
        <v>0</v>
      </c>
      <c r="U171" s="650">
        <f t="shared" si="73"/>
        <v>0</v>
      </c>
      <c r="V171" s="650">
        <f t="shared" si="73"/>
        <v>0</v>
      </c>
      <c r="W171" s="650">
        <f t="shared" si="73"/>
        <v>0</v>
      </c>
      <c r="X171" s="650">
        <f t="shared" si="73"/>
        <v>700000</v>
      </c>
      <c r="Y171" s="690">
        <f t="shared" si="50"/>
        <v>700000</v>
      </c>
      <c r="Z171" s="650">
        <f t="shared" ref="Z171:AV171" si="74">SUM(Z163:Z170)</f>
        <v>0</v>
      </c>
      <c r="AA171" s="650">
        <f t="shared" si="74"/>
        <v>0</v>
      </c>
      <c r="AB171" s="650">
        <f t="shared" si="74"/>
        <v>0</v>
      </c>
      <c r="AC171" s="650">
        <f t="shared" si="74"/>
        <v>0</v>
      </c>
      <c r="AD171" s="650">
        <f t="shared" si="74"/>
        <v>0</v>
      </c>
      <c r="AE171" s="650">
        <f t="shared" si="74"/>
        <v>0</v>
      </c>
      <c r="AF171" s="650">
        <f t="shared" si="74"/>
        <v>0</v>
      </c>
      <c r="AG171" s="650">
        <f t="shared" si="74"/>
        <v>0</v>
      </c>
      <c r="AH171" s="650">
        <f t="shared" si="74"/>
        <v>0</v>
      </c>
      <c r="AI171" s="650">
        <f t="shared" si="74"/>
        <v>0</v>
      </c>
      <c r="AJ171" s="650">
        <f t="shared" si="74"/>
        <v>0</v>
      </c>
      <c r="AK171" s="650">
        <f t="shared" si="74"/>
        <v>1342000</v>
      </c>
      <c r="AL171" s="650">
        <f t="shared" si="74"/>
        <v>0</v>
      </c>
      <c r="AM171" s="650">
        <f t="shared" si="74"/>
        <v>0</v>
      </c>
      <c r="AN171" s="650">
        <f t="shared" si="74"/>
        <v>0</v>
      </c>
      <c r="AO171" s="650">
        <f t="shared" si="74"/>
        <v>0</v>
      </c>
      <c r="AP171" s="650">
        <f t="shared" si="74"/>
        <v>0</v>
      </c>
      <c r="AQ171" s="650">
        <f t="shared" si="74"/>
        <v>0</v>
      </c>
      <c r="AR171" s="650">
        <f t="shared" si="74"/>
        <v>1342000</v>
      </c>
      <c r="AS171" s="650">
        <f t="shared" si="74"/>
        <v>2042000</v>
      </c>
      <c r="AT171" s="650">
        <f t="shared" si="74"/>
        <v>31756000</v>
      </c>
      <c r="AU171" s="650">
        <f t="shared" si="74"/>
        <v>0</v>
      </c>
      <c r="AV171" s="650">
        <f t="shared" si="74"/>
        <v>31756000</v>
      </c>
    </row>
    <row r="172" spans="1:48" ht="30" customHeight="1">
      <c r="A172" s="640">
        <v>169</v>
      </c>
      <c r="B172" s="809" t="s">
        <v>1276</v>
      </c>
      <c r="C172" s="628" t="s">
        <v>1274</v>
      </c>
      <c r="D172" s="656">
        <v>374</v>
      </c>
      <c r="E172" s="649">
        <f>PROFORMA!F267</f>
        <v>396000</v>
      </c>
      <c r="F172" s="649">
        <f>PROFORMA!G267</f>
        <v>0</v>
      </c>
      <c r="G172" s="649">
        <f>PROFORMA!H267</f>
        <v>0</v>
      </c>
      <c r="H172" s="649">
        <f>PROFORMA!I267</f>
        <v>0</v>
      </c>
      <c r="I172" s="649">
        <f>PROFORMA!J267</f>
        <v>0</v>
      </c>
      <c r="J172" s="649">
        <f>PROFORMA!K267</f>
        <v>0</v>
      </c>
      <c r="K172" s="649">
        <f>PROFORMA!L267</f>
        <v>0</v>
      </c>
      <c r="L172" s="649">
        <f>PROFORMA!M267</f>
        <v>0</v>
      </c>
      <c r="M172" s="649">
        <f>PROFORMA!N267</f>
        <v>0</v>
      </c>
      <c r="N172" s="649">
        <f>PROFORMA!O267</f>
        <v>0</v>
      </c>
      <c r="O172" s="649">
        <f>PROFORMA!P267</f>
        <v>0</v>
      </c>
      <c r="P172" s="649">
        <f>PROFORMA!Q267</f>
        <v>0</v>
      </c>
      <c r="Q172" s="649">
        <f>PROFORMA!R267</f>
        <v>0</v>
      </c>
      <c r="R172" s="649">
        <f>PROFORMA!S267</f>
        <v>0</v>
      </c>
      <c r="S172" s="649">
        <f>PROFORMA!T267</f>
        <v>0</v>
      </c>
      <c r="T172" s="649">
        <f>PROFORMA!U267</f>
        <v>0</v>
      </c>
      <c r="U172" s="649">
        <f>PROFORMA!V267</f>
        <v>0</v>
      </c>
      <c r="V172" s="649">
        <f>PROFORMA!W267</f>
        <v>0</v>
      </c>
      <c r="W172" s="649">
        <f>PROFORMA!X267</f>
        <v>0</v>
      </c>
      <c r="X172" s="649">
        <f>PROFORMA!Y267</f>
        <v>3000</v>
      </c>
      <c r="Y172" s="690">
        <f t="shared" si="50"/>
        <v>3000</v>
      </c>
      <c r="Z172" s="649">
        <f>PROFORMA!Z267</f>
        <v>0</v>
      </c>
      <c r="AA172" s="649">
        <f>PROFORMA!AA267</f>
        <v>0</v>
      </c>
      <c r="AB172" s="649">
        <f>PROFORMA!AB267</f>
        <v>0</v>
      </c>
      <c r="AC172" s="649">
        <f>PROFORMA!AC267</f>
        <v>0</v>
      </c>
      <c r="AD172" s="649">
        <f>PROFORMA!AD267</f>
        <v>0</v>
      </c>
      <c r="AE172" s="649">
        <f>PROFORMA!AE267</f>
        <v>0</v>
      </c>
      <c r="AF172" s="649">
        <f>PROFORMA!AF267</f>
        <v>0</v>
      </c>
      <c r="AG172" s="649">
        <f>PROFORMA!AG267</f>
        <v>0</v>
      </c>
      <c r="AH172" s="649">
        <f>PROFORMA!AH267</f>
        <v>0</v>
      </c>
      <c r="AI172" s="649">
        <f>PROFORMA!AI267</f>
        <v>0</v>
      </c>
      <c r="AJ172" s="649">
        <f>PROFORMA!AJ267</f>
        <v>0</v>
      </c>
      <c r="AK172" s="649">
        <f>PROFORMA!AK267</f>
        <v>0</v>
      </c>
      <c r="AL172" s="649">
        <f>PROFORMA!AL267</f>
        <v>0</v>
      </c>
      <c r="AM172" s="649">
        <f>PROFORMA!AM267</f>
        <v>0</v>
      </c>
      <c r="AN172" s="649">
        <f>PROFORMA!AN267</f>
        <v>0</v>
      </c>
      <c r="AO172" s="649">
        <f>PROFORMA!AO267</f>
        <v>0</v>
      </c>
      <c r="AP172" s="649">
        <f>PROFORMA!AP267</f>
        <v>0</v>
      </c>
      <c r="AQ172" s="649">
        <f>PROFORMA!AQ267</f>
        <v>0</v>
      </c>
      <c r="AR172" s="693">
        <f t="shared" si="51"/>
        <v>0</v>
      </c>
      <c r="AS172" s="643">
        <f t="shared" si="52"/>
        <v>3000</v>
      </c>
      <c r="AT172" s="643">
        <f t="shared" si="53"/>
        <v>399000</v>
      </c>
      <c r="AU172" s="643"/>
      <c r="AV172" s="643">
        <f t="shared" si="54"/>
        <v>399000</v>
      </c>
    </row>
    <row r="173" spans="1:48">
      <c r="A173" s="640">
        <v>170</v>
      </c>
      <c r="B173" s="809"/>
      <c r="C173" s="628" t="s">
        <v>1271</v>
      </c>
      <c r="D173" s="656">
        <v>375</v>
      </c>
      <c r="E173" s="649">
        <f>PROFORMA!F268</f>
        <v>808000</v>
      </c>
      <c r="F173" s="649">
        <f>PROFORMA!G268</f>
        <v>0</v>
      </c>
      <c r="G173" s="649">
        <f>PROFORMA!H268</f>
        <v>0</v>
      </c>
      <c r="H173" s="649">
        <f>PROFORMA!I268</f>
        <v>0</v>
      </c>
      <c r="I173" s="649">
        <f>PROFORMA!J268</f>
        <v>0</v>
      </c>
      <c r="J173" s="649">
        <f>PROFORMA!K268</f>
        <v>0</v>
      </c>
      <c r="K173" s="649">
        <f>PROFORMA!L268</f>
        <v>0</v>
      </c>
      <c r="L173" s="649">
        <f>PROFORMA!M268</f>
        <v>0</v>
      </c>
      <c r="M173" s="649">
        <f>PROFORMA!N268</f>
        <v>0</v>
      </c>
      <c r="N173" s="649">
        <f>PROFORMA!O268</f>
        <v>0</v>
      </c>
      <c r="O173" s="649">
        <f>PROFORMA!P268</f>
        <v>0</v>
      </c>
      <c r="P173" s="649">
        <f>PROFORMA!Q268</f>
        <v>0</v>
      </c>
      <c r="Q173" s="649">
        <f>PROFORMA!R268</f>
        <v>0</v>
      </c>
      <c r="R173" s="649">
        <f>PROFORMA!S268</f>
        <v>0</v>
      </c>
      <c r="S173" s="649">
        <f>PROFORMA!T268</f>
        <v>0</v>
      </c>
      <c r="T173" s="649">
        <f>PROFORMA!U268</f>
        <v>0</v>
      </c>
      <c r="U173" s="649">
        <f>PROFORMA!V268</f>
        <v>0</v>
      </c>
      <c r="V173" s="649">
        <f>PROFORMA!W268</f>
        <v>0</v>
      </c>
      <c r="W173" s="649">
        <f>PROFORMA!X268</f>
        <v>0</v>
      </c>
      <c r="X173" s="649">
        <f>PROFORMA!Y268</f>
        <v>7000</v>
      </c>
      <c r="Y173" s="690">
        <f t="shared" si="50"/>
        <v>7000</v>
      </c>
      <c r="Z173" s="649">
        <f>PROFORMA!Z268</f>
        <v>0</v>
      </c>
      <c r="AA173" s="649">
        <f>PROFORMA!AA268</f>
        <v>0</v>
      </c>
      <c r="AB173" s="649">
        <f>PROFORMA!AB268</f>
        <v>0</v>
      </c>
      <c r="AC173" s="649">
        <f>PROFORMA!AC268</f>
        <v>0</v>
      </c>
      <c r="AD173" s="649">
        <f>PROFORMA!AD268</f>
        <v>0</v>
      </c>
      <c r="AE173" s="649">
        <f>PROFORMA!AE268</f>
        <v>0</v>
      </c>
      <c r="AF173" s="649">
        <f>PROFORMA!AF268</f>
        <v>0</v>
      </c>
      <c r="AG173" s="649">
        <f>PROFORMA!AG268</f>
        <v>0</v>
      </c>
      <c r="AH173" s="649">
        <f>PROFORMA!AH268</f>
        <v>0</v>
      </c>
      <c r="AI173" s="649">
        <f>PROFORMA!AI268</f>
        <v>0</v>
      </c>
      <c r="AJ173" s="649">
        <f>PROFORMA!AJ268</f>
        <v>0</v>
      </c>
      <c r="AK173" s="649">
        <f>PROFORMA!AK268</f>
        <v>0</v>
      </c>
      <c r="AL173" s="649">
        <f>PROFORMA!AL268</f>
        <v>0</v>
      </c>
      <c r="AM173" s="649">
        <f>PROFORMA!AM268</f>
        <v>0</v>
      </c>
      <c r="AN173" s="649">
        <f>PROFORMA!AN268</f>
        <v>0</v>
      </c>
      <c r="AO173" s="649">
        <f>PROFORMA!AO268</f>
        <v>0</v>
      </c>
      <c r="AP173" s="649">
        <f>PROFORMA!AP268</f>
        <v>0</v>
      </c>
      <c r="AQ173" s="649">
        <f>PROFORMA!AQ268</f>
        <v>0</v>
      </c>
      <c r="AR173" s="693">
        <f t="shared" si="51"/>
        <v>0</v>
      </c>
      <c r="AS173" s="643">
        <f t="shared" si="52"/>
        <v>7000</v>
      </c>
      <c r="AT173" s="643">
        <f t="shared" si="53"/>
        <v>815000</v>
      </c>
      <c r="AU173" s="643"/>
      <c r="AV173" s="643">
        <f t="shared" si="54"/>
        <v>815000</v>
      </c>
    </row>
    <row r="174" spans="1:48">
      <c r="A174" s="640">
        <v>171</v>
      </c>
      <c r="B174" s="809"/>
      <c r="C174" s="628" t="s">
        <v>245</v>
      </c>
      <c r="D174" s="656">
        <v>376</v>
      </c>
      <c r="E174" s="649">
        <f>PROFORMA!F269</f>
        <v>248466000</v>
      </c>
      <c r="F174" s="649">
        <f>PROFORMA!G269</f>
        <v>0</v>
      </c>
      <c r="G174" s="649">
        <f>PROFORMA!H269</f>
        <v>0</v>
      </c>
      <c r="H174" s="649">
        <f>PROFORMA!I269</f>
        <v>0</v>
      </c>
      <c r="I174" s="649">
        <f>PROFORMA!J269</f>
        <v>0</v>
      </c>
      <c r="J174" s="649">
        <f>PROFORMA!K269</f>
        <v>0</v>
      </c>
      <c r="K174" s="649">
        <f>PROFORMA!L269</f>
        <v>0</v>
      </c>
      <c r="L174" s="649">
        <f>PROFORMA!M269</f>
        <v>0</v>
      </c>
      <c r="M174" s="649">
        <f>PROFORMA!N269</f>
        <v>0</v>
      </c>
      <c r="N174" s="649">
        <f>PROFORMA!O269</f>
        <v>0</v>
      </c>
      <c r="O174" s="649">
        <f>PROFORMA!P269</f>
        <v>0</v>
      </c>
      <c r="P174" s="649">
        <f>PROFORMA!Q269</f>
        <v>0</v>
      </c>
      <c r="Q174" s="649">
        <f>PROFORMA!R269</f>
        <v>0</v>
      </c>
      <c r="R174" s="649">
        <f>PROFORMA!S269</f>
        <v>0</v>
      </c>
      <c r="S174" s="649">
        <f>PROFORMA!T269</f>
        <v>0</v>
      </c>
      <c r="T174" s="649">
        <f>PROFORMA!U269</f>
        <v>0</v>
      </c>
      <c r="U174" s="649">
        <f>PROFORMA!V269</f>
        <v>0</v>
      </c>
      <c r="V174" s="649">
        <f>PROFORMA!W269</f>
        <v>0</v>
      </c>
      <c r="W174" s="649">
        <f>PROFORMA!X269</f>
        <v>0</v>
      </c>
      <c r="X174" s="649">
        <f>PROFORMA!Y269</f>
        <v>2166000</v>
      </c>
      <c r="Y174" s="690">
        <f t="shared" si="50"/>
        <v>2166000</v>
      </c>
      <c r="Z174" s="649">
        <f>PROFORMA!Z269</f>
        <v>0</v>
      </c>
      <c r="AA174" s="649">
        <f>PROFORMA!AA269</f>
        <v>0</v>
      </c>
      <c r="AB174" s="649">
        <f>PROFORMA!AB269</f>
        <v>0</v>
      </c>
      <c r="AC174" s="649">
        <f>PROFORMA!AC269</f>
        <v>0</v>
      </c>
      <c r="AD174" s="649">
        <f>PROFORMA!AD269</f>
        <v>0</v>
      </c>
      <c r="AE174" s="649">
        <f>PROFORMA!AE269</f>
        <v>0</v>
      </c>
      <c r="AF174" s="649">
        <f>PROFORMA!AF269</f>
        <v>0</v>
      </c>
      <c r="AG174" s="649">
        <f>PROFORMA!AG269</f>
        <v>0</v>
      </c>
      <c r="AH174" s="649">
        <f>PROFORMA!AH269</f>
        <v>0</v>
      </c>
      <c r="AI174" s="649">
        <f>PROFORMA!AI269</f>
        <v>0</v>
      </c>
      <c r="AJ174" s="649">
        <f>PROFORMA!AJ269</f>
        <v>0</v>
      </c>
      <c r="AK174" s="649">
        <f>PROFORMA!AK269</f>
        <v>4241000</v>
      </c>
      <c r="AL174" s="649">
        <f>PROFORMA!AL269</f>
        <v>3517000</v>
      </c>
      <c r="AM174" s="649">
        <f>PROFORMA!AM269</f>
        <v>11735000</v>
      </c>
      <c r="AN174" s="649">
        <f>PROFORMA!AN269</f>
        <v>0</v>
      </c>
      <c r="AO174" s="649">
        <f>PROFORMA!AO269</f>
        <v>0</v>
      </c>
      <c r="AP174" s="649">
        <f>PROFORMA!AP269</f>
        <v>0</v>
      </c>
      <c r="AQ174" s="649">
        <f>PROFORMA!AQ269</f>
        <v>0</v>
      </c>
      <c r="AR174" s="693">
        <f t="shared" si="51"/>
        <v>19493000</v>
      </c>
      <c r="AS174" s="643">
        <f t="shared" si="52"/>
        <v>21659000</v>
      </c>
      <c r="AT174" s="643">
        <f t="shared" si="53"/>
        <v>270125000</v>
      </c>
      <c r="AU174" s="643"/>
      <c r="AV174" s="643">
        <f t="shared" si="54"/>
        <v>270125000</v>
      </c>
    </row>
    <row r="175" spans="1:48" ht="31.2">
      <c r="A175" s="640">
        <v>172</v>
      </c>
      <c r="B175" s="809"/>
      <c r="C175" s="628" t="s">
        <v>1277</v>
      </c>
      <c r="D175" s="656">
        <v>378</v>
      </c>
      <c r="E175" s="649">
        <f>PROFORMA!F271</f>
        <v>4122000</v>
      </c>
      <c r="F175" s="649">
        <f>PROFORMA!G271</f>
        <v>0</v>
      </c>
      <c r="G175" s="649">
        <f>PROFORMA!H271</f>
        <v>0</v>
      </c>
      <c r="H175" s="649">
        <f>PROFORMA!I271</f>
        <v>0</v>
      </c>
      <c r="I175" s="649">
        <f>PROFORMA!J271</f>
        <v>0</v>
      </c>
      <c r="J175" s="649">
        <f>PROFORMA!K271</f>
        <v>0</v>
      </c>
      <c r="K175" s="649">
        <f>PROFORMA!L271</f>
        <v>0</v>
      </c>
      <c r="L175" s="649">
        <f>PROFORMA!M271</f>
        <v>0</v>
      </c>
      <c r="M175" s="649">
        <f>PROFORMA!N271</f>
        <v>0</v>
      </c>
      <c r="N175" s="649">
        <f>PROFORMA!O271</f>
        <v>0</v>
      </c>
      <c r="O175" s="649">
        <f>PROFORMA!P271</f>
        <v>0</v>
      </c>
      <c r="P175" s="649">
        <f>PROFORMA!Q271</f>
        <v>0</v>
      </c>
      <c r="Q175" s="649">
        <f>PROFORMA!R271</f>
        <v>0</v>
      </c>
      <c r="R175" s="649">
        <f>PROFORMA!S271</f>
        <v>0</v>
      </c>
      <c r="S175" s="649">
        <f>PROFORMA!T271</f>
        <v>0</v>
      </c>
      <c r="T175" s="649">
        <f>PROFORMA!U271</f>
        <v>0</v>
      </c>
      <c r="U175" s="649">
        <f>PROFORMA!V271</f>
        <v>0</v>
      </c>
      <c r="V175" s="649">
        <f>PROFORMA!W271</f>
        <v>0</v>
      </c>
      <c r="W175" s="649">
        <f>PROFORMA!X271</f>
        <v>0</v>
      </c>
      <c r="X175" s="649">
        <f>PROFORMA!Y271</f>
        <v>36000</v>
      </c>
      <c r="Y175" s="690">
        <f t="shared" si="50"/>
        <v>36000</v>
      </c>
      <c r="Z175" s="649">
        <f>PROFORMA!Z271</f>
        <v>0</v>
      </c>
      <c r="AA175" s="649">
        <f>PROFORMA!AA271</f>
        <v>0</v>
      </c>
      <c r="AB175" s="649">
        <f>PROFORMA!AB271</f>
        <v>0</v>
      </c>
      <c r="AC175" s="649">
        <f>PROFORMA!AC271</f>
        <v>0</v>
      </c>
      <c r="AD175" s="649">
        <f>PROFORMA!AD271</f>
        <v>0</v>
      </c>
      <c r="AE175" s="649">
        <f>PROFORMA!AE271</f>
        <v>0</v>
      </c>
      <c r="AF175" s="649">
        <f>PROFORMA!AF271</f>
        <v>0</v>
      </c>
      <c r="AG175" s="649">
        <f>PROFORMA!AG271</f>
        <v>0</v>
      </c>
      <c r="AH175" s="649">
        <f>PROFORMA!AH271</f>
        <v>0</v>
      </c>
      <c r="AI175" s="649">
        <f>PROFORMA!AI271</f>
        <v>0</v>
      </c>
      <c r="AJ175" s="649">
        <f>PROFORMA!AJ271</f>
        <v>0</v>
      </c>
      <c r="AK175" s="649">
        <f>PROFORMA!AK271</f>
        <v>0</v>
      </c>
      <c r="AL175" s="649">
        <f>PROFORMA!AL271</f>
        <v>0</v>
      </c>
      <c r="AM175" s="649">
        <f>PROFORMA!AM271</f>
        <v>0</v>
      </c>
      <c r="AN175" s="649">
        <f>PROFORMA!AN271</f>
        <v>0</v>
      </c>
      <c r="AO175" s="649">
        <f>PROFORMA!AO271</f>
        <v>0</v>
      </c>
      <c r="AP175" s="649">
        <f>PROFORMA!AP271</f>
        <v>0</v>
      </c>
      <c r="AQ175" s="649">
        <f>PROFORMA!AQ271</f>
        <v>0</v>
      </c>
      <c r="AR175" s="693">
        <f t="shared" si="51"/>
        <v>0</v>
      </c>
      <c r="AS175" s="643">
        <f t="shared" si="52"/>
        <v>36000</v>
      </c>
      <c r="AT175" s="643">
        <f t="shared" si="53"/>
        <v>4158000</v>
      </c>
      <c r="AU175" s="643"/>
      <c r="AV175" s="643">
        <f t="shared" si="54"/>
        <v>4158000</v>
      </c>
    </row>
    <row r="176" spans="1:48" ht="31.2">
      <c r="A176" s="640">
        <v>173</v>
      </c>
      <c r="B176" s="809"/>
      <c r="C176" s="628" t="s">
        <v>1278</v>
      </c>
      <c r="D176" s="656">
        <v>379</v>
      </c>
      <c r="E176" s="649">
        <f>PROFORMA!F272</f>
        <v>1880000</v>
      </c>
      <c r="F176" s="649">
        <f>PROFORMA!G272</f>
        <v>0</v>
      </c>
      <c r="G176" s="649">
        <f>PROFORMA!H272</f>
        <v>0</v>
      </c>
      <c r="H176" s="649">
        <f>PROFORMA!I272</f>
        <v>0</v>
      </c>
      <c r="I176" s="649">
        <f>PROFORMA!J272</f>
        <v>0</v>
      </c>
      <c r="J176" s="649">
        <f>PROFORMA!K272</f>
        <v>0</v>
      </c>
      <c r="K176" s="649">
        <f>PROFORMA!L272</f>
        <v>0</v>
      </c>
      <c r="L176" s="649">
        <f>PROFORMA!M272</f>
        <v>0</v>
      </c>
      <c r="M176" s="649">
        <f>PROFORMA!N272</f>
        <v>0</v>
      </c>
      <c r="N176" s="649">
        <f>PROFORMA!O272</f>
        <v>0</v>
      </c>
      <c r="O176" s="649">
        <f>PROFORMA!P272</f>
        <v>0</v>
      </c>
      <c r="P176" s="649">
        <f>PROFORMA!Q272</f>
        <v>0</v>
      </c>
      <c r="Q176" s="649">
        <f>PROFORMA!R272</f>
        <v>0</v>
      </c>
      <c r="R176" s="649">
        <f>PROFORMA!S272</f>
        <v>0</v>
      </c>
      <c r="S176" s="649">
        <f>PROFORMA!T272</f>
        <v>0</v>
      </c>
      <c r="T176" s="649">
        <f>PROFORMA!U272</f>
        <v>0</v>
      </c>
      <c r="U176" s="649">
        <f>PROFORMA!V272</f>
        <v>0</v>
      </c>
      <c r="V176" s="649">
        <f>PROFORMA!W272</f>
        <v>0</v>
      </c>
      <c r="W176" s="649">
        <f>PROFORMA!X272</f>
        <v>0</v>
      </c>
      <c r="X176" s="649">
        <f>PROFORMA!Y272</f>
        <v>16000</v>
      </c>
      <c r="Y176" s="690">
        <f t="shared" si="50"/>
        <v>16000</v>
      </c>
      <c r="Z176" s="649">
        <f>PROFORMA!Z272</f>
        <v>0</v>
      </c>
      <c r="AA176" s="649">
        <f>PROFORMA!AA272</f>
        <v>0</v>
      </c>
      <c r="AB176" s="649">
        <f>PROFORMA!AB272</f>
        <v>0</v>
      </c>
      <c r="AC176" s="649">
        <f>PROFORMA!AC272</f>
        <v>0</v>
      </c>
      <c r="AD176" s="649">
        <f>PROFORMA!AD272</f>
        <v>0</v>
      </c>
      <c r="AE176" s="649">
        <f>PROFORMA!AE272</f>
        <v>0</v>
      </c>
      <c r="AF176" s="649">
        <f>PROFORMA!AF272</f>
        <v>0</v>
      </c>
      <c r="AG176" s="649">
        <f>PROFORMA!AG272</f>
        <v>0</v>
      </c>
      <c r="AH176" s="649">
        <f>PROFORMA!AH272</f>
        <v>0</v>
      </c>
      <c r="AI176" s="649">
        <f>PROFORMA!AI272</f>
        <v>0</v>
      </c>
      <c r="AJ176" s="649">
        <f>PROFORMA!AJ272</f>
        <v>0</v>
      </c>
      <c r="AK176" s="649">
        <f>PROFORMA!AK272</f>
        <v>0</v>
      </c>
      <c r="AL176" s="649">
        <f>PROFORMA!AL272</f>
        <v>0</v>
      </c>
      <c r="AM176" s="649">
        <f>PROFORMA!AM272</f>
        <v>0</v>
      </c>
      <c r="AN176" s="649">
        <f>PROFORMA!AN272</f>
        <v>0</v>
      </c>
      <c r="AO176" s="649">
        <f>PROFORMA!AO272</f>
        <v>0</v>
      </c>
      <c r="AP176" s="649">
        <f>PROFORMA!AP272</f>
        <v>0</v>
      </c>
      <c r="AQ176" s="649">
        <f>PROFORMA!AQ272</f>
        <v>0</v>
      </c>
      <c r="AR176" s="693">
        <f t="shared" si="51"/>
        <v>0</v>
      </c>
      <c r="AS176" s="643">
        <f t="shared" si="52"/>
        <v>16000</v>
      </c>
      <c r="AT176" s="643">
        <f t="shared" si="53"/>
        <v>1896000</v>
      </c>
      <c r="AU176" s="643"/>
      <c r="AV176" s="643">
        <f t="shared" si="54"/>
        <v>1896000</v>
      </c>
    </row>
    <row r="177" spans="1:48">
      <c r="A177" s="640">
        <v>174</v>
      </c>
      <c r="B177" s="809"/>
      <c r="C177" s="628" t="s">
        <v>91</v>
      </c>
      <c r="D177" s="656">
        <v>380</v>
      </c>
      <c r="E177" s="649">
        <f>PROFORMA!F273</f>
        <v>185716000</v>
      </c>
      <c r="F177" s="649">
        <f>PROFORMA!G273</f>
        <v>0</v>
      </c>
      <c r="G177" s="649">
        <f>PROFORMA!H273</f>
        <v>0</v>
      </c>
      <c r="H177" s="649">
        <f>PROFORMA!I273</f>
        <v>0</v>
      </c>
      <c r="I177" s="649">
        <f>PROFORMA!J273</f>
        <v>0</v>
      </c>
      <c r="J177" s="649">
        <f>PROFORMA!K273</f>
        <v>0</v>
      </c>
      <c r="K177" s="649">
        <f>PROFORMA!L273</f>
        <v>0</v>
      </c>
      <c r="L177" s="649">
        <f>PROFORMA!M273</f>
        <v>0</v>
      </c>
      <c r="M177" s="649">
        <f>PROFORMA!N273</f>
        <v>0</v>
      </c>
      <c r="N177" s="649">
        <f>PROFORMA!O273</f>
        <v>0</v>
      </c>
      <c r="O177" s="649">
        <f>PROFORMA!P273</f>
        <v>0</v>
      </c>
      <c r="P177" s="649">
        <f>PROFORMA!Q273</f>
        <v>0</v>
      </c>
      <c r="Q177" s="649">
        <f>PROFORMA!R273</f>
        <v>0</v>
      </c>
      <c r="R177" s="649">
        <f>PROFORMA!S273</f>
        <v>0</v>
      </c>
      <c r="S177" s="649">
        <f>PROFORMA!T273</f>
        <v>0</v>
      </c>
      <c r="T177" s="649">
        <f>PROFORMA!U273</f>
        <v>0</v>
      </c>
      <c r="U177" s="649">
        <f>PROFORMA!V273</f>
        <v>0</v>
      </c>
      <c r="V177" s="649">
        <f>PROFORMA!W273</f>
        <v>0</v>
      </c>
      <c r="W177" s="649">
        <f>PROFORMA!X273</f>
        <v>0</v>
      </c>
      <c r="X177" s="649">
        <f>PROFORMA!Y273</f>
        <v>1619000</v>
      </c>
      <c r="Y177" s="690">
        <f t="shared" si="50"/>
        <v>1619000</v>
      </c>
      <c r="Z177" s="649">
        <f>PROFORMA!Z273</f>
        <v>0</v>
      </c>
      <c r="AA177" s="649">
        <f>PROFORMA!AA273</f>
        <v>0</v>
      </c>
      <c r="AB177" s="649">
        <f>PROFORMA!AB273</f>
        <v>0</v>
      </c>
      <c r="AC177" s="649">
        <f>PROFORMA!AC273</f>
        <v>0</v>
      </c>
      <c r="AD177" s="649">
        <f>PROFORMA!AD273</f>
        <v>0</v>
      </c>
      <c r="AE177" s="649">
        <f>PROFORMA!AE273</f>
        <v>0</v>
      </c>
      <c r="AF177" s="649">
        <f>PROFORMA!AF273</f>
        <v>0</v>
      </c>
      <c r="AG177" s="649">
        <f>PROFORMA!AG273</f>
        <v>0</v>
      </c>
      <c r="AH177" s="649">
        <f>PROFORMA!AH273</f>
        <v>0</v>
      </c>
      <c r="AI177" s="649">
        <f>PROFORMA!AI273</f>
        <v>0</v>
      </c>
      <c r="AJ177" s="649">
        <f>PROFORMA!AJ273</f>
        <v>0</v>
      </c>
      <c r="AK177" s="649">
        <f>PROFORMA!AK273</f>
        <v>0</v>
      </c>
      <c r="AL177" s="649">
        <f>PROFORMA!AL273</f>
        <v>0</v>
      </c>
      <c r="AM177" s="649">
        <f>PROFORMA!AM273</f>
        <v>0</v>
      </c>
      <c r="AN177" s="649">
        <f>PROFORMA!AN273</f>
        <v>0</v>
      </c>
      <c r="AO177" s="649">
        <f>PROFORMA!AO273</f>
        <v>0</v>
      </c>
      <c r="AP177" s="649">
        <f>PROFORMA!AP273</f>
        <v>0</v>
      </c>
      <c r="AQ177" s="649">
        <f>PROFORMA!AQ273</f>
        <v>0</v>
      </c>
      <c r="AR177" s="693">
        <f t="shared" si="51"/>
        <v>0</v>
      </c>
      <c r="AS177" s="643">
        <f t="shared" si="52"/>
        <v>1619000</v>
      </c>
      <c r="AT177" s="643">
        <f t="shared" si="53"/>
        <v>187335000</v>
      </c>
      <c r="AU177" s="643"/>
      <c r="AV177" s="643">
        <f t="shared" si="54"/>
        <v>187335000</v>
      </c>
    </row>
    <row r="178" spans="1:48">
      <c r="A178" s="640">
        <v>175</v>
      </c>
      <c r="B178" s="809"/>
      <c r="C178" s="628" t="s">
        <v>8</v>
      </c>
      <c r="D178" s="656">
        <v>381</v>
      </c>
      <c r="E178" s="649">
        <f>PROFORMA!F274</f>
        <v>61627000</v>
      </c>
      <c r="F178" s="649">
        <f>PROFORMA!G274</f>
        <v>0</v>
      </c>
      <c r="G178" s="649">
        <f>PROFORMA!H274</f>
        <v>0</v>
      </c>
      <c r="H178" s="649">
        <f>PROFORMA!I274</f>
        <v>0</v>
      </c>
      <c r="I178" s="649">
        <f>PROFORMA!J274</f>
        <v>-10036000</v>
      </c>
      <c r="J178" s="649">
        <f>PROFORMA!K274</f>
        <v>0</v>
      </c>
      <c r="K178" s="649">
        <f>PROFORMA!L274</f>
        <v>0</v>
      </c>
      <c r="L178" s="649">
        <f>PROFORMA!M274</f>
        <v>0</v>
      </c>
      <c r="M178" s="649">
        <f>PROFORMA!N274</f>
        <v>0</v>
      </c>
      <c r="N178" s="649">
        <f>PROFORMA!O274</f>
        <v>0</v>
      </c>
      <c r="O178" s="649">
        <f>PROFORMA!P274</f>
        <v>0</v>
      </c>
      <c r="P178" s="649">
        <f>PROFORMA!Q274</f>
        <v>0</v>
      </c>
      <c r="Q178" s="649">
        <f>PROFORMA!R274</f>
        <v>0</v>
      </c>
      <c r="R178" s="649">
        <f>PROFORMA!S274</f>
        <v>0</v>
      </c>
      <c r="S178" s="649">
        <f>PROFORMA!T274</f>
        <v>0</v>
      </c>
      <c r="T178" s="649">
        <f>PROFORMA!U274</f>
        <v>0</v>
      </c>
      <c r="U178" s="649">
        <f>PROFORMA!V274</f>
        <v>0</v>
      </c>
      <c r="V178" s="649">
        <f>PROFORMA!W274</f>
        <v>0</v>
      </c>
      <c r="W178" s="649">
        <f>PROFORMA!X274</f>
        <v>0</v>
      </c>
      <c r="X178" s="649">
        <f>PROFORMA!Y274</f>
        <v>537000</v>
      </c>
      <c r="Y178" s="690">
        <f t="shared" si="50"/>
        <v>-9499000</v>
      </c>
      <c r="Z178" s="649">
        <f>PROFORMA!Z274</f>
        <v>0</v>
      </c>
      <c r="AA178" s="649">
        <f>PROFORMA!AA274</f>
        <v>0</v>
      </c>
      <c r="AB178" s="649">
        <f>PROFORMA!AB274</f>
        <v>0</v>
      </c>
      <c r="AC178" s="649">
        <f>PROFORMA!AC274</f>
        <v>0</v>
      </c>
      <c r="AD178" s="649">
        <f>PROFORMA!AD274</f>
        <v>0</v>
      </c>
      <c r="AE178" s="649">
        <f>PROFORMA!AE274</f>
        <v>0</v>
      </c>
      <c r="AF178" s="649">
        <f>PROFORMA!AF274</f>
        <v>0</v>
      </c>
      <c r="AG178" s="649">
        <f>PROFORMA!AG274</f>
        <v>0</v>
      </c>
      <c r="AH178" s="649">
        <f>PROFORMA!AH274</f>
        <v>0</v>
      </c>
      <c r="AI178" s="649">
        <f>PROFORMA!AI274</f>
        <v>0</v>
      </c>
      <c r="AJ178" s="649">
        <f>PROFORMA!AJ274</f>
        <v>0</v>
      </c>
      <c r="AK178" s="649">
        <f>PROFORMA!AK274</f>
        <v>0</v>
      </c>
      <c r="AL178" s="649">
        <f>PROFORMA!AL274</f>
        <v>0</v>
      </c>
      <c r="AM178" s="649">
        <f>PROFORMA!AM274</f>
        <v>0</v>
      </c>
      <c r="AN178" s="649">
        <f>PROFORMA!AN274</f>
        <v>0</v>
      </c>
      <c r="AO178" s="649">
        <f>PROFORMA!AO274</f>
        <v>20038000</v>
      </c>
      <c r="AP178" s="649">
        <f>PROFORMA!AP274</f>
        <v>0</v>
      </c>
      <c r="AQ178" s="649">
        <f>PROFORMA!AQ274</f>
        <v>0</v>
      </c>
      <c r="AR178" s="693">
        <f t="shared" si="51"/>
        <v>20038000</v>
      </c>
      <c r="AS178" s="643">
        <f t="shared" si="52"/>
        <v>10539000</v>
      </c>
      <c r="AT178" s="643">
        <f t="shared" si="53"/>
        <v>72166000</v>
      </c>
      <c r="AU178" s="643"/>
      <c r="AV178" s="643">
        <f t="shared" si="54"/>
        <v>72166000</v>
      </c>
    </row>
    <row r="179" spans="1:48">
      <c r="A179" s="640">
        <v>176</v>
      </c>
      <c r="B179" s="809"/>
      <c r="C179" s="628" t="s">
        <v>1279</v>
      </c>
      <c r="D179" s="656">
        <v>382</v>
      </c>
      <c r="E179" s="649">
        <f>PROFORMA!F275</f>
        <v>0</v>
      </c>
      <c r="F179" s="649">
        <f>PROFORMA!G275</f>
        <v>0</v>
      </c>
      <c r="G179" s="649">
        <f>PROFORMA!H275</f>
        <v>0</v>
      </c>
      <c r="H179" s="649">
        <f>PROFORMA!I275</f>
        <v>0</v>
      </c>
      <c r="I179" s="649">
        <f>PROFORMA!J275</f>
        <v>0</v>
      </c>
      <c r="J179" s="649">
        <f>PROFORMA!K275</f>
        <v>0</v>
      </c>
      <c r="K179" s="649">
        <f>PROFORMA!L275</f>
        <v>0</v>
      </c>
      <c r="L179" s="649">
        <f>PROFORMA!M275</f>
        <v>0</v>
      </c>
      <c r="M179" s="649">
        <f>PROFORMA!N275</f>
        <v>0</v>
      </c>
      <c r="N179" s="649">
        <f>PROFORMA!O275</f>
        <v>0</v>
      </c>
      <c r="O179" s="649">
        <f>PROFORMA!P275</f>
        <v>0</v>
      </c>
      <c r="P179" s="649">
        <f>PROFORMA!Q275</f>
        <v>0</v>
      </c>
      <c r="Q179" s="649">
        <f>PROFORMA!R275</f>
        <v>0</v>
      </c>
      <c r="R179" s="649">
        <f>PROFORMA!S275</f>
        <v>0</v>
      </c>
      <c r="S179" s="649">
        <f>PROFORMA!T275</f>
        <v>0</v>
      </c>
      <c r="T179" s="649">
        <f>PROFORMA!U275</f>
        <v>0</v>
      </c>
      <c r="U179" s="649">
        <f>PROFORMA!V275</f>
        <v>0</v>
      </c>
      <c r="V179" s="649">
        <f>PROFORMA!W275</f>
        <v>0</v>
      </c>
      <c r="W179" s="649">
        <f>PROFORMA!X275</f>
        <v>0</v>
      </c>
      <c r="X179" s="649">
        <f>PROFORMA!Y275</f>
        <v>0</v>
      </c>
      <c r="Y179" s="690">
        <f t="shared" si="50"/>
        <v>0</v>
      </c>
      <c r="Z179" s="649">
        <f>PROFORMA!Z275</f>
        <v>0</v>
      </c>
      <c r="AA179" s="649">
        <f>PROFORMA!AA275</f>
        <v>0</v>
      </c>
      <c r="AB179" s="649">
        <f>PROFORMA!AB275</f>
        <v>0</v>
      </c>
      <c r="AC179" s="649">
        <f>PROFORMA!AC275</f>
        <v>0</v>
      </c>
      <c r="AD179" s="649">
        <f>PROFORMA!AD275</f>
        <v>0</v>
      </c>
      <c r="AE179" s="649">
        <f>PROFORMA!AE275</f>
        <v>0</v>
      </c>
      <c r="AF179" s="649">
        <f>PROFORMA!AF275</f>
        <v>0</v>
      </c>
      <c r="AG179" s="649">
        <f>PROFORMA!AG275</f>
        <v>0</v>
      </c>
      <c r="AH179" s="649">
        <f>PROFORMA!AH275</f>
        <v>0</v>
      </c>
      <c r="AI179" s="649">
        <f>PROFORMA!AI275</f>
        <v>0</v>
      </c>
      <c r="AJ179" s="649">
        <f>PROFORMA!AJ275</f>
        <v>0</v>
      </c>
      <c r="AK179" s="649">
        <f>PROFORMA!AK275</f>
        <v>0</v>
      </c>
      <c r="AL179" s="649">
        <f>PROFORMA!AL275</f>
        <v>0</v>
      </c>
      <c r="AM179" s="649">
        <f>PROFORMA!AM275</f>
        <v>0</v>
      </c>
      <c r="AN179" s="649">
        <f>PROFORMA!AN275</f>
        <v>0</v>
      </c>
      <c r="AO179" s="649">
        <f>PROFORMA!AO275</f>
        <v>0</v>
      </c>
      <c r="AP179" s="649">
        <f>PROFORMA!AP275</f>
        <v>0</v>
      </c>
      <c r="AQ179" s="649">
        <f>PROFORMA!AQ275</f>
        <v>0</v>
      </c>
      <c r="AR179" s="693">
        <f t="shared" si="51"/>
        <v>0</v>
      </c>
      <c r="AS179" s="643">
        <f t="shared" si="52"/>
        <v>0</v>
      </c>
      <c r="AT179" s="643">
        <f t="shared" si="53"/>
        <v>0</v>
      </c>
      <c r="AU179" s="643"/>
      <c r="AV179" s="643">
        <f t="shared" si="54"/>
        <v>0</v>
      </c>
    </row>
    <row r="180" spans="1:48">
      <c r="A180" s="640">
        <v>177</v>
      </c>
      <c r="B180" s="809"/>
      <c r="C180" s="628" t="s">
        <v>1280</v>
      </c>
      <c r="D180" s="656">
        <v>383</v>
      </c>
      <c r="E180" s="649">
        <f>PROFORMA!F276</f>
        <v>0</v>
      </c>
      <c r="F180" s="649">
        <f>PROFORMA!G276</f>
        <v>0</v>
      </c>
      <c r="G180" s="649">
        <f>PROFORMA!H276</f>
        <v>0</v>
      </c>
      <c r="H180" s="649">
        <f>PROFORMA!I276</f>
        <v>0</v>
      </c>
      <c r="I180" s="649">
        <f>PROFORMA!J276</f>
        <v>0</v>
      </c>
      <c r="J180" s="649">
        <f>PROFORMA!K276</f>
        <v>0</v>
      </c>
      <c r="K180" s="649">
        <f>PROFORMA!L276</f>
        <v>0</v>
      </c>
      <c r="L180" s="649">
        <f>PROFORMA!M276</f>
        <v>0</v>
      </c>
      <c r="M180" s="649">
        <f>PROFORMA!N276</f>
        <v>0</v>
      </c>
      <c r="N180" s="649">
        <f>PROFORMA!O276</f>
        <v>0</v>
      </c>
      <c r="O180" s="649">
        <f>PROFORMA!P276</f>
        <v>0</v>
      </c>
      <c r="P180" s="649">
        <f>PROFORMA!Q276</f>
        <v>0</v>
      </c>
      <c r="Q180" s="649">
        <f>PROFORMA!R276</f>
        <v>0</v>
      </c>
      <c r="R180" s="649">
        <f>PROFORMA!S276</f>
        <v>0</v>
      </c>
      <c r="S180" s="649">
        <f>PROFORMA!T276</f>
        <v>0</v>
      </c>
      <c r="T180" s="649">
        <f>PROFORMA!U276</f>
        <v>0</v>
      </c>
      <c r="U180" s="649">
        <f>PROFORMA!V276</f>
        <v>0</v>
      </c>
      <c r="V180" s="649">
        <f>PROFORMA!W276</f>
        <v>0</v>
      </c>
      <c r="W180" s="649">
        <f>PROFORMA!X276</f>
        <v>0</v>
      </c>
      <c r="X180" s="649">
        <f>PROFORMA!Y276</f>
        <v>0</v>
      </c>
      <c r="Y180" s="690">
        <f t="shared" si="50"/>
        <v>0</v>
      </c>
      <c r="Z180" s="649">
        <f>PROFORMA!Z276</f>
        <v>0</v>
      </c>
      <c r="AA180" s="649">
        <f>PROFORMA!AA276</f>
        <v>0</v>
      </c>
      <c r="AB180" s="649">
        <f>PROFORMA!AB276</f>
        <v>0</v>
      </c>
      <c r="AC180" s="649">
        <f>PROFORMA!AC276</f>
        <v>0</v>
      </c>
      <c r="AD180" s="649">
        <f>PROFORMA!AD276</f>
        <v>0</v>
      </c>
      <c r="AE180" s="649">
        <f>PROFORMA!AE276</f>
        <v>0</v>
      </c>
      <c r="AF180" s="649">
        <f>PROFORMA!AF276</f>
        <v>0</v>
      </c>
      <c r="AG180" s="649">
        <f>PROFORMA!AG276</f>
        <v>0</v>
      </c>
      <c r="AH180" s="649">
        <f>PROFORMA!AH276</f>
        <v>0</v>
      </c>
      <c r="AI180" s="649">
        <f>PROFORMA!AI276</f>
        <v>0</v>
      </c>
      <c r="AJ180" s="649">
        <f>PROFORMA!AJ276</f>
        <v>0</v>
      </c>
      <c r="AK180" s="649">
        <f>PROFORMA!AK276</f>
        <v>0</v>
      </c>
      <c r="AL180" s="649">
        <f>PROFORMA!AL276</f>
        <v>0</v>
      </c>
      <c r="AM180" s="649">
        <f>PROFORMA!AM276</f>
        <v>0</v>
      </c>
      <c r="AN180" s="649">
        <f>PROFORMA!AN276</f>
        <v>0</v>
      </c>
      <c r="AO180" s="649">
        <f>PROFORMA!AO276</f>
        <v>0</v>
      </c>
      <c r="AP180" s="649">
        <f>PROFORMA!AP276</f>
        <v>0</v>
      </c>
      <c r="AQ180" s="649">
        <f>PROFORMA!AQ276</f>
        <v>0</v>
      </c>
      <c r="AR180" s="693">
        <f t="shared" si="51"/>
        <v>0</v>
      </c>
      <c r="AS180" s="643">
        <f t="shared" si="52"/>
        <v>0</v>
      </c>
      <c r="AT180" s="643">
        <f t="shared" si="53"/>
        <v>0</v>
      </c>
      <c r="AU180" s="643"/>
      <c r="AV180" s="643">
        <f t="shared" si="54"/>
        <v>0</v>
      </c>
    </row>
    <row r="181" spans="1:48">
      <c r="A181" s="640">
        <v>178</v>
      </c>
      <c r="B181" s="809"/>
      <c r="C181" s="628" t="s">
        <v>1281</v>
      </c>
      <c r="D181" s="656">
        <v>384</v>
      </c>
      <c r="E181" s="649">
        <f>PROFORMA!F277</f>
        <v>0</v>
      </c>
      <c r="F181" s="649">
        <f>PROFORMA!G277</f>
        <v>0</v>
      </c>
      <c r="G181" s="649">
        <f>PROFORMA!H277</f>
        <v>0</v>
      </c>
      <c r="H181" s="649">
        <f>PROFORMA!I277</f>
        <v>0</v>
      </c>
      <c r="I181" s="649">
        <f>PROFORMA!J277</f>
        <v>0</v>
      </c>
      <c r="J181" s="649">
        <f>PROFORMA!K277</f>
        <v>0</v>
      </c>
      <c r="K181" s="649">
        <f>PROFORMA!L277</f>
        <v>0</v>
      </c>
      <c r="L181" s="649">
        <f>PROFORMA!M277</f>
        <v>0</v>
      </c>
      <c r="M181" s="649">
        <f>PROFORMA!N277</f>
        <v>0</v>
      </c>
      <c r="N181" s="649">
        <f>PROFORMA!O277</f>
        <v>0</v>
      </c>
      <c r="O181" s="649">
        <f>PROFORMA!P277</f>
        <v>0</v>
      </c>
      <c r="P181" s="649">
        <f>PROFORMA!Q277</f>
        <v>0</v>
      </c>
      <c r="Q181" s="649">
        <f>PROFORMA!R277</f>
        <v>0</v>
      </c>
      <c r="R181" s="649">
        <f>PROFORMA!S277</f>
        <v>0</v>
      </c>
      <c r="S181" s="649">
        <f>PROFORMA!T277</f>
        <v>0</v>
      </c>
      <c r="T181" s="649">
        <f>PROFORMA!U277</f>
        <v>0</v>
      </c>
      <c r="U181" s="649">
        <f>PROFORMA!V277</f>
        <v>0</v>
      </c>
      <c r="V181" s="649">
        <f>PROFORMA!W277</f>
        <v>0</v>
      </c>
      <c r="W181" s="649">
        <f>PROFORMA!X277</f>
        <v>0</v>
      </c>
      <c r="X181" s="649">
        <f>PROFORMA!Y277</f>
        <v>0</v>
      </c>
      <c r="Y181" s="690">
        <f t="shared" si="50"/>
        <v>0</v>
      </c>
      <c r="Z181" s="649">
        <f>PROFORMA!Z277</f>
        <v>0</v>
      </c>
      <c r="AA181" s="649">
        <f>PROFORMA!AA277</f>
        <v>0</v>
      </c>
      <c r="AB181" s="649">
        <f>PROFORMA!AB277</f>
        <v>0</v>
      </c>
      <c r="AC181" s="649">
        <f>PROFORMA!AC277</f>
        <v>0</v>
      </c>
      <c r="AD181" s="649">
        <f>PROFORMA!AD277</f>
        <v>0</v>
      </c>
      <c r="AE181" s="649">
        <f>PROFORMA!AE277</f>
        <v>0</v>
      </c>
      <c r="AF181" s="649">
        <f>PROFORMA!AF277</f>
        <v>0</v>
      </c>
      <c r="AG181" s="649">
        <f>PROFORMA!AG277</f>
        <v>0</v>
      </c>
      <c r="AH181" s="649">
        <f>PROFORMA!AH277</f>
        <v>0</v>
      </c>
      <c r="AI181" s="649">
        <f>PROFORMA!AI277</f>
        <v>0</v>
      </c>
      <c r="AJ181" s="649">
        <f>PROFORMA!AJ277</f>
        <v>0</v>
      </c>
      <c r="AK181" s="649">
        <f>PROFORMA!AK277</f>
        <v>0</v>
      </c>
      <c r="AL181" s="649">
        <f>PROFORMA!AL277</f>
        <v>0</v>
      </c>
      <c r="AM181" s="649">
        <f>PROFORMA!AM277</f>
        <v>0</v>
      </c>
      <c r="AN181" s="649">
        <f>PROFORMA!AN277</f>
        <v>0</v>
      </c>
      <c r="AO181" s="649">
        <f>PROFORMA!AO277</f>
        <v>0</v>
      </c>
      <c r="AP181" s="649">
        <f>PROFORMA!AP277</f>
        <v>0</v>
      </c>
      <c r="AQ181" s="649">
        <f>PROFORMA!AQ277</f>
        <v>0</v>
      </c>
      <c r="AR181" s="693">
        <f t="shared" si="51"/>
        <v>0</v>
      </c>
      <c r="AS181" s="643">
        <f t="shared" si="52"/>
        <v>0</v>
      </c>
      <c r="AT181" s="643">
        <f t="shared" si="53"/>
        <v>0</v>
      </c>
      <c r="AU181" s="643"/>
      <c r="AV181" s="643">
        <f t="shared" si="54"/>
        <v>0</v>
      </c>
    </row>
    <row r="182" spans="1:48" ht="31.2">
      <c r="A182" s="640">
        <v>179</v>
      </c>
      <c r="B182" s="809"/>
      <c r="C182" s="628" t="s">
        <v>1282</v>
      </c>
      <c r="D182" s="656">
        <v>385</v>
      </c>
      <c r="E182" s="649">
        <f>PROFORMA!F278</f>
        <v>2849000</v>
      </c>
      <c r="F182" s="649">
        <f>PROFORMA!G278</f>
        <v>0</v>
      </c>
      <c r="G182" s="649">
        <f>PROFORMA!H278</f>
        <v>0</v>
      </c>
      <c r="H182" s="649">
        <f>PROFORMA!I278</f>
        <v>0</v>
      </c>
      <c r="I182" s="649">
        <f>PROFORMA!J278</f>
        <v>0</v>
      </c>
      <c r="J182" s="649">
        <f>PROFORMA!K278</f>
        <v>0</v>
      </c>
      <c r="K182" s="649">
        <f>PROFORMA!L278</f>
        <v>0</v>
      </c>
      <c r="L182" s="649">
        <f>PROFORMA!M278</f>
        <v>0</v>
      </c>
      <c r="M182" s="649">
        <f>PROFORMA!N278</f>
        <v>0</v>
      </c>
      <c r="N182" s="649">
        <f>PROFORMA!O278</f>
        <v>0</v>
      </c>
      <c r="O182" s="649">
        <f>PROFORMA!P278</f>
        <v>0</v>
      </c>
      <c r="P182" s="649">
        <f>PROFORMA!Q278</f>
        <v>0</v>
      </c>
      <c r="Q182" s="649">
        <f>PROFORMA!R278</f>
        <v>0</v>
      </c>
      <c r="R182" s="649">
        <f>PROFORMA!S278</f>
        <v>0</v>
      </c>
      <c r="S182" s="649">
        <f>PROFORMA!T278</f>
        <v>0</v>
      </c>
      <c r="T182" s="649">
        <f>PROFORMA!U278</f>
        <v>0</v>
      </c>
      <c r="U182" s="649">
        <f>PROFORMA!V278</f>
        <v>0</v>
      </c>
      <c r="V182" s="649">
        <f>PROFORMA!W278</f>
        <v>0</v>
      </c>
      <c r="W182" s="649">
        <f>PROFORMA!X278</f>
        <v>0</v>
      </c>
      <c r="X182" s="649">
        <f>PROFORMA!Y278</f>
        <v>25000</v>
      </c>
      <c r="Y182" s="690">
        <f t="shared" si="50"/>
        <v>25000</v>
      </c>
      <c r="Z182" s="649">
        <f>PROFORMA!Z278</f>
        <v>0</v>
      </c>
      <c r="AA182" s="649">
        <f>PROFORMA!AA278</f>
        <v>0</v>
      </c>
      <c r="AB182" s="649">
        <f>PROFORMA!AB278</f>
        <v>0</v>
      </c>
      <c r="AC182" s="649">
        <f>PROFORMA!AC278</f>
        <v>0</v>
      </c>
      <c r="AD182" s="649">
        <f>PROFORMA!AD278</f>
        <v>0</v>
      </c>
      <c r="AE182" s="649">
        <f>PROFORMA!AE278</f>
        <v>0</v>
      </c>
      <c r="AF182" s="649">
        <f>PROFORMA!AF278</f>
        <v>0</v>
      </c>
      <c r="AG182" s="649">
        <f>PROFORMA!AG278</f>
        <v>0</v>
      </c>
      <c r="AH182" s="649">
        <f>PROFORMA!AH278</f>
        <v>0</v>
      </c>
      <c r="AI182" s="649">
        <f>PROFORMA!AI278</f>
        <v>0</v>
      </c>
      <c r="AJ182" s="649">
        <f>PROFORMA!AJ278</f>
        <v>0</v>
      </c>
      <c r="AK182" s="649">
        <f>PROFORMA!AK278</f>
        <v>0</v>
      </c>
      <c r="AL182" s="649">
        <f>PROFORMA!AL278</f>
        <v>0</v>
      </c>
      <c r="AM182" s="649">
        <f>PROFORMA!AM278</f>
        <v>0</v>
      </c>
      <c r="AN182" s="649">
        <f>PROFORMA!AN278</f>
        <v>0</v>
      </c>
      <c r="AO182" s="649">
        <f>PROFORMA!AO278</f>
        <v>0</v>
      </c>
      <c r="AP182" s="649">
        <f>PROFORMA!AP278</f>
        <v>0</v>
      </c>
      <c r="AQ182" s="649">
        <f>PROFORMA!AQ278</f>
        <v>0</v>
      </c>
      <c r="AR182" s="693">
        <f t="shared" si="51"/>
        <v>0</v>
      </c>
      <c r="AS182" s="643">
        <f t="shared" si="52"/>
        <v>25000</v>
      </c>
      <c r="AT182" s="643">
        <f t="shared" si="53"/>
        <v>2874000</v>
      </c>
      <c r="AU182" s="643"/>
      <c r="AV182" s="643">
        <f t="shared" si="54"/>
        <v>2874000</v>
      </c>
    </row>
    <row r="183" spans="1:48">
      <c r="A183" s="640">
        <v>180</v>
      </c>
      <c r="B183" s="809"/>
      <c r="C183" s="628" t="s">
        <v>1272</v>
      </c>
      <c r="D183" s="656">
        <v>387</v>
      </c>
      <c r="E183" s="685">
        <f>PROFORMA!F279</f>
        <v>0</v>
      </c>
      <c r="F183" s="685">
        <f>PROFORMA!G279</f>
        <v>0</v>
      </c>
      <c r="G183" s="685">
        <f>PROFORMA!H279</f>
        <v>0</v>
      </c>
      <c r="H183" s="685">
        <f>PROFORMA!I279</f>
        <v>0</v>
      </c>
      <c r="I183" s="685">
        <f>PROFORMA!J279</f>
        <v>0</v>
      </c>
      <c r="J183" s="685">
        <f>PROFORMA!K279</f>
        <v>0</v>
      </c>
      <c r="K183" s="685">
        <f>PROFORMA!L279</f>
        <v>0</v>
      </c>
      <c r="L183" s="685">
        <f>PROFORMA!M279</f>
        <v>0</v>
      </c>
      <c r="M183" s="685">
        <f>PROFORMA!N279</f>
        <v>0</v>
      </c>
      <c r="N183" s="685">
        <f>PROFORMA!O279</f>
        <v>0</v>
      </c>
      <c r="O183" s="685">
        <f>PROFORMA!P279</f>
        <v>0</v>
      </c>
      <c r="P183" s="685">
        <f>PROFORMA!Q279</f>
        <v>0</v>
      </c>
      <c r="Q183" s="685">
        <f>PROFORMA!R279</f>
        <v>0</v>
      </c>
      <c r="R183" s="685">
        <f>PROFORMA!S279</f>
        <v>0</v>
      </c>
      <c r="S183" s="685">
        <f>PROFORMA!T279</f>
        <v>0</v>
      </c>
      <c r="T183" s="685">
        <f>PROFORMA!U279</f>
        <v>0</v>
      </c>
      <c r="U183" s="685">
        <f>PROFORMA!V279</f>
        <v>0</v>
      </c>
      <c r="V183" s="685">
        <f>PROFORMA!W279</f>
        <v>0</v>
      </c>
      <c r="W183" s="685">
        <f>PROFORMA!X279</f>
        <v>0</v>
      </c>
      <c r="X183" s="685">
        <f>PROFORMA!Y279</f>
        <v>0</v>
      </c>
      <c r="Y183" s="691">
        <f t="shared" si="50"/>
        <v>0</v>
      </c>
      <c r="Z183" s="685">
        <f>PROFORMA!Z279</f>
        <v>0</v>
      </c>
      <c r="AA183" s="685">
        <f>PROFORMA!AA279</f>
        <v>0</v>
      </c>
      <c r="AB183" s="685">
        <f>PROFORMA!AB279</f>
        <v>0</v>
      </c>
      <c r="AC183" s="685">
        <f>PROFORMA!AC279</f>
        <v>0</v>
      </c>
      <c r="AD183" s="685">
        <f>PROFORMA!AD279</f>
        <v>0</v>
      </c>
      <c r="AE183" s="685">
        <f>PROFORMA!AE279</f>
        <v>0</v>
      </c>
      <c r="AF183" s="685">
        <f>PROFORMA!AF279</f>
        <v>0</v>
      </c>
      <c r="AG183" s="685">
        <f>PROFORMA!AG279</f>
        <v>0</v>
      </c>
      <c r="AH183" s="685">
        <f>PROFORMA!AH279</f>
        <v>0</v>
      </c>
      <c r="AI183" s="685">
        <f>PROFORMA!AI279</f>
        <v>0</v>
      </c>
      <c r="AJ183" s="685">
        <f>PROFORMA!AJ279</f>
        <v>0</v>
      </c>
      <c r="AK183" s="685">
        <f>PROFORMA!AK279</f>
        <v>0</v>
      </c>
      <c r="AL183" s="685">
        <f>PROFORMA!AL279</f>
        <v>0</v>
      </c>
      <c r="AM183" s="685">
        <f>PROFORMA!AM279</f>
        <v>0</v>
      </c>
      <c r="AN183" s="685">
        <f>PROFORMA!AN279</f>
        <v>0</v>
      </c>
      <c r="AO183" s="685">
        <f>PROFORMA!AO279</f>
        <v>0</v>
      </c>
      <c r="AP183" s="685">
        <f>PROFORMA!AP279</f>
        <v>0</v>
      </c>
      <c r="AQ183" s="685">
        <f>PROFORMA!AQ279</f>
        <v>0</v>
      </c>
      <c r="AR183" s="694">
        <f t="shared" si="51"/>
        <v>0</v>
      </c>
      <c r="AS183" s="692">
        <f t="shared" si="52"/>
        <v>0</v>
      </c>
      <c r="AT183" s="692">
        <f t="shared" si="53"/>
        <v>0</v>
      </c>
      <c r="AU183" s="692"/>
      <c r="AV183" s="692">
        <f t="shared" si="54"/>
        <v>0</v>
      </c>
    </row>
    <row r="184" spans="1:48">
      <c r="A184" s="640">
        <v>181</v>
      </c>
      <c r="B184" s="630"/>
      <c r="C184" s="632" t="s">
        <v>1283</v>
      </c>
      <c r="D184" s="632"/>
      <c r="E184" s="650">
        <f>SUM(E172:E183)</f>
        <v>505864000</v>
      </c>
      <c r="F184" s="650">
        <f t="shared" ref="F184:X184" si="75">SUM(F172:F183)</f>
        <v>0</v>
      </c>
      <c r="G184" s="650">
        <f t="shared" si="75"/>
        <v>0</v>
      </c>
      <c r="H184" s="650">
        <f t="shared" si="75"/>
        <v>0</v>
      </c>
      <c r="I184" s="650">
        <f t="shared" si="75"/>
        <v>-10036000</v>
      </c>
      <c r="J184" s="650">
        <f t="shared" si="75"/>
        <v>0</v>
      </c>
      <c r="K184" s="650">
        <f t="shared" si="75"/>
        <v>0</v>
      </c>
      <c r="L184" s="650">
        <f t="shared" si="75"/>
        <v>0</v>
      </c>
      <c r="M184" s="650">
        <f t="shared" si="75"/>
        <v>0</v>
      </c>
      <c r="N184" s="650">
        <f t="shared" si="75"/>
        <v>0</v>
      </c>
      <c r="O184" s="650">
        <f t="shared" si="75"/>
        <v>0</v>
      </c>
      <c r="P184" s="650">
        <f t="shared" si="75"/>
        <v>0</v>
      </c>
      <c r="Q184" s="650">
        <f t="shared" si="75"/>
        <v>0</v>
      </c>
      <c r="R184" s="650">
        <f t="shared" si="75"/>
        <v>0</v>
      </c>
      <c r="S184" s="650">
        <f t="shared" si="75"/>
        <v>0</v>
      </c>
      <c r="T184" s="650">
        <f t="shared" si="75"/>
        <v>0</v>
      </c>
      <c r="U184" s="650">
        <f t="shared" si="75"/>
        <v>0</v>
      </c>
      <c r="V184" s="650">
        <f t="shared" si="75"/>
        <v>0</v>
      </c>
      <c r="W184" s="650">
        <f t="shared" si="75"/>
        <v>0</v>
      </c>
      <c r="X184" s="650">
        <f t="shared" si="75"/>
        <v>4409000</v>
      </c>
      <c r="Y184" s="690">
        <f t="shared" si="50"/>
        <v>-5627000</v>
      </c>
      <c r="Z184" s="650">
        <f t="shared" ref="Z184:AV184" si="76">SUM(Z172:Z183)</f>
        <v>0</v>
      </c>
      <c r="AA184" s="650">
        <f t="shared" si="76"/>
        <v>0</v>
      </c>
      <c r="AB184" s="650">
        <f t="shared" si="76"/>
        <v>0</v>
      </c>
      <c r="AC184" s="650">
        <f t="shared" si="76"/>
        <v>0</v>
      </c>
      <c r="AD184" s="650">
        <f t="shared" si="76"/>
        <v>0</v>
      </c>
      <c r="AE184" s="650">
        <f t="shared" si="76"/>
        <v>0</v>
      </c>
      <c r="AF184" s="650">
        <f t="shared" si="76"/>
        <v>0</v>
      </c>
      <c r="AG184" s="650">
        <f t="shared" si="76"/>
        <v>0</v>
      </c>
      <c r="AH184" s="650">
        <f t="shared" si="76"/>
        <v>0</v>
      </c>
      <c r="AI184" s="650">
        <f t="shared" si="76"/>
        <v>0</v>
      </c>
      <c r="AJ184" s="650">
        <f t="shared" si="76"/>
        <v>0</v>
      </c>
      <c r="AK184" s="650">
        <f t="shared" si="76"/>
        <v>4241000</v>
      </c>
      <c r="AL184" s="650">
        <f t="shared" si="76"/>
        <v>3517000</v>
      </c>
      <c r="AM184" s="650">
        <f t="shared" si="76"/>
        <v>11735000</v>
      </c>
      <c r="AN184" s="650">
        <f t="shared" si="76"/>
        <v>0</v>
      </c>
      <c r="AO184" s="650">
        <f t="shared" si="76"/>
        <v>20038000</v>
      </c>
      <c r="AP184" s="650">
        <f t="shared" si="76"/>
        <v>0</v>
      </c>
      <c r="AQ184" s="650">
        <f t="shared" si="76"/>
        <v>0</v>
      </c>
      <c r="AR184" s="650">
        <f t="shared" si="76"/>
        <v>39531000</v>
      </c>
      <c r="AS184" s="650">
        <f t="shared" si="76"/>
        <v>33904000</v>
      </c>
      <c r="AT184" s="650">
        <f t="shared" si="76"/>
        <v>539768000</v>
      </c>
      <c r="AU184" s="650">
        <f t="shared" si="76"/>
        <v>0</v>
      </c>
      <c r="AV184" s="650">
        <f t="shared" si="76"/>
        <v>539768000</v>
      </c>
    </row>
    <row r="185" spans="1:48" ht="30" customHeight="1">
      <c r="A185" s="640">
        <v>182</v>
      </c>
      <c r="B185" s="809" t="s">
        <v>1284</v>
      </c>
      <c r="C185" s="628" t="s">
        <v>1274</v>
      </c>
      <c r="D185" s="656">
        <v>389</v>
      </c>
      <c r="E185" s="649">
        <f>PROFORMA!F283</f>
        <v>4595000</v>
      </c>
      <c r="F185" s="649">
        <f>PROFORMA!G283</f>
        <v>0</v>
      </c>
      <c r="G185" s="649">
        <f>PROFORMA!H283</f>
        <v>0</v>
      </c>
      <c r="H185" s="649">
        <f>PROFORMA!I283</f>
        <v>0</v>
      </c>
      <c r="I185" s="649">
        <f>PROFORMA!J283</f>
        <v>0</v>
      </c>
      <c r="J185" s="649">
        <f>PROFORMA!K283</f>
        <v>0</v>
      </c>
      <c r="K185" s="649">
        <f>PROFORMA!L283</f>
        <v>0</v>
      </c>
      <c r="L185" s="649">
        <f>PROFORMA!M283</f>
        <v>0</v>
      </c>
      <c r="M185" s="649">
        <f>PROFORMA!N283</f>
        <v>0</v>
      </c>
      <c r="N185" s="649">
        <f>PROFORMA!O283</f>
        <v>0</v>
      </c>
      <c r="O185" s="649">
        <f>PROFORMA!P283</f>
        <v>0</v>
      </c>
      <c r="P185" s="649">
        <f>PROFORMA!Q283</f>
        <v>0</v>
      </c>
      <c r="Q185" s="649">
        <f>PROFORMA!R283</f>
        <v>0</v>
      </c>
      <c r="R185" s="649">
        <f>PROFORMA!S283</f>
        <v>0</v>
      </c>
      <c r="S185" s="649">
        <f>PROFORMA!T283</f>
        <v>0</v>
      </c>
      <c r="T185" s="649">
        <f>PROFORMA!U283</f>
        <v>0</v>
      </c>
      <c r="U185" s="649">
        <f>PROFORMA!V283</f>
        <v>0</v>
      </c>
      <c r="V185" s="649">
        <f>PROFORMA!W283</f>
        <v>0</v>
      </c>
      <c r="W185" s="649">
        <f>PROFORMA!X283</f>
        <v>0</v>
      </c>
      <c r="X185" s="649">
        <f>PROFORMA!Y283</f>
        <v>393000</v>
      </c>
      <c r="Y185" s="690">
        <f t="shared" si="50"/>
        <v>393000</v>
      </c>
      <c r="Z185" s="649">
        <f>PROFORMA!Z283</f>
        <v>0</v>
      </c>
      <c r="AA185" s="649">
        <f>PROFORMA!AA283</f>
        <v>0</v>
      </c>
      <c r="AB185" s="649">
        <f>PROFORMA!AB283</f>
        <v>0</v>
      </c>
      <c r="AC185" s="649">
        <f>PROFORMA!AC283</f>
        <v>0</v>
      </c>
      <c r="AD185" s="649">
        <f>PROFORMA!AD283</f>
        <v>0</v>
      </c>
      <c r="AE185" s="649">
        <f>PROFORMA!AE283</f>
        <v>0</v>
      </c>
      <c r="AF185" s="649">
        <f>PROFORMA!AF283</f>
        <v>0</v>
      </c>
      <c r="AG185" s="649">
        <f>PROFORMA!AG283</f>
        <v>0</v>
      </c>
      <c r="AH185" s="649">
        <f>PROFORMA!AH283</f>
        <v>0</v>
      </c>
      <c r="AI185" s="649">
        <f>PROFORMA!AI283</f>
        <v>0</v>
      </c>
      <c r="AJ185" s="649">
        <f>PROFORMA!AJ283</f>
        <v>0</v>
      </c>
      <c r="AK185" s="649">
        <f>PROFORMA!AK283</f>
        <v>0</v>
      </c>
      <c r="AL185" s="649">
        <f>PROFORMA!AL283</f>
        <v>0</v>
      </c>
      <c r="AM185" s="649">
        <f>PROFORMA!AM283</f>
        <v>0</v>
      </c>
      <c r="AN185" s="649">
        <f>PROFORMA!AN283</f>
        <v>0</v>
      </c>
      <c r="AO185" s="649">
        <f>PROFORMA!AO283</f>
        <v>0</v>
      </c>
      <c r="AP185" s="649">
        <f>PROFORMA!AP283</f>
        <v>0</v>
      </c>
      <c r="AQ185" s="649">
        <f>PROFORMA!AQ283</f>
        <v>0</v>
      </c>
      <c r="AR185" s="693">
        <f t="shared" si="51"/>
        <v>0</v>
      </c>
      <c r="AS185" s="643">
        <f t="shared" si="52"/>
        <v>393000</v>
      </c>
      <c r="AT185" s="643">
        <f t="shared" si="53"/>
        <v>4988000</v>
      </c>
      <c r="AU185" s="643"/>
      <c r="AV185" s="643">
        <f t="shared" si="54"/>
        <v>4988000</v>
      </c>
    </row>
    <row r="186" spans="1:48">
      <c r="A186" s="640">
        <v>183</v>
      </c>
      <c r="B186" s="809"/>
      <c r="C186" s="628" t="s">
        <v>1271</v>
      </c>
      <c r="D186" s="656">
        <v>390</v>
      </c>
      <c r="E186" s="649">
        <f>PROFORMA!F284</f>
        <v>43153000</v>
      </c>
      <c r="F186" s="649">
        <f>PROFORMA!G284</f>
        <v>0</v>
      </c>
      <c r="G186" s="649">
        <f>PROFORMA!H284</f>
        <v>0</v>
      </c>
      <c r="H186" s="649">
        <f>PROFORMA!I284</f>
        <v>0</v>
      </c>
      <c r="I186" s="649">
        <f>PROFORMA!J284</f>
        <v>0</v>
      </c>
      <c r="J186" s="649">
        <f>PROFORMA!K284</f>
        <v>0</v>
      </c>
      <c r="K186" s="649">
        <f>PROFORMA!L284</f>
        <v>0</v>
      </c>
      <c r="L186" s="649">
        <f>PROFORMA!M284</f>
        <v>0</v>
      </c>
      <c r="M186" s="649">
        <f>PROFORMA!N284</f>
        <v>0</v>
      </c>
      <c r="N186" s="649">
        <f>PROFORMA!O284</f>
        <v>0</v>
      </c>
      <c r="O186" s="649">
        <f>PROFORMA!P284</f>
        <v>0</v>
      </c>
      <c r="P186" s="649">
        <f>PROFORMA!Q284</f>
        <v>0</v>
      </c>
      <c r="Q186" s="649">
        <f>PROFORMA!R284</f>
        <v>0</v>
      </c>
      <c r="R186" s="649">
        <f>PROFORMA!S284</f>
        <v>0</v>
      </c>
      <c r="S186" s="649">
        <f>PROFORMA!T284</f>
        <v>0</v>
      </c>
      <c r="T186" s="649">
        <f>PROFORMA!U284</f>
        <v>0</v>
      </c>
      <c r="U186" s="649">
        <f>PROFORMA!V284</f>
        <v>0</v>
      </c>
      <c r="V186" s="649">
        <f>PROFORMA!W284</f>
        <v>0</v>
      </c>
      <c r="W186" s="649">
        <f>PROFORMA!X284</f>
        <v>0</v>
      </c>
      <c r="X186" s="649">
        <f>PROFORMA!Y284</f>
        <v>3694000</v>
      </c>
      <c r="Y186" s="690">
        <f t="shared" si="50"/>
        <v>3694000</v>
      </c>
      <c r="Z186" s="649">
        <f>PROFORMA!Z284</f>
        <v>0</v>
      </c>
      <c r="AA186" s="649">
        <f>PROFORMA!AA284</f>
        <v>0</v>
      </c>
      <c r="AB186" s="649">
        <f>PROFORMA!AB284</f>
        <v>0</v>
      </c>
      <c r="AC186" s="649">
        <f>PROFORMA!AC284</f>
        <v>0</v>
      </c>
      <c r="AD186" s="649">
        <f>PROFORMA!AD284</f>
        <v>0</v>
      </c>
      <c r="AE186" s="649">
        <f>PROFORMA!AE284</f>
        <v>0</v>
      </c>
      <c r="AF186" s="649">
        <f>PROFORMA!AF284</f>
        <v>0</v>
      </c>
      <c r="AG186" s="649">
        <f>PROFORMA!AG284</f>
        <v>0</v>
      </c>
      <c r="AH186" s="649">
        <f>PROFORMA!AH284</f>
        <v>0</v>
      </c>
      <c r="AI186" s="649">
        <f>PROFORMA!AI284</f>
        <v>0</v>
      </c>
      <c r="AJ186" s="649">
        <f>PROFORMA!AJ284</f>
        <v>6000</v>
      </c>
      <c r="AK186" s="649">
        <f>PROFORMA!AK284</f>
        <v>455000</v>
      </c>
      <c r="AL186" s="649">
        <f>PROFORMA!AL284</f>
        <v>2428000</v>
      </c>
      <c r="AM186" s="649">
        <f>PROFORMA!AM284</f>
        <v>0</v>
      </c>
      <c r="AN186" s="649">
        <f>PROFORMA!AN284</f>
        <v>-379000</v>
      </c>
      <c r="AO186" s="649">
        <f>PROFORMA!AO284</f>
        <v>0</v>
      </c>
      <c r="AP186" s="649">
        <f>PROFORMA!AP284</f>
        <v>0</v>
      </c>
      <c r="AQ186" s="649">
        <f>PROFORMA!AQ284</f>
        <v>0</v>
      </c>
      <c r="AR186" s="693">
        <f t="shared" si="51"/>
        <v>2510000</v>
      </c>
      <c r="AS186" s="643">
        <f t="shared" si="52"/>
        <v>6204000</v>
      </c>
      <c r="AT186" s="643">
        <f t="shared" si="53"/>
        <v>49357000</v>
      </c>
      <c r="AU186" s="643"/>
      <c r="AV186" s="643">
        <f t="shared" si="54"/>
        <v>49357000</v>
      </c>
    </row>
    <row r="187" spans="1:48">
      <c r="A187" s="640">
        <v>184</v>
      </c>
      <c r="B187" s="809"/>
      <c r="C187" s="628" t="s">
        <v>1285</v>
      </c>
      <c r="D187" s="656">
        <v>391</v>
      </c>
      <c r="E187" s="649">
        <f>PROFORMA!F285</f>
        <v>15079000</v>
      </c>
      <c r="F187" s="649">
        <f>PROFORMA!G285</f>
        <v>0</v>
      </c>
      <c r="G187" s="649">
        <f>PROFORMA!H285</f>
        <v>0</v>
      </c>
      <c r="H187" s="649">
        <f>PROFORMA!I285</f>
        <v>0</v>
      </c>
      <c r="I187" s="649">
        <f>PROFORMA!J285</f>
        <v>0</v>
      </c>
      <c r="J187" s="649">
        <f>PROFORMA!K285</f>
        <v>0</v>
      </c>
      <c r="K187" s="649">
        <f>PROFORMA!L285</f>
        <v>0</v>
      </c>
      <c r="L187" s="649">
        <f>PROFORMA!M285</f>
        <v>0</v>
      </c>
      <c r="M187" s="649">
        <f>PROFORMA!N285</f>
        <v>0</v>
      </c>
      <c r="N187" s="649">
        <f>PROFORMA!O285</f>
        <v>0</v>
      </c>
      <c r="O187" s="649">
        <f>PROFORMA!P285</f>
        <v>0</v>
      </c>
      <c r="P187" s="649">
        <f>PROFORMA!Q285</f>
        <v>0</v>
      </c>
      <c r="Q187" s="649">
        <f>PROFORMA!R285</f>
        <v>0</v>
      </c>
      <c r="R187" s="649">
        <f>PROFORMA!S285</f>
        <v>0</v>
      </c>
      <c r="S187" s="649">
        <f>PROFORMA!T285</f>
        <v>0</v>
      </c>
      <c r="T187" s="649">
        <f>PROFORMA!U285</f>
        <v>0</v>
      </c>
      <c r="U187" s="649">
        <f>PROFORMA!V285</f>
        <v>0</v>
      </c>
      <c r="V187" s="649">
        <f>PROFORMA!W285</f>
        <v>0</v>
      </c>
      <c r="W187" s="649">
        <f>PROFORMA!X285</f>
        <v>0</v>
      </c>
      <c r="X187" s="649">
        <f>PROFORMA!Y285</f>
        <v>1290000</v>
      </c>
      <c r="Y187" s="690">
        <f t="shared" si="50"/>
        <v>1290000</v>
      </c>
      <c r="Z187" s="649">
        <f>PROFORMA!Z285</f>
        <v>0</v>
      </c>
      <c r="AA187" s="649">
        <f>PROFORMA!AA285</f>
        <v>0</v>
      </c>
      <c r="AB187" s="649">
        <f>PROFORMA!AB285</f>
        <v>0</v>
      </c>
      <c r="AC187" s="649">
        <f>PROFORMA!AC285</f>
        <v>0</v>
      </c>
      <c r="AD187" s="649">
        <f>PROFORMA!AD285</f>
        <v>0</v>
      </c>
      <c r="AE187" s="649">
        <f>PROFORMA!AE285</f>
        <v>0</v>
      </c>
      <c r="AF187" s="649">
        <f>PROFORMA!AF285</f>
        <v>0</v>
      </c>
      <c r="AG187" s="649">
        <f>PROFORMA!AG285</f>
        <v>0</v>
      </c>
      <c r="AH187" s="649">
        <f>PROFORMA!AH285</f>
        <v>0</v>
      </c>
      <c r="AI187" s="649">
        <f>PROFORMA!AI285</f>
        <v>0</v>
      </c>
      <c r="AJ187" s="649">
        <f>PROFORMA!AJ285</f>
        <v>0</v>
      </c>
      <c r="AK187" s="649">
        <f>PROFORMA!AK285</f>
        <v>0</v>
      </c>
      <c r="AL187" s="649">
        <f>PROFORMA!AL285</f>
        <v>0</v>
      </c>
      <c r="AM187" s="649">
        <f>PROFORMA!AM285</f>
        <v>0</v>
      </c>
      <c r="AN187" s="649">
        <f>PROFORMA!AN285</f>
        <v>0</v>
      </c>
      <c r="AO187" s="649">
        <f>PROFORMA!AO285</f>
        <v>0</v>
      </c>
      <c r="AP187" s="649">
        <f>PROFORMA!AP285</f>
        <v>0</v>
      </c>
      <c r="AQ187" s="649">
        <f>PROFORMA!AQ285</f>
        <v>0</v>
      </c>
      <c r="AR187" s="693">
        <f t="shared" si="51"/>
        <v>0</v>
      </c>
      <c r="AS187" s="643">
        <f t="shared" si="52"/>
        <v>1290000</v>
      </c>
      <c r="AT187" s="643">
        <f t="shared" si="53"/>
        <v>16369000</v>
      </c>
      <c r="AU187" s="643"/>
      <c r="AV187" s="643">
        <f t="shared" si="54"/>
        <v>16369000</v>
      </c>
    </row>
    <row r="188" spans="1:48">
      <c r="A188" s="640">
        <v>185</v>
      </c>
      <c r="B188" s="809"/>
      <c r="C188" s="628" t="s">
        <v>1286</v>
      </c>
      <c r="D188" s="656">
        <v>392</v>
      </c>
      <c r="E188" s="649">
        <f>PROFORMA!F286</f>
        <v>12835000</v>
      </c>
      <c r="F188" s="649">
        <f>PROFORMA!G286</f>
        <v>0</v>
      </c>
      <c r="G188" s="649">
        <f>PROFORMA!H286</f>
        <v>0</v>
      </c>
      <c r="H188" s="649">
        <f>PROFORMA!I286</f>
        <v>0</v>
      </c>
      <c r="I188" s="649">
        <f>PROFORMA!J286</f>
        <v>0</v>
      </c>
      <c r="J188" s="649">
        <f>PROFORMA!K286</f>
        <v>0</v>
      </c>
      <c r="K188" s="649">
        <f>PROFORMA!L286</f>
        <v>0</v>
      </c>
      <c r="L188" s="649">
        <f>PROFORMA!M286</f>
        <v>0</v>
      </c>
      <c r="M188" s="649">
        <f>PROFORMA!N286</f>
        <v>0</v>
      </c>
      <c r="N188" s="649">
        <f>PROFORMA!O286</f>
        <v>0</v>
      </c>
      <c r="O188" s="649">
        <f>PROFORMA!P286</f>
        <v>0</v>
      </c>
      <c r="P188" s="649">
        <f>PROFORMA!Q286</f>
        <v>0</v>
      </c>
      <c r="Q188" s="649">
        <f>PROFORMA!R286</f>
        <v>0</v>
      </c>
      <c r="R188" s="649">
        <f>PROFORMA!S286</f>
        <v>0</v>
      </c>
      <c r="S188" s="649">
        <f>PROFORMA!T286</f>
        <v>0</v>
      </c>
      <c r="T188" s="649">
        <f>PROFORMA!U286</f>
        <v>0</v>
      </c>
      <c r="U188" s="649">
        <f>PROFORMA!V286</f>
        <v>0</v>
      </c>
      <c r="V188" s="649">
        <f>PROFORMA!W286</f>
        <v>0</v>
      </c>
      <c r="W188" s="649">
        <f>PROFORMA!X286</f>
        <v>0</v>
      </c>
      <c r="X188" s="649">
        <f>PROFORMA!Y286</f>
        <v>1098000</v>
      </c>
      <c r="Y188" s="690">
        <f t="shared" si="50"/>
        <v>1098000</v>
      </c>
      <c r="Z188" s="649">
        <f>PROFORMA!Z286</f>
        <v>0</v>
      </c>
      <c r="AA188" s="649">
        <f>PROFORMA!AA286</f>
        <v>0</v>
      </c>
      <c r="AB188" s="649">
        <f>PROFORMA!AB286</f>
        <v>0</v>
      </c>
      <c r="AC188" s="649">
        <f>PROFORMA!AC286</f>
        <v>0</v>
      </c>
      <c r="AD188" s="649">
        <f>PROFORMA!AD286</f>
        <v>0</v>
      </c>
      <c r="AE188" s="649">
        <f>PROFORMA!AE286</f>
        <v>0</v>
      </c>
      <c r="AF188" s="649">
        <f>PROFORMA!AF286</f>
        <v>0</v>
      </c>
      <c r="AG188" s="649">
        <f>PROFORMA!AG286</f>
        <v>0</v>
      </c>
      <c r="AH188" s="649">
        <f>PROFORMA!AH286</f>
        <v>0</v>
      </c>
      <c r="AI188" s="649">
        <f>PROFORMA!AI286</f>
        <v>0</v>
      </c>
      <c r="AJ188" s="649">
        <f>PROFORMA!AJ286</f>
        <v>0</v>
      </c>
      <c r="AK188" s="649">
        <f>PROFORMA!AK286</f>
        <v>0</v>
      </c>
      <c r="AL188" s="649">
        <f>PROFORMA!AL286</f>
        <v>0</v>
      </c>
      <c r="AM188" s="649">
        <f>PROFORMA!AM286</f>
        <v>0</v>
      </c>
      <c r="AN188" s="649">
        <f>PROFORMA!AN286</f>
        <v>0</v>
      </c>
      <c r="AO188" s="649">
        <f>PROFORMA!AO286</f>
        <v>0</v>
      </c>
      <c r="AP188" s="649">
        <f>PROFORMA!AP286</f>
        <v>0</v>
      </c>
      <c r="AQ188" s="649">
        <f>PROFORMA!AQ286</f>
        <v>0</v>
      </c>
      <c r="AR188" s="693">
        <f t="shared" si="51"/>
        <v>0</v>
      </c>
      <c r="AS188" s="643">
        <f t="shared" si="52"/>
        <v>1098000</v>
      </c>
      <c r="AT188" s="643">
        <f t="shared" si="53"/>
        <v>13933000</v>
      </c>
      <c r="AU188" s="643"/>
      <c r="AV188" s="643">
        <f t="shared" si="54"/>
        <v>13933000</v>
      </c>
    </row>
    <row r="189" spans="1:48">
      <c r="A189" s="640">
        <v>186</v>
      </c>
      <c r="B189" s="809"/>
      <c r="C189" s="628" t="s">
        <v>1287</v>
      </c>
      <c r="D189" s="656">
        <v>393</v>
      </c>
      <c r="E189" s="649">
        <f>PROFORMA!F287</f>
        <v>875000</v>
      </c>
      <c r="F189" s="649">
        <f>PROFORMA!G287</f>
        <v>0</v>
      </c>
      <c r="G189" s="649">
        <f>PROFORMA!H287</f>
        <v>0</v>
      </c>
      <c r="H189" s="649">
        <f>PROFORMA!I287</f>
        <v>0</v>
      </c>
      <c r="I189" s="649">
        <f>PROFORMA!J287</f>
        <v>0</v>
      </c>
      <c r="J189" s="649">
        <f>PROFORMA!K287</f>
        <v>0</v>
      </c>
      <c r="K189" s="649">
        <f>PROFORMA!L287</f>
        <v>0</v>
      </c>
      <c r="L189" s="649">
        <f>PROFORMA!M287</f>
        <v>0</v>
      </c>
      <c r="M189" s="649">
        <f>PROFORMA!N287</f>
        <v>0</v>
      </c>
      <c r="N189" s="649">
        <f>PROFORMA!O287</f>
        <v>0</v>
      </c>
      <c r="O189" s="649">
        <f>PROFORMA!P287</f>
        <v>0</v>
      </c>
      <c r="P189" s="649">
        <f>PROFORMA!Q287</f>
        <v>0</v>
      </c>
      <c r="Q189" s="649">
        <f>PROFORMA!R287</f>
        <v>0</v>
      </c>
      <c r="R189" s="649">
        <f>PROFORMA!S287</f>
        <v>0</v>
      </c>
      <c r="S189" s="649">
        <f>PROFORMA!T287</f>
        <v>0</v>
      </c>
      <c r="T189" s="649">
        <f>PROFORMA!U287</f>
        <v>0</v>
      </c>
      <c r="U189" s="649">
        <f>PROFORMA!V287</f>
        <v>0</v>
      </c>
      <c r="V189" s="649">
        <f>PROFORMA!W287</f>
        <v>0</v>
      </c>
      <c r="W189" s="649">
        <f>PROFORMA!X287</f>
        <v>0</v>
      </c>
      <c r="X189" s="649">
        <f>PROFORMA!Y287</f>
        <v>75000</v>
      </c>
      <c r="Y189" s="690">
        <f t="shared" si="50"/>
        <v>75000</v>
      </c>
      <c r="Z189" s="649">
        <f>PROFORMA!Z287</f>
        <v>0</v>
      </c>
      <c r="AA189" s="649">
        <f>PROFORMA!AA287</f>
        <v>0</v>
      </c>
      <c r="AB189" s="649">
        <f>PROFORMA!AB287</f>
        <v>0</v>
      </c>
      <c r="AC189" s="649">
        <f>PROFORMA!AC287</f>
        <v>0</v>
      </c>
      <c r="AD189" s="649">
        <f>PROFORMA!AD287</f>
        <v>0</v>
      </c>
      <c r="AE189" s="649">
        <f>PROFORMA!AE287</f>
        <v>0</v>
      </c>
      <c r="AF189" s="649">
        <f>PROFORMA!AF287</f>
        <v>0</v>
      </c>
      <c r="AG189" s="649">
        <f>PROFORMA!AG287</f>
        <v>0</v>
      </c>
      <c r="AH189" s="649">
        <f>PROFORMA!AH287</f>
        <v>0</v>
      </c>
      <c r="AI189" s="649">
        <f>PROFORMA!AI287</f>
        <v>0</v>
      </c>
      <c r="AJ189" s="649">
        <f>PROFORMA!AJ287</f>
        <v>0</v>
      </c>
      <c r="AK189" s="649">
        <f>PROFORMA!AK287</f>
        <v>0</v>
      </c>
      <c r="AL189" s="649">
        <f>PROFORMA!AL287</f>
        <v>0</v>
      </c>
      <c r="AM189" s="649">
        <f>PROFORMA!AM287</f>
        <v>0</v>
      </c>
      <c r="AN189" s="649">
        <f>PROFORMA!AN287</f>
        <v>0</v>
      </c>
      <c r="AO189" s="649">
        <f>PROFORMA!AO287</f>
        <v>0</v>
      </c>
      <c r="AP189" s="649">
        <f>PROFORMA!AP287</f>
        <v>0</v>
      </c>
      <c r="AQ189" s="649">
        <f>PROFORMA!AQ287</f>
        <v>0</v>
      </c>
      <c r="AR189" s="693">
        <f t="shared" si="51"/>
        <v>0</v>
      </c>
      <c r="AS189" s="643">
        <f t="shared" si="52"/>
        <v>75000</v>
      </c>
      <c r="AT189" s="643">
        <f t="shared" si="53"/>
        <v>950000</v>
      </c>
      <c r="AU189" s="643"/>
      <c r="AV189" s="643">
        <f t="shared" si="54"/>
        <v>950000</v>
      </c>
    </row>
    <row r="190" spans="1:48" ht="15.45" customHeight="1">
      <c r="A190" s="640">
        <v>187</v>
      </c>
      <c r="B190" s="809"/>
      <c r="C190" s="628" t="s">
        <v>1288</v>
      </c>
      <c r="D190" s="656">
        <v>394</v>
      </c>
      <c r="E190" s="649">
        <f>PROFORMA!F288</f>
        <v>6687000</v>
      </c>
      <c r="F190" s="649">
        <f>PROFORMA!G288</f>
        <v>0</v>
      </c>
      <c r="G190" s="649">
        <f>PROFORMA!H288</f>
        <v>0</v>
      </c>
      <c r="H190" s="649">
        <f>PROFORMA!I288</f>
        <v>0</v>
      </c>
      <c r="I190" s="649">
        <f>PROFORMA!J288</f>
        <v>0</v>
      </c>
      <c r="J190" s="649">
        <f>PROFORMA!K288</f>
        <v>0</v>
      </c>
      <c r="K190" s="649">
        <f>PROFORMA!L288</f>
        <v>0</v>
      </c>
      <c r="L190" s="649">
        <f>PROFORMA!M288</f>
        <v>0</v>
      </c>
      <c r="M190" s="649">
        <f>PROFORMA!N288</f>
        <v>0</v>
      </c>
      <c r="N190" s="649">
        <f>PROFORMA!O288</f>
        <v>0</v>
      </c>
      <c r="O190" s="649">
        <f>PROFORMA!P288</f>
        <v>0</v>
      </c>
      <c r="P190" s="649">
        <f>PROFORMA!Q288</f>
        <v>0</v>
      </c>
      <c r="Q190" s="649">
        <f>PROFORMA!R288</f>
        <v>0</v>
      </c>
      <c r="R190" s="649">
        <f>PROFORMA!S288</f>
        <v>0</v>
      </c>
      <c r="S190" s="649">
        <f>PROFORMA!T288</f>
        <v>0</v>
      </c>
      <c r="T190" s="649">
        <f>PROFORMA!U288</f>
        <v>0</v>
      </c>
      <c r="U190" s="649">
        <f>PROFORMA!V288</f>
        <v>0</v>
      </c>
      <c r="V190" s="649">
        <f>PROFORMA!W288</f>
        <v>0</v>
      </c>
      <c r="W190" s="649">
        <f>PROFORMA!X288</f>
        <v>0</v>
      </c>
      <c r="X190" s="649">
        <f>PROFORMA!Y288</f>
        <v>572000</v>
      </c>
      <c r="Y190" s="690">
        <f t="shared" si="50"/>
        <v>572000</v>
      </c>
      <c r="Z190" s="649">
        <f>PROFORMA!Z288</f>
        <v>0</v>
      </c>
      <c r="AA190" s="649">
        <f>PROFORMA!AA288</f>
        <v>0</v>
      </c>
      <c r="AB190" s="649">
        <f>PROFORMA!AB288</f>
        <v>0</v>
      </c>
      <c r="AC190" s="649">
        <f>PROFORMA!AC288</f>
        <v>0</v>
      </c>
      <c r="AD190" s="649">
        <f>PROFORMA!AD288</f>
        <v>0</v>
      </c>
      <c r="AE190" s="649">
        <f>PROFORMA!AE288</f>
        <v>0</v>
      </c>
      <c r="AF190" s="649">
        <f>PROFORMA!AF288</f>
        <v>0</v>
      </c>
      <c r="AG190" s="649">
        <f>PROFORMA!AG288</f>
        <v>0</v>
      </c>
      <c r="AH190" s="649">
        <f>PROFORMA!AH288</f>
        <v>0</v>
      </c>
      <c r="AI190" s="649">
        <f>PROFORMA!AI288</f>
        <v>0</v>
      </c>
      <c r="AJ190" s="649">
        <f>PROFORMA!AJ288</f>
        <v>0</v>
      </c>
      <c r="AK190" s="649">
        <f>PROFORMA!AK288</f>
        <v>0</v>
      </c>
      <c r="AL190" s="649">
        <f>PROFORMA!AL288</f>
        <v>0</v>
      </c>
      <c r="AM190" s="649">
        <f>PROFORMA!AM288</f>
        <v>0</v>
      </c>
      <c r="AN190" s="649">
        <f>PROFORMA!AN288</f>
        <v>0</v>
      </c>
      <c r="AO190" s="649">
        <f>PROFORMA!AO288</f>
        <v>0</v>
      </c>
      <c r="AP190" s="649">
        <f>PROFORMA!AP288</f>
        <v>0</v>
      </c>
      <c r="AQ190" s="649">
        <f>PROFORMA!AQ288</f>
        <v>0</v>
      </c>
      <c r="AR190" s="693">
        <f t="shared" si="51"/>
        <v>0</v>
      </c>
      <c r="AS190" s="643">
        <f t="shared" si="52"/>
        <v>572000</v>
      </c>
      <c r="AT190" s="643">
        <f t="shared" si="53"/>
        <v>7259000</v>
      </c>
      <c r="AU190" s="643"/>
      <c r="AV190" s="643">
        <f t="shared" si="54"/>
        <v>7259000</v>
      </c>
    </row>
    <row r="191" spans="1:48">
      <c r="A191" s="640">
        <v>188</v>
      </c>
      <c r="B191" s="809"/>
      <c r="C191" s="628" t="s">
        <v>1289</v>
      </c>
      <c r="D191" s="656">
        <v>395</v>
      </c>
      <c r="E191" s="649">
        <f>PROFORMA!F289</f>
        <v>439000</v>
      </c>
      <c r="F191" s="649">
        <f>PROFORMA!G289</f>
        <v>0</v>
      </c>
      <c r="G191" s="649">
        <f>PROFORMA!H289</f>
        <v>0</v>
      </c>
      <c r="H191" s="649">
        <f>PROFORMA!I289</f>
        <v>0</v>
      </c>
      <c r="I191" s="649">
        <f>PROFORMA!J289</f>
        <v>0</v>
      </c>
      <c r="J191" s="649">
        <f>PROFORMA!K289</f>
        <v>0</v>
      </c>
      <c r="K191" s="649">
        <f>PROFORMA!L289</f>
        <v>0</v>
      </c>
      <c r="L191" s="649">
        <f>PROFORMA!M289</f>
        <v>0</v>
      </c>
      <c r="M191" s="649">
        <f>PROFORMA!N289</f>
        <v>0</v>
      </c>
      <c r="N191" s="649">
        <f>PROFORMA!O289</f>
        <v>0</v>
      </c>
      <c r="O191" s="649">
        <f>PROFORMA!P289</f>
        <v>0</v>
      </c>
      <c r="P191" s="649">
        <f>PROFORMA!Q289</f>
        <v>0</v>
      </c>
      <c r="Q191" s="649">
        <f>PROFORMA!R289</f>
        <v>0</v>
      </c>
      <c r="R191" s="649">
        <f>PROFORMA!S289</f>
        <v>0</v>
      </c>
      <c r="S191" s="649">
        <f>PROFORMA!T289</f>
        <v>0</v>
      </c>
      <c r="T191" s="649">
        <f>PROFORMA!U289</f>
        <v>0</v>
      </c>
      <c r="U191" s="649">
        <f>PROFORMA!V289</f>
        <v>0</v>
      </c>
      <c r="V191" s="649">
        <f>PROFORMA!W289</f>
        <v>0</v>
      </c>
      <c r="W191" s="649">
        <f>PROFORMA!X289</f>
        <v>0</v>
      </c>
      <c r="X191" s="649">
        <f>PROFORMA!Y289</f>
        <v>38000</v>
      </c>
      <c r="Y191" s="690">
        <f t="shared" si="50"/>
        <v>38000</v>
      </c>
      <c r="Z191" s="649">
        <f>PROFORMA!Z289</f>
        <v>0</v>
      </c>
      <c r="AA191" s="649">
        <f>PROFORMA!AA289</f>
        <v>0</v>
      </c>
      <c r="AB191" s="649">
        <f>PROFORMA!AB289</f>
        <v>0</v>
      </c>
      <c r="AC191" s="649">
        <f>PROFORMA!AC289</f>
        <v>0</v>
      </c>
      <c r="AD191" s="649">
        <f>PROFORMA!AD289</f>
        <v>0</v>
      </c>
      <c r="AE191" s="649">
        <f>PROFORMA!AE289</f>
        <v>0</v>
      </c>
      <c r="AF191" s="649">
        <f>PROFORMA!AF289</f>
        <v>0</v>
      </c>
      <c r="AG191" s="649">
        <f>PROFORMA!AG289</f>
        <v>0</v>
      </c>
      <c r="AH191" s="649">
        <f>PROFORMA!AH289</f>
        <v>0</v>
      </c>
      <c r="AI191" s="649">
        <f>PROFORMA!AI289</f>
        <v>0</v>
      </c>
      <c r="AJ191" s="649">
        <f>PROFORMA!AJ289</f>
        <v>0</v>
      </c>
      <c r="AK191" s="649">
        <f>PROFORMA!AK289</f>
        <v>0</v>
      </c>
      <c r="AL191" s="649">
        <f>PROFORMA!AL289</f>
        <v>0</v>
      </c>
      <c r="AM191" s="649">
        <f>PROFORMA!AM289</f>
        <v>0</v>
      </c>
      <c r="AN191" s="649">
        <f>PROFORMA!AN289</f>
        <v>0</v>
      </c>
      <c r="AO191" s="649">
        <f>PROFORMA!AO289</f>
        <v>0</v>
      </c>
      <c r="AP191" s="649">
        <f>PROFORMA!AP289</f>
        <v>0</v>
      </c>
      <c r="AQ191" s="649">
        <f>PROFORMA!AQ289</f>
        <v>0</v>
      </c>
      <c r="AR191" s="693">
        <f t="shared" si="51"/>
        <v>0</v>
      </c>
      <c r="AS191" s="643">
        <f t="shared" si="52"/>
        <v>38000</v>
      </c>
      <c r="AT191" s="643">
        <f t="shared" si="53"/>
        <v>477000</v>
      </c>
      <c r="AU191" s="643"/>
      <c r="AV191" s="643">
        <f t="shared" si="54"/>
        <v>477000</v>
      </c>
    </row>
    <row r="192" spans="1:48">
      <c r="A192" s="640">
        <v>189</v>
      </c>
      <c r="B192" s="809"/>
      <c r="C192" s="628" t="s">
        <v>1290</v>
      </c>
      <c r="D192" s="656">
        <v>396</v>
      </c>
      <c r="E192" s="649">
        <f>PROFORMA!F290</f>
        <v>3250000</v>
      </c>
      <c r="F192" s="649">
        <f>PROFORMA!G290</f>
        <v>0</v>
      </c>
      <c r="G192" s="649">
        <f>PROFORMA!H290</f>
        <v>0</v>
      </c>
      <c r="H192" s="649">
        <f>PROFORMA!I290</f>
        <v>0</v>
      </c>
      <c r="I192" s="649">
        <f>PROFORMA!J290</f>
        <v>0</v>
      </c>
      <c r="J192" s="649">
        <f>PROFORMA!K290</f>
        <v>0</v>
      </c>
      <c r="K192" s="649">
        <f>PROFORMA!L290</f>
        <v>0</v>
      </c>
      <c r="L192" s="649">
        <f>PROFORMA!M290</f>
        <v>0</v>
      </c>
      <c r="M192" s="649">
        <f>PROFORMA!N290</f>
        <v>0</v>
      </c>
      <c r="N192" s="649">
        <f>PROFORMA!O290</f>
        <v>0</v>
      </c>
      <c r="O192" s="649">
        <f>PROFORMA!P290</f>
        <v>0</v>
      </c>
      <c r="P192" s="649">
        <f>PROFORMA!Q290</f>
        <v>0</v>
      </c>
      <c r="Q192" s="649">
        <f>PROFORMA!R290</f>
        <v>0</v>
      </c>
      <c r="R192" s="649">
        <f>PROFORMA!S290</f>
        <v>0</v>
      </c>
      <c r="S192" s="649">
        <f>PROFORMA!T290</f>
        <v>0</v>
      </c>
      <c r="T192" s="649">
        <f>PROFORMA!U290</f>
        <v>0</v>
      </c>
      <c r="U192" s="649">
        <f>PROFORMA!V290</f>
        <v>0</v>
      </c>
      <c r="V192" s="649">
        <f>PROFORMA!W290</f>
        <v>0</v>
      </c>
      <c r="W192" s="649">
        <f>PROFORMA!X290</f>
        <v>0</v>
      </c>
      <c r="X192" s="649">
        <f>PROFORMA!Y290</f>
        <v>278000</v>
      </c>
      <c r="Y192" s="690">
        <f t="shared" si="50"/>
        <v>278000</v>
      </c>
      <c r="Z192" s="649">
        <f>PROFORMA!Z290</f>
        <v>0</v>
      </c>
      <c r="AA192" s="649">
        <f>PROFORMA!AA290</f>
        <v>0</v>
      </c>
      <c r="AB192" s="649">
        <f>PROFORMA!AB290</f>
        <v>0</v>
      </c>
      <c r="AC192" s="649">
        <f>PROFORMA!AC290</f>
        <v>0</v>
      </c>
      <c r="AD192" s="649">
        <f>PROFORMA!AD290</f>
        <v>0</v>
      </c>
      <c r="AE192" s="649">
        <f>PROFORMA!AE290</f>
        <v>0</v>
      </c>
      <c r="AF192" s="649">
        <f>PROFORMA!AF290</f>
        <v>0</v>
      </c>
      <c r="AG192" s="649">
        <f>PROFORMA!AG290</f>
        <v>0</v>
      </c>
      <c r="AH192" s="649">
        <f>PROFORMA!AH290</f>
        <v>0</v>
      </c>
      <c r="AI192" s="649">
        <f>PROFORMA!AI290</f>
        <v>0</v>
      </c>
      <c r="AJ192" s="649">
        <f>PROFORMA!AJ290</f>
        <v>0</v>
      </c>
      <c r="AK192" s="649">
        <f>PROFORMA!AK290</f>
        <v>0</v>
      </c>
      <c r="AL192" s="649">
        <f>PROFORMA!AL290</f>
        <v>0</v>
      </c>
      <c r="AM192" s="649">
        <f>PROFORMA!AM290</f>
        <v>0</v>
      </c>
      <c r="AN192" s="649">
        <f>PROFORMA!AN290</f>
        <v>0</v>
      </c>
      <c r="AO192" s="649">
        <f>PROFORMA!AO290</f>
        <v>0</v>
      </c>
      <c r="AP192" s="649">
        <f>PROFORMA!AP290</f>
        <v>0</v>
      </c>
      <c r="AQ192" s="649">
        <f>PROFORMA!AQ290</f>
        <v>0</v>
      </c>
      <c r="AR192" s="693">
        <f t="shared" si="51"/>
        <v>0</v>
      </c>
      <c r="AS192" s="643">
        <f t="shared" si="52"/>
        <v>278000</v>
      </c>
      <c r="AT192" s="643">
        <f t="shared" si="53"/>
        <v>3528000</v>
      </c>
      <c r="AU192" s="643"/>
      <c r="AV192" s="643">
        <f t="shared" si="54"/>
        <v>3528000</v>
      </c>
    </row>
    <row r="193" spans="1:48">
      <c r="A193" s="640">
        <v>190</v>
      </c>
      <c r="B193" s="809"/>
      <c r="C193" s="628" t="s">
        <v>1275</v>
      </c>
      <c r="D193" s="656">
        <v>397</v>
      </c>
      <c r="E193" s="649">
        <f>PROFORMA!F291</f>
        <v>12227000</v>
      </c>
      <c r="F193" s="649">
        <f>PROFORMA!G291</f>
        <v>0</v>
      </c>
      <c r="G193" s="649">
        <f>PROFORMA!H291</f>
        <v>0</v>
      </c>
      <c r="H193" s="649">
        <f>PROFORMA!I291</f>
        <v>0</v>
      </c>
      <c r="I193" s="649">
        <f>PROFORMA!J291</f>
        <v>-11292000</v>
      </c>
      <c r="J193" s="649">
        <f>PROFORMA!K291</f>
        <v>0</v>
      </c>
      <c r="K193" s="649">
        <f>PROFORMA!L291</f>
        <v>0</v>
      </c>
      <c r="L193" s="649">
        <f>PROFORMA!M291</f>
        <v>0</v>
      </c>
      <c r="M193" s="649">
        <f>PROFORMA!N291</f>
        <v>0</v>
      </c>
      <c r="N193" s="649">
        <f>PROFORMA!O291</f>
        <v>0</v>
      </c>
      <c r="O193" s="649">
        <f>PROFORMA!P291</f>
        <v>0</v>
      </c>
      <c r="P193" s="649">
        <f>PROFORMA!Q291</f>
        <v>0</v>
      </c>
      <c r="Q193" s="649">
        <f>PROFORMA!R291</f>
        <v>0</v>
      </c>
      <c r="R193" s="649">
        <f>PROFORMA!S291</f>
        <v>0</v>
      </c>
      <c r="S193" s="649">
        <f>PROFORMA!T291</f>
        <v>0</v>
      </c>
      <c r="T193" s="649">
        <f>PROFORMA!U291</f>
        <v>0</v>
      </c>
      <c r="U193" s="649">
        <f>PROFORMA!V291</f>
        <v>0</v>
      </c>
      <c r="V193" s="649">
        <f>PROFORMA!W291</f>
        <v>0</v>
      </c>
      <c r="W193" s="649">
        <f>PROFORMA!X291</f>
        <v>0</v>
      </c>
      <c r="X193" s="649">
        <f>PROFORMA!Y291</f>
        <v>1046000</v>
      </c>
      <c r="Y193" s="690">
        <f t="shared" si="50"/>
        <v>-10246000</v>
      </c>
      <c r="Z193" s="649">
        <f>PROFORMA!Z291</f>
        <v>0</v>
      </c>
      <c r="AA193" s="649">
        <f>PROFORMA!AA291</f>
        <v>0</v>
      </c>
      <c r="AB193" s="649">
        <f>PROFORMA!AB291</f>
        <v>0</v>
      </c>
      <c r="AC193" s="649">
        <f>PROFORMA!AC291</f>
        <v>0</v>
      </c>
      <c r="AD193" s="649">
        <f>PROFORMA!AD291</f>
        <v>0</v>
      </c>
      <c r="AE193" s="649">
        <f>PROFORMA!AE291</f>
        <v>0</v>
      </c>
      <c r="AF193" s="649">
        <f>PROFORMA!AF291</f>
        <v>0</v>
      </c>
      <c r="AG193" s="649">
        <f>PROFORMA!AG291</f>
        <v>0</v>
      </c>
      <c r="AH193" s="649">
        <f>PROFORMA!AH291</f>
        <v>0</v>
      </c>
      <c r="AI193" s="649">
        <f>PROFORMA!AI291</f>
        <v>0</v>
      </c>
      <c r="AJ193" s="649">
        <f>PROFORMA!AJ291</f>
        <v>0</v>
      </c>
      <c r="AK193" s="649">
        <f>PROFORMA!AK291</f>
        <v>0</v>
      </c>
      <c r="AL193" s="649">
        <f>PROFORMA!AL291</f>
        <v>0</v>
      </c>
      <c r="AM193" s="649">
        <f>PROFORMA!AM291</f>
        <v>0</v>
      </c>
      <c r="AN193" s="649">
        <f>PROFORMA!AN291</f>
        <v>0</v>
      </c>
      <c r="AO193" s="649">
        <f>PROFORMA!AO291</f>
        <v>4660392</v>
      </c>
      <c r="AP193" s="649">
        <f>PROFORMA!AP291</f>
        <v>0</v>
      </c>
      <c r="AQ193" s="649">
        <f>PROFORMA!AQ291</f>
        <v>0</v>
      </c>
      <c r="AR193" s="693">
        <f t="shared" si="51"/>
        <v>4660392</v>
      </c>
      <c r="AS193" s="643">
        <f t="shared" si="52"/>
        <v>-5585608</v>
      </c>
      <c r="AT193" s="643">
        <f t="shared" si="53"/>
        <v>6641392</v>
      </c>
      <c r="AU193" s="643"/>
      <c r="AV193" s="643">
        <f t="shared" si="54"/>
        <v>6641392</v>
      </c>
    </row>
    <row r="194" spans="1:48">
      <c r="A194" s="640">
        <v>191</v>
      </c>
      <c r="B194" s="809"/>
      <c r="C194" s="628" t="s">
        <v>1291</v>
      </c>
      <c r="D194" s="656">
        <v>398</v>
      </c>
      <c r="E194" s="685">
        <f>PROFORMA!F292</f>
        <v>89000</v>
      </c>
      <c r="F194" s="685">
        <f>PROFORMA!G292</f>
        <v>0</v>
      </c>
      <c r="G194" s="685">
        <f>PROFORMA!H292</f>
        <v>0</v>
      </c>
      <c r="H194" s="685">
        <f>PROFORMA!I292</f>
        <v>0</v>
      </c>
      <c r="I194" s="685">
        <f>PROFORMA!J292</f>
        <v>0</v>
      </c>
      <c r="J194" s="685">
        <f>PROFORMA!K292</f>
        <v>0</v>
      </c>
      <c r="K194" s="685">
        <f>PROFORMA!L292</f>
        <v>0</v>
      </c>
      <c r="L194" s="685">
        <f>PROFORMA!M292</f>
        <v>0</v>
      </c>
      <c r="M194" s="685">
        <f>PROFORMA!N292</f>
        <v>0</v>
      </c>
      <c r="N194" s="685">
        <f>PROFORMA!O292</f>
        <v>0</v>
      </c>
      <c r="O194" s="685">
        <f>PROFORMA!P292</f>
        <v>0</v>
      </c>
      <c r="P194" s="685">
        <f>PROFORMA!Q292</f>
        <v>0</v>
      </c>
      <c r="Q194" s="685">
        <f>PROFORMA!R292</f>
        <v>0</v>
      </c>
      <c r="R194" s="685">
        <f>PROFORMA!S292</f>
        <v>0</v>
      </c>
      <c r="S194" s="685">
        <f>PROFORMA!T292</f>
        <v>0</v>
      </c>
      <c r="T194" s="685">
        <f>PROFORMA!U292</f>
        <v>0</v>
      </c>
      <c r="U194" s="685">
        <f>PROFORMA!V292</f>
        <v>0</v>
      </c>
      <c r="V194" s="685">
        <f>PROFORMA!W292</f>
        <v>0</v>
      </c>
      <c r="W194" s="685">
        <f>PROFORMA!X292</f>
        <v>0</v>
      </c>
      <c r="X194" s="685">
        <f>PROFORMA!Y292</f>
        <v>8000</v>
      </c>
      <c r="Y194" s="691">
        <f t="shared" si="50"/>
        <v>8000</v>
      </c>
      <c r="Z194" s="685">
        <f>PROFORMA!Z292</f>
        <v>0</v>
      </c>
      <c r="AA194" s="685">
        <f>PROFORMA!AA292</f>
        <v>0</v>
      </c>
      <c r="AB194" s="685">
        <f>PROFORMA!AB292</f>
        <v>0</v>
      </c>
      <c r="AC194" s="685">
        <f>PROFORMA!AC292</f>
        <v>0</v>
      </c>
      <c r="AD194" s="685">
        <f>PROFORMA!AD292</f>
        <v>0</v>
      </c>
      <c r="AE194" s="685">
        <f>PROFORMA!AE292</f>
        <v>0</v>
      </c>
      <c r="AF194" s="685">
        <f>PROFORMA!AF292</f>
        <v>0</v>
      </c>
      <c r="AG194" s="685">
        <f>PROFORMA!AG292</f>
        <v>0</v>
      </c>
      <c r="AH194" s="685">
        <f>PROFORMA!AH292</f>
        <v>0</v>
      </c>
      <c r="AI194" s="685">
        <f>PROFORMA!AI292</f>
        <v>0</v>
      </c>
      <c r="AJ194" s="685">
        <f>PROFORMA!AJ292</f>
        <v>0</v>
      </c>
      <c r="AK194" s="685">
        <f>PROFORMA!AK292</f>
        <v>0</v>
      </c>
      <c r="AL194" s="685">
        <f>PROFORMA!AL292</f>
        <v>0</v>
      </c>
      <c r="AM194" s="685">
        <f>PROFORMA!AM292</f>
        <v>0</v>
      </c>
      <c r="AN194" s="685">
        <f>PROFORMA!AN292</f>
        <v>0</v>
      </c>
      <c r="AO194" s="685">
        <f>PROFORMA!AO292</f>
        <v>0</v>
      </c>
      <c r="AP194" s="685">
        <f>PROFORMA!AP292</f>
        <v>0</v>
      </c>
      <c r="AQ194" s="685">
        <f>PROFORMA!AQ292</f>
        <v>0</v>
      </c>
      <c r="AR194" s="694">
        <f t="shared" si="51"/>
        <v>0</v>
      </c>
      <c r="AS194" s="692">
        <f t="shared" si="52"/>
        <v>8000</v>
      </c>
      <c r="AT194" s="692">
        <f t="shared" si="53"/>
        <v>97000</v>
      </c>
      <c r="AU194" s="692"/>
      <c r="AV194" s="692">
        <f t="shared" si="54"/>
        <v>97000</v>
      </c>
    </row>
    <row r="195" spans="1:48">
      <c r="A195" s="640">
        <v>192</v>
      </c>
      <c r="B195" s="630"/>
      <c r="C195" s="632" t="s">
        <v>1292</v>
      </c>
      <c r="D195" s="632"/>
      <c r="E195" s="650">
        <f>SUM(E185:E194)</f>
        <v>99229000</v>
      </c>
      <c r="F195" s="650">
        <f t="shared" ref="F195:X195" si="77">SUM(F185:F194)</f>
        <v>0</v>
      </c>
      <c r="G195" s="650">
        <f t="shared" si="77"/>
        <v>0</v>
      </c>
      <c r="H195" s="650">
        <f t="shared" si="77"/>
        <v>0</v>
      </c>
      <c r="I195" s="650">
        <f t="shared" si="77"/>
        <v>-11292000</v>
      </c>
      <c r="J195" s="650">
        <f t="shared" si="77"/>
        <v>0</v>
      </c>
      <c r="K195" s="650">
        <f t="shared" si="77"/>
        <v>0</v>
      </c>
      <c r="L195" s="650">
        <f t="shared" si="77"/>
        <v>0</v>
      </c>
      <c r="M195" s="650">
        <f t="shared" si="77"/>
        <v>0</v>
      </c>
      <c r="N195" s="650">
        <f t="shared" si="77"/>
        <v>0</v>
      </c>
      <c r="O195" s="650">
        <f t="shared" si="77"/>
        <v>0</v>
      </c>
      <c r="P195" s="650">
        <f t="shared" si="77"/>
        <v>0</v>
      </c>
      <c r="Q195" s="650">
        <f t="shared" si="77"/>
        <v>0</v>
      </c>
      <c r="R195" s="650">
        <f t="shared" si="77"/>
        <v>0</v>
      </c>
      <c r="S195" s="650">
        <f t="shared" si="77"/>
        <v>0</v>
      </c>
      <c r="T195" s="650">
        <f t="shared" si="77"/>
        <v>0</v>
      </c>
      <c r="U195" s="650">
        <f t="shared" si="77"/>
        <v>0</v>
      </c>
      <c r="V195" s="650">
        <f t="shared" si="77"/>
        <v>0</v>
      </c>
      <c r="W195" s="650">
        <f t="shared" si="77"/>
        <v>0</v>
      </c>
      <c r="X195" s="650">
        <f t="shared" si="77"/>
        <v>8492000</v>
      </c>
      <c r="Y195" s="690">
        <f t="shared" si="50"/>
        <v>-2800000</v>
      </c>
      <c r="Z195" s="650">
        <f t="shared" ref="Z195:AV195" si="78">SUM(Z185:Z194)</f>
        <v>0</v>
      </c>
      <c r="AA195" s="650">
        <f t="shared" si="78"/>
        <v>0</v>
      </c>
      <c r="AB195" s="650">
        <f t="shared" si="78"/>
        <v>0</v>
      </c>
      <c r="AC195" s="650">
        <f t="shared" si="78"/>
        <v>0</v>
      </c>
      <c r="AD195" s="650">
        <f t="shared" si="78"/>
        <v>0</v>
      </c>
      <c r="AE195" s="650">
        <f t="shared" si="78"/>
        <v>0</v>
      </c>
      <c r="AF195" s="650">
        <f t="shared" si="78"/>
        <v>0</v>
      </c>
      <c r="AG195" s="650">
        <f t="shared" si="78"/>
        <v>0</v>
      </c>
      <c r="AH195" s="650">
        <f t="shared" si="78"/>
        <v>0</v>
      </c>
      <c r="AI195" s="650">
        <f t="shared" si="78"/>
        <v>0</v>
      </c>
      <c r="AJ195" s="650">
        <f t="shared" si="78"/>
        <v>6000</v>
      </c>
      <c r="AK195" s="650">
        <f t="shared" si="78"/>
        <v>455000</v>
      </c>
      <c r="AL195" s="650">
        <f t="shared" si="78"/>
        <v>2428000</v>
      </c>
      <c r="AM195" s="650">
        <f t="shared" si="78"/>
        <v>0</v>
      </c>
      <c r="AN195" s="650">
        <f t="shared" si="78"/>
        <v>-379000</v>
      </c>
      <c r="AO195" s="650">
        <f t="shared" si="78"/>
        <v>4660392</v>
      </c>
      <c r="AP195" s="650">
        <f t="shared" si="78"/>
        <v>0</v>
      </c>
      <c r="AQ195" s="650">
        <f t="shared" si="78"/>
        <v>0</v>
      </c>
      <c r="AR195" s="650">
        <f t="shared" si="78"/>
        <v>7170392</v>
      </c>
      <c r="AS195" s="650">
        <f t="shared" si="78"/>
        <v>4370392</v>
      </c>
      <c r="AT195" s="650">
        <f t="shared" si="78"/>
        <v>103599392</v>
      </c>
      <c r="AU195" s="650">
        <f t="shared" si="78"/>
        <v>0</v>
      </c>
      <c r="AV195" s="650">
        <f t="shared" si="78"/>
        <v>103599392</v>
      </c>
    </row>
    <row r="196" spans="1:48">
      <c r="A196" s="640">
        <v>193</v>
      </c>
      <c r="B196" s="630"/>
      <c r="C196" s="675"/>
      <c r="D196" s="675"/>
      <c r="E196" s="650"/>
      <c r="F196" s="650"/>
      <c r="G196" s="650"/>
      <c r="H196" s="650"/>
      <c r="I196" s="650"/>
      <c r="J196" s="650"/>
      <c r="K196" s="650"/>
      <c r="L196" s="650"/>
      <c r="M196" s="650"/>
      <c r="N196" s="650"/>
      <c r="O196" s="650"/>
      <c r="P196" s="650"/>
      <c r="Q196" s="650"/>
      <c r="R196" s="650"/>
      <c r="S196" s="650"/>
      <c r="T196" s="650"/>
      <c r="U196" s="650"/>
      <c r="V196" s="650"/>
      <c r="W196" s="650"/>
      <c r="X196" s="650"/>
      <c r="Y196" s="690">
        <f t="shared" si="50"/>
        <v>0</v>
      </c>
      <c r="Z196" s="650"/>
      <c r="AA196" s="650"/>
      <c r="AB196" s="650"/>
      <c r="AC196" s="650"/>
      <c r="AD196" s="650"/>
      <c r="AE196" s="650"/>
      <c r="AF196" s="650"/>
      <c r="AG196" s="650"/>
      <c r="AH196" s="650"/>
      <c r="AI196" s="650"/>
      <c r="AJ196" s="650"/>
      <c r="AK196" s="650"/>
      <c r="AL196" s="650"/>
      <c r="AM196" s="650"/>
      <c r="AN196" s="650"/>
      <c r="AO196" s="650"/>
      <c r="AP196" s="650"/>
      <c r="AQ196" s="650"/>
      <c r="AR196" s="693">
        <f t="shared" si="51"/>
        <v>0</v>
      </c>
      <c r="AS196" s="643">
        <f t="shared" si="52"/>
        <v>0</v>
      </c>
      <c r="AT196" s="643">
        <f t="shared" si="53"/>
        <v>0</v>
      </c>
      <c r="AU196" s="643"/>
      <c r="AV196" s="643">
        <f t="shared" si="54"/>
        <v>0</v>
      </c>
    </row>
    <row r="197" spans="1:48">
      <c r="A197" s="640">
        <v>194</v>
      </c>
      <c r="B197" s="607"/>
      <c r="C197" s="677" t="s">
        <v>1254</v>
      </c>
      <c r="D197" s="677"/>
      <c r="E197" s="650">
        <f>E195+E184+E171+E162</f>
        <v>677239000</v>
      </c>
      <c r="F197" s="650">
        <f t="shared" ref="F197:X197" si="79">F195+F184+F171+F162</f>
        <v>0</v>
      </c>
      <c r="G197" s="650">
        <f t="shared" si="79"/>
        <v>0</v>
      </c>
      <c r="H197" s="650">
        <f t="shared" si="79"/>
        <v>0</v>
      </c>
      <c r="I197" s="650">
        <f t="shared" si="79"/>
        <v>-21328000</v>
      </c>
      <c r="J197" s="650">
        <f t="shared" si="79"/>
        <v>0</v>
      </c>
      <c r="K197" s="650">
        <f t="shared" si="79"/>
        <v>0</v>
      </c>
      <c r="L197" s="650">
        <f t="shared" si="79"/>
        <v>0</v>
      </c>
      <c r="M197" s="650">
        <f t="shared" si="79"/>
        <v>0</v>
      </c>
      <c r="N197" s="650">
        <f t="shared" si="79"/>
        <v>0</v>
      </c>
      <c r="O197" s="650">
        <f t="shared" si="79"/>
        <v>0</v>
      </c>
      <c r="P197" s="650">
        <f t="shared" si="79"/>
        <v>0</v>
      </c>
      <c r="Q197" s="650">
        <f t="shared" si="79"/>
        <v>0</v>
      </c>
      <c r="R197" s="650">
        <f t="shared" si="79"/>
        <v>0</v>
      </c>
      <c r="S197" s="650">
        <f t="shared" si="79"/>
        <v>0</v>
      </c>
      <c r="T197" s="650">
        <f t="shared" si="79"/>
        <v>0</v>
      </c>
      <c r="U197" s="650">
        <f t="shared" si="79"/>
        <v>0</v>
      </c>
      <c r="V197" s="650">
        <f t="shared" si="79"/>
        <v>0</v>
      </c>
      <c r="W197" s="650">
        <f t="shared" si="79"/>
        <v>0</v>
      </c>
      <c r="X197" s="650">
        <f t="shared" si="79"/>
        <v>13601000</v>
      </c>
      <c r="Y197" s="690">
        <f t="shared" si="50"/>
        <v>-7727000</v>
      </c>
      <c r="Z197" s="650">
        <f>Z195+Z184+Z171+Z162</f>
        <v>0</v>
      </c>
      <c r="AA197" s="650">
        <f t="shared" ref="AA197:AV197" si="80">AA195+AA184+AA171+AA162</f>
        <v>0</v>
      </c>
      <c r="AB197" s="650">
        <f t="shared" si="80"/>
        <v>0</v>
      </c>
      <c r="AC197" s="650">
        <f t="shared" si="80"/>
        <v>0</v>
      </c>
      <c r="AD197" s="650">
        <f t="shared" si="80"/>
        <v>0</v>
      </c>
      <c r="AE197" s="650">
        <f t="shared" si="80"/>
        <v>0</v>
      </c>
      <c r="AF197" s="650">
        <f t="shared" si="80"/>
        <v>0</v>
      </c>
      <c r="AG197" s="650">
        <f t="shared" si="80"/>
        <v>0</v>
      </c>
      <c r="AH197" s="650">
        <f t="shared" si="80"/>
        <v>0</v>
      </c>
      <c r="AI197" s="650">
        <f t="shared" si="80"/>
        <v>0</v>
      </c>
      <c r="AJ197" s="650">
        <f t="shared" si="80"/>
        <v>1393000</v>
      </c>
      <c r="AK197" s="650">
        <f t="shared" si="80"/>
        <v>6317000</v>
      </c>
      <c r="AL197" s="650">
        <f t="shared" si="80"/>
        <v>5954000</v>
      </c>
      <c r="AM197" s="650">
        <f t="shared" si="80"/>
        <v>11735000</v>
      </c>
      <c r="AN197" s="650">
        <f t="shared" si="80"/>
        <v>1852000</v>
      </c>
      <c r="AO197" s="650">
        <f t="shared" si="80"/>
        <v>33271000</v>
      </c>
      <c r="AP197" s="650">
        <f t="shared" si="80"/>
        <v>0</v>
      </c>
      <c r="AQ197" s="650">
        <f t="shared" si="80"/>
        <v>0</v>
      </c>
      <c r="AR197" s="650">
        <f t="shared" si="80"/>
        <v>60522000</v>
      </c>
      <c r="AS197" s="650">
        <f t="shared" si="80"/>
        <v>52795000</v>
      </c>
      <c r="AT197" s="650">
        <f t="shared" si="80"/>
        <v>730034000</v>
      </c>
      <c r="AU197" s="650">
        <f t="shared" si="80"/>
        <v>0</v>
      </c>
      <c r="AV197" s="650">
        <f t="shared" si="80"/>
        <v>730034000</v>
      </c>
    </row>
    <row r="198" spans="1:48">
      <c r="A198" s="640">
        <v>195</v>
      </c>
      <c r="B198" s="607"/>
      <c r="C198" s="657"/>
      <c r="D198" s="657"/>
      <c r="E198" s="650"/>
      <c r="F198" s="650"/>
      <c r="G198" s="650"/>
      <c r="H198" s="650"/>
      <c r="I198" s="650"/>
      <c r="J198" s="650"/>
      <c r="K198" s="650"/>
      <c r="L198" s="650"/>
      <c r="M198" s="650"/>
      <c r="N198" s="650"/>
      <c r="O198" s="650"/>
      <c r="P198" s="650"/>
      <c r="Q198" s="650"/>
      <c r="R198" s="650"/>
      <c r="S198" s="650"/>
      <c r="T198" s="650"/>
      <c r="U198" s="650"/>
      <c r="V198" s="650"/>
      <c r="W198" s="650"/>
      <c r="X198" s="650"/>
      <c r="Y198" s="690">
        <f t="shared" ref="Y198:Y249" si="81">SUM(F198:X198)</f>
        <v>0</v>
      </c>
      <c r="Z198" s="650"/>
      <c r="AA198" s="650"/>
      <c r="AB198" s="650"/>
      <c r="AC198" s="650"/>
      <c r="AD198" s="650"/>
      <c r="AE198" s="650"/>
      <c r="AF198" s="650"/>
      <c r="AG198" s="650"/>
      <c r="AH198" s="650"/>
      <c r="AI198" s="650"/>
      <c r="AJ198" s="650"/>
      <c r="AK198" s="650"/>
      <c r="AL198" s="650"/>
      <c r="AM198" s="650"/>
      <c r="AN198" s="650"/>
      <c r="AO198" s="650"/>
      <c r="AP198" s="650"/>
      <c r="AQ198" s="650"/>
      <c r="AR198" s="693">
        <f t="shared" ref="AR198:AR248" si="82">SUM(Z198:AQ198)</f>
        <v>0</v>
      </c>
      <c r="AS198" s="643">
        <f t="shared" ref="AS198:AS248" si="83">Y198+AR198</f>
        <v>0</v>
      </c>
      <c r="AT198" s="643">
        <f t="shared" ref="AT198:AT248" si="84">E198+AS198</f>
        <v>0</v>
      </c>
      <c r="AU198" s="643"/>
      <c r="AV198" s="643">
        <f t="shared" ref="AV198:AV248" si="85">AT198+AU198</f>
        <v>0</v>
      </c>
    </row>
    <row r="199" spans="1:48">
      <c r="A199" s="640">
        <v>196</v>
      </c>
      <c r="B199" s="811" t="s">
        <v>717</v>
      </c>
      <c r="C199" s="661" t="s">
        <v>253</v>
      </c>
      <c r="D199" s="662">
        <v>350</v>
      </c>
      <c r="E199" s="668">
        <f>PROFORMA!F309</f>
        <v>19000</v>
      </c>
      <c r="F199" s="668">
        <f>PROFORMA!G309</f>
        <v>0</v>
      </c>
      <c r="G199" s="668">
        <f>PROFORMA!H309</f>
        <v>0</v>
      </c>
      <c r="H199" s="668">
        <f>PROFORMA!I309</f>
        <v>0</v>
      </c>
      <c r="I199" s="668">
        <f>PROFORMA!J309</f>
        <v>0</v>
      </c>
      <c r="J199" s="668">
        <f>PROFORMA!K309</f>
        <v>0</v>
      </c>
      <c r="K199" s="668">
        <f>PROFORMA!L309</f>
        <v>0</v>
      </c>
      <c r="L199" s="668">
        <f>PROFORMA!M309</f>
        <v>0</v>
      </c>
      <c r="M199" s="668">
        <f>PROFORMA!N309</f>
        <v>0</v>
      </c>
      <c r="N199" s="668">
        <f>PROFORMA!O309</f>
        <v>0</v>
      </c>
      <c r="O199" s="668">
        <f>PROFORMA!P309</f>
        <v>0</v>
      </c>
      <c r="P199" s="668">
        <f>PROFORMA!Q309</f>
        <v>0</v>
      </c>
      <c r="Q199" s="668">
        <f>PROFORMA!R309</f>
        <v>0</v>
      </c>
      <c r="R199" s="668">
        <f>PROFORMA!S309</f>
        <v>0</v>
      </c>
      <c r="S199" s="668">
        <f>PROFORMA!T309</f>
        <v>0</v>
      </c>
      <c r="T199" s="668">
        <f>PROFORMA!U309</f>
        <v>0</v>
      </c>
      <c r="U199" s="668">
        <f>PROFORMA!V309</f>
        <v>0</v>
      </c>
      <c r="V199" s="668">
        <f>PROFORMA!W309</f>
        <v>0</v>
      </c>
      <c r="W199" s="668">
        <f>PROFORMA!X309</f>
        <v>0</v>
      </c>
      <c r="X199" s="668">
        <f>PROFORMA!Y309</f>
        <v>0</v>
      </c>
      <c r="Y199" s="690">
        <f t="shared" si="81"/>
        <v>0</v>
      </c>
      <c r="Z199" s="668">
        <f>PROFORMA!Z309</f>
        <v>0</v>
      </c>
      <c r="AA199" s="668">
        <f>PROFORMA!AA309</f>
        <v>0</v>
      </c>
      <c r="AB199" s="668">
        <f>PROFORMA!AB309</f>
        <v>0</v>
      </c>
      <c r="AC199" s="668">
        <f>PROFORMA!AC309</f>
        <v>0</v>
      </c>
      <c r="AD199" s="668">
        <f>PROFORMA!AD309</f>
        <v>0</v>
      </c>
      <c r="AE199" s="668">
        <f>PROFORMA!AE309</f>
        <v>0</v>
      </c>
      <c r="AF199" s="668">
        <f>PROFORMA!AF309</f>
        <v>0</v>
      </c>
      <c r="AG199" s="668">
        <f>PROFORMA!AG309</f>
        <v>0</v>
      </c>
      <c r="AH199" s="668">
        <f>PROFORMA!AH309</f>
        <v>0</v>
      </c>
      <c r="AI199" s="668">
        <f>PROFORMA!AI309</f>
        <v>0</v>
      </c>
      <c r="AJ199" s="668">
        <f>PROFORMA!AJ309</f>
        <v>0</v>
      </c>
      <c r="AK199" s="668">
        <f>PROFORMA!AK309</f>
        <v>0</v>
      </c>
      <c r="AL199" s="668">
        <f>PROFORMA!AL309</f>
        <v>0</v>
      </c>
      <c r="AM199" s="668">
        <f>PROFORMA!AM309</f>
        <v>0</v>
      </c>
      <c r="AN199" s="668">
        <f>PROFORMA!AN309</f>
        <v>0</v>
      </c>
      <c r="AO199" s="668">
        <f>PROFORMA!AO309</f>
        <v>0</v>
      </c>
      <c r="AP199" s="668">
        <f>PROFORMA!AP309</f>
        <v>0</v>
      </c>
      <c r="AQ199" s="668">
        <f>PROFORMA!AQ309</f>
        <v>0</v>
      </c>
      <c r="AR199" s="693">
        <f t="shared" si="82"/>
        <v>0</v>
      </c>
      <c r="AS199" s="643">
        <f t="shared" si="83"/>
        <v>0</v>
      </c>
      <c r="AT199" s="643">
        <f t="shared" si="84"/>
        <v>19000</v>
      </c>
      <c r="AU199" s="643"/>
      <c r="AV199" s="643">
        <f t="shared" si="85"/>
        <v>19000</v>
      </c>
    </row>
    <row r="200" spans="1:48">
      <c r="A200" s="640">
        <v>197</v>
      </c>
      <c r="B200" s="811"/>
      <c r="C200" s="661" t="s">
        <v>254</v>
      </c>
      <c r="D200" s="662">
        <v>351</v>
      </c>
      <c r="E200" s="668">
        <f>PROFORMA!F310</f>
        <v>623000</v>
      </c>
      <c r="F200" s="668">
        <f>PROFORMA!G310</f>
        <v>0</v>
      </c>
      <c r="G200" s="668">
        <f>PROFORMA!H310</f>
        <v>0</v>
      </c>
      <c r="H200" s="668">
        <f>PROFORMA!I310</f>
        <v>0</v>
      </c>
      <c r="I200" s="668">
        <f>PROFORMA!J310</f>
        <v>0</v>
      </c>
      <c r="J200" s="668">
        <f>PROFORMA!K310</f>
        <v>0</v>
      </c>
      <c r="K200" s="668">
        <f>PROFORMA!L310</f>
        <v>0</v>
      </c>
      <c r="L200" s="668">
        <f>PROFORMA!M310</f>
        <v>0</v>
      </c>
      <c r="M200" s="668">
        <f>PROFORMA!N310</f>
        <v>0</v>
      </c>
      <c r="N200" s="668">
        <f>PROFORMA!O310</f>
        <v>0</v>
      </c>
      <c r="O200" s="668">
        <f>PROFORMA!P310</f>
        <v>0</v>
      </c>
      <c r="P200" s="668">
        <f>PROFORMA!Q310</f>
        <v>0</v>
      </c>
      <c r="Q200" s="668">
        <f>PROFORMA!R310</f>
        <v>0</v>
      </c>
      <c r="R200" s="668">
        <f>PROFORMA!S310</f>
        <v>0</v>
      </c>
      <c r="S200" s="668">
        <f>PROFORMA!T310</f>
        <v>0</v>
      </c>
      <c r="T200" s="668">
        <f>PROFORMA!U310</f>
        <v>0</v>
      </c>
      <c r="U200" s="668">
        <f>PROFORMA!V310</f>
        <v>0</v>
      </c>
      <c r="V200" s="668">
        <f>PROFORMA!W310</f>
        <v>0</v>
      </c>
      <c r="W200" s="668">
        <f>PROFORMA!X310</f>
        <v>0</v>
      </c>
      <c r="X200" s="668">
        <f>PROFORMA!Y310</f>
        <v>-12000</v>
      </c>
      <c r="Y200" s="690">
        <f t="shared" si="81"/>
        <v>-12000</v>
      </c>
      <c r="Z200" s="668">
        <f>PROFORMA!Z310</f>
        <v>0</v>
      </c>
      <c r="AA200" s="668">
        <f>PROFORMA!AA310</f>
        <v>0</v>
      </c>
      <c r="AB200" s="668">
        <f>PROFORMA!AB310</f>
        <v>0</v>
      </c>
      <c r="AC200" s="668">
        <f>PROFORMA!AC310</f>
        <v>0</v>
      </c>
      <c r="AD200" s="668">
        <f>PROFORMA!AD310</f>
        <v>0</v>
      </c>
      <c r="AE200" s="668">
        <f>PROFORMA!AE310</f>
        <v>0</v>
      </c>
      <c r="AF200" s="668">
        <f>PROFORMA!AF310</f>
        <v>0</v>
      </c>
      <c r="AG200" s="668">
        <f>PROFORMA!AG310</f>
        <v>0</v>
      </c>
      <c r="AH200" s="668">
        <f>PROFORMA!AH310</f>
        <v>0</v>
      </c>
      <c r="AI200" s="668">
        <f>PROFORMA!AI310</f>
        <v>0</v>
      </c>
      <c r="AJ200" s="668">
        <f>PROFORMA!AJ310</f>
        <v>0</v>
      </c>
      <c r="AK200" s="668">
        <f>PROFORMA!AK310</f>
        <v>51000</v>
      </c>
      <c r="AL200" s="668">
        <f>PROFORMA!AL310</f>
        <v>0</v>
      </c>
      <c r="AM200" s="668">
        <f>PROFORMA!AM310</f>
        <v>0</v>
      </c>
      <c r="AN200" s="668">
        <f>PROFORMA!AN310</f>
        <v>0</v>
      </c>
      <c r="AO200" s="668">
        <f>PROFORMA!AO310</f>
        <v>0</v>
      </c>
      <c r="AP200" s="668">
        <f>PROFORMA!AP310</f>
        <v>0</v>
      </c>
      <c r="AQ200" s="668">
        <f>PROFORMA!AQ310</f>
        <v>0</v>
      </c>
      <c r="AR200" s="693">
        <f t="shared" si="82"/>
        <v>51000</v>
      </c>
      <c r="AS200" s="643">
        <f t="shared" si="83"/>
        <v>39000</v>
      </c>
      <c r="AT200" s="643">
        <f t="shared" si="84"/>
        <v>662000</v>
      </c>
      <c r="AU200" s="643"/>
      <c r="AV200" s="643">
        <f t="shared" si="85"/>
        <v>662000</v>
      </c>
    </row>
    <row r="201" spans="1:48">
      <c r="A201" s="640">
        <v>198</v>
      </c>
      <c r="B201" s="811"/>
      <c r="C201" s="661" t="s">
        <v>255</v>
      </c>
      <c r="D201" s="662">
        <v>352</v>
      </c>
      <c r="E201" s="668">
        <f>PROFORMA!F311</f>
        <v>6652000</v>
      </c>
      <c r="F201" s="668">
        <f>PROFORMA!G311</f>
        <v>0</v>
      </c>
      <c r="G201" s="668">
        <f>PROFORMA!H311</f>
        <v>0</v>
      </c>
      <c r="H201" s="668">
        <f>PROFORMA!I311</f>
        <v>0</v>
      </c>
      <c r="I201" s="668">
        <f>PROFORMA!J311</f>
        <v>0</v>
      </c>
      <c r="J201" s="668">
        <f>PROFORMA!K311</f>
        <v>0</v>
      </c>
      <c r="K201" s="668">
        <f>PROFORMA!L311</f>
        <v>0</v>
      </c>
      <c r="L201" s="668">
        <f>PROFORMA!M311</f>
        <v>0</v>
      </c>
      <c r="M201" s="668">
        <f>PROFORMA!N311</f>
        <v>0</v>
      </c>
      <c r="N201" s="668">
        <f>PROFORMA!O311</f>
        <v>0</v>
      </c>
      <c r="O201" s="668">
        <f>PROFORMA!P311</f>
        <v>0</v>
      </c>
      <c r="P201" s="668">
        <f>PROFORMA!Q311</f>
        <v>0</v>
      </c>
      <c r="Q201" s="668">
        <f>PROFORMA!R311</f>
        <v>0</v>
      </c>
      <c r="R201" s="668">
        <f>PROFORMA!S311</f>
        <v>0</v>
      </c>
      <c r="S201" s="668">
        <f>PROFORMA!T311</f>
        <v>0</v>
      </c>
      <c r="T201" s="668">
        <f>PROFORMA!U311</f>
        <v>0</v>
      </c>
      <c r="U201" s="668">
        <f>PROFORMA!V311</f>
        <v>0</v>
      </c>
      <c r="V201" s="668">
        <f>PROFORMA!W311</f>
        <v>0</v>
      </c>
      <c r="W201" s="668">
        <f>PROFORMA!X311</f>
        <v>0</v>
      </c>
      <c r="X201" s="668">
        <f>PROFORMA!Y311</f>
        <v>-130000</v>
      </c>
      <c r="Y201" s="690">
        <f t="shared" si="81"/>
        <v>-130000</v>
      </c>
      <c r="Z201" s="668">
        <f>PROFORMA!Z311</f>
        <v>0</v>
      </c>
      <c r="AA201" s="668">
        <f>PROFORMA!AA311</f>
        <v>0</v>
      </c>
      <c r="AB201" s="668">
        <f>PROFORMA!AB311</f>
        <v>0</v>
      </c>
      <c r="AC201" s="668">
        <f>PROFORMA!AC311</f>
        <v>0</v>
      </c>
      <c r="AD201" s="668">
        <f>PROFORMA!AD311</f>
        <v>0</v>
      </c>
      <c r="AE201" s="668">
        <f>PROFORMA!AE311</f>
        <v>0</v>
      </c>
      <c r="AF201" s="668">
        <f>PROFORMA!AF311</f>
        <v>0</v>
      </c>
      <c r="AG201" s="668">
        <f>PROFORMA!AG311</f>
        <v>0</v>
      </c>
      <c r="AH201" s="668">
        <f>PROFORMA!AH311</f>
        <v>0</v>
      </c>
      <c r="AI201" s="668">
        <f>PROFORMA!AI311</f>
        <v>0</v>
      </c>
      <c r="AJ201" s="668">
        <f>PROFORMA!AJ311</f>
        <v>0</v>
      </c>
      <c r="AK201" s="668">
        <f>PROFORMA!AK311</f>
        <v>0</v>
      </c>
      <c r="AL201" s="668">
        <f>PROFORMA!AL311</f>
        <v>0</v>
      </c>
      <c r="AM201" s="668">
        <f>PROFORMA!AM311</f>
        <v>0</v>
      </c>
      <c r="AN201" s="668">
        <f>PROFORMA!AN311</f>
        <v>0</v>
      </c>
      <c r="AO201" s="668">
        <f>PROFORMA!AO311</f>
        <v>0</v>
      </c>
      <c r="AP201" s="668">
        <f>PROFORMA!AP311</f>
        <v>0</v>
      </c>
      <c r="AQ201" s="668">
        <f>PROFORMA!AQ311</f>
        <v>0</v>
      </c>
      <c r="AR201" s="693">
        <f t="shared" si="82"/>
        <v>0</v>
      </c>
      <c r="AS201" s="643">
        <f t="shared" si="83"/>
        <v>-130000</v>
      </c>
      <c r="AT201" s="643">
        <f t="shared" si="84"/>
        <v>6522000</v>
      </c>
      <c r="AU201" s="643"/>
      <c r="AV201" s="643">
        <f t="shared" si="85"/>
        <v>6522000</v>
      </c>
    </row>
    <row r="202" spans="1:48">
      <c r="A202" s="640">
        <v>199</v>
      </c>
      <c r="B202" s="811"/>
      <c r="C202" s="661" t="s">
        <v>256</v>
      </c>
      <c r="D202" s="662">
        <v>353</v>
      </c>
      <c r="E202" s="668">
        <f>PROFORMA!F312</f>
        <v>412000</v>
      </c>
      <c r="F202" s="668">
        <f>PROFORMA!G312</f>
        <v>0</v>
      </c>
      <c r="G202" s="668">
        <f>PROFORMA!H312</f>
        <v>0</v>
      </c>
      <c r="H202" s="668">
        <f>PROFORMA!I312</f>
        <v>0</v>
      </c>
      <c r="I202" s="668">
        <f>PROFORMA!J312</f>
        <v>0</v>
      </c>
      <c r="J202" s="668">
        <f>PROFORMA!K312</f>
        <v>0</v>
      </c>
      <c r="K202" s="668">
        <f>PROFORMA!L312</f>
        <v>0</v>
      </c>
      <c r="L202" s="668">
        <f>PROFORMA!M312</f>
        <v>0</v>
      </c>
      <c r="M202" s="668">
        <f>PROFORMA!N312</f>
        <v>0</v>
      </c>
      <c r="N202" s="668">
        <f>PROFORMA!O312</f>
        <v>0</v>
      </c>
      <c r="O202" s="668">
        <f>PROFORMA!P312</f>
        <v>0</v>
      </c>
      <c r="P202" s="668">
        <f>PROFORMA!Q312</f>
        <v>0</v>
      </c>
      <c r="Q202" s="668">
        <f>PROFORMA!R312</f>
        <v>0</v>
      </c>
      <c r="R202" s="668">
        <f>PROFORMA!S312</f>
        <v>0</v>
      </c>
      <c r="S202" s="668">
        <f>PROFORMA!T312</f>
        <v>0</v>
      </c>
      <c r="T202" s="668">
        <f>PROFORMA!U312</f>
        <v>0</v>
      </c>
      <c r="U202" s="668">
        <f>PROFORMA!V312</f>
        <v>0</v>
      </c>
      <c r="V202" s="668">
        <f>PROFORMA!W312</f>
        <v>0</v>
      </c>
      <c r="W202" s="668">
        <f>PROFORMA!X312</f>
        <v>0</v>
      </c>
      <c r="X202" s="668">
        <f>PROFORMA!Y312</f>
        <v>-8000</v>
      </c>
      <c r="Y202" s="690">
        <f t="shared" si="81"/>
        <v>-8000</v>
      </c>
      <c r="Z202" s="668">
        <f>PROFORMA!Z312</f>
        <v>0</v>
      </c>
      <c r="AA202" s="668">
        <f>PROFORMA!AA312</f>
        <v>0</v>
      </c>
      <c r="AB202" s="668">
        <f>PROFORMA!AB312</f>
        <v>0</v>
      </c>
      <c r="AC202" s="668">
        <f>PROFORMA!AC312</f>
        <v>0</v>
      </c>
      <c r="AD202" s="668">
        <f>PROFORMA!AD312</f>
        <v>0</v>
      </c>
      <c r="AE202" s="668">
        <f>PROFORMA!AE312</f>
        <v>0</v>
      </c>
      <c r="AF202" s="668">
        <f>PROFORMA!AF312</f>
        <v>0</v>
      </c>
      <c r="AG202" s="668">
        <f>PROFORMA!AG312</f>
        <v>0</v>
      </c>
      <c r="AH202" s="668">
        <f>PROFORMA!AH312</f>
        <v>0</v>
      </c>
      <c r="AI202" s="668">
        <f>PROFORMA!AI312</f>
        <v>0</v>
      </c>
      <c r="AJ202" s="668">
        <f>PROFORMA!AJ312</f>
        <v>0</v>
      </c>
      <c r="AK202" s="668">
        <f>PROFORMA!AK312</f>
        <v>0</v>
      </c>
      <c r="AL202" s="668">
        <f>PROFORMA!AL312</f>
        <v>0</v>
      </c>
      <c r="AM202" s="668">
        <f>PROFORMA!AM312</f>
        <v>0</v>
      </c>
      <c r="AN202" s="668">
        <f>PROFORMA!AN312</f>
        <v>0</v>
      </c>
      <c r="AO202" s="668">
        <f>PROFORMA!AO312</f>
        <v>0</v>
      </c>
      <c r="AP202" s="668">
        <f>PROFORMA!AP312</f>
        <v>0</v>
      </c>
      <c r="AQ202" s="668">
        <f>PROFORMA!AQ312</f>
        <v>0</v>
      </c>
      <c r="AR202" s="693">
        <f t="shared" si="82"/>
        <v>0</v>
      </c>
      <c r="AS202" s="643">
        <f t="shared" si="83"/>
        <v>-8000</v>
      </c>
      <c r="AT202" s="643">
        <f t="shared" si="84"/>
        <v>404000</v>
      </c>
      <c r="AU202" s="643"/>
      <c r="AV202" s="643">
        <f t="shared" si="85"/>
        <v>404000</v>
      </c>
    </row>
    <row r="203" spans="1:48">
      <c r="A203" s="640">
        <v>200</v>
      </c>
      <c r="B203" s="811"/>
      <c r="C203" s="661" t="s">
        <v>257</v>
      </c>
      <c r="D203" s="662">
        <v>354</v>
      </c>
      <c r="E203" s="668">
        <f>PROFORMA!F313</f>
        <v>2399000</v>
      </c>
      <c r="F203" s="668">
        <f>PROFORMA!G313</f>
        <v>0</v>
      </c>
      <c r="G203" s="668">
        <f>PROFORMA!H313</f>
        <v>0</v>
      </c>
      <c r="H203" s="668">
        <f>PROFORMA!I313</f>
        <v>0</v>
      </c>
      <c r="I203" s="668">
        <f>PROFORMA!J313</f>
        <v>0</v>
      </c>
      <c r="J203" s="668">
        <f>PROFORMA!K313</f>
        <v>0</v>
      </c>
      <c r="K203" s="668">
        <f>PROFORMA!L313</f>
        <v>0</v>
      </c>
      <c r="L203" s="668">
        <f>PROFORMA!M313</f>
        <v>0</v>
      </c>
      <c r="M203" s="668">
        <f>PROFORMA!N313</f>
        <v>0</v>
      </c>
      <c r="N203" s="668">
        <f>PROFORMA!O313</f>
        <v>0</v>
      </c>
      <c r="O203" s="668">
        <f>PROFORMA!P313</f>
        <v>0</v>
      </c>
      <c r="P203" s="668">
        <f>PROFORMA!Q313</f>
        <v>0</v>
      </c>
      <c r="Q203" s="668">
        <f>PROFORMA!R313</f>
        <v>0</v>
      </c>
      <c r="R203" s="668">
        <f>PROFORMA!S313</f>
        <v>0</v>
      </c>
      <c r="S203" s="668">
        <f>PROFORMA!T313</f>
        <v>0</v>
      </c>
      <c r="T203" s="668">
        <f>PROFORMA!U313</f>
        <v>0</v>
      </c>
      <c r="U203" s="668">
        <f>PROFORMA!V313</f>
        <v>0</v>
      </c>
      <c r="V203" s="668">
        <f>PROFORMA!W313</f>
        <v>0</v>
      </c>
      <c r="W203" s="668">
        <f>PROFORMA!X313</f>
        <v>0</v>
      </c>
      <c r="X203" s="668">
        <f>PROFORMA!Y313</f>
        <v>-46000</v>
      </c>
      <c r="Y203" s="690">
        <f t="shared" si="81"/>
        <v>-46000</v>
      </c>
      <c r="Z203" s="668">
        <f>PROFORMA!Z313</f>
        <v>0</v>
      </c>
      <c r="AA203" s="668">
        <f>PROFORMA!AA313</f>
        <v>0</v>
      </c>
      <c r="AB203" s="668">
        <f>PROFORMA!AB313</f>
        <v>0</v>
      </c>
      <c r="AC203" s="668">
        <f>PROFORMA!AC313</f>
        <v>0</v>
      </c>
      <c r="AD203" s="668">
        <f>PROFORMA!AD313</f>
        <v>0</v>
      </c>
      <c r="AE203" s="668">
        <f>PROFORMA!AE313</f>
        <v>0</v>
      </c>
      <c r="AF203" s="668">
        <f>PROFORMA!AF313</f>
        <v>0</v>
      </c>
      <c r="AG203" s="668">
        <f>PROFORMA!AG313</f>
        <v>0</v>
      </c>
      <c r="AH203" s="668">
        <f>PROFORMA!AH313</f>
        <v>0</v>
      </c>
      <c r="AI203" s="668">
        <f>PROFORMA!AI313</f>
        <v>0</v>
      </c>
      <c r="AJ203" s="668">
        <f>PROFORMA!AJ313</f>
        <v>0</v>
      </c>
      <c r="AK203" s="668">
        <f>PROFORMA!AK313</f>
        <v>0</v>
      </c>
      <c r="AL203" s="668">
        <f>PROFORMA!AL313</f>
        <v>0</v>
      </c>
      <c r="AM203" s="668">
        <f>PROFORMA!AM313</f>
        <v>0</v>
      </c>
      <c r="AN203" s="668">
        <f>PROFORMA!AN313</f>
        <v>0</v>
      </c>
      <c r="AO203" s="668">
        <f>PROFORMA!AO313</f>
        <v>0</v>
      </c>
      <c r="AP203" s="668">
        <f>PROFORMA!AP313</f>
        <v>0</v>
      </c>
      <c r="AQ203" s="668">
        <f>PROFORMA!AQ313</f>
        <v>0</v>
      </c>
      <c r="AR203" s="693">
        <f t="shared" si="82"/>
        <v>0</v>
      </c>
      <c r="AS203" s="643">
        <f t="shared" si="83"/>
        <v>-46000</v>
      </c>
      <c r="AT203" s="643">
        <f t="shared" si="84"/>
        <v>2353000</v>
      </c>
      <c r="AU203" s="643"/>
      <c r="AV203" s="643">
        <f t="shared" si="85"/>
        <v>2353000</v>
      </c>
    </row>
    <row r="204" spans="1:48">
      <c r="A204" s="640">
        <v>201</v>
      </c>
      <c r="B204" s="811"/>
      <c r="C204" s="661" t="s">
        <v>258</v>
      </c>
      <c r="D204" s="662">
        <v>355</v>
      </c>
      <c r="E204" s="668">
        <f>PROFORMA!F314</f>
        <v>543000</v>
      </c>
      <c r="F204" s="668">
        <f>PROFORMA!G314</f>
        <v>0</v>
      </c>
      <c r="G204" s="668">
        <f>PROFORMA!H314</f>
        <v>0</v>
      </c>
      <c r="H204" s="668">
        <f>PROFORMA!I314</f>
        <v>0</v>
      </c>
      <c r="I204" s="668">
        <f>PROFORMA!J314</f>
        <v>0</v>
      </c>
      <c r="J204" s="668">
        <f>PROFORMA!K314</f>
        <v>0</v>
      </c>
      <c r="K204" s="668">
        <f>PROFORMA!L314</f>
        <v>0</v>
      </c>
      <c r="L204" s="668">
        <f>PROFORMA!M314</f>
        <v>0</v>
      </c>
      <c r="M204" s="668">
        <f>PROFORMA!N314</f>
        <v>0</v>
      </c>
      <c r="N204" s="668">
        <f>PROFORMA!O314</f>
        <v>0</v>
      </c>
      <c r="O204" s="668">
        <f>PROFORMA!P314</f>
        <v>0</v>
      </c>
      <c r="P204" s="668">
        <f>PROFORMA!Q314</f>
        <v>0</v>
      </c>
      <c r="Q204" s="668">
        <f>PROFORMA!R314</f>
        <v>0</v>
      </c>
      <c r="R204" s="668">
        <f>PROFORMA!S314</f>
        <v>0</v>
      </c>
      <c r="S204" s="668">
        <f>PROFORMA!T314</f>
        <v>0</v>
      </c>
      <c r="T204" s="668">
        <f>PROFORMA!U314</f>
        <v>0</v>
      </c>
      <c r="U204" s="668">
        <f>PROFORMA!V314</f>
        <v>0</v>
      </c>
      <c r="V204" s="668">
        <f>PROFORMA!W314</f>
        <v>0</v>
      </c>
      <c r="W204" s="668">
        <f>PROFORMA!X314</f>
        <v>0</v>
      </c>
      <c r="X204" s="668">
        <f>PROFORMA!Y314</f>
        <v>-10000</v>
      </c>
      <c r="Y204" s="690">
        <f t="shared" si="81"/>
        <v>-10000</v>
      </c>
      <c r="Z204" s="668">
        <f>PROFORMA!Z314</f>
        <v>0</v>
      </c>
      <c r="AA204" s="668">
        <f>PROFORMA!AA314</f>
        <v>0</v>
      </c>
      <c r="AB204" s="668">
        <f>PROFORMA!AB314</f>
        <v>0</v>
      </c>
      <c r="AC204" s="668">
        <f>PROFORMA!AC314</f>
        <v>0</v>
      </c>
      <c r="AD204" s="668">
        <f>PROFORMA!AD314</f>
        <v>0</v>
      </c>
      <c r="AE204" s="668">
        <f>PROFORMA!AE314</f>
        <v>0</v>
      </c>
      <c r="AF204" s="668">
        <f>PROFORMA!AF314</f>
        <v>0</v>
      </c>
      <c r="AG204" s="668">
        <f>PROFORMA!AG314</f>
        <v>0</v>
      </c>
      <c r="AH204" s="668">
        <f>PROFORMA!AH314</f>
        <v>0</v>
      </c>
      <c r="AI204" s="668">
        <f>PROFORMA!AI314</f>
        <v>0</v>
      </c>
      <c r="AJ204" s="668">
        <f>PROFORMA!AJ314</f>
        <v>0</v>
      </c>
      <c r="AK204" s="668">
        <f>PROFORMA!AK314</f>
        <v>0</v>
      </c>
      <c r="AL204" s="668">
        <f>PROFORMA!AL314</f>
        <v>0</v>
      </c>
      <c r="AM204" s="668">
        <f>PROFORMA!AM314</f>
        <v>0</v>
      </c>
      <c r="AN204" s="668">
        <f>PROFORMA!AN314</f>
        <v>0</v>
      </c>
      <c r="AO204" s="668">
        <f>PROFORMA!AO314</f>
        <v>0</v>
      </c>
      <c r="AP204" s="668">
        <f>PROFORMA!AP314</f>
        <v>0</v>
      </c>
      <c r="AQ204" s="668">
        <f>PROFORMA!AQ314</f>
        <v>0</v>
      </c>
      <c r="AR204" s="693">
        <f t="shared" si="82"/>
        <v>0</v>
      </c>
      <c r="AS204" s="643">
        <f t="shared" si="83"/>
        <v>-10000</v>
      </c>
      <c r="AT204" s="643">
        <f t="shared" si="84"/>
        <v>533000</v>
      </c>
      <c r="AU204" s="643"/>
      <c r="AV204" s="643">
        <f t="shared" si="85"/>
        <v>533000</v>
      </c>
    </row>
    <row r="205" spans="1:48">
      <c r="A205" s="640">
        <v>202</v>
      </c>
      <c r="B205" s="811"/>
      <c r="C205" s="661" t="s">
        <v>259</v>
      </c>
      <c r="D205" s="662">
        <v>356</v>
      </c>
      <c r="E205" s="668">
        <f>PROFORMA!F315</f>
        <v>274000</v>
      </c>
      <c r="F205" s="668">
        <f>PROFORMA!G315</f>
        <v>0</v>
      </c>
      <c r="G205" s="668">
        <f>PROFORMA!H315</f>
        <v>0</v>
      </c>
      <c r="H205" s="668">
        <f>PROFORMA!I315</f>
        <v>0</v>
      </c>
      <c r="I205" s="668">
        <f>PROFORMA!J315</f>
        <v>0</v>
      </c>
      <c r="J205" s="668">
        <f>PROFORMA!K315</f>
        <v>0</v>
      </c>
      <c r="K205" s="668">
        <f>PROFORMA!L315</f>
        <v>0</v>
      </c>
      <c r="L205" s="668">
        <f>PROFORMA!M315</f>
        <v>0</v>
      </c>
      <c r="M205" s="668">
        <f>PROFORMA!N315</f>
        <v>0</v>
      </c>
      <c r="N205" s="668">
        <f>PROFORMA!O315</f>
        <v>0</v>
      </c>
      <c r="O205" s="668">
        <f>PROFORMA!P315</f>
        <v>0</v>
      </c>
      <c r="P205" s="668">
        <f>PROFORMA!Q315</f>
        <v>0</v>
      </c>
      <c r="Q205" s="668">
        <f>PROFORMA!R315</f>
        <v>0</v>
      </c>
      <c r="R205" s="668">
        <f>PROFORMA!S315</f>
        <v>0</v>
      </c>
      <c r="S205" s="668">
        <f>PROFORMA!T315</f>
        <v>0</v>
      </c>
      <c r="T205" s="668">
        <f>PROFORMA!U315</f>
        <v>0</v>
      </c>
      <c r="U205" s="668">
        <f>PROFORMA!V315</f>
        <v>0</v>
      </c>
      <c r="V205" s="668">
        <f>PROFORMA!W315</f>
        <v>0</v>
      </c>
      <c r="W205" s="668">
        <f>PROFORMA!X315</f>
        <v>0</v>
      </c>
      <c r="X205" s="668">
        <f>PROFORMA!Y315</f>
        <v>-5000</v>
      </c>
      <c r="Y205" s="690">
        <f t="shared" si="81"/>
        <v>-5000</v>
      </c>
      <c r="Z205" s="668">
        <f>PROFORMA!Z315</f>
        <v>0</v>
      </c>
      <c r="AA205" s="668">
        <f>PROFORMA!AA315</f>
        <v>0</v>
      </c>
      <c r="AB205" s="668">
        <f>PROFORMA!AB315</f>
        <v>0</v>
      </c>
      <c r="AC205" s="668">
        <f>PROFORMA!AC315</f>
        <v>0</v>
      </c>
      <c r="AD205" s="668">
        <f>PROFORMA!AD315</f>
        <v>0</v>
      </c>
      <c r="AE205" s="668">
        <f>PROFORMA!AE315</f>
        <v>0</v>
      </c>
      <c r="AF205" s="668">
        <f>PROFORMA!AF315</f>
        <v>0</v>
      </c>
      <c r="AG205" s="668">
        <f>PROFORMA!AG315</f>
        <v>0</v>
      </c>
      <c r="AH205" s="668">
        <f>PROFORMA!AH315</f>
        <v>0</v>
      </c>
      <c r="AI205" s="668">
        <f>PROFORMA!AI315</f>
        <v>0</v>
      </c>
      <c r="AJ205" s="668">
        <f>PROFORMA!AJ315</f>
        <v>0</v>
      </c>
      <c r="AK205" s="668">
        <f>PROFORMA!AK315</f>
        <v>0</v>
      </c>
      <c r="AL205" s="668">
        <f>PROFORMA!AL315</f>
        <v>0</v>
      </c>
      <c r="AM205" s="668">
        <f>PROFORMA!AM315</f>
        <v>0</v>
      </c>
      <c r="AN205" s="668">
        <f>PROFORMA!AN315</f>
        <v>0</v>
      </c>
      <c r="AO205" s="668">
        <f>PROFORMA!AO315</f>
        <v>0</v>
      </c>
      <c r="AP205" s="668">
        <f>PROFORMA!AP315</f>
        <v>0</v>
      </c>
      <c r="AQ205" s="668">
        <f>PROFORMA!AQ315</f>
        <v>0</v>
      </c>
      <c r="AR205" s="693">
        <f t="shared" si="82"/>
        <v>0</v>
      </c>
      <c r="AS205" s="643">
        <f t="shared" si="83"/>
        <v>-5000</v>
      </c>
      <c r="AT205" s="643">
        <f t="shared" si="84"/>
        <v>269000</v>
      </c>
      <c r="AU205" s="643"/>
      <c r="AV205" s="643">
        <f t="shared" si="85"/>
        <v>269000</v>
      </c>
    </row>
    <row r="206" spans="1:48">
      <c r="A206" s="640">
        <v>203</v>
      </c>
      <c r="B206" s="811"/>
      <c r="C206" s="661" t="s">
        <v>260</v>
      </c>
      <c r="D206" s="662">
        <v>357</v>
      </c>
      <c r="E206" s="688">
        <f>PROFORMA!F316</f>
        <v>644000</v>
      </c>
      <c r="F206" s="688">
        <f>PROFORMA!G316</f>
        <v>0</v>
      </c>
      <c r="G206" s="688">
        <f>PROFORMA!H316</f>
        <v>0</v>
      </c>
      <c r="H206" s="688">
        <f>PROFORMA!I316</f>
        <v>0</v>
      </c>
      <c r="I206" s="688">
        <f>PROFORMA!J316</f>
        <v>0</v>
      </c>
      <c r="J206" s="688">
        <f>PROFORMA!K316</f>
        <v>0</v>
      </c>
      <c r="K206" s="688">
        <f>PROFORMA!L316</f>
        <v>0</v>
      </c>
      <c r="L206" s="688">
        <f>PROFORMA!M316</f>
        <v>0</v>
      </c>
      <c r="M206" s="688">
        <f>PROFORMA!N316</f>
        <v>0</v>
      </c>
      <c r="N206" s="688">
        <f>PROFORMA!O316</f>
        <v>0</v>
      </c>
      <c r="O206" s="688">
        <f>PROFORMA!P316</f>
        <v>0</v>
      </c>
      <c r="P206" s="688">
        <f>PROFORMA!Q316</f>
        <v>0</v>
      </c>
      <c r="Q206" s="688">
        <f>PROFORMA!R316</f>
        <v>0</v>
      </c>
      <c r="R206" s="688">
        <f>PROFORMA!S316</f>
        <v>0</v>
      </c>
      <c r="S206" s="688">
        <f>PROFORMA!T316</f>
        <v>0</v>
      </c>
      <c r="T206" s="688">
        <f>PROFORMA!U316</f>
        <v>0</v>
      </c>
      <c r="U206" s="688">
        <f>PROFORMA!V316</f>
        <v>0</v>
      </c>
      <c r="V206" s="688">
        <f>PROFORMA!W316</f>
        <v>0</v>
      </c>
      <c r="W206" s="688">
        <f>PROFORMA!X316</f>
        <v>0</v>
      </c>
      <c r="X206" s="688">
        <f>PROFORMA!Y316</f>
        <v>-12000</v>
      </c>
      <c r="Y206" s="691">
        <f t="shared" si="81"/>
        <v>-12000</v>
      </c>
      <c r="Z206" s="688">
        <f>PROFORMA!Z316</f>
        <v>0</v>
      </c>
      <c r="AA206" s="688">
        <f>PROFORMA!AA316</f>
        <v>0</v>
      </c>
      <c r="AB206" s="688">
        <f>PROFORMA!AB316</f>
        <v>0</v>
      </c>
      <c r="AC206" s="688">
        <f>PROFORMA!AC316</f>
        <v>0</v>
      </c>
      <c r="AD206" s="688">
        <f>PROFORMA!AD316</f>
        <v>0</v>
      </c>
      <c r="AE206" s="688">
        <f>PROFORMA!AE316</f>
        <v>0</v>
      </c>
      <c r="AF206" s="688">
        <f>PROFORMA!AF316</f>
        <v>0</v>
      </c>
      <c r="AG206" s="688">
        <f>PROFORMA!AG316</f>
        <v>0</v>
      </c>
      <c r="AH206" s="688">
        <f>PROFORMA!AH316</f>
        <v>0</v>
      </c>
      <c r="AI206" s="688">
        <f>PROFORMA!AI316</f>
        <v>0</v>
      </c>
      <c r="AJ206" s="688">
        <f>PROFORMA!AJ316</f>
        <v>0</v>
      </c>
      <c r="AK206" s="688">
        <f>PROFORMA!AK316</f>
        <v>0</v>
      </c>
      <c r="AL206" s="688">
        <f>PROFORMA!AL316</f>
        <v>0</v>
      </c>
      <c r="AM206" s="688">
        <f>PROFORMA!AM316</f>
        <v>0</v>
      </c>
      <c r="AN206" s="688">
        <f>PROFORMA!AN316</f>
        <v>0</v>
      </c>
      <c r="AO206" s="688">
        <f>PROFORMA!AO316</f>
        <v>0</v>
      </c>
      <c r="AP206" s="688">
        <f>PROFORMA!AP316</f>
        <v>0</v>
      </c>
      <c r="AQ206" s="688">
        <f>PROFORMA!AQ316</f>
        <v>0</v>
      </c>
      <c r="AR206" s="694">
        <f t="shared" si="82"/>
        <v>0</v>
      </c>
      <c r="AS206" s="692">
        <f t="shared" si="83"/>
        <v>-12000</v>
      </c>
      <c r="AT206" s="692">
        <f t="shared" si="84"/>
        <v>632000</v>
      </c>
      <c r="AU206" s="692"/>
      <c r="AV206" s="692">
        <f t="shared" si="85"/>
        <v>632000</v>
      </c>
    </row>
    <row r="207" spans="1:48">
      <c r="A207" s="640">
        <v>204</v>
      </c>
      <c r="B207" s="607"/>
      <c r="C207" s="632" t="s">
        <v>716</v>
      </c>
      <c r="D207" s="632"/>
      <c r="E207" s="650">
        <f>SUM(E199:E206)</f>
        <v>11566000</v>
      </c>
      <c r="F207" s="650">
        <f t="shared" ref="F207:X207" si="86">SUM(F199:F206)</f>
        <v>0</v>
      </c>
      <c r="G207" s="650">
        <f t="shared" si="86"/>
        <v>0</v>
      </c>
      <c r="H207" s="650">
        <f t="shared" si="86"/>
        <v>0</v>
      </c>
      <c r="I207" s="650">
        <f t="shared" si="86"/>
        <v>0</v>
      </c>
      <c r="J207" s="650">
        <f t="shared" si="86"/>
        <v>0</v>
      </c>
      <c r="K207" s="650">
        <f t="shared" si="86"/>
        <v>0</v>
      </c>
      <c r="L207" s="650">
        <f t="shared" si="86"/>
        <v>0</v>
      </c>
      <c r="M207" s="650">
        <f t="shared" si="86"/>
        <v>0</v>
      </c>
      <c r="N207" s="650">
        <f t="shared" si="86"/>
        <v>0</v>
      </c>
      <c r="O207" s="650">
        <f t="shared" si="86"/>
        <v>0</v>
      </c>
      <c r="P207" s="650">
        <f t="shared" si="86"/>
        <v>0</v>
      </c>
      <c r="Q207" s="650">
        <f t="shared" si="86"/>
        <v>0</v>
      </c>
      <c r="R207" s="650">
        <f t="shared" si="86"/>
        <v>0</v>
      </c>
      <c r="S207" s="650">
        <f t="shared" si="86"/>
        <v>0</v>
      </c>
      <c r="T207" s="650">
        <f t="shared" si="86"/>
        <v>0</v>
      </c>
      <c r="U207" s="650">
        <f t="shared" si="86"/>
        <v>0</v>
      </c>
      <c r="V207" s="650">
        <f t="shared" si="86"/>
        <v>0</v>
      </c>
      <c r="W207" s="650">
        <f t="shared" si="86"/>
        <v>0</v>
      </c>
      <c r="X207" s="650">
        <f t="shared" si="86"/>
        <v>-223000</v>
      </c>
      <c r="Y207" s="690">
        <f t="shared" si="81"/>
        <v>-223000</v>
      </c>
      <c r="Z207" s="650">
        <f t="shared" ref="Z207:AV207" si="87">SUM(Z199:Z206)</f>
        <v>0</v>
      </c>
      <c r="AA207" s="650">
        <f t="shared" si="87"/>
        <v>0</v>
      </c>
      <c r="AB207" s="650">
        <f t="shared" si="87"/>
        <v>0</v>
      </c>
      <c r="AC207" s="650">
        <f t="shared" si="87"/>
        <v>0</v>
      </c>
      <c r="AD207" s="650">
        <f t="shared" si="87"/>
        <v>0</v>
      </c>
      <c r="AE207" s="650">
        <f t="shared" si="87"/>
        <v>0</v>
      </c>
      <c r="AF207" s="650">
        <f t="shared" si="87"/>
        <v>0</v>
      </c>
      <c r="AG207" s="650">
        <f t="shared" si="87"/>
        <v>0</v>
      </c>
      <c r="AH207" s="650">
        <f t="shared" si="87"/>
        <v>0</v>
      </c>
      <c r="AI207" s="650">
        <f t="shared" si="87"/>
        <v>0</v>
      </c>
      <c r="AJ207" s="650">
        <f t="shared" si="87"/>
        <v>0</v>
      </c>
      <c r="AK207" s="650">
        <f t="shared" si="87"/>
        <v>51000</v>
      </c>
      <c r="AL207" s="650">
        <f t="shared" si="87"/>
        <v>0</v>
      </c>
      <c r="AM207" s="650">
        <f t="shared" si="87"/>
        <v>0</v>
      </c>
      <c r="AN207" s="650">
        <f t="shared" si="87"/>
        <v>0</v>
      </c>
      <c r="AO207" s="650">
        <f t="shared" si="87"/>
        <v>0</v>
      </c>
      <c r="AP207" s="650">
        <f t="shared" si="87"/>
        <v>0</v>
      </c>
      <c r="AQ207" s="650">
        <f t="shared" si="87"/>
        <v>0</v>
      </c>
      <c r="AR207" s="650">
        <f t="shared" si="87"/>
        <v>51000</v>
      </c>
      <c r="AS207" s="650">
        <f t="shared" si="87"/>
        <v>-172000</v>
      </c>
      <c r="AT207" s="650">
        <f t="shared" si="87"/>
        <v>11394000</v>
      </c>
      <c r="AU207" s="650">
        <f t="shared" si="87"/>
        <v>0</v>
      </c>
      <c r="AV207" s="650">
        <f t="shared" si="87"/>
        <v>11394000</v>
      </c>
    </row>
    <row r="208" spans="1:48">
      <c r="A208" s="640">
        <v>205</v>
      </c>
      <c r="B208" s="811" t="s">
        <v>1364</v>
      </c>
      <c r="C208" s="661" t="s">
        <v>253</v>
      </c>
      <c r="D208" s="662">
        <v>374</v>
      </c>
      <c r="E208" s="668">
        <f>PROFORMA!F320</f>
        <v>18000</v>
      </c>
      <c r="F208" s="668">
        <f>PROFORMA!G320</f>
        <v>0</v>
      </c>
      <c r="G208" s="668">
        <f>PROFORMA!H320</f>
        <v>0</v>
      </c>
      <c r="H208" s="668">
        <f>PROFORMA!I320</f>
        <v>0</v>
      </c>
      <c r="I208" s="668">
        <f>PROFORMA!J320</f>
        <v>0</v>
      </c>
      <c r="J208" s="668">
        <f>PROFORMA!K320</f>
        <v>0</v>
      </c>
      <c r="K208" s="668">
        <f>PROFORMA!L320</f>
        <v>0</v>
      </c>
      <c r="L208" s="668">
        <f>PROFORMA!M320</f>
        <v>0</v>
      </c>
      <c r="M208" s="668">
        <f>PROFORMA!N320</f>
        <v>0</v>
      </c>
      <c r="N208" s="668">
        <f>PROFORMA!O320</f>
        <v>0</v>
      </c>
      <c r="O208" s="668">
        <f>PROFORMA!P320</f>
        <v>0</v>
      </c>
      <c r="P208" s="668">
        <f>PROFORMA!Q320</f>
        <v>0</v>
      </c>
      <c r="Q208" s="668">
        <f>PROFORMA!R320</f>
        <v>0</v>
      </c>
      <c r="R208" s="668">
        <f>PROFORMA!S320</f>
        <v>0</v>
      </c>
      <c r="S208" s="668">
        <f>PROFORMA!T320</f>
        <v>0</v>
      </c>
      <c r="T208" s="668">
        <f>PROFORMA!U320</f>
        <v>0</v>
      </c>
      <c r="U208" s="668">
        <f>PROFORMA!V320</f>
        <v>0</v>
      </c>
      <c r="V208" s="668">
        <f>PROFORMA!W320</f>
        <v>0</v>
      </c>
      <c r="W208" s="668">
        <f>PROFORMA!X320</f>
        <v>0</v>
      </c>
      <c r="X208" s="668">
        <f>PROFORMA!Y320</f>
        <v>0</v>
      </c>
      <c r="Y208" s="690">
        <f t="shared" si="81"/>
        <v>0</v>
      </c>
      <c r="Z208" s="668">
        <f>PROFORMA!Z320</f>
        <v>0</v>
      </c>
      <c r="AA208" s="668">
        <f>PROFORMA!AA320</f>
        <v>0</v>
      </c>
      <c r="AB208" s="668">
        <f>PROFORMA!AB320</f>
        <v>0</v>
      </c>
      <c r="AC208" s="668">
        <f>PROFORMA!AC320</f>
        <v>0</v>
      </c>
      <c r="AD208" s="668">
        <f>PROFORMA!AD320</f>
        <v>0</v>
      </c>
      <c r="AE208" s="668">
        <f>PROFORMA!AE320</f>
        <v>0</v>
      </c>
      <c r="AF208" s="668">
        <f>PROFORMA!AF320</f>
        <v>0</v>
      </c>
      <c r="AG208" s="668">
        <f>PROFORMA!AG320</f>
        <v>0</v>
      </c>
      <c r="AH208" s="668">
        <f>PROFORMA!AH320</f>
        <v>0</v>
      </c>
      <c r="AI208" s="668">
        <f>PROFORMA!AI320</f>
        <v>0</v>
      </c>
      <c r="AJ208" s="668">
        <f>PROFORMA!AJ320</f>
        <v>0</v>
      </c>
      <c r="AK208" s="668">
        <f>PROFORMA!AK320</f>
        <v>0</v>
      </c>
      <c r="AL208" s="668">
        <f>PROFORMA!AL320</f>
        <v>0</v>
      </c>
      <c r="AM208" s="668">
        <f>PROFORMA!AM320</f>
        <v>0</v>
      </c>
      <c r="AN208" s="668">
        <f>PROFORMA!AN320</f>
        <v>0</v>
      </c>
      <c r="AO208" s="668">
        <f>PROFORMA!AO320</f>
        <v>0</v>
      </c>
      <c r="AP208" s="668">
        <f>PROFORMA!AP320</f>
        <v>0</v>
      </c>
      <c r="AQ208" s="668">
        <f>PROFORMA!AQ320</f>
        <v>0</v>
      </c>
      <c r="AR208" s="693">
        <f t="shared" si="82"/>
        <v>0</v>
      </c>
      <c r="AS208" s="643">
        <f t="shared" si="83"/>
        <v>0</v>
      </c>
      <c r="AT208" s="643">
        <f t="shared" si="84"/>
        <v>18000</v>
      </c>
      <c r="AU208" s="643"/>
      <c r="AV208" s="643">
        <f t="shared" si="85"/>
        <v>18000</v>
      </c>
    </row>
    <row r="209" spans="1:48">
      <c r="A209" s="640">
        <v>206</v>
      </c>
      <c r="B209" s="811"/>
      <c r="C209" s="661" t="s">
        <v>254</v>
      </c>
      <c r="D209" s="662">
        <v>375</v>
      </c>
      <c r="E209" s="668">
        <f>PROFORMA!F321</f>
        <v>155000</v>
      </c>
      <c r="F209" s="668">
        <f>PROFORMA!G321</f>
        <v>0</v>
      </c>
      <c r="G209" s="668">
        <f>PROFORMA!H321</f>
        <v>0</v>
      </c>
      <c r="H209" s="668">
        <f>PROFORMA!I321</f>
        <v>0</v>
      </c>
      <c r="I209" s="668">
        <f>PROFORMA!J321</f>
        <v>0</v>
      </c>
      <c r="J209" s="668">
        <f>PROFORMA!K321</f>
        <v>0</v>
      </c>
      <c r="K209" s="668">
        <f>PROFORMA!L321</f>
        <v>0</v>
      </c>
      <c r="L209" s="668">
        <f>PROFORMA!M321</f>
        <v>0</v>
      </c>
      <c r="M209" s="668">
        <f>PROFORMA!N321</f>
        <v>0</v>
      </c>
      <c r="N209" s="668">
        <f>PROFORMA!O321</f>
        <v>0</v>
      </c>
      <c r="O209" s="668">
        <f>PROFORMA!P321</f>
        <v>0</v>
      </c>
      <c r="P209" s="668">
        <f>PROFORMA!Q321</f>
        <v>0</v>
      </c>
      <c r="Q209" s="668">
        <f>PROFORMA!R321</f>
        <v>0</v>
      </c>
      <c r="R209" s="668">
        <f>PROFORMA!S321</f>
        <v>0</v>
      </c>
      <c r="S209" s="668">
        <f>PROFORMA!T321</f>
        <v>0</v>
      </c>
      <c r="T209" s="668">
        <f>PROFORMA!U321</f>
        <v>0</v>
      </c>
      <c r="U209" s="668">
        <f>PROFORMA!V321</f>
        <v>0</v>
      </c>
      <c r="V209" s="668">
        <f>PROFORMA!W321</f>
        <v>0</v>
      </c>
      <c r="W209" s="668">
        <f>PROFORMA!X321</f>
        <v>0</v>
      </c>
      <c r="X209" s="668">
        <f>PROFORMA!Y321</f>
        <v>2000</v>
      </c>
      <c r="Y209" s="690">
        <f t="shared" si="81"/>
        <v>2000</v>
      </c>
      <c r="Z209" s="668">
        <f>PROFORMA!Z321</f>
        <v>0</v>
      </c>
      <c r="AA209" s="668">
        <f>PROFORMA!AA321</f>
        <v>0</v>
      </c>
      <c r="AB209" s="668">
        <f>PROFORMA!AB321</f>
        <v>0</v>
      </c>
      <c r="AC209" s="668">
        <f>PROFORMA!AC321</f>
        <v>0</v>
      </c>
      <c r="AD209" s="668">
        <f>PROFORMA!AD321</f>
        <v>0</v>
      </c>
      <c r="AE209" s="668">
        <f>PROFORMA!AE321</f>
        <v>0</v>
      </c>
      <c r="AF209" s="668">
        <f>PROFORMA!AF321</f>
        <v>0</v>
      </c>
      <c r="AG209" s="668">
        <f>PROFORMA!AG321</f>
        <v>0</v>
      </c>
      <c r="AH209" s="668">
        <f>PROFORMA!AH321</f>
        <v>0</v>
      </c>
      <c r="AI209" s="668">
        <f>PROFORMA!AI321</f>
        <v>0</v>
      </c>
      <c r="AJ209" s="668">
        <f>PROFORMA!AJ321</f>
        <v>0</v>
      </c>
      <c r="AK209" s="668">
        <f>PROFORMA!AK321</f>
        <v>614000</v>
      </c>
      <c r="AL209" s="668">
        <f>PROFORMA!AL321</f>
        <v>517000</v>
      </c>
      <c r="AM209" s="668">
        <f>PROFORMA!AM321</f>
        <v>1743000</v>
      </c>
      <c r="AN209" s="668">
        <f>PROFORMA!AN321</f>
        <v>0</v>
      </c>
      <c r="AO209" s="668">
        <f>PROFORMA!AO321</f>
        <v>0</v>
      </c>
      <c r="AP209" s="668">
        <f>PROFORMA!AP321</f>
        <v>0</v>
      </c>
      <c r="AQ209" s="668">
        <f>PROFORMA!AQ321</f>
        <v>0</v>
      </c>
      <c r="AR209" s="693">
        <f t="shared" si="82"/>
        <v>2874000</v>
      </c>
      <c r="AS209" s="643">
        <f t="shared" si="83"/>
        <v>2876000</v>
      </c>
      <c r="AT209" s="643">
        <f t="shared" si="84"/>
        <v>3031000</v>
      </c>
      <c r="AU209" s="643"/>
      <c r="AV209" s="643">
        <f t="shared" si="85"/>
        <v>3031000</v>
      </c>
    </row>
    <row r="210" spans="1:48">
      <c r="A210" s="640">
        <v>207</v>
      </c>
      <c r="B210" s="811"/>
      <c r="C210" s="661" t="s">
        <v>261</v>
      </c>
      <c r="D210" s="662">
        <v>376</v>
      </c>
      <c r="E210" s="668">
        <f>PROFORMA!F322</f>
        <v>73384000</v>
      </c>
      <c r="F210" s="668">
        <f>PROFORMA!G322</f>
        <v>0</v>
      </c>
      <c r="G210" s="668">
        <f>PROFORMA!H322</f>
        <v>0</v>
      </c>
      <c r="H210" s="668">
        <f>PROFORMA!I322</f>
        <v>0</v>
      </c>
      <c r="I210" s="668">
        <f>PROFORMA!J322</f>
        <v>0</v>
      </c>
      <c r="J210" s="668">
        <f>PROFORMA!K322</f>
        <v>0</v>
      </c>
      <c r="K210" s="668">
        <f>PROFORMA!L322</f>
        <v>0</v>
      </c>
      <c r="L210" s="668">
        <f>PROFORMA!M322</f>
        <v>0</v>
      </c>
      <c r="M210" s="668">
        <f>PROFORMA!N322</f>
        <v>0</v>
      </c>
      <c r="N210" s="668">
        <f>PROFORMA!O322</f>
        <v>0</v>
      </c>
      <c r="O210" s="668">
        <f>PROFORMA!P322</f>
        <v>0</v>
      </c>
      <c r="P210" s="668">
        <f>PROFORMA!Q322</f>
        <v>0</v>
      </c>
      <c r="Q210" s="668">
        <f>PROFORMA!R322</f>
        <v>0</v>
      </c>
      <c r="R210" s="668">
        <f>PROFORMA!S322</f>
        <v>0</v>
      </c>
      <c r="S210" s="668">
        <f>PROFORMA!T322</f>
        <v>0</v>
      </c>
      <c r="T210" s="668">
        <f>PROFORMA!U322</f>
        <v>0</v>
      </c>
      <c r="U210" s="668">
        <f>PROFORMA!V322</f>
        <v>0</v>
      </c>
      <c r="V210" s="668">
        <f>PROFORMA!W322</f>
        <v>0</v>
      </c>
      <c r="W210" s="668">
        <f>PROFORMA!X322</f>
        <v>0</v>
      </c>
      <c r="X210" s="668">
        <f>PROFORMA!Y322</f>
        <v>984000</v>
      </c>
      <c r="Y210" s="690">
        <f t="shared" si="81"/>
        <v>984000</v>
      </c>
      <c r="Z210" s="668">
        <f>PROFORMA!Z322</f>
        <v>0</v>
      </c>
      <c r="AA210" s="668">
        <f>PROFORMA!AA322</f>
        <v>0</v>
      </c>
      <c r="AB210" s="668">
        <f>PROFORMA!AB322</f>
        <v>0</v>
      </c>
      <c r="AC210" s="668">
        <f>PROFORMA!AC322</f>
        <v>0</v>
      </c>
      <c r="AD210" s="668">
        <f>PROFORMA!AD322</f>
        <v>0</v>
      </c>
      <c r="AE210" s="668">
        <f>PROFORMA!AE322</f>
        <v>0</v>
      </c>
      <c r="AF210" s="668">
        <f>PROFORMA!AF322</f>
        <v>0</v>
      </c>
      <c r="AG210" s="668">
        <f>PROFORMA!AG322</f>
        <v>0</v>
      </c>
      <c r="AH210" s="668">
        <f>PROFORMA!AH322</f>
        <v>0</v>
      </c>
      <c r="AI210" s="668">
        <f>PROFORMA!AI322</f>
        <v>0</v>
      </c>
      <c r="AJ210" s="668">
        <f>PROFORMA!AJ322</f>
        <v>0</v>
      </c>
      <c r="AK210" s="668">
        <f>PROFORMA!AK322</f>
        <v>0</v>
      </c>
      <c r="AL210" s="668">
        <f>PROFORMA!AL322</f>
        <v>0</v>
      </c>
      <c r="AM210" s="668">
        <f>PROFORMA!AM322</f>
        <v>0</v>
      </c>
      <c r="AN210" s="668">
        <f>PROFORMA!AN322</f>
        <v>0</v>
      </c>
      <c r="AO210" s="668">
        <f>PROFORMA!AO322</f>
        <v>0</v>
      </c>
      <c r="AP210" s="668">
        <f>PROFORMA!AP322</f>
        <v>0</v>
      </c>
      <c r="AQ210" s="668">
        <f>PROFORMA!AQ322</f>
        <v>0</v>
      </c>
      <c r="AR210" s="693">
        <f t="shared" si="82"/>
        <v>0</v>
      </c>
      <c r="AS210" s="643">
        <f t="shared" si="83"/>
        <v>984000</v>
      </c>
      <c r="AT210" s="643">
        <f t="shared" si="84"/>
        <v>74368000</v>
      </c>
      <c r="AU210" s="643"/>
      <c r="AV210" s="643">
        <f t="shared" si="85"/>
        <v>74368000</v>
      </c>
    </row>
    <row r="211" spans="1:48">
      <c r="A211" s="640">
        <v>208</v>
      </c>
      <c r="B211" s="811"/>
      <c r="C211" s="661" t="s">
        <v>262</v>
      </c>
      <c r="D211" s="662">
        <v>378</v>
      </c>
      <c r="E211" s="668">
        <f>PROFORMA!F324</f>
        <v>1028000</v>
      </c>
      <c r="F211" s="668">
        <f>PROFORMA!G324</f>
        <v>0</v>
      </c>
      <c r="G211" s="668">
        <f>PROFORMA!H324</f>
        <v>0</v>
      </c>
      <c r="H211" s="668">
        <f>PROFORMA!I324</f>
        <v>0</v>
      </c>
      <c r="I211" s="668">
        <f>PROFORMA!J324</f>
        <v>0</v>
      </c>
      <c r="J211" s="668">
        <f>PROFORMA!K324</f>
        <v>0</v>
      </c>
      <c r="K211" s="668">
        <f>PROFORMA!L324</f>
        <v>0</v>
      </c>
      <c r="L211" s="668">
        <f>PROFORMA!M324</f>
        <v>0</v>
      </c>
      <c r="M211" s="668">
        <f>PROFORMA!N324</f>
        <v>0</v>
      </c>
      <c r="N211" s="668">
        <f>PROFORMA!O324</f>
        <v>0</v>
      </c>
      <c r="O211" s="668">
        <f>PROFORMA!P324</f>
        <v>0</v>
      </c>
      <c r="P211" s="668">
        <f>PROFORMA!Q324</f>
        <v>0</v>
      </c>
      <c r="Q211" s="668">
        <f>PROFORMA!R324</f>
        <v>0</v>
      </c>
      <c r="R211" s="668">
        <f>PROFORMA!S324</f>
        <v>0</v>
      </c>
      <c r="S211" s="668">
        <f>PROFORMA!T324</f>
        <v>0</v>
      </c>
      <c r="T211" s="668">
        <f>PROFORMA!U324</f>
        <v>0</v>
      </c>
      <c r="U211" s="668">
        <f>PROFORMA!V324</f>
        <v>0</v>
      </c>
      <c r="V211" s="668">
        <f>PROFORMA!W324</f>
        <v>0</v>
      </c>
      <c r="W211" s="668">
        <f>PROFORMA!X324</f>
        <v>0</v>
      </c>
      <c r="X211" s="668">
        <f>PROFORMA!Y324</f>
        <v>14000</v>
      </c>
      <c r="Y211" s="690">
        <f t="shared" si="81"/>
        <v>14000</v>
      </c>
      <c r="Z211" s="668">
        <f>PROFORMA!Z324</f>
        <v>0</v>
      </c>
      <c r="AA211" s="668">
        <f>PROFORMA!AA324</f>
        <v>0</v>
      </c>
      <c r="AB211" s="668">
        <f>PROFORMA!AB324</f>
        <v>0</v>
      </c>
      <c r="AC211" s="668">
        <f>PROFORMA!AC324</f>
        <v>0</v>
      </c>
      <c r="AD211" s="668">
        <f>PROFORMA!AD324</f>
        <v>0</v>
      </c>
      <c r="AE211" s="668">
        <f>PROFORMA!AE324</f>
        <v>0</v>
      </c>
      <c r="AF211" s="668">
        <f>PROFORMA!AF324</f>
        <v>0</v>
      </c>
      <c r="AG211" s="668">
        <f>PROFORMA!AG324</f>
        <v>0</v>
      </c>
      <c r="AH211" s="668">
        <f>PROFORMA!AH324</f>
        <v>0</v>
      </c>
      <c r="AI211" s="668">
        <f>PROFORMA!AI324</f>
        <v>0</v>
      </c>
      <c r="AJ211" s="668">
        <f>PROFORMA!AJ324</f>
        <v>0</v>
      </c>
      <c r="AK211" s="668">
        <f>PROFORMA!AK324</f>
        <v>0</v>
      </c>
      <c r="AL211" s="668">
        <f>PROFORMA!AL324</f>
        <v>0</v>
      </c>
      <c r="AM211" s="668">
        <f>PROFORMA!AM324</f>
        <v>0</v>
      </c>
      <c r="AN211" s="668">
        <f>PROFORMA!AN324</f>
        <v>0</v>
      </c>
      <c r="AO211" s="668">
        <f>PROFORMA!AO324</f>
        <v>0</v>
      </c>
      <c r="AP211" s="668">
        <f>PROFORMA!AP324</f>
        <v>0</v>
      </c>
      <c r="AQ211" s="668">
        <f>PROFORMA!AQ324</f>
        <v>0</v>
      </c>
      <c r="AR211" s="693">
        <f t="shared" si="82"/>
        <v>0</v>
      </c>
      <c r="AS211" s="643">
        <f t="shared" si="83"/>
        <v>14000</v>
      </c>
      <c r="AT211" s="643">
        <f t="shared" si="84"/>
        <v>1042000</v>
      </c>
      <c r="AU211" s="643"/>
      <c r="AV211" s="643">
        <f t="shared" si="85"/>
        <v>1042000</v>
      </c>
    </row>
    <row r="212" spans="1:48">
      <c r="A212" s="640">
        <v>209</v>
      </c>
      <c r="B212" s="811"/>
      <c r="C212" s="661" t="s">
        <v>263</v>
      </c>
      <c r="D212" s="662">
        <v>379</v>
      </c>
      <c r="E212" s="668">
        <f>PROFORMA!F325</f>
        <v>428000</v>
      </c>
      <c r="F212" s="668">
        <f>PROFORMA!G325</f>
        <v>0</v>
      </c>
      <c r="G212" s="668">
        <f>PROFORMA!H325</f>
        <v>0</v>
      </c>
      <c r="H212" s="668">
        <f>PROFORMA!I325</f>
        <v>0</v>
      </c>
      <c r="I212" s="668">
        <f>PROFORMA!J325</f>
        <v>0</v>
      </c>
      <c r="J212" s="668">
        <f>PROFORMA!K325</f>
        <v>0</v>
      </c>
      <c r="K212" s="668">
        <f>PROFORMA!L325</f>
        <v>0</v>
      </c>
      <c r="L212" s="668">
        <f>PROFORMA!M325</f>
        <v>0</v>
      </c>
      <c r="M212" s="668">
        <f>PROFORMA!N325</f>
        <v>0</v>
      </c>
      <c r="N212" s="668">
        <f>PROFORMA!O325</f>
        <v>0</v>
      </c>
      <c r="O212" s="668">
        <f>PROFORMA!P325</f>
        <v>0</v>
      </c>
      <c r="P212" s="668">
        <f>PROFORMA!Q325</f>
        <v>0</v>
      </c>
      <c r="Q212" s="668">
        <f>PROFORMA!R325</f>
        <v>0</v>
      </c>
      <c r="R212" s="668">
        <f>PROFORMA!S325</f>
        <v>0</v>
      </c>
      <c r="S212" s="668">
        <f>PROFORMA!T325</f>
        <v>0</v>
      </c>
      <c r="T212" s="668">
        <f>PROFORMA!U325</f>
        <v>0</v>
      </c>
      <c r="U212" s="668">
        <f>PROFORMA!V325</f>
        <v>0</v>
      </c>
      <c r="V212" s="668">
        <f>PROFORMA!W325</f>
        <v>0</v>
      </c>
      <c r="W212" s="668">
        <f>PROFORMA!X325</f>
        <v>0</v>
      </c>
      <c r="X212" s="668">
        <f>PROFORMA!Y325</f>
        <v>6000</v>
      </c>
      <c r="Y212" s="690">
        <f t="shared" si="81"/>
        <v>6000</v>
      </c>
      <c r="Z212" s="668">
        <f>PROFORMA!Z325</f>
        <v>0</v>
      </c>
      <c r="AA212" s="668">
        <f>PROFORMA!AA325</f>
        <v>0</v>
      </c>
      <c r="AB212" s="668">
        <f>PROFORMA!AB325</f>
        <v>0</v>
      </c>
      <c r="AC212" s="668">
        <f>PROFORMA!AC325</f>
        <v>0</v>
      </c>
      <c r="AD212" s="668">
        <f>PROFORMA!AD325</f>
        <v>0</v>
      </c>
      <c r="AE212" s="668">
        <f>PROFORMA!AE325</f>
        <v>0</v>
      </c>
      <c r="AF212" s="668">
        <f>PROFORMA!AF325</f>
        <v>0</v>
      </c>
      <c r="AG212" s="668">
        <f>PROFORMA!AG325</f>
        <v>0</v>
      </c>
      <c r="AH212" s="668">
        <f>PROFORMA!AH325</f>
        <v>0</v>
      </c>
      <c r="AI212" s="668">
        <f>PROFORMA!AI325</f>
        <v>0</v>
      </c>
      <c r="AJ212" s="668">
        <f>PROFORMA!AJ325</f>
        <v>0</v>
      </c>
      <c r="AK212" s="668">
        <f>PROFORMA!AK325</f>
        <v>0</v>
      </c>
      <c r="AL212" s="668">
        <f>PROFORMA!AL325</f>
        <v>0</v>
      </c>
      <c r="AM212" s="668">
        <f>PROFORMA!AM325</f>
        <v>0</v>
      </c>
      <c r="AN212" s="668">
        <f>PROFORMA!AN325</f>
        <v>0</v>
      </c>
      <c r="AO212" s="668">
        <f>PROFORMA!AO325</f>
        <v>0</v>
      </c>
      <c r="AP212" s="668">
        <f>PROFORMA!AP325</f>
        <v>0</v>
      </c>
      <c r="AQ212" s="668">
        <f>PROFORMA!AQ325</f>
        <v>0</v>
      </c>
      <c r="AR212" s="693">
        <f t="shared" si="82"/>
        <v>0</v>
      </c>
      <c r="AS212" s="643">
        <f t="shared" si="83"/>
        <v>6000</v>
      </c>
      <c r="AT212" s="643">
        <f t="shared" si="84"/>
        <v>434000</v>
      </c>
      <c r="AU212" s="643"/>
      <c r="AV212" s="643">
        <f t="shared" si="85"/>
        <v>434000</v>
      </c>
    </row>
    <row r="213" spans="1:48">
      <c r="A213" s="640">
        <v>210</v>
      </c>
      <c r="B213" s="811"/>
      <c r="C213" s="661" t="s">
        <v>264</v>
      </c>
      <c r="D213" s="662">
        <v>380</v>
      </c>
      <c r="E213" s="668">
        <f>PROFORMA!F326</f>
        <v>63717000</v>
      </c>
      <c r="F213" s="668">
        <f>PROFORMA!G326</f>
        <v>0</v>
      </c>
      <c r="G213" s="668">
        <f>PROFORMA!H326</f>
        <v>0</v>
      </c>
      <c r="H213" s="668">
        <f>PROFORMA!I326</f>
        <v>0</v>
      </c>
      <c r="I213" s="668">
        <f>PROFORMA!J326</f>
        <v>0</v>
      </c>
      <c r="J213" s="668">
        <f>PROFORMA!K326</f>
        <v>0</v>
      </c>
      <c r="K213" s="668">
        <f>PROFORMA!L326</f>
        <v>0</v>
      </c>
      <c r="L213" s="668">
        <f>PROFORMA!M326</f>
        <v>0</v>
      </c>
      <c r="M213" s="668">
        <f>PROFORMA!N326</f>
        <v>0</v>
      </c>
      <c r="N213" s="668">
        <f>PROFORMA!O326</f>
        <v>0</v>
      </c>
      <c r="O213" s="668">
        <f>PROFORMA!P326</f>
        <v>0</v>
      </c>
      <c r="P213" s="668">
        <f>PROFORMA!Q326</f>
        <v>0</v>
      </c>
      <c r="Q213" s="668">
        <f>PROFORMA!R326</f>
        <v>0</v>
      </c>
      <c r="R213" s="668">
        <f>PROFORMA!S326</f>
        <v>0</v>
      </c>
      <c r="S213" s="668">
        <f>PROFORMA!T326</f>
        <v>0</v>
      </c>
      <c r="T213" s="668">
        <f>PROFORMA!U326</f>
        <v>0</v>
      </c>
      <c r="U213" s="668">
        <f>PROFORMA!V326</f>
        <v>0</v>
      </c>
      <c r="V213" s="668">
        <f>PROFORMA!W326</f>
        <v>0</v>
      </c>
      <c r="W213" s="668">
        <f>PROFORMA!X326</f>
        <v>0</v>
      </c>
      <c r="X213" s="668">
        <f>PROFORMA!Y326</f>
        <v>855000</v>
      </c>
      <c r="Y213" s="690">
        <f t="shared" si="81"/>
        <v>855000</v>
      </c>
      <c r="Z213" s="668">
        <f>PROFORMA!Z326</f>
        <v>0</v>
      </c>
      <c r="AA213" s="668">
        <f>PROFORMA!AA326</f>
        <v>0</v>
      </c>
      <c r="AB213" s="668">
        <f>PROFORMA!AB326</f>
        <v>0</v>
      </c>
      <c r="AC213" s="668">
        <f>PROFORMA!AC326</f>
        <v>0</v>
      </c>
      <c r="AD213" s="668">
        <f>PROFORMA!AD326</f>
        <v>0</v>
      </c>
      <c r="AE213" s="668">
        <f>PROFORMA!AE326</f>
        <v>0</v>
      </c>
      <c r="AF213" s="668">
        <f>PROFORMA!AF326</f>
        <v>0</v>
      </c>
      <c r="AG213" s="668">
        <f>PROFORMA!AG326</f>
        <v>0</v>
      </c>
      <c r="AH213" s="668">
        <f>PROFORMA!AH326</f>
        <v>0</v>
      </c>
      <c r="AI213" s="668">
        <f>PROFORMA!AI326</f>
        <v>0</v>
      </c>
      <c r="AJ213" s="668">
        <f>PROFORMA!AJ326</f>
        <v>0</v>
      </c>
      <c r="AK213" s="668">
        <f>PROFORMA!AK326</f>
        <v>0</v>
      </c>
      <c r="AL213" s="668">
        <f>PROFORMA!AL326</f>
        <v>0</v>
      </c>
      <c r="AM213" s="668">
        <f>PROFORMA!AM326</f>
        <v>0</v>
      </c>
      <c r="AN213" s="668">
        <f>PROFORMA!AN326</f>
        <v>0</v>
      </c>
      <c r="AO213" s="668">
        <f>PROFORMA!AO326</f>
        <v>0</v>
      </c>
      <c r="AP213" s="668">
        <f>PROFORMA!AP326</f>
        <v>0</v>
      </c>
      <c r="AQ213" s="668">
        <f>PROFORMA!AQ326</f>
        <v>0</v>
      </c>
      <c r="AR213" s="693">
        <f t="shared" si="82"/>
        <v>0</v>
      </c>
      <c r="AS213" s="643">
        <f t="shared" si="83"/>
        <v>855000</v>
      </c>
      <c r="AT213" s="643">
        <f t="shared" si="84"/>
        <v>64572000</v>
      </c>
      <c r="AU213" s="643"/>
      <c r="AV213" s="643">
        <f t="shared" si="85"/>
        <v>64572000</v>
      </c>
    </row>
    <row r="214" spans="1:48">
      <c r="A214" s="640">
        <v>211</v>
      </c>
      <c r="B214" s="811"/>
      <c r="C214" s="661" t="s">
        <v>265</v>
      </c>
      <c r="D214" s="662">
        <v>381</v>
      </c>
      <c r="E214" s="668">
        <f>PROFORMA!F327</f>
        <v>11328000</v>
      </c>
      <c r="F214" s="668">
        <f>PROFORMA!G327</f>
        <v>0</v>
      </c>
      <c r="G214" s="668">
        <f>PROFORMA!H327</f>
        <v>0</v>
      </c>
      <c r="H214" s="668">
        <f>PROFORMA!I327</f>
        <v>0</v>
      </c>
      <c r="I214" s="668">
        <f>PROFORMA!J327</f>
        <v>301000</v>
      </c>
      <c r="J214" s="668">
        <f>PROFORMA!K327</f>
        <v>0</v>
      </c>
      <c r="K214" s="668">
        <f>PROFORMA!L327</f>
        <v>0</v>
      </c>
      <c r="L214" s="668">
        <f>PROFORMA!M327</f>
        <v>0</v>
      </c>
      <c r="M214" s="668">
        <f>PROFORMA!N327</f>
        <v>0</v>
      </c>
      <c r="N214" s="668">
        <f>PROFORMA!O327</f>
        <v>0</v>
      </c>
      <c r="O214" s="668">
        <f>PROFORMA!P327</f>
        <v>0</v>
      </c>
      <c r="P214" s="668">
        <f>PROFORMA!Q327</f>
        <v>0</v>
      </c>
      <c r="Q214" s="668">
        <f>PROFORMA!R327</f>
        <v>0</v>
      </c>
      <c r="R214" s="668">
        <f>PROFORMA!S327</f>
        <v>0</v>
      </c>
      <c r="S214" s="668">
        <f>PROFORMA!T327</f>
        <v>0</v>
      </c>
      <c r="T214" s="668">
        <f>PROFORMA!U327</f>
        <v>0</v>
      </c>
      <c r="U214" s="668">
        <f>PROFORMA!V327</f>
        <v>0</v>
      </c>
      <c r="V214" s="668">
        <f>PROFORMA!W327</f>
        <v>0</v>
      </c>
      <c r="W214" s="668">
        <f>PROFORMA!X327</f>
        <v>0</v>
      </c>
      <c r="X214" s="668">
        <f>PROFORMA!Y327</f>
        <v>152000</v>
      </c>
      <c r="Y214" s="690">
        <f t="shared" si="81"/>
        <v>453000</v>
      </c>
      <c r="Z214" s="668">
        <f>PROFORMA!Z327</f>
        <v>0</v>
      </c>
      <c r="AA214" s="668">
        <f>PROFORMA!AA327</f>
        <v>0</v>
      </c>
      <c r="AB214" s="668">
        <f>PROFORMA!AB327</f>
        <v>0</v>
      </c>
      <c r="AC214" s="668">
        <f>PROFORMA!AC327</f>
        <v>0</v>
      </c>
      <c r="AD214" s="668">
        <f>PROFORMA!AD327</f>
        <v>0</v>
      </c>
      <c r="AE214" s="668">
        <f>PROFORMA!AE327</f>
        <v>0</v>
      </c>
      <c r="AF214" s="668">
        <f>PROFORMA!AF327</f>
        <v>0</v>
      </c>
      <c r="AG214" s="668">
        <f>PROFORMA!AG327</f>
        <v>0</v>
      </c>
      <c r="AH214" s="668">
        <f>PROFORMA!AH327</f>
        <v>0</v>
      </c>
      <c r="AI214" s="668">
        <f>PROFORMA!AI327</f>
        <v>0</v>
      </c>
      <c r="AJ214" s="668">
        <f>PROFORMA!AJ327</f>
        <v>0</v>
      </c>
      <c r="AK214" s="668">
        <f>PROFORMA!AK327</f>
        <v>0</v>
      </c>
      <c r="AL214" s="668">
        <f>PROFORMA!AL327</f>
        <v>0</v>
      </c>
      <c r="AM214" s="668">
        <f>PROFORMA!AM327</f>
        <v>0</v>
      </c>
      <c r="AN214" s="668">
        <f>PROFORMA!AN327</f>
        <v>0</v>
      </c>
      <c r="AO214" s="668">
        <f>PROFORMA!AO327</f>
        <v>-3294000</v>
      </c>
      <c r="AP214" s="668">
        <f>PROFORMA!AP327</f>
        <v>0</v>
      </c>
      <c r="AQ214" s="668">
        <f>PROFORMA!AQ327</f>
        <v>0</v>
      </c>
      <c r="AR214" s="693">
        <f t="shared" si="82"/>
        <v>-3294000</v>
      </c>
      <c r="AS214" s="643">
        <f t="shared" si="83"/>
        <v>-2841000</v>
      </c>
      <c r="AT214" s="643">
        <f t="shared" si="84"/>
        <v>8487000</v>
      </c>
      <c r="AU214" s="643"/>
      <c r="AV214" s="643">
        <f t="shared" si="85"/>
        <v>8487000</v>
      </c>
    </row>
    <row r="215" spans="1:48">
      <c r="A215" s="640">
        <v>212</v>
      </c>
      <c r="B215" s="811"/>
      <c r="C215" s="661" t="s">
        <v>266</v>
      </c>
      <c r="D215" s="662">
        <v>382</v>
      </c>
      <c r="E215" s="668">
        <f>PROFORMA!F328</f>
        <v>0</v>
      </c>
      <c r="F215" s="668">
        <f>PROFORMA!G328</f>
        <v>0</v>
      </c>
      <c r="G215" s="668">
        <f>PROFORMA!H328</f>
        <v>0</v>
      </c>
      <c r="H215" s="668">
        <f>PROFORMA!I328</f>
        <v>0</v>
      </c>
      <c r="I215" s="668">
        <f>PROFORMA!J328</f>
        <v>0</v>
      </c>
      <c r="J215" s="668">
        <f>PROFORMA!K328</f>
        <v>0</v>
      </c>
      <c r="K215" s="668">
        <f>PROFORMA!L328</f>
        <v>0</v>
      </c>
      <c r="L215" s="668">
        <f>PROFORMA!M328</f>
        <v>0</v>
      </c>
      <c r="M215" s="668">
        <f>PROFORMA!N328</f>
        <v>0</v>
      </c>
      <c r="N215" s="668">
        <f>PROFORMA!O328</f>
        <v>0</v>
      </c>
      <c r="O215" s="668">
        <f>PROFORMA!P328</f>
        <v>0</v>
      </c>
      <c r="P215" s="668">
        <f>PROFORMA!Q328</f>
        <v>0</v>
      </c>
      <c r="Q215" s="668">
        <f>PROFORMA!R328</f>
        <v>0</v>
      </c>
      <c r="R215" s="668">
        <f>PROFORMA!S328</f>
        <v>0</v>
      </c>
      <c r="S215" s="668">
        <f>PROFORMA!T328</f>
        <v>0</v>
      </c>
      <c r="T215" s="668">
        <f>PROFORMA!U328</f>
        <v>0</v>
      </c>
      <c r="U215" s="668">
        <f>PROFORMA!V328</f>
        <v>0</v>
      </c>
      <c r="V215" s="668">
        <f>PROFORMA!W328</f>
        <v>0</v>
      </c>
      <c r="W215" s="668">
        <f>PROFORMA!X328</f>
        <v>0</v>
      </c>
      <c r="X215" s="668">
        <f>PROFORMA!Y328</f>
        <v>0</v>
      </c>
      <c r="Y215" s="690">
        <f t="shared" si="81"/>
        <v>0</v>
      </c>
      <c r="Z215" s="668">
        <f>PROFORMA!Z328</f>
        <v>0</v>
      </c>
      <c r="AA215" s="668">
        <f>PROFORMA!AA328</f>
        <v>0</v>
      </c>
      <c r="AB215" s="668">
        <f>PROFORMA!AB328</f>
        <v>0</v>
      </c>
      <c r="AC215" s="668">
        <f>PROFORMA!AC328</f>
        <v>0</v>
      </c>
      <c r="AD215" s="668">
        <f>PROFORMA!AD328</f>
        <v>0</v>
      </c>
      <c r="AE215" s="668">
        <f>PROFORMA!AE328</f>
        <v>0</v>
      </c>
      <c r="AF215" s="668">
        <f>PROFORMA!AF328</f>
        <v>0</v>
      </c>
      <c r="AG215" s="668">
        <f>PROFORMA!AG328</f>
        <v>0</v>
      </c>
      <c r="AH215" s="668">
        <f>PROFORMA!AH328</f>
        <v>0</v>
      </c>
      <c r="AI215" s="668">
        <f>PROFORMA!AI328</f>
        <v>0</v>
      </c>
      <c r="AJ215" s="668">
        <f>PROFORMA!AJ328</f>
        <v>0</v>
      </c>
      <c r="AK215" s="668">
        <f>PROFORMA!AK328</f>
        <v>0</v>
      </c>
      <c r="AL215" s="668">
        <f>PROFORMA!AL328</f>
        <v>0</v>
      </c>
      <c r="AM215" s="668">
        <f>PROFORMA!AM328</f>
        <v>0</v>
      </c>
      <c r="AN215" s="668">
        <f>PROFORMA!AN328</f>
        <v>0</v>
      </c>
      <c r="AO215" s="668">
        <f>PROFORMA!AO328</f>
        <v>0</v>
      </c>
      <c r="AP215" s="668">
        <f>PROFORMA!AP328</f>
        <v>0</v>
      </c>
      <c r="AQ215" s="668">
        <f>PROFORMA!AQ328</f>
        <v>0</v>
      </c>
      <c r="AR215" s="693">
        <f t="shared" si="82"/>
        <v>0</v>
      </c>
      <c r="AS215" s="643">
        <f t="shared" si="83"/>
        <v>0</v>
      </c>
      <c r="AT215" s="643">
        <f t="shared" si="84"/>
        <v>0</v>
      </c>
      <c r="AU215" s="643"/>
      <c r="AV215" s="643">
        <f t="shared" si="85"/>
        <v>0</v>
      </c>
    </row>
    <row r="216" spans="1:48">
      <c r="A216" s="640">
        <v>213</v>
      </c>
      <c r="B216" s="811"/>
      <c r="C216" s="661" t="s">
        <v>267</v>
      </c>
      <c r="D216" s="662">
        <v>383</v>
      </c>
      <c r="E216" s="668">
        <f>PROFORMA!F329</f>
        <v>0</v>
      </c>
      <c r="F216" s="668">
        <f>PROFORMA!G329</f>
        <v>0</v>
      </c>
      <c r="G216" s="668">
        <f>PROFORMA!H329</f>
        <v>0</v>
      </c>
      <c r="H216" s="668">
        <f>PROFORMA!I329</f>
        <v>0</v>
      </c>
      <c r="I216" s="668">
        <f>PROFORMA!J329</f>
        <v>0</v>
      </c>
      <c r="J216" s="668">
        <f>PROFORMA!K329</f>
        <v>0</v>
      </c>
      <c r="K216" s="668">
        <f>PROFORMA!L329</f>
        <v>0</v>
      </c>
      <c r="L216" s="668">
        <f>PROFORMA!M329</f>
        <v>0</v>
      </c>
      <c r="M216" s="668">
        <f>PROFORMA!N329</f>
        <v>0</v>
      </c>
      <c r="N216" s="668">
        <f>PROFORMA!O329</f>
        <v>0</v>
      </c>
      <c r="O216" s="668">
        <f>PROFORMA!P329</f>
        <v>0</v>
      </c>
      <c r="P216" s="668">
        <f>PROFORMA!Q329</f>
        <v>0</v>
      </c>
      <c r="Q216" s="668">
        <f>PROFORMA!R329</f>
        <v>0</v>
      </c>
      <c r="R216" s="668">
        <f>PROFORMA!S329</f>
        <v>0</v>
      </c>
      <c r="S216" s="668">
        <f>PROFORMA!T329</f>
        <v>0</v>
      </c>
      <c r="T216" s="668">
        <f>PROFORMA!U329</f>
        <v>0</v>
      </c>
      <c r="U216" s="668">
        <f>PROFORMA!V329</f>
        <v>0</v>
      </c>
      <c r="V216" s="668">
        <f>PROFORMA!W329</f>
        <v>0</v>
      </c>
      <c r="W216" s="668">
        <f>PROFORMA!X329</f>
        <v>0</v>
      </c>
      <c r="X216" s="668">
        <f>PROFORMA!Y329</f>
        <v>0</v>
      </c>
      <c r="Y216" s="690">
        <f t="shared" si="81"/>
        <v>0</v>
      </c>
      <c r="Z216" s="668">
        <f>PROFORMA!Z329</f>
        <v>0</v>
      </c>
      <c r="AA216" s="668">
        <f>PROFORMA!AA329</f>
        <v>0</v>
      </c>
      <c r="AB216" s="668">
        <f>PROFORMA!AB329</f>
        <v>0</v>
      </c>
      <c r="AC216" s="668">
        <f>PROFORMA!AC329</f>
        <v>0</v>
      </c>
      <c r="AD216" s="668">
        <f>PROFORMA!AD329</f>
        <v>0</v>
      </c>
      <c r="AE216" s="668">
        <f>PROFORMA!AE329</f>
        <v>0</v>
      </c>
      <c r="AF216" s="668">
        <f>PROFORMA!AF329</f>
        <v>0</v>
      </c>
      <c r="AG216" s="668">
        <f>PROFORMA!AG329</f>
        <v>0</v>
      </c>
      <c r="AH216" s="668">
        <f>PROFORMA!AH329</f>
        <v>0</v>
      </c>
      <c r="AI216" s="668">
        <f>PROFORMA!AI329</f>
        <v>0</v>
      </c>
      <c r="AJ216" s="668">
        <f>PROFORMA!AJ329</f>
        <v>0</v>
      </c>
      <c r="AK216" s="668">
        <f>PROFORMA!AK329</f>
        <v>0</v>
      </c>
      <c r="AL216" s="668">
        <f>PROFORMA!AL329</f>
        <v>0</v>
      </c>
      <c r="AM216" s="668">
        <f>PROFORMA!AM329</f>
        <v>0</v>
      </c>
      <c r="AN216" s="668">
        <f>PROFORMA!AN329</f>
        <v>0</v>
      </c>
      <c r="AO216" s="668">
        <f>PROFORMA!AO329</f>
        <v>0</v>
      </c>
      <c r="AP216" s="668">
        <f>PROFORMA!AP329</f>
        <v>0</v>
      </c>
      <c r="AQ216" s="668">
        <f>PROFORMA!AQ329</f>
        <v>0</v>
      </c>
      <c r="AR216" s="693">
        <f t="shared" si="82"/>
        <v>0</v>
      </c>
      <c r="AS216" s="643">
        <f t="shared" si="83"/>
        <v>0</v>
      </c>
      <c r="AT216" s="643">
        <f t="shared" si="84"/>
        <v>0</v>
      </c>
      <c r="AU216" s="643"/>
      <c r="AV216" s="643">
        <f t="shared" si="85"/>
        <v>0</v>
      </c>
    </row>
    <row r="217" spans="1:48">
      <c r="A217" s="640">
        <v>214</v>
      </c>
      <c r="B217" s="811"/>
      <c r="C217" s="661" t="s">
        <v>268</v>
      </c>
      <c r="D217" s="662">
        <v>384</v>
      </c>
      <c r="E217" s="668">
        <f>PROFORMA!F330</f>
        <v>0</v>
      </c>
      <c r="F217" s="668">
        <f>PROFORMA!G330</f>
        <v>0</v>
      </c>
      <c r="G217" s="668">
        <f>PROFORMA!H330</f>
        <v>0</v>
      </c>
      <c r="H217" s="668">
        <f>PROFORMA!I330</f>
        <v>0</v>
      </c>
      <c r="I217" s="668">
        <f>PROFORMA!J330</f>
        <v>0</v>
      </c>
      <c r="J217" s="668">
        <f>PROFORMA!K330</f>
        <v>0</v>
      </c>
      <c r="K217" s="668">
        <f>PROFORMA!L330</f>
        <v>0</v>
      </c>
      <c r="L217" s="668">
        <f>PROFORMA!M330</f>
        <v>0</v>
      </c>
      <c r="M217" s="668">
        <f>PROFORMA!N330</f>
        <v>0</v>
      </c>
      <c r="N217" s="668">
        <f>PROFORMA!O330</f>
        <v>0</v>
      </c>
      <c r="O217" s="668">
        <f>PROFORMA!P330</f>
        <v>0</v>
      </c>
      <c r="P217" s="668">
        <f>PROFORMA!Q330</f>
        <v>0</v>
      </c>
      <c r="Q217" s="668">
        <f>PROFORMA!R330</f>
        <v>0</v>
      </c>
      <c r="R217" s="668">
        <f>PROFORMA!S330</f>
        <v>0</v>
      </c>
      <c r="S217" s="668">
        <f>PROFORMA!T330</f>
        <v>0</v>
      </c>
      <c r="T217" s="668">
        <f>PROFORMA!U330</f>
        <v>0</v>
      </c>
      <c r="U217" s="668">
        <f>PROFORMA!V330</f>
        <v>0</v>
      </c>
      <c r="V217" s="668">
        <f>PROFORMA!W330</f>
        <v>0</v>
      </c>
      <c r="W217" s="668">
        <f>PROFORMA!X330</f>
        <v>0</v>
      </c>
      <c r="X217" s="668">
        <f>PROFORMA!Y330</f>
        <v>0</v>
      </c>
      <c r="Y217" s="690">
        <f t="shared" si="81"/>
        <v>0</v>
      </c>
      <c r="Z217" s="668">
        <f>PROFORMA!Z330</f>
        <v>0</v>
      </c>
      <c r="AA217" s="668">
        <f>PROFORMA!AA330</f>
        <v>0</v>
      </c>
      <c r="AB217" s="668">
        <f>PROFORMA!AB330</f>
        <v>0</v>
      </c>
      <c r="AC217" s="668">
        <f>PROFORMA!AC330</f>
        <v>0</v>
      </c>
      <c r="AD217" s="668">
        <f>PROFORMA!AD330</f>
        <v>0</v>
      </c>
      <c r="AE217" s="668">
        <f>PROFORMA!AE330</f>
        <v>0</v>
      </c>
      <c r="AF217" s="668">
        <f>PROFORMA!AF330</f>
        <v>0</v>
      </c>
      <c r="AG217" s="668">
        <f>PROFORMA!AG330</f>
        <v>0</v>
      </c>
      <c r="AH217" s="668">
        <f>PROFORMA!AH330</f>
        <v>0</v>
      </c>
      <c r="AI217" s="668">
        <f>PROFORMA!AI330</f>
        <v>0</v>
      </c>
      <c r="AJ217" s="668">
        <f>PROFORMA!AJ330</f>
        <v>0</v>
      </c>
      <c r="AK217" s="668">
        <f>PROFORMA!AK330</f>
        <v>0</v>
      </c>
      <c r="AL217" s="668">
        <f>PROFORMA!AL330</f>
        <v>0</v>
      </c>
      <c r="AM217" s="668">
        <f>PROFORMA!AM330</f>
        <v>0</v>
      </c>
      <c r="AN217" s="668">
        <f>PROFORMA!AN330</f>
        <v>0</v>
      </c>
      <c r="AO217" s="668">
        <f>PROFORMA!AO330</f>
        <v>0</v>
      </c>
      <c r="AP217" s="668">
        <f>PROFORMA!AP330</f>
        <v>0</v>
      </c>
      <c r="AQ217" s="668">
        <f>PROFORMA!AQ330</f>
        <v>0</v>
      </c>
      <c r="AR217" s="693">
        <f t="shared" si="82"/>
        <v>0</v>
      </c>
      <c r="AS217" s="643">
        <f t="shared" si="83"/>
        <v>0</v>
      </c>
      <c r="AT217" s="643">
        <f t="shared" si="84"/>
        <v>0</v>
      </c>
      <c r="AU217" s="643"/>
      <c r="AV217" s="643">
        <f t="shared" si="85"/>
        <v>0</v>
      </c>
    </row>
    <row r="218" spans="1:48">
      <c r="A218" s="640">
        <v>215</v>
      </c>
      <c r="B218" s="811"/>
      <c r="C218" s="661" t="s">
        <v>269</v>
      </c>
      <c r="D218" s="662">
        <v>385</v>
      </c>
      <c r="E218" s="668">
        <f>PROFORMA!F331</f>
        <v>1182000</v>
      </c>
      <c r="F218" s="668">
        <f>PROFORMA!G331</f>
        <v>0</v>
      </c>
      <c r="G218" s="668">
        <f>PROFORMA!H331</f>
        <v>0</v>
      </c>
      <c r="H218" s="668">
        <f>PROFORMA!I331</f>
        <v>0</v>
      </c>
      <c r="I218" s="668">
        <f>PROFORMA!J331</f>
        <v>0</v>
      </c>
      <c r="J218" s="668">
        <f>PROFORMA!K331</f>
        <v>0</v>
      </c>
      <c r="K218" s="668">
        <f>PROFORMA!L331</f>
        <v>0</v>
      </c>
      <c r="L218" s="668">
        <f>PROFORMA!M331</f>
        <v>0</v>
      </c>
      <c r="M218" s="668">
        <f>PROFORMA!N331</f>
        <v>0</v>
      </c>
      <c r="N218" s="668">
        <f>PROFORMA!O331</f>
        <v>0</v>
      </c>
      <c r="O218" s="668">
        <f>PROFORMA!P331</f>
        <v>0</v>
      </c>
      <c r="P218" s="668">
        <f>PROFORMA!Q331</f>
        <v>0</v>
      </c>
      <c r="Q218" s="668">
        <f>PROFORMA!R331</f>
        <v>0</v>
      </c>
      <c r="R218" s="668">
        <f>PROFORMA!S331</f>
        <v>0</v>
      </c>
      <c r="S218" s="668">
        <f>PROFORMA!T331</f>
        <v>0</v>
      </c>
      <c r="T218" s="668">
        <f>PROFORMA!U331</f>
        <v>0</v>
      </c>
      <c r="U218" s="668">
        <f>PROFORMA!V331</f>
        <v>0</v>
      </c>
      <c r="V218" s="668">
        <f>PROFORMA!W331</f>
        <v>0</v>
      </c>
      <c r="W218" s="668">
        <f>PROFORMA!X331</f>
        <v>0</v>
      </c>
      <c r="X218" s="668">
        <f>PROFORMA!Y331</f>
        <v>16000</v>
      </c>
      <c r="Y218" s="690">
        <f t="shared" si="81"/>
        <v>16000</v>
      </c>
      <c r="Z218" s="668">
        <f>PROFORMA!Z331</f>
        <v>0</v>
      </c>
      <c r="AA218" s="668">
        <f>PROFORMA!AA331</f>
        <v>0</v>
      </c>
      <c r="AB218" s="668">
        <f>PROFORMA!AB331</f>
        <v>0</v>
      </c>
      <c r="AC218" s="668">
        <f>PROFORMA!AC331</f>
        <v>0</v>
      </c>
      <c r="AD218" s="668">
        <f>PROFORMA!AD331</f>
        <v>0</v>
      </c>
      <c r="AE218" s="668">
        <f>PROFORMA!AE331</f>
        <v>0</v>
      </c>
      <c r="AF218" s="668">
        <f>PROFORMA!AF331</f>
        <v>0</v>
      </c>
      <c r="AG218" s="668">
        <f>PROFORMA!AG331</f>
        <v>0</v>
      </c>
      <c r="AH218" s="668">
        <f>PROFORMA!AH331</f>
        <v>0</v>
      </c>
      <c r="AI218" s="668">
        <f>PROFORMA!AI331</f>
        <v>0</v>
      </c>
      <c r="AJ218" s="668">
        <f>PROFORMA!AJ331</f>
        <v>0</v>
      </c>
      <c r="AK218" s="668">
        <f>PROFORMA!AK331</f>
        <v>0</v>
      </c>
      <c r="AL218" s="668">
        <f>PROFORMA!AL331</f>
        <v>0</v>
      </c>
      <c r="AM218" s="668">
        <f>PROFORMA!AM331</f>
        <v>0</v>
      </c>
      <c r="AN218" s="668">
        <f>PROFORMA!AN331</f>
        <v>0</v>
      </c>
      <c r="AO218" s="668">
        <f>PROFORMA!AO331</f>
        <v>0</v>
      </c>
      <c r="AP218" s="668">
        <f>PROFORMA!AP331</f>
        <v>0</v>
      </c>
      <c r="AQ218" s="668">
        <f>PROFORMA!AQ331</f>
        <v>0</v>
      </c>
      <c r="AR218" s="693">
        <f t="shared" si="82"/>
        <v>0</v>
      </c>
      <c r="AS218" s="643">
        <f t="shared" si="83"/>
        <v>16000</v>
      </c>
      <c r="AT218" s="643">
        <f t="shared" si="84"/>
        <v>1198000</v>
      </c>
      <c r="AU218" s="643"/>
      <c r="AV218" s="643">
        <f t="shared" si="85"/>
        <v>1198000</v>
      </c>
    </row>
    <row r="219" spans="1:48">
      <c r="A219" s="640">
        <v>216</v>
      </c>
      <c r="B219" s="811"/>
      <c r="C219" s="661" t="s">
        <v>260</v>
      </c>
      <c r="D219" s="662">
        <v>387</v>
      </c>
      <c r="E219" s="688">
        <f>PROFORMA!F332</f>
        <v>0</v>
      </c>
      <c r="F219" s="688">
        <f>PROFORMA!G332</f>
        <v>0</v>
      </c>
      <c r="G219" s="688">
        <f>PROFORMA!H332</f>
        <v>0</v>
      </c>
      <c r="H219" s="688">
        <f>PROFORMA!I332</f>
        <v>0</v>
      </c>
      <c r="I219" s="688">
        <f>PROFORMA!J332</f>
        <v>0</v>
      </c>
      <c r="J219" s="688">
        <f>PROFORMA!K332</f>
        <v>0</v>
      </c>
      <c r="K219" s="688">
        <f>PROFORMA!L332</f>
        <v>0</v>
      </c>
      <c r="L219" s="688">
        <f>PROFORMA!M332</f>
        <v>0</v>
      </c>
      <c r="M219" s="688">
        <f>PROFORMA!N332</f>
        <v>0</v>
      </c>
      <c r="N219" s="688">
        <f>PROFORMA!O332</f>
        <v>0</v>
      </c>
      <c r="O219" s="688">
        <f>PROFORMA!P332</f>
        <v>0</v>
      </c>
      <c r="P219" s="688">
        <f>PROFORMA!Q332</f>
        <v>0</v>
      </c>
      <c r="Q219" s="688">
        <f>PROFORMA!R332</f>
        <v>0</v>
      </c>
      <c r="R219" s="688">
        <f>PROFORMA!S332</f>
        <v>0</v>
      </c>
      <c r="S219" s="688">
        <f>PROFORMA!T332</f>
        <v>0</v>
      </c>
      <c r="T219" s="688">
        <f>PROFORMA!U332</f>
        <v>0</v>
      </c>
      <c r="U219" s="688">
        <f>PROFORMA!V332</f>
        <v>0</v>
      </c>
      <c r="V219" s="688">
        <f>PROFORMA!W332</f>
        <v>0</v>
      </c>
      <c r="W219" s="688">
        <f>PROFORMA!X332</f>
        <v>0</v>
      </c>
      <c r="X219" s="688">
        <f>PROFORMA!Y332</f>
        <v>0</v>
      </c>
      <c r="Y219" s="691">
        <f t="shared" si="81"/>
        <v>0</v>
      </c>
      <c r="Z219" s="688">
        <f>PROFORMA!Z332</f>
        <v>0</v>
      </c>
      <c r="AA219" s="688">
        <f>PROFORMA!AA332</f>
        <v>0</v>
      </c>
      <c r="AB219" s="688">
        <f>PROFORMA!AB332</f>
        <v>0</v>
      </c>
      <c r="AC219" s="688">
        <f>PROFORMA!AC332</f>
        <v>0</v>
      </c>
      <c r="AD219" s="688">
        <f>PROFORMA!AD332</f>
        <v>0</v>
      </c>
      <c r="AE219" s="688">
        <f>PROFORMA!AE332</f>
        <v>0</v>
      </c>
      <c r="AF219" s="688">
        <f>PROFORMA!AF332</f>
        <v>0</v>
      </c>
      <c r="AG219" s="688">
        <f>PROFORMA!AG332</f>
        <v>0</v>
      </c>
      <c r="AH219" s="688">
        <f>PROFORMA!AH332</f>
        <v>0</v>
      </c>
      <c r="AI219" s="688">
        <f>PROFORMA!AI332</f>
        <v>0</v>
      </c>
      <c r="AJ219" s="688">
        <f>PROFORMA!AJ332</f>
        <v>0</v>
      </c>
      <c r="AK219" s="688">
        <f>PROFORMA!AK332</f>
        <v>0</v>
      </c>
      <c r="AL219" s="688">
        <f>PROFORMA!AL332</f>
        <v>0</v>
      </c>
      <c r="AM219" s="688">
        <f>PROFORMA!AM332</f>
        <v>0</v>
      </c>
      <c r="AN219" s="688">
        <f>PROFORMA!AN332</f>
        <v>0</v>
      </c>
      <c r="AO219" s="688">
        <f>PROFORMA!AO332</f>
        <v>0</v>
      </c>
      <c r="AP219" s="688">
        <f>PROFORMA!AP332</f>
        <v>0</v>
      </c>
      <c r="AQ219" s="688">
        <f>PROFORMA!AQ332</f>
        <v>0</v>
      </c>
      <c r="AR219" s="694">
        <f t="shared" si="82"/>
        <v>0</v>
      </c>
      <c r="AS219" s="692">
        <f t="shared" si="83"/>
        <v>0</v>
      </c>
      <c r="AT219" s="692">
        <f t="shared" si="84"/>
        <v>0</v>
      </c>
      <c r="AU219" s="692"/>
      <c r="AV219" s="692">
        <f t="shared" si="85"/>
        <v>0</v>
      </c>
    </row>
    <row r="220" spans="1:48">
      <c r="A220" s="640">
        <v>217</v>
      </c>
      <c r="B220" s="607"/>
      <c r="C220" s="632" t="s">
        <v>715</v>
      </c>
      <c r="D220" s="632"/>
      <c r="E220" s="650">
        <f>SUM(E208:E219)</f>
        <v>151240000</v>
      </c>
      <c r="F220" s="650">
        <f t="shared" ref="F220:X220" si="88">SUM(F208:F219)</f>
        <v>0</v>
      </c>
      <c r="G220" s="650">
        <f t="shared" si="88"/>
        <v>0</v>
      </c>
      <c r="H220" s="650">
        <f t="shared" si="88"/>
        <v>0</v>
      </c>
      <c r="I220" s="650">
        <f t="shared" si="88"/>
        <v>301000</v>
      </c>
      <c r="J220" s="650">
        <f t="shared" si="88"/>
        <v>0</v>
      </c>
      <c r="K220" s="650">
        <f t="shared" si="88"/>
        <v>0</v>
      </c>
      <c r="L220" s="650">
        <f t="shared" si="88"/>
        <v>0</v>
      </c>
      <c r="M220" s="650">
        <f t="shared" si="88"/>
        <v>0</v>
      </c>
      <c r="N220" s="650">
        <f t="shared" si="88"/>
        <v>0</v>
      </c>
      <c r="O220" s="650">
        <f t="shared" si="88"/>
        <v>0</v>
      </c>
      <c r="P220" s="650">
        <f t="shared" si="88"/>
        <v>0</v>
      </c>
      <c r="Q220" s="650">
        <f t="shared" si="88"/>
        <v>0</v>
      </c>
      <c r="R220" s="650">
        <f t="shared" si="88"/>
        <v>0</v>
      </c>
      <c r="S220" s="650">
        <f t="shared" si="88"/>
        <v>0</v>
      </c>
      <c r="T220" s="650">
        <f t="shared" si="88"/>
        <v>0</v>
      </c>
      <c r="U220" s="650">
        <f t="shared" si="88"/>
        <v>0</v>
      </c>
      <c r="V220" s="650">
        <f t="shared" si="88"/>
        <v>0</v>
      </c>
      <c r="W220" s="650">
        <f t="shared" si="88"/>
        <v>0</v>
      </c>
      <c r="X220" s="650">
        <f t="shared" si="88"/>
        <v>2029000</v>
      </c>
      <c r="Y220" s="690">
        <f t="shared" si="81"/>
        <v>2330000</v>
      </c>
      <c r="Z220" s="650">
        <f t="shared" ref="Z220:AV220" si="89">SUM(Z208:Z219)</f>
        <v>0</v>
      </c>
      <c r="AA220" s="650">
        <f t="shared" si="89"/>
        <v>0</v>
      </c>
      <c r="AB220" s="650">
        <f t="shared" si="89"/>
        <v>0</v>
      </c>
      <c r="AC220" s="650">
        <f t="shared" si="89"/>
        <v>0</v>
      </c>
      <c r="AD220" s="650">
        <f t="shared" si="89"/>
        <v>0</v>
      </c>
      <c r="AE220" s="650">
        <f t="shared" si="89"/>
        <v>0</v>
      </c>
      <c r="AF220" s="650">
        <f t="shared" si="89"/>
        <v>0</v>
      </c>
      <c r="AG220" s="650">
        <f t="shared" si="89"/>
        <v>0</v>
      </c>
      <c r="AH220" s="650">
        <f t="shared" si="89"/>
        <v>0</v>
      </c>
      <c r="AI220" s="650">
        <f t="shared" si="89"/>
        <v>0</v>
      </c>
      <c r="AJ220" s="650">
        <f t="shared" si="89"/>
        <v>0</v>
      </c>
      <c r="AK220" s="650">
        <f t="shared" si="89"/>
        <v>614000</v>
      </c>
      <c r="AL220" s="650">
        <f t="shared" si="89"/>
        <v>517000</v>
      </c>
      <c r="AM220" s="650">
        <f t="shared" si="89"/>
        <v>1743000</v>
      </c>
      <c r="AN220" s="650">
        <f t="shared" si="89"/>
        <v>0</v>
      </c>
      <c r="AO220" s="650">
        <f t="shared" si="89"/>
        <v>-3294000</v>
      </c>
      <c r="AP220" s="650">
        <f t="shared" si="89"/>
        <v>0</v>
      </c>
      <c r="AQ220" s="650">
        <f t="shared" si="89"/>
        <v>0</v>
      </c>
      <c r="AR220" s="650">
        <f t="shared" si="89"/>
        <v>-420000</v>
      </c>
      <c r="AS220" s="650">
        <f t="shared" si="89"/>
        <v>1910000</v>
      </c>
      <c r="AT220" s="650">
        <f t="shared" si="89"/>
        <v>153150000</v>
      </c>
      <c r="AU220" s="650">
        <f t="shared" si="89"/>
        <v>0</v>
      </c>
      <c r="AV220" s="650">
        <f t="shared" si="89"/>
        <v>153150000</v>
      </c>
    </row>
    <row r="221" spans="1:48">
      <c r="A221" s="640">
        <v>218</v>
      </c>
      <c r="B221" s="811" t="s">
        <v>1365</v>
      </c>
      <c r="C221" s="679" t="s">
        <v>253</v>
      </c>
      <c r="D221" s="662">
        <v>389</v>
      </c>
      <c r="E221" s="668">
        <f>PROFORMA!F336</f>
        <v>25000</v>
      </c>
      <c r="F221" s="668">
        <f>PROFORMA!G336</f>
        <v>0</v>
      </c>
      <c r="G221" s="668">
        <f>PROFORMA!H336</f>
        <v>0</v>
      </c>
      <c r="H221" s="668">
        <f>PROFORMA!I336</f>
        <v>0</v>
      </c>
      <c r="I221" s="668">
        <f>PROFORMA!J336</f>
        <v>0</v>
      </c>
      <c r="J221" s="668">
        <f>PROFORMA!K336</f>
        <v>0</v>
      </c>
      <c r="K221" s="668">
        <f>PROFORMA!L336</f>
        <v>0</v>
      </c>
      <c r="L221" s="668">
        <f>PROFORMA!M336</f>
        <v>0</v>
      </c>
      <c r="M221" s="668">
        <f>PROFORMA!N336</f>
        <v>0</v>
      </c>
      <c r="N221" s="668">
        <f>PROFORMA!O336</f>
        <v>0</v>
      </c>
      <c r="O221" s="668">
        <f>PROFORMA!P336</f>
        <v>0</v>
      </c>
      <c r="P221" s="668">
        <f>PROFORMA!Q336</f>
        <v>0</v>
      </c>
      <c r="Q221" s="668">
        <f>PROFORMA!R336</f>
        <v>0</v>
      </c>
      <c r="R221" s="668">
        <f>PROFORMA!S336</f>
        <v>0</v>
      </c>
      <c r="S221" s="668">
        <f>PROFORMA!T336</f>
        <v>0</v>
      </c>
      <c r="T221" s="668">
        <f>PROFORMA!U336</f>
        <v>0</v>
      </c>
      <c r="U221" s="668">
        <f>PROFORMA!V336</f>
        <v>0</v>
      </c>
      <c r="V221" s="668">
        <f>PROFORMA!W336</f>
        <v>0</v>
      </c>
      <c r="W221" s="668">
        <f>PROFORMA!X336</f>
        <v>0</v>
      </c>
      <c r="X221" s="668">
        <f>PROFORMA!Y336</f>
        <v>-3000</v>
      </c>
      <c r="Y221" s="690">
        <f t="shared" si="81"/>
        <v>-3000</v>
      </c>
      <c r="Z221" s="668">
        <f>PROFORMA!Z336</f>
        <v>0</v>
      </c>
      <c r="AA221" s="668">
        <f>PROFORMA!AA336</f>
        <v>0</v>
      </c>
      <c r="AB221" s="668">
        <f>PROFORMA!AB336</f>
        <v>0</v>
      </c>
      <c r="AC221" s="668">
        <f>PROFORMA!AC336</f>
        <v>0</v>
      </c>
      <c r="AD221" s="668">
        <f>PROFORMA!AD336</f>
        <v>0</v>
      </c>
      <c r="AE221" s="668">
        <f>PROFORMA!AE336</f>
        <v>0</v>
      </c>
      <c r="AF221" s="668">
        <f>PROFORMA!AF336</f>
        <v>0</v>
      </c>
      <c r="AG221" s="668">
        <f>PROFORMA!AG336</f>
        <v>0</v>
      </c>
      <c r="AH221" s="668">
        <f>PROFORMA!AH336</f>
        <v>0</v>
      </c>
      <c r="AI221" s="668">
        <f>PROFORMA!AI336</f>
        <v>0</v>
      </c>
      <c r="AJ221" s="668">
        <f>PROFORMA!AJ336</f>
        <v>0</v>
      </c>
      <c r="AK221" s="668">
        <f>PROFORMA!AK336</f>
        <v>0</v>
      </c>
      <c r="AL221" s="668">
        <f>PROFORMA!AL336</f>
        <v>0</v>
      </c>
      <c r="AM221" s="668">
        <f>PROFORMA!AM336</f>
        <v>0</v>
      </c>
      <c r="AN221" s="668">
        <f>PROFORMA!AN336</f>
        <v>0</v>
      </c>
      <c r="AO221" s="668">
        <f>PROFORMA!AO336</f>
        <v>0</v>
      </c>
      <c r="AP221" s="668">
        <f>PROFORMA!AP336</f>
        <v>0</v>
      </c>
      <c r="AQ221" s="668">
        <f>PROFORMA!AQ336</f>
        <v>0</v>
      </c>
      <c r="AR221" s="693">
        <f t="shared" si="82"/>
        <v>0</v>
      </c>
      <c r="AS221" s="643">
        <f t="shared" si="83"/>
        <v>-3000</v>
      </c>
      <c r="AT221" s="643">
        <f t="shared" si="84"/>
        <v>22000</v>
      </c>
      <c r="AU221" s="643"/>
      <c r="AV221" s="643">
        <f t="shared" si="85"/>
        <v>22000</v>
      </c>
    </row>
    <row r="222" spans="1:48" ht="31.2">
      <c r="A222" s="640">
        <v>219</v>
      </c>
      <c r="B222" s="811"/>
      <c r="C222" s="679" t="s">
        <v>254</v>
      </c>
      <c r="D222" s="662">
        <v>390</v>
      </c>
      <c r="E222" s="668">
        <f>PROFORMA!F337</f>
        <v>2159000</v>
      </c>
      <c r="F222" s="668">
        <f>PROFORMA!G337</f>
        <v>0</v>
      </c>
      <c r="G222" s="668">
        <f>PROFORMA!H337</f>
        <v>0</v>
      </c>
      <c r="H222" s="668">
        <f>PROFORMA!I337</f>
        <v>0</v>
      </c>
      <c r="I222" s="668">
        <f>PROFORMA!J337</f>
        <v>0</v>
      </c>
      <c r="J222" s="668">
        <f>PROFORMA!K337</f>
        <v>0</v>
      </c>
      <c r="K222" s="668">
        <f>PROFORMA!L337</f>
        <v>0</v>
      </c>
      <c r="L222" s="668">
        <f>PROFORMA!M337</f>
        <v>0</v>
      </c>
      <c r="M222" s="668">
        <f>PROFORMA!N337</f>
        <v>0</v>
      </c>
      <c r="N222" s="668">
        <f>PROFORMA!O337</f>
        <v>0</v>
      </c>
      <c r="O222" s="668">
        <f>PROFORMA!P337</f>
        <v>0</v>
      </c>
      <c r="P222" s="668">
        <f>PROFORMA!Q337</f>
        <v>0</v>
      </c>
      <c r="Q222" s="668">
        <f>PROFORMA!R337</f>
        <v>0</v>
      </c>
      <c r="R222" s="668">
        <f>PROFORMA!S337</f>
        <v>0</v>
      </c>
      <c r="S222" s="668">
        <f>PROFORMA!T337</f>
        <v>0</v>
      </c>
      <c r="T222" s="668">
        <f>PROFORMA!U337</f>
        <v>0</v>
      </c>
      <c r="U222" s="668">
        <f>PROFORMA!V337</f>
        <v>0</v>
      </c>
      <c r="V222" s="668">
        <f>PROFORMA!W337</f>
        <v>0</v>
      </c>
      <c r="W222" s="668">
        <f>PROFORMA!X337</f>
        <v>0</v>
      </c>
      <c r="X222" s="668">
        <f>PROFORMA!Y337</f>
        <v>-238000</v>
      </c>
      <c r="Y222" s="690">
        <f t="shared" si="81"/>
        <v>-238000</v>
      </c>
      <c r="Z222" s="668">
        <f>PROFORMA!Z337</f>
        <v>0</v>
      </c>
      <c r="AA222" s="668">
        <f>PROFORMA!AA337</f>
        <v>0</v>
      </c>
      <c r="AB222" s="668">
        <f>PROFORMA!AB337</f>
        <v>0</v>
      </c>
      <c r="AC222" s="668">
        <f>PROFORMA!AC337</f>
        <v>0</v>
      </c>
      <c r="AD222" s="668">
        <f>PROFORMA!AD337</f>
        <v>0</v>
      </c>
      <c r="AE222" s="668">
        <f>PROFORMA!AE337</f>
        <v>0</v>
      </c>
      <c r="AF222" s="668">
        <f>PROFORMA!AF337</f>
        <v>0</v>
      </c>
      <c r="AG222" s="668">
        <f>PROFORMA!AG337</f>
        <v>0</v>
      </c>
      <c r="AH222" s="668">
        <f>PROFORMA!AH337</f>
        <v>0</v>
      </c>
      <c r="AI222" s="668">
        <f>PROFORMA!AI337</f>
        <v>0</v>
      </c>
      <c r="AJ222" s="668">
        <f>PROFORMA!AJ337</f>
        <v>0</v>
      </c>
      <c r="AK222" s="668">
        <f>PROFORMA!AK337</f>
        <v>0</v>
      </c>
      <c r="AL222" s="668">
        <f>PROFORMA!AL337</f>
        <v>0</v>
      </c>
      <c r="AM222" s="668">
        <f>PROFORMA!AM337</f>
        <v>0</v>
      </c>
      <c r="AN222" s="668">
        <f>PROFORMA!AN337</f>
        <v>0</v>
      </c>
      <c r="AO222" s="668">
        <f>PROFORMA!AO337</f>
        <v>0</v>
      </c>
      <c r="AP222" s="668">
        <f>PROFORMA!AP337</f>
        <v>0</v>
      </c>
      <c r="AQ222" s="668">
        <f>PROFORMA!AQ337</f>
        <v>0</v>
      </c>
      <c r="AR222" s="693">
        <f t="shared" si="82"/>
        <v>0</v>
      </c>
      <c r="AS222" s="643">
        <f t="shared" si="83"/>
        <v>-238000</v>
      </c>
      <c r="AT222" s="643">
        <f t="shared" si="84"/>
        <v>1921000</v>
      </c>
      <c r="AU222" s="643"/>
      <c r="AV222" s="643">
        <f t="shared" si="85"/>
        <v>1921000</v>
      </c>
    </row>
    <row r="223" spans="1:48" ht="31.2">
      <c r="A223" s="640">
        <v>220</v>
      </c>
      <c r="B223" s="811"/>
      <c r="C223" s="679" t="s">
        <v>270</v>
      </c>
      <c r="D223" s="662">
        <v>391</v>
      </c>
      <c r="E223" s="668">
        <f>PROFORMA!F338</f>
        <v>7849000</v>
      </c>
      <c r="F223" s="668">
        <f>PROFORMA!G338</f>
        <v>0</v>
      </c>
      <c r="G223" s="668">
        <f>PROFORMA!H338</f>
        <v>0</v>
      </c>
      <c r="H223" s="668">
        <f>PROFORMA!I338</f>
        <v>0</v>
      </c>
      <c r="I223" s="668">
        <f>PROFORMA!J338</f>
        <v>0</v>
      </c>
      <c r="J223" s="668">
        <f>PROFORMA!K338</f>
        <v>0</v>
      </c>
      <c r="K223" s="668">
        <f>PROFORMA!L338</f>
        <v>0</v>
      </c>
      <c r="L223" s="668">
        <f>PROFORMA!M338</f>
        <v>0</v>
      </c>
      <c r="M223" s="668">
        <f>PROFORMA!N338</f>
        <v>0</v>
      </c>
      <c r="N223" s="668">
        <f>PROFORMA!O338</f>
        <v>0</v>
      </c>
      <c r="O223" s="668">
        <f>PROFORMA!P338</f>
        <v>0</v>
      </c>
      <c r="P223" s="668">
        <f>PROFORMA!Q338</f>
        <v>0</v>
      </c>
      <c r="Q223" s="668">
        <f>PROFORMA!R338</f>
        <v>0</v>
      </c>
      <c r="R223" s="668">
        <f>PROFORMA!S338</f>
        <v>0</v>
      </c>
      <c r="S223" s="668">
        <f>PROFORMA!T338</f>
        <v>0</v>
      </c>
      <c r="T223" s="668">
        <f>PROFORMA!U338</f>
        <v>0</v>
      </c>
      <c r="U223" s="668">
        <f>PROFORMA!V338</f>
        <v>0</v>
      </c>
      <c r="V223" s="668">
        <f>PROFORMA!W338</f>
        <v>0</v>
      </c>
      <c r="W223" s="668">
        <f>PROFORMA!X338</f>
        <v>0</v>
      </c>
      <c r="X223" s="668">
        <f>PROFORMA!Y338</f>
        <v>-867000</v>
      </c>
      <c r="Y223" s="690">
        <f t="shared" si="81"/>
        <v>-867000</v>
      </c>
      <c r="Z223" s="668">
        <f>PROFORMA!Z338</f>
        <v>0</v>
      </c>
      <c r="AA223" s="668">
        <f>PROFORMA!AA338</f>
        <v>0</v>
      </c>
      <c r="AB223" s="668">
        <f>PROFORMA!AB338</f>
        <v>0</v>
      </c>
      <c r="AC223" s="668">
        <f>PROFORMA!AC338</f>
        <v>0</v>
      </c>
      <c r="AD223" s="668">
        <f>PROFORMA!AD338</f>
        <v>0</v>
      </c>
      <c r="AE223" s="668">
        <f>PROFORMA!AE338</f>
        <v>0</v>
      </c>
      <c r="AF223" s="668">
        <f>PROFORMA!AF338</f>
        <v>0</v>
      </c>
      <c r="AG223" s="668">
        <f>PROFORMA!AG338</f>
        <v>0</v>
      </c>
      <c r="AH223" s="668">
        <f>PROFORMA!AH338</f>
        <v>0</v>
      </c>
      <c r="AI223" s="668">
        <f>PROFORMA!AI338</f>
        <v>0</v>
      </c>
      <c r="AJ223" s="668">
        <f>PROFORMA!AJ338</f>
        <v>0</v>
      </c>
      <c r="AK223" s="668">
        <f>PROFORMA!AK338</f>
        <v>383000</v>
      </c>
      <c r="AL223" s="668">
        <f>PROFORMA!AL338</f>
        <v>940000</v>
      </c>
      <c r="AM223" s="668">
        <f>PROFORMA!AM338</f>
        <v>0</v>
      </c>
      <c r="AN223" s="668">
        <f>PROFORMA!AN338</f>
        <v>1543000</v>
      </c>
      <c r="AO223" s="668">
        <f>PROFORMA!AO338</f>
        <v>0</v>
      </c>
      <c r="AP223" s="668">
        <f>PROFORMA!AP338</f>
        <v>0</v>
      </c>
      <c r="AQ223" s="668">
        <f>PROFORMA!AQ338</f>
        <v>0</v>
      </c>
      <c r="AR223" s="693">
        <f t="shared" si="82"/>
        <v>2866000</v>
      </c>
      <c r="AS223" s="643">
        <f t="shared" si="83"/>
        <v>1999000</v>
      </c>
      <c r="AT223" s="643">
        <f t="shared" si="84"/>
        <v>9848000</v>
      </c>
      <c r="AU223" s="643"/>
      <c r="AV223" s="643">
        <f t="shared" si="85"/>
        <v>9848000</v>
      </c>
    </row>
    <row r="224" spans="1:48" ht="15" customHeight="1">
      <c r="A224" s="640">
        <v>221</v>
      </c>
      <c r="B224" s="811"/>
      <c r="C224" s="679" t="s">
        <v>271</v>
      </c>
      <c r="D224" s="662">
        <v>392</v>
      </c>
      <c r="E224" s="668">
        <f>PROFORMA!F339</f>
        <v>7433000</v>
      </c>
      <c r="F224" s="668">
        <f>PROFORMA!G339</f>
        <v>0</v>
      </c>
      <c r="G224" s="668">
        <f>PROFORMA!H339</f>
        <v>0</v>
      </c>
      <c r="H224" s="668">
        <f>PROFORMA!I339</f>
        <v>0</v>
      </c>
      <c r="I224" s="668">
        <f>PROFORMA!J339</f>
        <v>0</v>
      </c>
      <c r="J224" s="668">
        <f>PROFORMA!K339</f>
        <v>0</v>
      </c>
      <c r="K224" s="668">
        <f>PROFORMA!L339</f>
        <v>0</v>
      </c>
      <c r="L224" s="668">
        <f>PROFORMA!M339</f>
        <v>0</v>
      </c>
      <c r="M224" s="668">
        <f>PROFORMA!N339</f>
        <v>0</v>
      </c>
      <c r="N224" s="668">
        <f>PROFORMA!O339</f>
        <v>0</v>
      </c>
      <c r="O224" s="668">
        <f>PROFORMA!P339</f>
        <v>0</v>
      </c>
      <c r="P224" s="668">
        <f>PROFORMA!Q339</f>
        <v>0</v>
      </c>
      <c r="Q224" s="668">
        <f>PROFORMA!R339</f>
        <v>0</v>
      </c>
      <c r="R224" s="668">
        <f>PROFORMA!S339</f>
        <v>0</v>
      </c>
      <c r="S224" s="668">
        <f>PROFORMA!T339</f>
        <v>0</v>
      </c>
      <c r="T224" s="668">
        <f>PROFORMA!U339</f>
        <v>0</v>
      </c>
      <c r="U224" s="668">
        <f>PROFORMA!V339</f>
        <v>0</v>
      </c>
      <c r="V224" s="668">
        <f>PROFORMA!W339</f>
        <v>0</v>
      </c>
      <c r="W224" s="668">
        <f>PROFORMA!X339</f>
        <v>0</v>
      </c>
      <c r="X224" s="668">
        <f>PROFORMA!Y339</f>
        <v>-821000</v>
      </c>
      <c r="Y224" s="690">
        <f t="shared" si="81"/>
        <v>-821000</v>
      </c>
      <c r="Z224" s="668">
        <f>PROFORMA!Z339</f>
        <v>0</v>
      </c>
      <c r="AA224" s="668">
        <f>PROFORMA!AA339</f>
        <v>0</v>
      </c>
      <c r="AB224" s="668">
        <f>PROFORMA!AB339</f>
        <v>0</v>
      </c>
      <c r="AC224" s="668">
        <f>PROFORMA!AC339</f>
        <v>0</v>
      </c>
      <c r="AD224" s="668">
        <f>PROFORMA!AD339</f>
        <v>0</v>
      </c>
      <c r="AE224" s="668">
        <f>PROFORMA!AE339</f>
        <v>0</v>
      </c>
      <c r="AF224" s="668">
        <f>PROFORMA!AF339</f>
        <v>0</v>
      </c>
      <c r="AG224" s="668">
        <f>PROFORMA!AG339</f>
        <v>0</v>
      </c>
      <c r="AH224" s="668">
        <f>PROFORMA!AH339</f>
        <v>0</v>
      </c>
      <c r="AI224" s="668">
        <f>PROFORMA!AI339</f>
        <v>0</v>
      </c>
      <c r="AJ224" s="668">
        <f>PROFORMA!AJ339</f>
        <v>0</v>
      </c>
      <c r="AK224" s="668">
        <f>PROFORMA!AK339</f>
        <v>0</v>
      </c>
      <c r="AL224" s="668">
        <f>PROFORMA!AL339</f>
        <v>0</v>
      </c>
      <c r="AM224" s="668">
        <f>PROFORMA!AM339</f>
        <v>0</v>
      </c>
      <c r="AN224" s="668">
        <f>PROFORMA!AN339</f>
        <v>0</v>
      </c>
      <c r="AO224" s="668">
        <f>PROFORMA!AO339</f>
        <v>0</v>
      </c>
      <c r="AP224" s="668">
        <f>PROFORMA!AP339</f>
        <v>0</v>
      </c>
      <c r="AQ224" s="668">
        <f>PROFORMA!AQ339</f>
        <v>0</v>
      </c>
      <c r="AR224" s="693">
        <f t="shared" si="82"/>
        <v>0</v>
      </c>
      <c r="AS224" s="643">
        <f t="shared" si="83"/>
        <v>-821000</v>
      </c>
      <c r="AT224" s="643">
        <f t="shared" si="84"/>
        <v>6612000</v>
      </c>
      <c r="AU224" s="643"/>
      <c r="AV224" s="643">
        <f t="shared" si="85"/>
        <v>6612000</v>
      </c>
    </row>
    <row r="225" spans="1:48">
      <c r="A225" s="640">
        <v>222</v>
      </c>
      <c r="B225" s="811"/>
      <c r="C225" s="679" t="s">
        <v>272</v>
      </c>
      <c r="D225" s="662">
        <v>393</v>
      </c>
      <c r="E225" s="668">
        <f>PROFORMA!F340</f>
        <v>242000</v>
      </c>
      <c r="F225" s="668">
        <f>PROFORMA!G340</f>
        <v>0</v>
      </c>
      <c r="G225" s="668">
        <f>PROFORMA!H340</f>
        <v>0</v>
      </c>
      <c r="H225" s="668">
        <f>PROFORMA!I340</f>
        <v>0</v>
      </c>
      <c r="I225" s="668">
        <f>PROFORMA!J340</f>
        <v>0</v>
      </c>
      <c r="J225" s="668">
        <f>PROFORMA!K340</f>
        <v>0</v>
      </c>
      <c r="K225" s="668">
        <f>PROFORMA!L340</f>
        <v>0</v>
      </c>
      <c r="L225" s="668">
        <f>PROFORMA!M340</f>
        <v>0</v>
      </c>
      <c r="M225" s="668">
        <f>PROFORMA!N340</f>
        <v>0</v>
      </c>
      <c r="N225" s="668">
        <f>PROFORMA!O340</f>
        <v>0</v>
      </c>
      <c r="O225" s="668">
        <f>PROFORMA!P340</f>
        <v>0</v>
      </c>
      <c r="P225" s="668">
        <f>PROFORMA!Q340</f>
        <v>0</v>
      </c>
      <c r="Q225" s="668">
        <f>PROFORMA!R340</f>
        <v>0</v>
      </c>
      <c r="R225" s="668">
        <f>PROFORMA!S340</f>
        <v>0</v>
      </c>
      <c r="S225" s="668">
        <f>PROFORMA!T340</f>
        <v>0</v>
      </c>
      <c r="T225" s="668">
        <f>PROFORMA!U340</f>
        <v>0</v>
      </c>
      <c r="U225" s="668">
        <f>PROFORMA!V340</f>
        <v>0</v>
      </c>
      <c r="V225" s="668">
        <f>PROFORMA!W340</f>
        <v>0</v>
      </c>
      <c r="W225" s="668">
        <f>PROFORMA!X340</f>
        <v>0</v>
      </c>
      <c r="X225" s="668">
        <f>PROFORMA!Y340</f>
        <v>-27000</v>
      </c>
      <c r="Y225" s="690">
        <f t="shared" si="81"/>
        <v>-27000</v>
      </c>
      <c r="Z225" s="668">
        <f>PROFORMA!Z340</f>
        <v>0</v>
      </c>
      <c r="AA225" s="668">
        <f>PROFORMA!AA340</f>
        <v>0</v>
      </c>
      <c r="AB225" s="668">
        <f>PROFORMA!AB340</f>
        <v>0</v>
      </c>
      <c r="AC225" s="668">
        <f>PROFORMA!AC340</f>
        <v>0</v>
      </c>
      <c r="AD225" s="668">
        <f>PROFORMA!AD340</f>
        <v>0</v>
      </c>
      <c r="AE225" s="668">
        <f>PROFORMA!AE340</f>
        <v>0</v>
      </c>
      <c r="AF225" s="668">
        <f>PROFORMA!AF340</f>
        <v>0</v>
      </c>
      <c r="AG225" s="668">
        <f>PROFORMA!AG340</f>
        <v>0</v>
      </c>
      <c r="AH225" s="668">
        <f>PROFORMA!AH340</f>
        <v>0</v>
      </c>
      <c r="AI225" s="668">
        <f>PROFORMA!AI340</f>
        <v>0</v>
      </c>
      <c r="AJ225" s="668">
        <f>PROFORMA!AJ340</f>
        <v>0</v>
      </c>
      <c r="AK225" s="668">
        <f>PROFORMA!AK340</f>
        <v>0</v>
      </c>
      <c r="AL225" s="668">
        <f>PROFORMA!AL340</f>
        <v>0</v>
      </c>
      <c r="AM225" s="668">
        <f>PROFORMA!AM340</f>
        <v>0</v>
      </c>
      <c r="AN225" s="668">
        <f>PROFORMA!AN340</f>
        <v>0</v>
      </c>
      <c r="AO225" s="668">
        <f>PROFORMA!AO340</f>
        <v>0</v>
      </c>
      <c r="AP225" s="668">
        <f>PROFORMA!AP340</f>
        <v>0</v>
      </c>
      <c r="AQ225" s="668">
        <f>PROFORMA!AQ340</f>
        <v>0</v>
      </c>
      <c r="AR225" s="693">
        <f t="shared" si="82"/>
        <v>0</v>
      </c>
      <c r="AS225" s="643">
        <f t="shared" si="83"/>
        <v>-27000</v>
      </c>
      <c r="AT225" s="643">
        <f t="shared" si="84"/>
        <v>215000</v>
      </c>
      <c r="AU225" s="643"/>
      <c r="AV225" s="643">
        <f t="shared" si="85"/>
        <v>215000</v>
      </c>
    </row>
    <row r="226" spans="1:48" ht="31.2">
      <c r="A226" s="640">
        <v>223</v>
      </c>
      <c r="B226" s="811"/>
      <c r="C226" s="679" t="s">
        <v>273</v>
      </c>
      <c r="D226" s="662">
        <v>394</v>
      </c>
      <c r="E226" s="668">
        <f>PROFORMA!F341</f>
        <v>2196000</v>
      </c>
      <c r="F226" s="668">
        <f>PROFORMA!G341</f>
        <v>0</v>
      </c>
      <c r="G226" s="668">
        <f>PROFORMA!H341</f>
        <v>0</v>
      </c>
      <c r="H226" s="668">
        <f>PROFORMA!I341</f>
        <v>0</v>
      </c>
      <c r="I226" s="668">
        <f>PROFORMA!J341</f>
        <v>0</v>
      </c>
      <c r="J226" s="668">
        <f>PROFORMA!K341</f>
        <v>0</v>
      </c>
      <c r="K226" s="668">
        <f>PROFORMA!L341</f>
        <v>0</v>
      </c>
      <c r="L226" s="668">
        <f>PROFORMA!M341</f>
        <v>0</v>
      </c>
      <c r="M226" s="668">
        <f>PROFORMA!N341</f>
        <v>0</v>
      </c>
      <c r="N226" s="668">
        <f>PROFORMA!O341</f>
        <v>0</v>
      </c>
      <c r="O226" s="668">
        <f>PROFORMA!P341</f>
        <v>0</v>
      </c>
      <c r="P226" s="668">
        <f>PROFORMA!Q341</f>
        <v>0</v>
      </c>
      <c r="Q226" s="668">
        <f>PROFORMA!R341</f>
        <v>0</v>
      </c>
      <c r="R226" s="668">
        <f>PROFORMA!S341</f>
        <v>0</v>
      </c>
      <c r="S226" s="668">
        <f>PROFORMA!T341</f>
        <v>0</v>
      </c>
      <c r="T226" s="668">
        <f>PROFORMA!U341</f>
        <v>0</v>
      </c>
      <c r="U226" s="668">
        <f>PROFORMA!V341</f>
        <v>0</v>
      </c>
      <c r="V226" s="668">
        <f>PROFORMA!W341</f>
        <v>0</v>
      </c>
      <c r="W226" s="668">
        <f>PROFORMA!X341</f>
        <v>0</v>
      </c>
      <c r="X226" s="668">
        <f>PROFORMA!Y341</f>
        <v>-242000</v>
      </c>
      <c r="Y226" s="690">
        <f t="shared" si="81"/>
        <v>-242000</v>
      </c>
      <c r="Z226" s="668">
        <f>PROFORMA!Z341</f>
        <v>0</v>
      </c>
      <c r="AA226" s="668">
        <f>PROFORMA!AA341</f>
        <v>0</v>
      </c>
      <c r="AB226" s="668">
        <f>PROFORMA!AB341</f>
        <v>0</v>
      </c>
      <c r="AC226" s="668">
        <f>PROFORMA!AC341</f>
        <v>0</v>
      </c>
      <c r="AD226" s="668">
        <f>PROFORMA!AD341</f>
        <v>0</v>
      </c>
      <c r="AE226" s="668">
        <f>PROFORMA!AE341</f>
        <v>0</v>
      </c>
      <c r="AF226" s="668">
        <f>PROFORMA!AF341</f>
        <v>0</v>
      </c>
      <c r="AG226" s="668">
        <f>PROFORMA!AG341</f>
        <v>0</v>
      </c>
      <c r="AH226" s="668">
        <f>PROFORMA!AH341</f>
        <v>0</v>
      </c>
      <c r="AI226" s="668">
        <f>PROFORMA!AI341</f>
        <v>0</v>
      </c>
      <c r="AJ226" s="668">
        <f>PROFORMA!AJ341</f>
        <v>0</v>
      </c>
      <c r="AK226" s="668">
        <f>PROFORMA!AK341</f>
        <v>0</v>
      </c>
      <c r="AL226" s="668">
        <f>PROFORMA!AL341</f>
        <v>0</v>
      </c>
      <c r="AM226" s="668">
        <f>PROFORMA!AM341</f>
        <v>0</v>
      </c>
      <c r="AN226" s="668">
        <f>PROFORMA!AN341</f>
        <v>0</v>
      </c>
      <c r="AO226" s="668">
        <f>PROFORMA!AO341</f>
        <v>0</v>
      </c>
      <c r="AP226" s="668">
        <f>PROFORMA!AP341</f>
        <v>0</v>
      </c>
      <c r="AQ226" s="668">
        <f>PROFORMA!AQ341</f>
        <v>0</v>
      </c>
      <c r="AR226" s="693">
        <f t="shared" si="82"/>
        <v>0</v>
      </c>
      <c r="AS226" s="643">
        <f t="shared" si="83"/>
        <v>-242000</v>
      </c>
      <c r="AT226" s="643">
        <f t="shared" si="84"/>
        <v>1954000</v>
      </c>
      <c r="AU226" s="643"/>
      <c r="AV226" s="643">
        <f t="shared" si="85"/>
        <v>1954000</v>
      </c>
    </row>
    <row r="227" spans="1:48" ht="17.55" customHeight="1">
      <c r="A227" s="640">
        <v>224</v>
      </c>
      <c r="B227" s="811"/>
      <c r="C227" s="679" t="s">
        <v>274</v>
      </c>
      <c r="D227" s="662">
        <v>395</v>
      </c>
      <c r="E227" s="668">
        <f>PROFORMA!F342</f>
        <v>166000</v>
      </c>
      <c r="F227" s="668">
        <f>PROFORMA!G342</f>
        <v>0</v>
      </c>
      <c r="G227" s="668">
        <f>PROFORMA!H342</f>
        <v>0</v>
      </c>
      <c r="H227" s="668">
        <f>PROFORMA!I342</f>
        <v>0</v>
      </c>
      <c r="I227" s="668">
        <f>PROFORMA!J342</f>
        <v>0</v>
      </c>
      <c r="J227" s="668">
        <f>PROFORMA!K342</f>
        <v>0</v>
      </c>
      <c r="K227" s="668">
        <f>PROFORMA!L342</f>
        <v>0</v>
      </c>
      <c r="L227" s="668">
        <f>PROFORMA!M342</f>
        <v>0</v>
      </c>
      <c r="M227" s="668">
        <f>PROFORMA!N342</f>
        <v>0</v>
      </c>
      <c r="N227" s="668">
        <f>PROFORMA!O342</f>
        <v>0</v>
      </c>
      <c r="O227" s="668">
        <f>PROFORMA!P342</f>
        <v>0</v>
      </c>
      <c r="P227" s="668">
        <f>PROFORMA!Q342</f>
        <v>0</v>
      </c>
      <c r="Q227" s="668">
        <f>PROFORMA!R342</f>
        <v>0</v>
      </c>
      <c r="R227" s="668">
        <f>PROFORMA!S342</f>
        <v>0</v>
      </c>
      <c r="S227" s="668">
        <f>PROFORMA!T342</f>
        <v>0</v>
      </c>
      <c r="T227" s="668">
        <f>PROFORMA!U342</f>
        <v>0</v>
      </c>
      <c r="U227" s="668">
        <f>PROFORMA!V342</f>
        <v>0</v>
      </c>
      <c r="V227" s="668">
        <f>PROFORMA!W342</f>
        <v>0</v>
      </c>
      <c r="W227" s="668">
        <f>PROFORMA!X342</f>
        <v>0</v>
      </c>
      <c r="X227" s="668">
        <f>PROFORMA!Y342</f>
        <v>-18000</v>
      </c>
      <c r="Y227" s="690">
        <f t="shared" si="81"/>
        <v>-18000</v>
      </c>
      <c r="Z227" s="668">
        <f>PROFORMA!Z342</f>
        <v>0</v>
      </c>
      <c r="AA227" s="668">
        <f>PROFORMA!AA342</f>
        <v>0</v>
      </c>
      <c r="AB227" s="668">
        <f>PROFORMA!AB342</f>
        <v>0</v>
      </c>
      <c r="AC227" s="668">
        <f>PROFORMA!AC342</f>
        <v>0</v>
      </c>
      <c r="AD227" s="668">
        <f>PROFORMA!AD342</f>
        <v>0</v>
      </c>
      <c r="AE227" s="668">
        <f>PROFORMA!AE342</f>
        <v>0</v>
      </c>
      <c r="AF227" s="668">
        <f>PROFORMA!AF342</f>
        <v>0</v>
      </c>
      <c r="AG227" s="668">
        <f>PROFORMA!AG342</f>
        <v>0</v>
      </c>
      <c r="AH227" s="668">
        <f>PROFORMA!AH342</f>
        <v>0</v>
      </c>
      <c r="AI227" s="668">
        <f>PROFORMA!AI342</f>
        <v>0</v>
      </c>
      <c r="AJ227" s="668">
        <f>PROFORMA!AJ342</f>
        <v>0</v>
      </c>
      <c r="AK227" s="668">
        <f>PROFORMA!AK342</f>
        <v>0</v>
      </c>
      <c r="AL227" s="668">
        <f>PROFORMA!AL342</f>
        <v>0</v>
      </c>
      <c r="AM227" s="668">
        <f>PROFORMA!AM342</f>
        <v>0</v>
      </c>
      <c r="AN227" s="668">
        <f>PROFORMA!AN342</f>
        <v>0</v>
      </c>
      <c r="AO227" s="668">
        <f>PROFORMA!AO342</f>
        <v>0</v>
      </c>
      <c r="AP227" s="668">
        <f>PROFORMA!AP342</f>
        <v>0</v>
      </c>
      <c r="AQ227" s="668">
        <f>PROFORMA!AQ342</f>
        <v>0</v>
      </c>
      <c r="AR227" s="693">
        <f t="shared" si="82"/>
        <v>0</v>
      </c>
      <c r="AS227" s="643">
        <f t="shared" si="83"/>
        <v>-18000</v>
      </c>
      <c r="AT227" s="643">
        <f t="shared" si="84"/>
        <v>148000</v>
      </c>
      <c r="AU227" s="643"/>
      <c r="AV227" s="643">
        <f t="shared" si="85"/>
        <v>148000</v>
      </c>
    </row>
    <row r="228" spans="1:48" ht="31.2">
      <c r="A228" s="640">
        <v>225</v>
      </c>
      <c r="B228" s="811"/>
      <c r="C228" s="679" t="s">
        <v>275</v>
      </c>
      <c r="D228" s="662">
        <v>396</v>
      </c>
      <c r="E228" s="668">
        <f>PROFORMA!F343</f>
        <v>2038000</v>
      </c>
      <c r="F228" s="668">
        <f>PROFORMA!G343</f>
        <v>0</v>
      </c>
      <c r="G228" s="668">
        <f>PROFORMA!H343</f>
        <v>0</v>
      </c>
      <c r="H228" s="668">
        <f>PROFORMA!I343</f>
        <v>0</v>
      </c>
      <c r="I228" s="668">
        <f>PROFORMA!J343</f>
        <v>0</v>
      </c>
      <c r="J228" s="668">
        <f>PROFORMA!K343</f>
        <v>0</v>
      </c>
      <c r="K228" s="668">
        <f>PROFORMA!L343</f>
        <v>0</v>
      </c>
      <c r="L228" s="668">
        <f>PROFORMA!M343</f>
        <v>0</v>
      </c>
      <c r="M228" s="668">
        <f>PROFORMA!N343</f>
        <v>0</v>
      </c>
      <c r="N228" s="668">
        <f>PROFORMA!O343</f>
        <v>0</v>
      </c>
      <c r="O228" s="668">
        <f>PROFORMA!P343</f>
        <v>0</v>
      </c>
      <c r="P228" s="668">
        <f>PROFORMA!Q343</f>
        <v>0</v>
      </c>
      <c r="Q228" s="668">
        <f>PROFORMA!R343</f>
        <v>0</v>
      </c>
      <c r="R228" s="668">
        <f>PROFORMA!S343</f>
        <v>0</v>
      </c>
      <c r="S228" s="668">
        <f>PROFORMA!T343</f>
        <v>0</v>
      </c>
      <c r="T228" s="668">
        <f>PROFORMA!U343</f>
        <v>0</v>
      </c>
      <c r="U228" s="668">
        <f>PROFORMA!V343</f>
        <v>0</v>
      </c>
      <c r="V228" s="668">
        <f>PROFORMA!W343</f>
        <v>0</v>
      </c>
      <c r="W228" s="668">
        <f>PROFORMA!X343</f>
        <v>0</v>
      </c>
      <c r="X228" s="668">
        <f>PROFORMA!Y343</f>
        <v>-225000</v>
      </c>
      <c r="Y228" s="690">
        <f t="shared" si="81"/>
        <v>-225000</v>
      </c>
      <c r="Z228" s="668">
        <f>PROFORMA!Z343</f>
        <v>0</v>
      </c>
      <c r="AA228" s="668">
        <f>PROFORMA!AA343</f>
        <v>0</v>
      </c>
      <c r="AB228" s="668">
        <f>PROFORMA!AB343</f>
        <v>0</v>
      </c>
      <c r="AC228" s="668">
        <f>PROFORMA!AC343</f>
        <v>0</v>
      </c>
      <c r="AD228" s="668">
        <f>PROFORMA!AD343</f>
        <v>0</v>
      </c>
      <c r="AE228" s="668">
        <f>PROFORMA!AE343</f>
        <v>0</v>
      </c>
      <c r="AF228" s="668">
        <f>PROFORMA!AF343</f>
        <v>0</v>
      </c>
      <c r="AG228" s="668">
        <f>PROFORMA!AG343</f>
        <v>0</v>
      </c>
      <c r="AH228" s="668">
        <f>PROFORMA!AH343</f>
        <v>0</v>
      </c>
      <c r="AI228" s="668">
        <f>PROFORMA!AI343</f>
        <v>0</v>
      </c>
      <c r="AJ228" s="668">
        <f>PROFORMA!AJ343</f>
        <v>0</v>
      </c>
      <c r="AK228" s="668">
        <f>PROFORMA!AK343</f>
        <v>0</v>
      </c>
      <c r="AL228" s="668">
        <f>PROFORMA!AL343</f>
        <v>0</v>
      </c>
      <c r="AM228" s="668">
        <f>PROFORMA!AM343</f>
        <v>0</v>
      </c>
      <c r="AN228" s="668">
        <f>PROFORMA!AN343</f>
        <v>0</v>
      </c>
      <c r="AO228" s="668">
        <f>PROFORMA!AO343</f>
        <v>0</v>
      </c>
      <c r="AP228" s="668">
        <f>PROFORMA!AP343</f>
        <v>0</v>
      </c>
      <c r="AQ228" s="668">
        <f>PROFORMA!AQ343</f>
        <v>0</v>
      </c>
      <c r="AR228" s="693">
        <f t="shared" si="82"/>
        <v>0</v>
      </c>
      <c r="AS228" s="643">
        <f t="shared" si="83"/>
        <v>-225000</v>
      </c>
      <c r="AT228" s="643">
        <f t="shared" si="84"/>
        <v>1813000</v>
      </c>
      <c r="AU228" s="643"/>
      <c r="AV228" s="643">
        <f t="shared" si="85"/>
        <v>1813000</v>
      </c>
    </row>
    <row r="229" spans="1:48" ht="31.2">
      <c r="A229" s="640">
        <v>226</v>
      </c>
      <c r="B229" s="811"/>
      <c r="C229" s="679" t="s">
        <v>276</v>
      </c>
      <c r="D229" s="662">
        <v>397</v>
      </c>
      <c r="E229" s="668">
        <f>PROFORMA!F344</f>
        <v>3164000</v>
      </c>
      <c r="F229" s="668">
        <f>PROFORMA!G344</f>
        <v>0</v>
      </c>
      <c r="G229" s="668">
        <f>PROFORMA!H344</f>
        <v>0</v>
      </c>
      <c r="H229" s="668">
        <f>PROFORMA!I344</f>
        <v>0</v>
      </c>
      <c r="I229" s="668">
        <f>PROFORMA!J344</f>
        <v>1658000</v>
      </c>
      <c r="J229" s="668">
        <f>PROFORMA!K344</f>
        <v>0</v>
      </c>
      <c r="K229" s="668">
        <f>PROFORMA!L344</f>
        <v>0</v>
      </c>
      <c r="L229" s="668">
        <f>PROFORMA!M344</f>
        <v>0</v>
      </c>
      <c r="M229" s="668">
        <f>PROFORMA!N344</f>
        <v>0</v>
      </c>
      <c r="N229" s="668">
        <f>PROFORMA!O344</f>
        <v>0</v>
      </c>
      <c r="O229" s="668">
        <f>PROFORMA!P344</f>
        <v>0</v>
      </c>
      <c r="P229" s="668">
        <f>PROFORMA!Q344</f>
        <v>0</v>
      </c>
      <c r="Q229" s="668">
        <f>PROFORMA!R344</f>
        <v>0</v>
      </c>
      <c r="R229" s="668">
        <f>PROFORMA!S344</f>
        <v>0</v>
      </c>
      <c r="S229" s="668">
        <f>PROFORMA!T344</f>
        <v>0</v>
      </c>
      <c r="T229" s="668">
        <f>PROFORMA!U344</f>
        <v>0</v>
      </c>
      <c r="U229" s="668">
        <f>PROFORMA!V344</f>
        <v>0</v>
      </c>
      <c r="V229" s="668">
        <f>PROFORMA!W344</f>
        <v>0</v>
      </c>
      <c r="W229" s="668">
        <f>PROFORMA!X344</f>
        <v>0</v>
      </c>
      <c r="X229" s="668">
        <f>PROFORMA!Y344</f>
        <v>-349000</v>
      </c>
      <c r="Y229" s="690">
        <f t="shared" si="81"/>
        <v>1309000</v>
      </c>
      <c r="Z229" s="668">
        <f>PROFORMA!Z344</f>
        <v>0</v>
      </c>
      <c r="AA229" s="668">
        <f>PROFORMA!AA344</f>
        <v>0</v>
      </c>
      <c r="AB229" s="668">
        <f>PROFORMA!AB344</f>
        <v>0</v>
      </c>
      <c r="AC229" s="668">
        <f>PROFORMA!AC344</f>
        <v>0</v>
      </c>
      <c r="AD229" s="668">
        <f>PROFORMA!AD344</f>
        <v>0</v>
      </c>
      <c r="AE229" s="668">
        <f>PROFORMA!AE344</f>
        <v>0</v>
      </c>
      <c r="AF229" s="668">
        <f>PROFORMA!AF344</f>
        <v>0</v>
      </c>
      <c r="AG229" s="668">
        <f>PROFORMA!AG344</f>
        <v>0</v>
      </c>
      <c r="AH229" s="668">
        <f>PROFORMA!AH344</f>
        <v>0</v>
      </c>
      <c r="AI229" s="668">
        <f>PROFORMA!AI344</f>
        <v>0</v>
      </c>
      <c r="AJ229" s="668">
        <f>PROFORMA!AJ344</f>
        <v>0</v>
      </c>
      <c r="AK229" s="668">
        <f>PROFORMA!AK344</f>
        <v>0</v>
      </c>
      <c r="AL229" s="668">
        <f>PROFORMA!AL344</f>
        <v>0</v>
      </c>
      <c r="AM229" s="668">
        <f>PROFORMA!AM344</f>
        <v>0</v>
      </c>
      <c r="AN229" s="668">
        <f>PROFORMA!AN344</f>
        <v>0</v>
      </c>
      <c r="AO229" s="668">
        <f>PROFORMA!AO344</f>
        <v>-1368751</v>
      </c>
      <c r="AP229" s="668">
        <f>PROFORMA!AP344</f>
        <v>0</v>
      </c>
      <c r="AQ229" s="668">
        <f>PROFORMA!AQ344</f>
        <v>0</v>
      </c>
      <c r="AR229" s="693">
        <f t="shared" si="82"/>
        <v>-1368751</v>
      </c>
      <c r="AS229" s="643">
        <f t="shared" si="83"/>
        <v>-59751</v>
      </c>
      <c r="AT229" s="643">
        <f t="shared" si="84"/>
        <v>3104249</v>
      </c>
      <c r="AU229" s="643"/>
      <c r="AV229" s="643">
        <f t="shared" si="85"/>
        <v>3104249</v>
      </c>
    </row>
    <row r="230" spans="1:48" ht="21" customHeight="1">
      <c r="A230" s="640">
        <v>227</v>
      </c>
      <c r="B230" s="811"/>
      <c r="C230" s="679" t="s">
        <v>277</v>
      </c>
      <c r="D230" s="662">
        <v>398</v>
      </c>
      <c r="E230" s="688">
        <f>PROFORMA!F345</f>
        <v>83000</v>
      </c>
      <c r="F230" s="688">
        <f>PROFORMA!G345</f>
        <v>0</v>
      </c>
      <c r="G230" s="688">
        <f>PROFORMA!H345</f>
        <v>0</v>
      </c>
      <c r="H230" s="688">
        <f>PROFORMA!I345</f>
        <v>0</v>
      </c>
      <c r="I230" s="688">
        <f>PROFORMA!J345</f>
        <v>0</v>
      </c>
      <c r="J230" s="688">
        <f>PROFORMA!K345</f>
        <v>0</v>
      </c>
      <c r="K230" s="688">
        <f>PROFORMA!L345</f>
        <v>0</v>
      </c>
      <c r="L230" s="688">
        <f>PROFORMA!M345</f>
        <v>0</v>
      </c>
      <c r="M230" s="688">
        <f>PROFORMA!N345</f>
        <v>0</v>
      </c>
      <c r="N230" s="688">
        <f>PROFORMA!O345</f>
        <v>0</v>
      </c>
      <c r="O230" s="688">
        <f>PROFORMA!P345</f>
        <v>0</v>
      </c>
      <c r="P230" s="688">
        <f>PROFORMA!Q345</f>
        <v>0</v>
      </c>
      <c r="Q230" s="688">
        <f>PROFORMA!R345</f>
        <v>0</v>
      </c>
      <c r="R230" s="688">
        <f>PROFORMA!S345</f>
        <v>0</v>
      </c>
      <c r="S230" s="688">
        <f>PROFORMA!T345</f>
        <v>0</v>
      </c>
      <c r="T230" s="688">
        <f>PROFORMA!U345</f>
        <v>0</v>
      </c>
      <c r="U230" s="688">
        <f>PROFORMA!V345</f>
        <v>0</v>
      </c>
      <c r="V230" s="688">
        <f>PROFORMA!W345</f>
        <v>0</v>
      </c>
      <c r="W230" s="688">
        <f>PROFORMA!X345</f>
        <v>0</v>
      </c>
      <c r="X230" s="688">
        <f>PROFORMA!Y345</f>
        <v>-9000</v>
      </c>
      <c r="Y230" s="691">
        <f t="shared" si="81"/>
        <v>-9000</v>
      </c>
      <c r="Z230" s="688">
        <f>PROFORMA!Z345</f>
        <v>0</v>
      </c>
      <c r="AA230" s="688">
        <f>PROFORMA!AA345</f>
        <v>0</v>
      </c>
      <c r="AB230" s="688">
        <f>PROFORMA!AB345</f>
        <v>0</v>
      </c>
      <c r="AC230" s="688">
        <f>PROFORMA!AC345</f>
        <v>0</v>
      </c>
      <c r="AD230" s="688">
        <f>PROFORMA!AD345</f>
        <v>0</v>
      </c>
      <c r="AE230" s="688">
        <f>PROFORMA!AE345</f>
        <v>0</v>
      </c>
      <c r="AF230" s="688">
        <f>PROFORMA!AF345</f>
        <v>0</v>
      </c>
      <c r="AG230" s="688">
        <f>PROFORMA!AG345</f>
        <v>0</v>
      </c>
      <c r="AH230" s="688">
        <f>PROFORMA!AH345</f>
        <v>0</v>
      </c>
      <c r="AI230" s="688">
        <f>PROFORMA!AI345</f>
        <v>0</v>
      </c>
      <c r="AJ230" s="688">
        <f>PROFORMA!AJ345</f>
        <v>0</v>
      </c>
      <c r="AK230" s="688">
        <f>PROFORMA!AK345</f>
        <v>0</v>
      </c>
      <c r="AL230" s="688">
        <f>PROFORMA!AL345</f>
        <v>0</v>
      </c>
      <c r="AM230" s="688">
        <f>PROFORMA!AM345</f>
        <v>0</v>
      </c>
      <c r="AN230" s="688">
        <f>PROFORMA!AN345</f>
        <v>0</v>
      </c>
      <c r="AO230" s="688">
        <f>PROFORMA!AO345</f>
        <v>0</v>
      </c>
      <c r="AP230" s="688">
        <f>PROFORMA!AP345</f>
        <v>0</v>
      </c>
      <c r="AQ230" s="688">
        <f>PROFORMA!AQ345</f>
        <v>0</v>
      </c>
      <c r="AR230" s="694">
        <f t="shared" si="82"/>
        <v>0</v>
      </c>
      <c r="AS230" s="692">
        <f t="shared" si="83"/>
        <v>-9000</v>
      </c>
      <c r="AT230" s="692">
        <f t="shared" si="84"/>
        <v>74000</v>
      </c>
      <c r="AU230" s="692"/>
      <c r="AV230" s="692">
        <f t="shared" si="85"/>
        <v>74000</v>
      </c>
    </row>
    <row r="231" spans="1:48">
      <c r="A231" s="640">
        <v>228</v>
      </c>
      <c r="B231" s="607"/>
      <c r="C231" s="632" t="s">
        <v>714</v>
      </c>
      <c r="D231" s="632"/>
      <c r="E231" s="650">
        <f>SUM(E221:E230)</f>
        <v>25355000</v>
      </c>
      <c r="F231" s="650">
        <f t="shared" ref="F231:X231" si="90">SUM(F221:F230)</f>
        <v>0</v>
      </c>
      <c r="G231" s="650">
        <f t="shared" si="90"/>
        <v>0</v>
      </c>
      <c r="H231" s="650">
        <f t="shared" si="90"/>
        <v>0</v>
      </c>
      <c r="I231" s="650">
        <f t="shared" si="90"/>
        <v>1658000</v>
      </c>
      <c r="J231" s="650">
        <f t="shared" si="90"/>
        <v>0</v>
      </c>
      <c r="K231" s="650">
        <f t="shared" si="90"/>
        <v>0</v>
      </c>
      <c r="L231" s="650">
        <f t="shared" si="90"/>
        <v>0</v>
      </c>
      <c r="M231" s="650">
        <f t="shared" si="90"/>
        <v>0</v>
      </c>
      <c r="N231" s="650">
        <f t="shared" si="90"/>
        <v>0</v>
      </c>
      <c r="O231" s="650">
        <f t="shared" si="90"/>
        <v>0</v>
      </c>
      <c r="P231" s="650">
        <f t="shared" si="90"/>
        <v>0</v>
      </c>
      <c r="Q231" s="650">
        <f t="shared" si="90"/>
        <v>0</v>
      </c>
      <c r="R231" s="650">
        <f t="shared" si="90"/>
        <v>0</v>
      </c>
      <c r="S231" s="650">
        <f t="shared" si="90"/>
        <v>0</v>
      </c>
      <c r="T231" s="650">
        <f t="shared" si="90"/>
        <v>0</v>
      </c>
      <c r="U231" s="650">
        <f t="shared" si="90"/>
        <v>0</v>
      </c>
      <c r="V231" s="650">
        <f t="shared" si="90"/>
        <v>0</v>
      </c>
      <c r="W231" s="650">
        <f t="shared" si="90"/>
        <v>0</v>
      </c>
      <c r="X231" s="650">
        <f t="shared" si="90"/>
        <v>-2799000</v>
      </c>
      <c r="Y231" s="690">
        <f t="shared" si="81"/>
        <v>-1141000</v>
      </c>
      <c r="Z231" s="650">
        <f t="shared" ref="Z231:AV231" si="91">SUM(Z221:Z230)</f>
        <v>0</v>
      </c>
      <c r="AA231" s="650">
        <f t="shared" si="91"/>
        <v>0</v>
      </c>
      <c r="AB231" s="650">
        <f t="shared" si="91"/>
        <v>0</v>
      </c>
      <c r="AC231" s="650">
        <f t="shared" si="91"/>
        <v>0</v>
      </c>
      <c r="AD231" s="650">
        <f t="shared" si="91"/>
        <v>0</v>
      </c>
      <c r="AE231" s="650">
        <f t="shared" si="91"/>
        <v>0</v>
      </c>
      <c r="AF231" s="650">
        <f t="shared" si="91"/>
        <v>0</v>
      </c>
      <c r="AG231" s="650">
        <f t="shared" si="91"/>
        <v>0</v>
      </c>
      <c r="AH231" s="650">
        <f t="shared" si="91"/>
        <v>0</v>
      </c>
      <c r="AI231" s="650">
        <f t="shared" si="91"/>
        <v>0</v>
      </c>
      <c r="AJ231" s="650">
        <f t="shared" si="91"/>
        <v>0</v>
      </c>
      <c r="AK231" s="650">
        <f t="shared" si="91"/>
        <v>383000</v>
      </c>
      <c r="AL231" s="650">
        <f t="shared" si="91"/>
        <v>940000</v>
      </c>
      <c r="AM231" s="650">
        <f t="shared" si="91"/>
        <v>0</v>
      </c>
      <c r="AN231" s="650">
        <f t="shared" si="91"/>
        <v>1543000</v>
      </c>
      <c r="AO231" s="650">
        <f t="shared" si="91"/>
        <v>-1368751</v>
      </c>
      <c r="AP231" s="650">
        <f t="shared" si="91"/>
        <v>0</v>
      </c>
      <c r="AQ231" s="650">
        <f t="shared" si="91"/>
        <v>0</v>
      </c>
      <c r="AR231" s="650">
        <f t="shared" si="91"/>
        <v>1497249</v>
      </c>
      <c r="AS231" s="650">
        <f t="shared" si="91"/>
        <v>356249</v>
      </c>
      <c r="AT231" s="650">
        <f t="shared" si="91"/>
        <v>25711249</v>
      </c>
      <c r="AU231" s="650">
        <f t="shared" si="91"/>
        <v>0</v>
      </c>
      <c r="AV231" s="650">
        <f t="shared" si="91"/>
        <v>25711249</v>
      </c>
    </row>
    <row r="232" spans="1:48">
      <c r="A232" s="640">
        <v>229</v>
      </c>
      <c r="B232" s="811" t="s">
        <v>713</v>
      </c>
      <c r="C232" s="661" t="s">
        <v>711</v>
      </c>
      <c r="D232" s="662">
        <v>303.10000000000002</v>
      </c>
      <c r="E232" s="668">
        <f>PROFORMA!F351</f>
        <v>10739752</v>
      </c>
      <c r="F232" s="668">
        <f>PROFORMA!G351</f>
        <v>0</v>
      </c>
      <c r="G232" s="668">
        <f>PROFORMA!H351</f>
        <v>0</v>
      </c>
      <c r="H232" s="668">
        <f>PROFORMA!I351</f>
        <v>0</v>
      </c>
      <c r="I232" s="668">
        <f>PROFORMA!J351</f>
        <v>0</v>
      </c>
      <c r="J232" s="668">
        <f>PROFORMA!K351</f>
        <v>0</v>
      </c>
      <c r="K232" s="668">
        <f>PROFORMA!L351</f>
        <v>0</v>
      </c>
      <c r="L232" s="668">
        <f>PROFORMA!M351</f>
        <v>0</v>
      </c>
      <c r="M232" s="668">
        <f>PROFORMA!N351</f>
        <v>0</v>
      </c>
      <c r="N232" s="668">
        <f>PROFORMA!O351</f>
        <v>0</v>
      </c>
      <c r="O232" s="668">
        <f>PROFORMA!P351</f>
        <v>0</v>
      </c>
      <c r="P232" s="668">
        <f>PROFORMA!Q351</f>
        <v>0</v>
      </c>
      <c r="Q232" s="668">
        <f>PROFORMA!R351</f>
        <v>0</v>
      </c>
      <c r="R232" s="668">
        <f>PROFORMA!S351</f>
        <v>0</v>
      </c>
      <c r="S232" s="668">
        <f>PROFORMA!T351</f>
        <v>0</v>
      </c>
      <c r="T232" s="668">
        <f>PROFORMA!U351</f>
        <v>0</v>
      </c>
      <c r="U232" s="668">
        <f>PROFORMA!V351</f>
        <v>0</v>
      </c>
      <c r="V232" s="668">
        <f>PROFORMA!W351</f>
        <v>0</v>
      </c>
      <c r="W232" s="668">
        <f>PROFORMA!X351</f>
        <v>0</v>
      </c>
      <c r="X232" s="668">
        <f>PROFORMA!Y351</f>
        <v>0</v>
      </c>
      <c r="Y232" s="690">
        <f t="shared" si="81"/>
        <v>0</v>
      </c>
      <c r="Z232" s="668">
        <f>PROFORMA!Z351</f>
        <v>0</v>
      </c>
      <c r="AA232" s="668">
        <f>PROFORMA!AA351</f>
        <v>0</v>
      </c>
      <c r="AB232" s="668">
        <f>PROFORMA!AB351</f>
        <v>0</v>
      </c>
      <c r="AC232" s="668">
        <f>PROFORMA!AC351</f>
        <v>0</v>
      </c>
      <c r="AD232" s="668">
        <f>PROFORMA!AD351</f>
        <v>0</v>
      </c>
      <c r="AE232" s="668">
        <f>PROFORMA!AE351</f>
        <v>0</v>
      </c>
      <c r="AF232" s="668">
        <f>PROFORMA!AF351</f>
        <v>0</v>
      </c>
      <c r="AG232" s="668">
        <f>PROFORMA!AG351</f>
        <v>0</v>
      </c>
      <c r="AH232" s="668">
        <f>PROFORMA!AH351</f>
        <v>0</v>
      </c>
      <c r="AI232" s="668">
        <f>PROFORMA!AI351</f>
        <v>0</v>
      </c>
      <c r="AJ232" s="668">
        <f>PROFORMA!AJ351</f>
        <v>1707000</v>
      </c>
      <c r="AK232" s="668">
        <f>PROFORMA!AK351</f>
        <v>0</v>
      </c>
      <c r="AL232" s="668">
        <f>PROFORMA!AL351</f>
        <v>0</v>
      </c>
      <c r="AM232" s="668">
        <f>PROFORMA!AM351</f>
        <v>0</v>
      </c>
      <c r="AN232" s="668">
        <f>PROFORMA!AN351</f>
        <v>179000</v>
      </c>
      <c r="AO232" s="668">
        <f>PROFORMA!AO351</f>
        <v>0</v>
      </c>
      <c r="AP232" s="668">
        <f>PROFORMA!AP351</f>
        <v>0</v>
      </c>
      <c r="AQ232" s="668">
        <f>PROFORMA!AQ351</f>
        <v>0</v>
      </c>
      <c r="AR232" s="693">
        <f t="shared" si="82"/>
        <v>1886000</v>
      </c>
      <c r="AS232" s="643">
        <f t="shared" si="83"/>
        <v>1886000</v>
      </c>
      <c r="AT232" s="643">
        <f t="shared" si="84"/>
        <v>12625752</v>
      </c>
      <c r="AU232" s="643"/>
      <c r="AV232" s="643">
        <f t="shared" si="85"/>
        <v>12625752</v>
      </c>
    </row>
    <row r="233" spans="1:48">
      <c r="A233" s="640"/>
      <c r="B233" s="811"/>
      <c r="C233" s="661" t="s">
        <v>1463</v>
      </c>
      <c r="D233" s="662">
        <v>303.12</v>
      </c>
      <c r="E233" s="668">
        <f>PROFORMA!F352</f>
        <v>1887248</v>
      </c>
      <c r="F233" s="668">
        <f>PROFORMA!G352</f>
        <v>0</v>
      </c>
      <c r="G233" s="668">
        <f>PROFORMA!H352</f>
        <v>0</v>
      </c>
      <c r="H233" s="668">
        <f>PROFORMA!I352</f>
        <v>0</v>
      </c>
      <c r="I233" s="668">
        <f>PROFORMA!J352</f>
        <v>0</v>
      </c>
      <c r="J233" s="668">
        <f>PROFORMA!K352</f>
        <v>0</v>
      </c>
      <c r="K233" s="668">
        <f>PROFORMA!L352</f>
        <v>0</v>
      </c>
      <c r="L233" s="668">
        <f>PROFORMA!M352</f>
        <v>0</v>
      </c>
      <c r="M233" s="668">
        <f>PROFORMA!N352</f>
        <v>0</v>
      </c>
      <c r="N233" s="668">
        <f>PROFORMA!O352</f>
        <v>0</v>
      </c>
      <c r="O233" s="668">
        <f>PROFORMA!P352</f>
        <v>0</v>
      </c>
      <c r="P233" s="668">
        <f>PROFORMA!Q352</f>
        <v>0</v>
      </c>
      <c r="Q233" s="668">
        <f>PROFORMA!R352</f>
        <v>0</v>
      </c>
      <c r="R233" s="668">
        <f>PROFORMA!S352</f>
        <v>0</v>
      </c>
      <c r="S233" s="668">
        <f>PROFORMA!T352</f>
        <v>0</v>
      </c>
      <c r="T233" s="668">
        <f>PROFORMA!U352</f>
        <v>0</v>
      </c>
      <c r="U233" s="668">
        <f>PROFORMA!V352</f>
        <v>0</v>
      </c>
      <c r="V233" s="668">
        <f>PROFORMA!W352</f>
        <v>0</v>
      </c>
      <c r="W233" s="668">
        <f>PROFORMA!X352</f>
        <v>0</v>
      </c>
      <c r="X233" s="668">
        <f>PROFORMA!Y352</f>
        <v>0</v>
      </c>
      <c r="Y233" s="690">
        <f t="shared" ref="Y233" si="92">SUM(F233:X233)</f>
        <v>0</v>
      </c>
      <c r="Z233" s="668">
        <f>PROFORMA!Z352</f>
        <v>0</v>
      </c>
      <c r="AA233" s="668">
        <f>PROFORMA!AA352</f>
        <v>0</v>
      </c>
      <c r="AB233" s="668">
        <f>PROFORMA!AB352</f>
        <v>0</v>
      </c>
      <c r="AC233" s="668">
        <f>PROFORMA!AC352</f>
        <v>0</v>
      </c>
      <c r="AD233" s="668">
        <f>PROFORMA!AD352</f>
        <v>0</v>
      </c>
      <c r="AE233" s="668">
        <f>PROFORMA!AE352</f>
        <v>0</v>
      </c>
      <c r="AF233" s="668">
        <f>PROFORMA!AF352</f>
        <v>0</v>
      </c>
      <c r="AG233" s="668">
        <f>PROFORMA!AG352</f>
        <v>0</v>
      </c>
      <c r="AH233" s="668">
        <f>PROFORMA!AH352</f>
        <v>0</v>
      </c>
      <c r="AI233" s="668">
        <f>PROFORMA!AI352</f>
        <v>0</v>
      </c>
      <c r="AJ233" s="668">
        <f>PROFORMA!AJ352</f>
        <v>0</v>
      </c>
      <c r="AK233" s="668">
        <f>PROFORMA!AK352</f>
        <v>0</v>
      </c>
      <c r="AL233" s="668">
        <f>PROFORMA!AL352</f>
        <v>0</v>
      </c>
      <c r="AM233" s="668">
        <f>PROFORMA!AM352</f>
        <v>0</v>
      </c>
      <c r="AN233" s="668">
        <f>PROFORMA!AN352</f>
        <v>0</v>
      </c>
      <c r="AO233" s="668">
        <f>PROFORMA!AO352</f>
        <v>-4603249</v>
      </c>
      <c r="AP233" s="668">
        <f>PROFORMA!AP352</f>
        <v>0</v>
      </c>
      <c r="AQ233" s="668">
        <f>PROFORMA!AQ352</f>
        <v>0</v>
      </c>
      <c r="AR233" s="693">
        <f t="shared" ref="AR233" si="93">SUM(Z233:AQ233)</f>
        <v>-4603249</v>
      </c>
      <c r="AS233" s="643">
        <f t="shared" ref="AS233" si="94">Y233+AR233</f>
        <v>-4603249</v>
      </c>
      <c r="AT233" s="643">
        <f t="shared" ref="AT233" si="95">E233+AS233</f>
        <v>-2716001</v>
      </c>
      <c r="AU233" s="643"/>
      <c r="AV233" s="643">
        <f t="shared" ref="AV233" si="96">AT233+AU233</f>
        <v>-2716001</v>
      </c>
    </row>
    <row r="234" spans="1:48">
      <c r="A234" s="640">
        <v>230</v>
      </c>
      <c r="B234" s="811"/>
      <c r="C234" s="661" t="s">
        <v>279</v>
      </c>
      <c r="D234" s="662">
        <v>303</v>
      </c>
      <c r="E234" s="688">
        <f>PROFORMA!F353</f>
        <v>768000</v>
      </c>
      <c r="F234" s="688">
        <f>PROFORMA!G353</f>
        <v>0</v>
      </c>
      <c r="G234" s="688">
        <f>PROFORMA!H353</f>
        <v>0</v>
      </c>
      <c r="H234" s="688">
        <f>PROFORMA!I353</f>
        <v>0</v>
      </c>
      <c r="I234" s="688">
        <f>PROFORMA!J353</f>
        <v>0</v>
      </c>
      <c r="J234" s="688">
        <f>PROFORMA!K353</f>
        <v>0</v>
      </c>
      <c r="K234" s="688">
        <f>PROFORMA!L353</f>
        <v>0</v>
      </c>
      <c r="L234" s="688">
        <f>PROFORMA!M353</f>
        <v>0</v>
      </c>
      <c r="M234" s="688">
        <f>PROFORMA!N353</f>
        <v>0</v>
      </c>
      <c r="N234" s="688">
        <f>PROFORMA!O353</f>
        <v>0</v>
      </c>
      <c r="O234" s="688">
        <f>PROFORMA!P353</f>
        <v>0</v>
      </c>
      <c r="P234" s="688">
        <f>PROFORMA!Q353</f>
        <v>0</v>
      </c>
      <c r="Q234" s="688">
        <f>PROFORMA!R353</f>
        <v>0</v>
      </c>
      <c r="R234" s="688">
        <f>PROFORMA!S353</f>
        <v>0</v>
      </c>
      <c r="S234" s="688">
        <f>PROFORMA!T353</f>
        <v>0</v>
      </c>
      <c r="T234" s="688">
        <f>PROFORMA!U353</f>
        <v>0</v>
      </c>
      <c r="U234" s="688">
        <f>PROFORMA!V353</f>
        <v>0</v>
      </c>
      <c r="V234" s="688">
        <f>PROFORMA!W353</f>
        <v>0</v>
      </c>
      <c r="W234" s="688">
        <f>PROFORMA!X353</f>
        <v>0</v>
      </c>
      <c r="X234" s="688">
        <f>PROFORMA!Y353</f>
        <v>0</v>
      </c>
      <c r="Y234" s="691">
        <f t="shared" si="81"/>
        <v>0</v>
      </c>
      <c r="Z234" s="688">
        <f>PROFORMA!Z353</f>
        <v>0</v>
      </c>
      <c r="AA234" s="688">
        <f>PROFORMA!AA353</f>
        <v>0</v>
      </c>
      <c r="AB234" s="688">
        <f>PROFORMA!AB353</f>
        <v>0</v>
      </c>
      <c r="AC234" s="688">
        <f>PROFORMA!AC353</f>
        <v>0</v>
      </c>
      <c r="AD234" s="688">
        <f>PROFORMA!AD353</f>
        <v>0</v>
      </c>
      <c r="AE234" s="688">
        <f>PROFORMA!AE353</f>
        <v>0</v>
      </c>
      <c r="AF234" s="688">
        <f>PROFORMA!AF353</f>
        <v>0</v>
      </c>
      <c r="AG234" s="688">
        <f>PROFORMA!AG353</f>
        <v>0</v>
      </c>
      <c r="AH234" s="688">
        <f>PROFORMA!AH353</f>
        <v>0</v>
      </c>
      <c r="AI234" s="688">
        <f>PROFORMA!AI353</f>
        <v>0</v>
      </c>
      <c r="AJ234" s="688">
        <f>PROFORMA!AJ353</f>
        <v>0</v>
      </c>
      <c r="AK234" s="688">
        <f>PROFORMA!AK353</f>
        <v>0</v>
      </c>
      <c r="AL234" s="688">
        <f>PROFORMA!AL353</f>
        <v>0</v>
      </c>
      <c r="AM234" s="688">
        <f>PROFORMA!AM353</f>
        <v>0</v>
      </c>
      <c r="AN234" s="688">
        <f>PROFORMA!AN353</f>
        <v>0</v>
      </c>
      <c r="AO234" s="688">
        <f>PROFORMA!AO353</f>
        <v>0</v>
      </c>
      <c r="AP234" s="688">
        <f>PROFORMA!AP353</f>
        <v>0</v>
      </c>
      <c r="AQ234" s="688">
        <f>PROFORMA!AQ353</f>
        <v>0</v>
      </c>
      <c r="AR234" s="694">
        <f t="shared" si="82"/>
        <v>0</v>
      </c>
      <c r="AS234" s="692">
        <f t="shared" si="83"/>
        <v>0</v>
      </c>
      <c r="AT234" s="692">
        <f t="shared" si="84"/>
        <v>768000</v>
      </c>
      <c r="AU234" s="692"/>
      <c r="AV234" s="692">
        <f t="shared" si="85"/>
        <v>768000</v>
      </c>
    </row>
    <row r="235" spans="1:48">
      <c r="A235" s="640">
        <v>231</v>
      </c>
      <c r="B235" s="607"/>
      <c r="C235" s="632" t="s">
        <v>710</v>
      </c>
      <c r="D235" s="632"/>
      <c r="E235" s="650">
        <f>SUM(E232:E234)</f>
        <v>13395000</v>
      </c>
      <c r="F235" s="650">
        <f t="shared" ref="F235:X235" si="97">SUM(F232:F234)</f>
        <v>0</v>
      </c>
      <c r="G235" s="650">
        <f t="shared" si="97"/>
        <v>0</v>
      </c>
      <c r="H235" s="650">
        <f t="shared" si="97"/>
        <v>0</v>
      </c>
      <c r="I235" s="650">
        <f t="shared" si="97"/>
        <v>0</v>
      </c>
      <c r="J235" s="650">
        <f t="shared" si="97"/>
        <v>0</v>
      </c>
      <c r="K235" s="650">
        <f t="shared" si="97"/>
        <v>0</v>
      </c>
      <c r="L235" s="650">
        <f t="shared" si="97"/>
        <v>0</v>
      </c>
      <c r="M235" s="650">
        <f t="shared" si="97"/>
        <v>0</v>
      </c>
      <c r="N235" s="650">
        <f t="shared" si="97"/>
        <v>0</v>
      </c>
      <c r="O235" s="650">
        <f t="shared" si="97"/>
        <v>0</v>
      </c>
      <c r="P235" s="650">
        <f t="shared" si="97"/>
        <v>0</v>
      </c>
      <c r="Q235" s="650">
        <f t="shared" si="97"/>
        <v>0</v>
      </c>
      <c r="R235" s="650">
        <f t="shared" si="97"/>
        <v>0</v>
      </c>
      <c r="S235" s="650">
        <f t="shared" si="97"/>
        <v>0</v>
      </c>
      <c r="T235" s="650">
        <f t="shared" si="97"/>
        <v>0</v>
      </c>
      <c r="U235" s="650">
        <f t="shared" si="97"/>
        <v>0</v>
      </c>
      <c r="V235" s="650">
        <f t="shared" si="97"/>
        <v>0</v>
      </c>
      <c r="W235" s="650">
        <f t="shared" si="97"/>
        <v>0</v>
      </c>
      <c r="X235" s="650">
        <f t="shared" si="97"/>
        <v>0</v>
      </c>
      <c r="Y235" s="690">
        <f t="shared" si="81"/>
        <v>0</v>
      </c>
      <c r="Z235" s="650">
        <f t="shared" ref="Z235:AV235" si="98">SUM(Z232:Z234)</f>
        <v>0</v>
      </c>
      <c r="AA235" s="650">
        <f t="shared" si="98"/>
        <v>0</v>
      </c>
      <c r="AB235" s="650">
        <f t="shared" si="98"/>
        <v>0</v>
      </c>
      <c r="AC235" s="650">
        <f t="shared" si="98"/>
        <v>0</v>
      </c>
      <c r="AD235" s="650">
        <f t="shared" si="98"/>
        <v>0</v>
      </c>
      <c r="AE235" s="650">
        <f t="shared" si="98"/>
        <v>0</v>
      </c>
      <c r="AF235" s="650">
        <f t="shared" si="98"/>
        <v>0</v>
      </c>
      <c r="AG235" s="650">
        <f t="shared" si="98"/>
        <v>0</v>
      </c>
      <c r="AH235" s="650">
        <f t="shared" si="98"/>
        <v>0</v>
      </c>
      <c r="AI235" s="650">
        <f t="shared" si="98"/>
        <v>0</v>
      </c>
      <c r="AJ235" s="650">
        <f t="shared" si="98"/>
        <v>1707000</v>
      </c>
      <c r="AK235" s="650">
        <f t="shared" si="98"/>
        <v>0</v>
      </c>
      <c r="AL235" s="650">
        <f t="shared" si="98"/>
        <v>0</v>
      </c>
      <c r="AM235" s="650">
        <f t="shared" si="98"/>
        <v>0</v>
      </c>
      <c r="AN235" s="650">
        <f t="shared" si="98"/>
        <v>179000</v>
      </c>
      <c r="AO235" s="650">
        <f t="shared" si="98"/>
        <v>-4603249</v>
      </c>
      <c r="AP235" s="650">
        <f t="shared" si="98"/>
        <v>0</v>
      </c>
      <c r="AQ235" s="650">
        <f t="shared" si="98"/>
        <v>0</v>
      </c>
      <c r="AR235" s="650">
        <f t="shared" si="98"/>
        <v>-2717249</v>
      </c>
      <c r="AS235" s="650">
        <f t="shared" si="98"/>
        <v>-2717249</v>
      </c>
      <c r="AT235" s="650">
        <f t="shared" si="98"/>
        <v>10677751</v>
      </c>
      <c r="AU235" s="650">
        <f t="shared" si="98"/>
        <v>0</v>
      </c>
      <c r="AV235" s="650">
        <f t="shared" si="98"/>
        <v>10677751</v>
      </c>
    </row>
    <row r="236" spans="1:48">
      <c r="A236" s="640">
        <v>232</v>
      </c>
      <c r="B236" s="607"/>
      <c r="C236" s="657"/>
      <c r="D236" s="657"/>
      <c r="E236" s="650"/>
      <c r="F236" s="650"/>
      <c r="G236" s="650"/>
      <c r="H236" s="650"/>
      <c r="I236" s="650"/>
      <c r="J236" s="650"/>
      <c r="K236" s="650"/>
      <c r="L236" s="650"/>
      <c r="M236" s="650"/>
      <c r="N236" s="650"/>
      <c r="O236" s="650"/>
      <c r="P236" s="650"/>
      <c r="Q236" s="650"/>
      <c r="R236" s="650"/>
      <c r="S236" s="650"/>
      <c r="T236" s="650"/>
      <c r="U236" s="650"/>
      <c r="V236" s="650"/>
      <c r="W236" s="650"/>
      <c r="X236" s="650"/>
      <c r="Y236" s="690">
        <f t="shared" si="81"/>
        <v>0</v>
      </c>
      <c r="Z236" s="650"/>
      <c r="AA236" s="650"/>
      <c r="AB236" s="650"/>
      <c r="AC236" s="650"/>
      <c r="AD236" s="650"/>
      <c r="AE236" s="650"/>
      <c r="AF236" s="650"/>
      <c r="AG236" s="650"/>
      <c r="AH236" s="650"/>
      <c r="AI236" s="650"/>
      <c r="AJ236" s="650"/>
      <c r="AK236" s="650"/>
      <c r="AL236" s="650"/>
      <c r="AM236" s="650"/>
      <c r="AN236" s="650"/>
      <c r="AO236" s="650"/>
      <c r="AP236" s="650"/>
      <c r="AQ236" s="650"/>
      <c r="AR236" s="693">
        <f t="shared" si="82"/>
        <v>0</v>
      </c>
      <c r="AS236" s="643">
        <f t="shared" si="83"/>
        <v>0</v>
      </c>
      <c r="AT236" s="643">
        <f t="shared" si="84"/>
        <v>0</v>
      </c>
      <c r="AU236" s="643"/>
      <c r="AV236" s="643">
        <f t="shared" si="85"/>
        <v>0</v>
      </c>
    </row>
    <row r="237" spans="1:48">
      <c r="A237" s="640">
        <v>233</v>
      </c>
      <c r="B237" s="607"/>
      <c r="C237" s="669" t="s">
        <v>138</v>
      </c>
      <c r="D237" s="669"/>
      <c r="E237" s="650">
        <f>E197-E207-E220-E231-E235</f>
        <v>475683000</v>
      </c>
      <c r="F237" s="650">
        <f t="shared" ref="F237:X237" si="99">F197-F207-F220-F231-F235</f>
        <v>0</v>
      </c>
      <c r="G237" s="650">
        <f t="shared" si="99"/>
        <v>0</v>
      </c>
      <c r="H237" s="650">
        <f t="shared" si="99"/>
        <v>0</v>
      </c>
      <c r="I237" s="650">
        <f t="shared" si="99"/>
        <v>-23287000</v>
      </c>
      <c r="J237" s="650">
        <f t="shared" si="99"/>
        <v>0</v>
      </c>
      <c r="K237" s="650">
        <f t="shared" si="99"/>
        <v>0</v>
      </c>
      <c r="L237" s="650">
        <f t="shared" si="99"/>
        <v>0</v>
      </c>
      <c r="M237" s="650">
        <f t="shared" si="99"/>
        <v>0</v>
      </c>
      <c r="N237" s="650">
        <f t="shared" si="99"/>
        <v>0</v>
      </c>
      <c r="O237" s="650">
        <f t="shared" si="99"/>
        <v>0</v>
      </c>
      <c r="P237" s="650">
        <f t="shared" si="99"/>
        <v>0</v>
      </c>
      <c r="Q237" s="650">
        <f t="shared" si="99"/>
        <v>0</v>
      </c>
      <c r="R237" s="650">
        <f t="shared" si="99"/>
        <v>0</v>
      </c>
      <c r="S237" s="650">
        <f t="shared" si="99"/>
        <v>0</v>
      </c>
      <c r="T237" s="650">
        <f t="shared" si="99"/>
        <v>0</v>
      </c>
      <c r="U237" s="650">
        <f t="shared" si="99"/>
        <v>0</v>
      </c>
      <c r="V237" s="650">
        <f t="shared" si="99"/>
        <v>0</v>
      </c>
      <c r="W237" s="650">
        <f t="shared" si="99"/>
        <v>0</v>
      </c>
      <c r="X237" s="650">
        <f t="shared" si="99"/>
        <v>14594000</v>
      </c>
      <c r="Y237" s="690">
        <f t="shared" si="81"/>
        <v>-8693000</v>
      </c>
      <c r="Z237" s="650">
        <f>Z197-Z207-Z220-Z231-Z235</f>
        <v>0</v>
      </c>
      <c r="AA237" s="650">
        <f t="shared" ref="AA237:AV237" si="100">AA197-AA207-AA220-AA231-AA235</f>
        <v>0</v>
      </c>
      <c r="AB237" s="650">
        <f t="shared" si="100"/>
        <v>0</v>
      </c>
      <c r="AC237" s="650">
        <f t="shared" si="100"/>
        <v>0</v>
      </c>
      <c r="AD237" s="650">
        <f t="shared" si="100"/>
        <v>0</v>
      </c>
      <c r="AE237" s="650">
        <f t="shared" si="100"/>
        <v>0</v>
      </c>
      <c r="AF237" s="650">
        <f t="shared" si="100"/>
        <v>0</v>
      </c>
      <c r="AG237" s="650">
        <f t="shared" si="100"/>
        <v>0</v>
      </c>
      <c r="AH237" s="650">
        <f t="shared" si="100"/>
        <v>0</v>
      </c>
      <c r="AI237" s="650">
        <f t="shared" si="100"/>
        <v>0</v>
      </c>
      <c r="AJ237" s="650">
        <f t="shared" si="100"/>
        <v>-314000</v>
      </c>
      <c r="AK237" s="650">
        <f t="shared" si="100"/>
        <v>5269000</v>
      </c>
      <c r="AL237" s="650">
        <f t="shared" si="100"/>
        <v>4497000</v>
      </c>
      <c r="AM237" s="650">
        <f t="shared" si="100"/>
        <v>9992000</v>
      </c>
      <c r="AN237" s="650">
        <f t="shared" si="100"/>
        <v>130000</v>
      </c>
      <c r="AO237" s="650">
        <f t="shared" si="100"/>
        <v>42537000</v>
      </c>
      <c r="AP237" s="650">
        <f t="shared" si="100"/>
        <v>0</v>
      </c>
      <c r="AQ237" s="650">
        <f t="shared" si="100"/>
        <v>0</v>
      </c>
      <c r="AR237" s="650">
        <f t="shared" si="100"/>
        <v>62111000</v>
      </c>
      <c r="AS237" s="650">
        <f t="shared" si="100"/>
        <v>53418000</v>
      </c>
      <c r="AT237" s="650">
        <f t="shared" si="100"/>
        <v>529101000</v>
      </c>
      <c r="AU237" s="650">
        <f t="shared" si="100"/>
        <v>0</v>
      </c>
      <c r="AV237" s="650">
        <f t="shared" si="100"/>
        <v>529101000</v>
      </c>
    </row>
    <row r="238" spans="1:48">
      <c r="A238" s="640">
        <v>234</v>
      </c>
      <c r="B238" s="607"/>
      <c r="C238" s="657"/>
      <c r="D238" s="657"/>
      <c r="E238" s="650"/>
      <c r="F238" s="650"/>
      <c r="G238" s="650"/>
      <c r="H238" s="650"/>
      <c r="I238" s="650"/>
      <c r="J238" s="650"/>
      <c r="K238" s="650"/>
      <c r="L238" s="650"/>
      <c r="M238" s="650"/>
      <c r="N238" s="650"/>
      <c r="O238" s="650"/>
      <c r="P238" s="650"/>
      <c r="Q238" s="650"/>
      <c r="R238" s="650"/>
      <c r="S238" s="650"/>
      <c r="T238" s="650"/>
      <c r="U238" s="650"/>
      <c r="V238" s="650"/>
      <c r="W238" s="650"/>
      <c r="X238" s="650"/>
      <c r="Y238" s="690">
        <f t="shared" si="81"/>
        <v>0</v>
      </c>
      <c r="Z238" s="650"/>
      <c r="AA238" s="650"/>
      <c r="AB238" s="650"/>
      <c r="AC238" s="650"/>
      <c r="AD238" s="650"/>
      <c r="AE238" s="650"/>
      <c r="AF238" s="650"/>
      <c r="AG238" s="650"/>
      <c r="AH238" s="650"/>
      <c r="AI238" s="650"/>
      <c r="AJ238" s="650"/>
      <c r="AK238" s="650"/>
      <c r="AL238" s="650"/>
      <c r="AM238" s="650"/>
      <c r="AN238" s="650"/>
      <c r="AO238" s="650"/>
      <c r="AP238" s="650"/>
      <c r="AQ238" s="650"/>
      <c r="AR238" s="693">
        <f t="shared" si="82"/>
        <v>0</v>
      </c>
      <c r="AS238" s="643">
        <f t="shared" si="83"/>
        <v>0</v>
      </c>
      <c r="AT238" s="643">
        <f t="shared" si="84"/>
        <v>0</v>
      </c>
      <c r="AU238" s="643"/>
      <c r="AV238" s="643">
        <f t="shared" si="85"/>
        <v>0</v>
      </c>
    </row>
    <row r="239" spans="1:48">
      <c r="A239" s="640">
        <v>235</v>
      </c>
      <c r="B239" s="607"/>
      <c r="C239" s="657" t="s">
        <v>396</v>
      </c>
      <c r="D239" s="657"/>
      <c r="E239" s="650">
        <f>PROFORMA!F367</f>
        <v>91014000</v>
      </c>
      <c r="F239" s="650">
        <f>PROFORMA!G367</f>
        <v>-994000</v>
      </c>
      <c r="G239" s="650">
        <f>PROFORMA!H367</f>
        <v>0</v>
      </c>
      <c r="H239" s="650">
        <f>PROFORMA!I367</f>
        <v>0</v>
      </c>
      <c r="I239" s="650">
        <f>PROFORMA!J367</f>
        <v>1019000</v>
      </c>
      <c r="J239" s="650">
        <f>PROFORMA!K367</f>
        <v>0</v>
      </c>
      <c r="K239" s="650">
        <f>PROFORMA!L367</f>
        <v>0</v>
      </c>
      <c r="L239" s="650">
        <f>PROFORMA!M367</f>
        <v>0</v>
      </c>
      <c r="M239" s="650">
        <f>PROFORMA!N367</f>
        <v>0</v>
      </c>
      <c r="N239" s="650">
        <f>PROFORMA!O367</f>
        <v>0</v>
      </c>
      <c r="O239" s="650">
        <f>PROFORMA!P367</f>
        <v>0</v>
      </c>
      <c r="P239" s="650">
        <f>PROFORMA!Q367</f>
        <v>0</v>
      </c>
      <c r="Q239" s="650">
        <f>PROFORMA!R367</f>
        <v>0</v>
      </c>
      <c r="R239" s="650">
        <f>PROFORMA!S367</f>
        <v>0</v>
      </c>
      <c r="S239" s="650">
        <f>PROFORMA!T367</f>
        <v>0</v>
      </c>
      <c r="T239" s="650">
        <f>PROFORMA!U367</f>
        <v>0</v>
      </c>
      <c r="U239" s="650">
        <f>PROFORMA!V367</f>
        <v>0</v>
      </c>
      <c r="V239" s="650">
        <f>PROFORMA!W367</f>
        <v>0</v>
      </c>
      <c r="W239" s="650">
        <f>PROFORMA!X367</f>
        <v>0</v>
      </c>
      <c r="X239" s="650">
        <f>PROFORMA!Y367</f>
        <v>123000</v>
      </c>
      <c r="Y239" s="690">
        <f t="shared" si="81"/>
        <v>148000</v>
      </c>
      <c r="Z239" s="650">
        <f>PROFORMA!Z367</f>
        <v>0</v>
      </c>
      <c r="AA239" s="650">
        <f>PROFORMA!AA367</f>
        <v>0</v>
      </c>
      <c r="AB239" s="650">
        <f>PROFORMA!AB367</f>
        <v>0</v>
      </c>
      <c r="AC239" s="650">
        <f>PROFORMA!AC367</f>
        <v>0</v>
      </c>
      <c r="AD239" s="650">
        <f>PROFORMA!AD367</f>
        <v>0</v>
      </c>
      <c r="AE239" s="650">
        <f>PROFORMA!AE367</f>
        <v>0</v>
      </c>
      <c r="AF239" s="650">
        <f>PROFORMA!AF367</f>
        <v>0</v>
      </c>
      <c r="AG239" s="650">
        <f>PROFORMA!AG367</f>
        <v>0</v>
      </c>
      <c r="AH239" s="650">
        <f>PROFORMA!AH367</f>
        <v>0</v>
      </c>
      <c r="AI239" s="650">
        <f>PROFORMA!AI367</f>
        <v>0</v>
      </c>
      <c r="AJ239" s="650">
        <f>PROFORMA!AJ367</f>
        <v>-177000</v>
      </c>
      <c r="AK239" s="650">
        <f>PROFORMA!AK367</f>
        <v>-174000</v>
      </c>
      <c r="AL239" s="650">
        <f>PROFORMA!AL367</f>
        <v>-217000</v>
      </c>
      <c r="AM239" s="650">
        <f>PROFORMA!AM367</f>
        <v>-355000</v>
      </c>
      <c r="AN239" s="650">
        <f>PROFORMA!AN367</f>
        <v>-166000</v>
      </c>
      <c r="AO239" s="650">
        <f>PROFORMA!AO367</f>
        <v>-4241000</v>
      </c>
      <c r="AP239" s="650">
        <f>PROFORMA!AP367</f>
        <v>0</v>
      </c>
      <c r="AQ239" s="650">
        <f>PROFORMA!AQ367</f>
        <v>-15228000</v>
      </c>
      <c r="AR239" s="693">
        <f>SUM(Z239:AQ239)</f>
        <v>-20558000</v>
      </c>
      <c r="AS239" s="643">
        <f t="shared" si="83"/>
        <v>-20410000</v>
      </c>
      <c r="AT239" s="643">
        <f t="shared" si="84"/>
        <v>70604000</v>
      </c>
      <c r="AU239" s="643"/>
      <c r="AV239" s="643">
        <f t="shared" si="85"/>
        <v>70604000</v>
      </c>
    </row>
    <row r="240" spans="1:48">
      <c r="A240" s="640">
        <v>236</v>
      </c>
      <c r="B240" s="607"/>
      <c r="C240" s="657"/>
      <c r="D240" s="657"/>
      <c r="E240" s="650"/>
      <c r="F240" s="650"/>
      <c r="G240" s="650"/>
      <c r="H240" s="650"/>
      <c r="I240" s="650"/>
      <c r="J240" s="650"/>
      <c r="K240" s="650"/>
      <c r="L240" s="650"/>
      <c r="M240" s="650"/>
      <c r="N240" s="650"/>
      <c r="O240" s="650"/>
      <c r="P240" s="650"/>
      <c r="Q240" s="650"/>
      <c r="R240" s="650"/>
      <c r="S240" s="650"/>
      <c r="T240" s="650"/>
      <c r="U240" s="650"/>
      <c r="V240" s="650"/>
      <c r="W240" s="650"/>
      <c r="X240" s="650"/>
      <c r="Y240" s="690">
        <f t="shared" si="81"/>
        <v>0</v>
      </c>
      <c r="Z240" s="650"/>
      <c r="AA240" s="650"/>
      <c r="AB240" s="650"/>
      <c r="AC240" s="650"/>
      <c r="AD240" s="650"/>
      <c r="AE240" s="650"/>
      <c r="AF240" s="650"/>
      <c r="AG240" s="650"/>
      <c r="AH240" s="650"/>
      <c r="AI240" s="650"/>
      <c r="AJ240" s="650"/>
      <c r="AK240" s="650"/>
      <c r="AL240" s="650"/>
      <c r="AM240" s="650"/>
      <c r="AN240" s="650"/>
      <c r="AO240" s="650"/>
      <c r="AP240" s="650"/>
      <c r="AQ240" s="650"/>
      <c r="AR240" s="693">
        <f t="shared" si="82"/>
        <v>0</v>
      </c>
      <c r="AS240" s="643">
        <f t="shared" si="83"/>
        <v>0</v>
      </c>
      <c r="AT240" s="643">
        <f t="shared" si="84"/>
        <v>0</v>
      </c>
      <c r="AU240" s="643"/>
      <c r="AV240" s="643">
        <f t="shared" si="85"/>
        <v>0</v>
      </c>
    </row>
    <row r="241" spans="1:48">
      <c r="A241" s="640">
        <v>237</v>
      </c>
      <c r="B241" s="811" t="s">
        <v>280</v>
      </c>
      <c r="C241" s="661" t="s">
        <v>705</v>
      </c>
      <c r="D241" s="657"/>
      <c r="E241" s="668">
        <f>PROFORMA!F370</f>
        <v>-2000</v>
      </c>
      <c r="F241" s="668">
        <f>PROFORMA!G370</f>
        <v>0</v>
      </c>
      <c r="G241" s="668">
        <f>PROFORMA!H370</f>
        <v>0</v>
      </c>
      <c r="H241" s="668">
        <f>PROFORMA!I370</f>
        <v>0</v>
      </c>
      <c r="I241" s="668">
        <f>PROFORMA!J370</f>
        <v>0</v>
      </c>
      <c r="J241" s="668">
        <f>PROFORMA!K370</f>
        <v>0</v>
      </c>
      <c r="K241" s="668">
        <f>PROFORMA!L370</f>
        <v>0</v>
      </c>
      <c r="L241" s="668">
        <f>PROFORMA!M370</f>
        <v>0</v>
      </c>
      <c r="M241" s="668">
        <f>PROFORMA!N370</f>
        <v>0</v>
      </c>
      <c r="N241" s="668">
        <f>PROFORMA!O370</f>
        <v>0</v>
      </c>
      <c r="O241" s="668">
        <f>PROFORMA!P370</f>
        <v>0</v>
      </c>
      <c r="P241" s="668">
        <f>PROFORMA!Q370</f>
        <v>0</v>
      </c>
      <c r="Q241" s="668">
        <f>PROFORMA!R370</f>
        <v>0</v>
      </c>
      <c r="R241" s="668">
        <f>PROFORMA!S370</f>
        <v>0</v>
      </c>
      <c r="S241" s="668">
        <f>PROFORMA!T370</f>
        <v>0</v>
      </c>
      <c r="T241" s="668">
        <f>PROFORMA!U370</f>
        <v>0</v>
      </c>
      <c r="U241" s="668">
        <f>PROFORMA!V370</f>
        <v>0</v>
      </c>
      <c r="V241" s="668">
        <f>PROFORMA!W370</f>
        <v>0</v>
      </c>
      <c r="W241" s="668">
        <f>PROFORMA!X370</f>
        <v>0</v>
      </c>
      <c r="X241" s="668">
        <f>PROFORMA!Y370</f>
        <v>0</v>
      </c>
      <c r="Y241" s="690">
        <f t="shared" si="81"/>
        <v>0</v>
      </c>
      <c r="Z241" s="668">
        <f>PROFORMA!Z370</f>
        <v>0</v>
      </c>
      <c r="AA241" s="668">
        <f>PROFORMA!AA370</f>
        <v>0</v>
      </c>
      <c r="AB241" s="668">
        <f>PROFORMA!AB370</f>
        <v>0</v>
      </c>
      <c r="AC241" s="668">
        <f>PROFORMA!AC370</f>
        <v>0</v>
      </c>
      <c r="AD241" s="668">
        <f>PROFORMA!AD370</f>
        <v>0</v>
      </c>
      <c r="AE241" s="668">
        <f>PROFORMA!AE370</f>
        <v>0</v>
      </c>
      <c r="AF241" s="668">
        <f>PROFORMA!AF370</f>
        <v>0</v>
      </c>
      <c r="AG241" s="668">
        <f>PROFORMA!AG370</f>
        <v>0</v>
      </c>
      <c r="AH241" s="668">
        <f>PROFORMA!AH370</f>
        <v>0</v>
      </c>
      <c r="AI241" s="668">
        <f>PROFORMA!AI370</f>
        <v>0</v>
      </c>
      <c r="AJ241" s="668">
        <f>PROFORMA!AJ370</f>
        <v>0</v>
      </c>
      <c r="AK241" s="668">
        <f>PROFORMA!AK370</f>
        <v>0</v>
      </c>
      <c r="AL241" s="668">
        <f>PROFORMA!AL370</f>
        <v>0</v>
      </c>
      <c r="AM241" s="668">
        <f>PROFORMA!AM370</f>
        <v>0</v>
      </c>
      <c r="AN241" s="668">
        <f>PROFORMA!AN370</f>
        <v>0</v>
      </c>
      <c r="AO241" s="668">
        <f>PROFORMA!AO370</f>
        <v>0</v>
      </c>
      <c r="AP241" s="668">
        <f>PROFORMA!AP370</f>
        <v>0</v>
      </c>
      <c r="AQ241" s="668">
        <f>PROFORMA!AQ370</f>
        <v>0</v>
      </c>
      <c r="AR241" s="693">
        <f t="shared" si="82"/>
        <v>0</v>
      </c>
      <c r="AS241" s="643">
        <f t="shared" si="83"/>
        <v>0</v>
      </c>
      <c r="AT241" s="643">
        <f t="shared" si="84"/>
        <v>-2000</v>
      </c>
      <c r="AU241" s="643"/>
      <c r="AV241" s="643">
        <f t="shared" si="85"/>
        <v>-2000</v>
      </c>
    </row>
    <row r="242" spans="1:48">
      <c r="A242" s="640">
        <v>238</v>
      </c>
      <c r="B242" s="811"/>
      <c r="C242" s="661" t="s">
        <v>704</v>
      </c>
      <c r="D242" s="657"/>
      <c r="E242" s="668">
        <f>PROFORMA!F371</f>
        <v>-568000</v>
      </c>
      <c r="F242" s="668">
        <f>PROFORMA!G371</f>
        <v>0</v>
      </c>
      <c r="G242" s="668">
        <f>PROFORMA!H371</f>
        <v>0</v>
      </c>
      <c r="H242" s="668">
        <f>PROFORMA!I371</f>
        <v>0</v>
      </c>
      <c r="I242" s="668">
        <f>PROFORMA!J371</f>
        <v>0</v>
      </c>
      <c r="J242" s="668">
        <f>PROFORMA!K371</f>
        <v>0</v>
      </c>
      <c r="K242" s="668">
        <f>PROFORMA!L371</f>
        <v>0</v>
      </c>
      <c r="L242" s="668">
        <f>PROFORMA!M371</f>
        <v>0</v>
      </c>
      <c r="M242" s="668">
        <f>PROFORMA!N371</f>
        <v>0</v>
      </c>
      <c r="N242" s="668">
        <f>PROFORMA!O371</f>
        <v>0</v>
      </c>
      <c r="O242" s="668">
        <f>PROFORMA!P371</f>
        <v>0</v>
      </c>
      <c r="P242" s="668">
        <f>PROFORMA!Q371</f>
        <v>0</v>
      </c>
      <c r="Q242" s="668">
        <f>PROFORMA!R371</f>
        <v>0</v>
      </c>
      <c r="R242" s="668">
        <f>PROFORMA!S371</f>
        <v>0</v>
      </c>
      <c r="S242" s="668">
        <f>PROFORMA!T371</f>
        <v>0</v>
      </c>
      <c r="T242" s="668">
        <f>PROFORMA!U371</f>
        <v>0</v>
      </c>
      <c r="U242" s="668">
        <f>PROFORMA!V371</f>
        <v>0</v>
      </c>
      <c r="V242" s="668">
        <f>PROFORMA!W371</f>
        <v>0</v>
      </c>
      <c r="W242" s="668">
        <f>PROFORMA!X371</f>
        <v>0</v>
      </c>
      <c r="X242" s="668">
        <f>PROFORMA!Y371</f>
        <v>0</v>
      </c>
      <c r="Y242" s="690">
        <f t="shared" si="81"/>
        <v>0</v>
      </c>
      <c r="Z242" s="668">
        <f>PROFORMA!Z371</f>
        <v>0</v>
      </c>
      <c r="AA242" s="668">
        <f>PROFORMA!AA371</f>
        <v>0</v>
      </c>
      <c r="AB242" s="668">
        <f>PROFORMA!AB371</f>
        <v>0</v>
      </c>
      <c r="AC242" s="668">
        <f>PROFORMA!AC371</f>
        <v>0</v>
      </c>
      <c r="AD242" s="668">
        <f>PROFORMA!AD371</f>
        <v>0</v>
      </c>
      <c r="AE242" s="668">
        <f>PROFORMA!AE371</f>
        <v>0</v>
      </c>
      <c r="AF242" s="668">
        <f>PROFORMA!AF371</f>
        <v>0</v>
      </c>
      <c r="AG242" s="668">
        <f>PROFORMA!AG371</f>
        <v>0</v>
      </c>
      <c r="AH242" s="668">
        <f>PROFORMA!AH371</f>
        <v>0</v>
      </c>
      <c r="AI242" s="668">
        <f>PROFORMA!AI371</f>
        <v>0</v>
      </c>
      <c r="AJ242" s="668">
        <f>PROFORMA!AJ371</f>
        <v>0</v>
      </c>
      <c r="AK242" s="668">
        <f>PROFORMA!AK371</f>
        <v>0</v>
      </c>
      <c r="AL242" s="668">
        <f>PROFORMA!AL371</f>
        <v>0</v>
      </c>
      <c r="AM242" s="668">
        <f>PROFORMA!AM371</f>
        <v>0</v>
      </c>
      <c r="AN242" s="668">
        <f>PROFORMA!AN371</f>
        <v>0</v>
      </c>
      <c r="AO242" s="668">
        <f>PROFORMA!AO371</f>
        <v>0</v>
      </c>
      <c r="AP242" s="668">
        <f>PROFORMA!AP371</f>
        <v>0</v>
      </c>
      <c r="AQ242" s="668">
        <f>PROFORMA!AQ371</f>
        <v>0</v>
      </c>
      <c r="AR242" s="693">
        <f t="shared" si="82"/>
        <v>0</v>
      </c>
      <c r="AS242" s="643">
        <f t="shared" si="83"/>
        <v>0</v>
      </c>
      <c r="AT242" s="643">
        <f t="shared" si="84"/>
        <v>-568000</v>
      </c>
      <c r="AU242" s="643"/>
      <c r="AV242" s="643">
        <f t="shared" si="85"/>
        <v>-568000</v>
      </c>
    </row>
    <row r="243" spans="1:48">
      <c r="A243" s="640">
        <v>239</v>
      </c>
      <c r="B243" s="811"/>
      <c r="C243" s="661" t="s">
        <v>281</v>
      </c>
      <c r="D243" s="657"/>
      <c r="E243" s="668">
        <f>PROFORMA!F372</f>
        <v>10412000</v>
      </c>
      <c r="F243" s="668">
        <f>PROFORMA!G372</f>
        <v>0</v>
      </c>
      <c r="G243" s="668">
        <f>PROFORMA!H372</f>
        <v>0</v>
      </c>
      <c r="H243" s="668">
        <f>PROFORMA!I372</f>
        <v>0</v>
      </c>
      <c r="I243" s="668">
        <f>PROFORMA!J372</f>
        <v>0</v>
      </c>
      <c r="J243" s="668">
        <f>PROFORMA!K372</f>
        <v>0</v>
      </c>
      <c r="K243" s="668">
        <f>PROFORMA!L372</f>
        <v>0</v>
      </c>
      <c r="L243" s="668">
        <f>PROFORMA!M372</f>
        <v>0</v>
      </c>
      <c r="M243" s="668">
        <f>PROFORMA!N372</f>
        <v>0</v>
      </c>
      <c r="N243" s="668">
        <f>PROFORMA!O372</f>
        <v>0</v>
      </c>
      <c r="O243" s="668">
        <f>PROFORMA!P372</f>
        <v>0</v>
      </c>
      <c r="P243" s="668">
        <f>PROFORMA!Q372</f>
        <v>0</v>
      </c>
      <c r="Q243" s="668">
        <f>PROFORMA!R372</f>
        <v>0</v>
      </c>
      <c r="R243" s="668">
        <f>PROFORMA!S372</f>
        <v>0</v>
      </c>
      <c r="S243" s="668">
        <f>PROFORMA!T372</f>
        <v>0</v>
      </c>
      <c r="T243" s="668">
        <f>PROFORMA!U372</f>
        <v>0</v>
      </c>
      <c r="U243" s="668">
        <f>PROFORMA!V372</f>
        <v>0</v>
      </c>
      <c r="V243" s="668">
        <f>PROFORMA!W372</f>
        <v>0</v>
      </c>
      <c r="W243" s="668">
        <f>PROFORMA!X372</f>
        <v>0</v>
      </c>
      <c r="X243" s="668">
        <f>PROFORMA!Y372</f>
        <v>0</v>
      </c>
      <c r="Y243" s="690">
        <f t="shared" si="81"/>
        <v>0</v>
      </c>
      <c r="Z243" s="668">
        <f>PROFORMA!Z372</f>
        <v>0</v>
      </c>
      <c r="AA243" s="668">
        <f>PROFORMA!AA372</f>
        <v>0</v>
      </c>
      <c r="AB243" s="668">
        <f>PROFORMA!AB372</f>
        <v>0</v>
      </c>
      <c r="AC243" s="668">
        <f>PROFORMA!AC372</f>
        <v>0</v>
      </c>
      <c r="AD243" s="668">
        <f>PROFORMA!AD372</f>
        <v>0</v>
      </c>
      <c r="AE243" s="668">
        <f>PROFORMA!AE372</f>
        <v>0</v>
      </c>
      <c r="AF243" s="668">
        <f>PROFORMA!AF372</f>
        <v>0</v>
      </c>
      <c r="AG243" s="668">
        <f>PROFORMA!AG372</f>
        <v>0</v>
      </c>
      <c r="AH243" s="668">
        <f>PROFORMA!AH372</f>
        <v>0</v>
      </c>
      <c r="AI243" s="668">
        <f>PROFORMA!AI372</f>
        <v>0</v>
      </c>
      <c r="AJ243" s="668">
        <f>PROFORMA!AJ372</f>
        <v>0</v>
      </c>
      <c r="AK243" s="668">
        <f>PROFORMA!AK372</f>
        <v>0</v>
      </c>
      <c r="AL243" s="668">
        <f>PROFORMA!AL372</f>
        <v>0</v>
      </c>
      <c r="AM243" s="668">
        <f>PROFORMA!AM372</f>
        <v>0</v>
      </c>
      <c r="AN243" s="668">
        <f>PROFORMA!AN372</f>
        <v>0</v>
      </c>
      <c r="AO243" s="668">
        <f>PROFORMA!AO372</f>
        <v>0</v>
      </c>
      <c r="AP243" s="668">
        <f>PROFORMA!AP372</f>
        <v>0</v>
      </c>
      <c r="AQ243" s="668">
        <f>PROFORMA!AQ372</f>
        <v>0</v>
      </c>
      <c r="AR243" s="693">
        <f t="shared" si="82"/>
        <v>0</v>
      </c>
      <c r="AS243" s="643">
        <f t="shared" si="83"/>
        <v>0</v>
      </c>
      <c r="AT243" s="643">
        <f t="shared" si="84"/>
        <v>10412000</v>
      </c>
      <c r="AU243" s="643"/>
      <c r="AV243" s="643">
        <f t="shared" si="85"/>
        <v>10412000</v>
      </c>
    </row>
    <row r="244" spans="1:48">
      <c r="A244" s="640">
        <v>240</v>
      </c>
      <c r="B244" s="811"/>
      <c r="C244" s="661" t="s">
        <v>703</v>
      </c>
      <c r="D244" s="657"/>
      <c r="E244" s="668">
        <f>PROFORMA!F373</f>
        <v>3493000</v>
      </c>
      <c r="F244" s="668">
        <f>PROFORMA!G373</f>
        <v>0</v>
      </c>
      <c r="G244" s="668">
        <f>PROFORMA!H373</f>
        <v>0</v>
      </c>
      <c r="H244" s="668">
        <f>PROFORMA!I373</f>
        <v>-1144000</v>
      </c>
      <c r="I244" s="668">
        <f>PROFORMA!J373</f>
        <v>0</v>
      </c>
      <c r="J244" s="668">
        <f>PROFORMA!K373</f>
        <v>0</v>
      </c>
      <c r="K244" s="668">
        <f>PROFORMA!L373</f>
        <v>0</v>
      </c>
      <c r="L244" s="668">
        <f>PROFORMA!M373</f>
        <v>0</v>
      </c>
      <c r="M244" s="668">
        <f>PROFORMA!N373</f>
        <v>0</v>
      </c>
      <c r="N244" s="668">
        <f>PROFORMA!O373</f>
        <v>0</v>
      </c>
      <c r="O244" s="668">
        <f>PROFORMA!P373</f>
        <v>0</v>
      </c>
      <c r="P244" s="668">
        <f>PROFORMA!Q373</f>
        <v>0</v>
      </c>
      <c r="Q244" s="668">
        <f>PROFORMA!R373</f>
        <v>0</v>
      </c>
      <c r="R244" s="668">
        <f>PROFORMA!S373</f>
        <v>0</v>
      </c>
      <c r="S244" s="668">
        <f>PROFORMA!T373</f>
        <v>0</v>
      </c>
      <c r="T244" s="668">
        <f>PROFORMA!U373</f>
        <v>0</v>
      </c>
      <c r="U244" s="668">
        <f>PROFORMA!V373</f>
        <v>0</v>
      </c>
      <c r="V244" s="668">
        <f>PROFORMA!W373</f>
        <v>0</v>
      </c>
      <c r="W244" s="668">
        <f>PROFORMA!X373</f>
        <v>0</v>
      </c>
      <c r="X244" s="668">
        <f>PROFORMA!Y373</f>
        <v>0</v>
      </c>
      <c r="Y244" s="690">
        <f t="shared" si="81"/>
        <v>-1144000</v>
      </c>
      <c r="Z244" s="668">
        <f>PROFORMA!Z373</f>
        <v>0</v>
      </c>
      <c r="AA244" s="668">
        <f>PROFORMA!AA373</f>
        <v>0</v>
      </c>
      <c r="AB244" s="668">
        <f>PROFORMA!AB373</f>
        <v>0</v>
      </c>
      <c r="AC244" s="668">
        <f>PROFORMA!AC373</f>
        <v>0</v>
      </c>
      <c r="AD244" s="668">
        <f>PROFORMA!AD373</f>
        <v>0</v>
      </c>
      <c r="AE244" s="668">
        <f>PROFORMA!AE373</f>
        <v>0</v>
      </c>
      <c r="AF244" s="668">
        <f>PROFORMA!AF373</f>
        <v>0</v>
      </c>
      <c r="AG244" s="668">
        <f>PROFORMA!AG373</f>
        <v>0</v>
      </c>
      <c r="AH244" s="668">
        <f>PROFORMA!AH373</f>
        <v>0</v>
      </c>
      <c r="AI244" s="668">
        <f>PROFORMA!AI373</f>
        <v>0</v>
      </c>
      <c r="AJ244" s="668">
        <f>PROFORMA!AJ373</f>
        <v>0</v>
      </c>
      <c r="AK244" s="668">
        <f>PROFORMA!AK373</f>
        <v>0</v>
      </c>
      <c r="AL244" s="668">
        <f>PROFORMA!AL373</f>
        <v>0</v>
      </c>
      <c r="AM244" s="668">
        <f>PROFORMA!AM373</f>
        <v>0</v>
      </c>
      <c r="AN244" s="668">
        <f>PROFORMA!AN373</f>
        <v>0</v>
      </c>
      <c r="AO244" s="668">
        <f>PROFORMA!AO373</f>
        <v>0</v>
      </c>
      <c r="AP244" s="668">
        <f>PROFORMA!AP373</f>
        <v>0</v>
      </c>
      <c r="AQ244" s="668">
        <f>PROFORMA!AQ373</f>
        <v>0</v>
      </c>
      <c r="AR244" s="693">
        <f t="shared" si="82"/>
        <v>0</v>
      </c>
      <c r="AS244" s="643">
        <f t="shared" si="83"/>
        <v>-1144000</v>
      </c>
      <c r="AT244" s="643">
        <f t="shared" si="84"/>
        <v>2349000</v>
      </c>
      <c r="AU244" s="643"/>
      <c r="AV244" s="643">
        <f t="shared" si="85"/>
        <v>2349000</v>
      </c>
    </row>
    <row r="245" spans="1:48">
      <c r="A245" s="640">
        <v>241</v>
      </c>
      <c r="B245" s="811"/>
      <c r="C245" s="661" t="s">
        <v>1215</v>
      </c>
      <c r="D245" s="657"/>
      <c r="E245" s="668">
        <f>PROFORMA!F374</f>
        <v>8134000</v>
      </c>
      <c r="F245" s="668">
        <f>PROFORMA!G374</f>
        <v>0</v>
      </c>
      <c r="G245" s="668">
        <f>PROFORMA!H374</f>
        <v>0</v>
      </c>
      <c r="H245" s="668">
        <f>PROFORMA!I374</f>
        <v>0</v>
      </c>
      <c r="I245" s="668">
        <f>PROFORMA!J374</f>
        <v>0</v>
      </c>
      <c r="J245" s="668">
        <f>PROFORMA!K374</f>
        <v>0</v>
      </c>
      <c r="K245" s="668">
        <f>PROFORMA!L374</f>
        <v>0</v>
      </c>
      <c r="L245" s="668">
        <f>PROFORMA!M374</f>
        <v>0</v>
      </c>
      <c r="M245" s="668">
        <f>PROFORMA!N374</f>
        <v>0</v>
      </c>
      <c r="N245" s="668">
        <f>PROFORMA!O374</f>
        <v>0</v>
      </c>
      <c r="O245" s="668">
        <f>PROFORMA!P374</f>
        <v>0</v>
      </c>
      <c r="P245" s="668">
        <f>PROFORMA!Q374</f>
        <v>0</v>
      </c>
      <c r="Q245" s="668">
        <f>PROFORMA!R374</f>
        <v>0</v>
      </c>
      <c r="R245" s="668">
        <f>PROFORMA!S374</f>
        <v>0</v>
      </c>
      <c r="S245" s="668">
        <f>PROFORMA!T374</f>
        <v>0</v>
      </c>
      <c r="T245" s="668">
        <f>PROFORMA!U374</f>
        <v>0</v>
      </c>
      <c r="U245" s="668">
        <f>PROFORMA!V374</f>
        <v>0</v>
      </c>
      <c r="V245" s="668">
        <f>PROFORMA!W374</f>
        <v>0</v>
      </c>
      <c r="W245" s="668">
        <f>PROFORMA!X374</f>
        <v>0</v>
      </c>
      <c r="X245" s="668">
        <f>PROFORMA!Y374</f>
        <v>0</v>
      </c>
      <c r="Y245" s="690">
        <f t="shared" si="81"/>
        <v>0</v>
      </c>
      <c r="Z245" s="668">
        <f>PROFORMA!Z374</f>
        <v>0</v>
      </c>
      <c r="AA245" s="668">
        <f>PROFORMA!AA374</f>
        <v>0</v>
      </c>
      <c r="AB245" s="668">
        <f>PROFORMA!AB374</f>
        <v>0</v>
      </c>
      <c r="AC245" s="668">
        <f>PROFORMA!AC374</f>
        <v>0</v>
      </c>
      <c r="AD245" s="668">
        <f>PROFORMA!AD374</f>
        <v>0</v>
      </c>
      <c r="AE245" s="668">
        <f>PROFORMA!AE374</f>
        <v>0</v>
      </c>
      <c r="AF245" s="668">
        <f>PROFORMA!AF374</f>
        <v>0</v>
      </c>
      <c r="AG245" s="668">
        <f>PROFORMA!AG374</f>
        <v>0</v>
      </c>
      <c r="AH245" s="668">
        <f>PROFORMA!AH374</f>
        <v>0</v>
      </c>
      <c r="AI245" s="668">
        <f>PROFORMA!AI374</f>
        <v>0</v>
      </c>
      <c r="AJ245" s="668">
        <f>PROFORMA!AJ374</f>
        <v>0</v>
      </c>
      <c r="AK245" s="668">
        <f>PROFORMA!AK374</f>
        <v>0</v>
      </c>
      <c r="AL245" s="668">
        <f>PROFORMA!AL374</f>
        <v>0</v>
      </c>
      <c r="AM245" s="668">
        <f>PROFORMA!AM374</f>
        <v>0</v>
      </c>
      <c r="AN245" s="668">
        <f>PROFORMA!AN374</f>
        <v>0</v>
      </c>
      <c r="AO245" s="668">
        <f>PROFORMA!AO374</f>
        <v>0</v>
      </c>
      <c r="AP245" s="668">
        <f>PROFORMA!AP374</f>
        <v>0</v>
      </c>
      <c r="AQ245" s="668">
        <f>PROFORMA!AQ374</f>
        <v>0</v>
      </c>
      <c r="AR245" s="693">
        <f t="shared" si="82"/>
        <v>0</v>
      </c>
      <c r="AS245" s="643">
        <f t="shared" si="83"/>
        <v>0</v>
      </c>
      <c r="AT245" s="643">
        <f t="shared" si="84"/>
        <v>8134000</v>
      </c>
      <c r="AU245" s="643"/>
      <c r="AV245" s="643">
        <f t="shared" si="85"/>
        <v>8134000</v>
      </c>
    </row>
    <row r="246" spans="1:48">
      <c r="A246" s="640">
        <v>242</v>
      </c>
      <c r="B246" s="811"/>
      <c r="C246" s="661" t="s">
        <v>692</v>
      </c>
      <c r="D246" s="657"/>
      <c r="E246" s="688">
        <f>PROFORMA!F375</f>
        <v>-205000</v>
      </c>
      <c r="F246" s="688">
        <f>PROFORMA!G375</f>
        <v>0</v>
      </c>
      <c r="G246" s="688">
        <f>PROFORMA!H375</f>
        <v>-1000</v>
      </c>
      <c r="H246" s="688">
        <f>PROFORMA!I375</f>
        <v>0</v>
      </c>
      <c r="I246" s="688">
        <f>PROFORMA!J375</f>
        <v>-53000</v>
      </c>
      <c r="J246" s="688">
        <f>PROFORMA!K375</f>
        <v>0</v>
      </c>
      <c r="K246" s="688">
        <f>PROFORMA!L375</f>
        <v>0</v>
      </c>
      <c r="L246" s="688">
        <f>PROFORMA!M375</f>
        <v>0</v>
      </c>
      <c r="M246" s="688">
        <f>PROFORMA!N375</f>
        <v>0</v>
      </c>
      <c r="N246" s="688">
        <f>PROFORMA!O375</f>
        <v>0</v>
      </c>
      <c r="O246" s="688">
        <f>PROFORMA!P375</f>
        <v>0</v>
      </c>
      <c r="P246" s="688">
        <f>PROFORMA!Q375</f>
        <v>0</v>
      </c>
      <c r="Q246" s="688">
        <f>PROFORMA!R375</f>
        <v>0</v>
      </c>
      <c r="R246" s="688">
        <f>PROFORMA!S375</f>
        <v>0</v>
      </c>
      <c r="S246" s="688">
        <f>PROFORMA!T375</f>
        <v>0</v>
      </c>
      <c r="T246" s="688">
        <f>PROFORMA!U375</f>
        <v>0</v>
      </c>
      <c r="U246" s="688">
        <f>PROFORMA!V375</f>
        <v>0</v>
      </c>
      <c r="V246" s="688">
        <f>PROFORMA!W375</f>
        <v>0</v>
      </c>
      <c r="W246" s="688">
        <f>PROFORMA!X375</f>
        <v>0</v>
      </c>
      <c r="X246" s="688">
        <f>PROFORMA!Y375</f>
        <v>0</v>
      </c>
      <c r="Y246" s="691">
        <f t="shared" si="81"/>
        <v>-54000</v>
      </c>
      <c r="Z246" s="688">
        <f>PROFORMA!Z375</f>
        <v>0</v>
      </c>
      <c r="AA246" s="688">
        <f>PROFORMA!AA375</f>
        <v>0</v>
      </c>
      <c r="AB246" s="688">
        <f>PROFORMA!AB375</f>
        <v>0</v>
      </c>
      <c r="AC246" s="688">
        <f>PROFORMA!AC375</f>
        <v>0</v>
      </c>
      <c r="AD246" s="688">
        <f>PROFORMA!AD375</f>
        <v>0</v>
      </c>
      <c r="AE246" s="688">
        <f>PROFORMA!AE375</f>
        <v>0</v>
      </c>
      <c r="AF246" s="688">
        <f>PROFORMA!AF375</f>
        <v>0</v>
      </c>
      <c r="AG246" s="688">
        <f>PROFORMA!AG375</f>
        <v>0</v>
      </c>
      <c r="AH246" s="688">
        <f>PROFORMA!AH375</f>
        <v>0</v>
      </c>
      <c r="AI246" s="688">
        <f>PROFORMA!AI375</f>
        <v>0</v>
      </c>
      <c r="AJ246" s="688">
        <f>PROFORMA!AJ375</f>
        <v>0</v>
      </c>
      <c r="AK246" s="688">
        <f>PROFORMA!AK375</f>
        <v>0</v>
      </c>
      <c r="AL246" s="688">
        <f>PROFORMA!AL375</f>
        <v>0</v>
      </c>
      <c r="AM246" s="688">
        <f>PROFORMA!AM375</f>
        <v>0</v>
      </c>
      <c r="AN246" s="688">
        <f>PROFORMA!AN375</f>
        <v>0</v>
      </c>
      <c r="AO246" s="688">
        <f>PROFORMA!AO375</f>
        <v>15668000</v>
      </c>
      <c r="AP246" s="688">
        <f>PROFORMA!AP375</f>
        <v>-3959000</v>
      </c>
      <c r="AQ246" s="688">
        <f>PROFORMA!AQ375</f>
        <v>0</v>
      </c>
      <c r="AR246" s="694">
        <f t="shared" si="82"/>
        <v>11709000</v>
      </c>
      <c r="AS246" s="692">
        <f t="shared" si="83"/>
        <v>11655000</v>
      </c>
      <c r="AT246" s="692">
        <f t="shared" si="84"/>
        <v>11450000</v>
      </c>
      <c r="AU246" s="692"/>
      <c r="AV246" s="692">
        <f t="shared" si="85"/>
        <v>11450000</v>
      </c>
    </row>
    <row r="247" spans="1:48">
      <c r="A247" s="640">
        <v>243</v>
      </c>
      <c r="B247" s="607"/>
      <c r="C247" s="632" t="s">
        <v>702</v>
      </c>
      <c r="D247" s="632"/>
      <c r="E247" s="650">
        <f>SUM(E241:E246)</f>
        <v>21264000</v>
      </c>
      <c r="F247" s="650">
        <f t="shared" ref="F247:X247" si="101">SUM(F241:F246)</f>
        <v>0</v>
      </c>
      <c r="G247" s="650">
        <f t="shared" si="101"/>
        <v>-1000</v>
      </c>
      <c r="H247" s="650">
        <f t="shared" si="101"/>
        <v>-1144000</v>
      </c>
      <c r="I247" s="650">
        <f t="shared" si="101"/>
        <v>-53000</v>
      </c>
      <c r="J247" s="650">
        <f t="shared" si="101"/>
        <v>0</v>
      </c>
      <c r="K247" s="650">
        <f t="shared" si="101"/>
        <v>0</v>
      </c>
      <c r="L247" s="650">
        <f t="shared" si="101"/>
        <v>0</v>
      </c>
      <c r="M247" s="650">
        <f t="shared" si="101"/>
        <v>0</v>
      </c>
      <c r="N247" s="650">
        <f t="shared" si="101"/>
        <v>0</v>
      </c>
      <c r="O247" s="650">
        <f t="shared" si="101"/>
        <v>0</v>
      </c>
      <c r="P247" s="650">
        <f t="shared" si="101"/>
        <v>0</v>
      </c>
      <c r="Q247" s="650">
        <f t="shared" si="101"/>
        <v>0</v>
      </c>
      <c r="R247" s="650">
        <f t="shared" si="101"/>
        <v>0</v>
      </c>
      <c r="S247" s="650">
        <f t="shared" si="101"/>
        <v>0</v>
      </c>
      <c r="T247" s="650">
        <f t="shared" si="101"/>
        <v>0</v>
      </c>
      <c r="U247" s="650">
        <f t="shared" si="101"/>
        <v>0</v>
      </c>
      <c r="V247" s="650">
        <f t="shared" si="101"/>
        <v>0</v>
      </c>
      <c r="W247" s="650">
        <f t="shared" si="101"/>
        <v>0</v>
      </c>
      <c r="X247" s="650">
        <f t="shared" si="101"/>
        <v>0</v>
      </c>
      <c r="Y247" s="690">
        <f t="shared" si="81"/>
        <v>-1198000</v>
      </c>
      <c r="Z247" s="650">
        <f t="shared" ref="Z247:AV247" si="102">SUM(Z241:Z246)</f>
        <v>0</v>
      </c>
      <c r="AA247" s="650">
        <f t="shared" si="102"/>
        <v>0</v>
      </c>
      <c r="AB247" s="650">
        <f t="shared" si="102"/>
        <v>0</v>
      </c>
      <c r="AC247" s="650">
        <f t="shared" si="102"/>
        <v>0</v>
      </c>
      <c r="AD247" s="650">
        <f t="shared" si="102"/>
        <v>0</v>
      </c>
      <c r="AE247" s="650">
        <f t="shared" si="102"/>
        <v>0</v>
      </c>
      <c r="AF247" s="650">
        <f t="shared" si="102"/>
        <v>0</v>
      </c>
      <c r="AG247" s="650">
        <f t="shared" si="102"/>
        <v>0</v>
      </c>
      <c r="AH247" s="650">
        <f t="shared" si="102"/>
        <v>0</v>
      </c>
      <c r="AI247" s="650">
        <f t="shared" si="102"/>
        <v>0</v>
      </c>
      <c r="AJ247" s="650">
        <f t="shared" si="102"/>
        <v>0</v>
      </c>
      <c r="AK247" s="650">
        <f t="shared" si="102"/>
        <v>0</v>
      </c>
      <c r="AL247" s="650">
        <f t="shared" si="102"/>
        <v>0</v>
      </c>
      <c r="AM247" s="650">
        <f t="shared" si="102"/>
        <v>0</v>
      </c>
      <c r="AN247" s="650">
        <f t="shared" si="102"/>
        <v>0</v>
      </c>
      <c r="AO247" s="650">
        <f t="shared" si="102"/>
        <v>15668000</v>
      </c>
      <c r="AP247" s="650">
        <f t="shared" si="102"/>
        <v>-3959000</v>
      </c>
      <c r="AQ247" s="650">
        <f t="shared" si="102"/>
        <v>0</v>
      </c>
      <c r="AR247" s="650">
        <f t="shared" si="102"/>
        <v>11709000</v>
      </c>
      <c r="AS247" s="650">
        <f t="shared" si="102"/>
        <v>10511000</v>
      </c>
      <c r="AT247" s="650">
        <f t="shared" si="102"/>
        <v>31775000</v>
      </c>
      <c r="AU247" s="650">
        <f t="shared" si="102"/>
        <v>0</v>
      </c>
      <c r="AV247" s="650">
        <f t="shared" si="102"/>
        <v>31775000</v>
      </c>
    </row>
    <row r="248" spans="1:48">
      <c r="A248" s="640">
        <v>244</v>
      </c>
      <c r="B248" s="607"/>
      <c r="C248" s="657"/>
      <c r="D248" s="657"/>
      <c r="E248" s="650"/>
      <c r="F248" s="650"/>
      <c r="G248" s="650"/>
      <c r="H248" s="650"/>
      <c r="I248" s="650"/>
      <c r="J248" s="650"/>
      <c r="K248" s="650"/>
      <c r="L248" s="650"/>
      <c r="M248" s="650"/>
      <c r="N248" s="650"/>
      <c r="O248" s="650"/>
      <c r="P248" s="650"/>
      <c r="Q248" s="650"/>
      <c r="R248" s="650"/>
      <c r="S248" s="650"/>
      <c r="T248" s="650"/>
      <c r="U248" s="650"/>
      <c r="V248" s="650"/>
      <c r="W248" s="650"/>
      <c r="X248" s="650"/>
      <c r="Y248" s="690">
        <f t="shared" si="81"/>
        <v>0</v>
      </c>
      <c r="Z248" s="650"/>
      <c r="AA248" s="650"/>
      <c r="AB248" s="650"/>
      <c r="AC248" s="650"/>
      <c r="AD248" s="650"/>
      <c r="AE248" s="650"/>
      <c r="AF248" s="650"/>
      <c r="AG248" s="650"/>
      <c r="AH248" s="650"/>
      <c r="AI248" s="650"/>
      <c r="AJ248" s="650"/>
      <c r="AK248" s="650"/>
      <c r="AL248" s="650"/>
      <c r="AM248" s="650"/>
      <c r="AN248" s="650"/>
      <c r="AO248" s="650"/>
      <c r="AP248" s="650"/>
      <c r="AQ248" s="650"/>
      <c r="AR248" s="693">
        <f t="shared" si="82"/>
        <v>0</v>
      </c>
      <c r="AS248" s="643">
        <f t="shared" si="83"/>
        <v>0</v>
      </c>
      <c r="AT248" s="643">
        <f t="shared" si="84"/>
        <v>0</v>
      </c>
      <c r="AU248" s="643"/>
      <c r="AV248" s="643">
        <f t="shared" si="85"/>
        <v>0</v>
      </c>
    </row>
    <row r="249" spans="1:48">
      <c r="A249" s="640">
        <v>245</v>
      </c>
      <c r="B249" s="607"/>
      <c r="C249" s="677" t="s">
        <v>110</v>
      </c>
      <c r="D249" s="677"/>
      <c r="E249" s="650">
        <f>E237-E239+E247</f>
        <v>405933000</v>
      </c>
      <c r="F249" s="650">
        <f t="shared" ref="F249:X249" si="103">F237+F239+F247</f>
        <v>-994000</v>
      </c>
      <c r="G249" s="650">
        <f t="shared" si="103"/>
        <v>-1000</v>
      </c>
      <c r="H249" s="650">
        <f t="shared" si="103"/>
        <v>-1144000</v>
      </c>
      <c r="I249" s="650">
        <f t="shared" si="103"/>
        <v>-22321000</v>
      </c>
      <c r="J249" s="650">
        <f t="shared" si="103"/>
        <v>0</v>
      </c>
      <c r="K249" s="650">
        <f t="shared" si="103"/>
        <v>0</v>
      </c>
      <c r="L249" s="650">
        <f t="shared" si="103"/>
        <v>0</v>
      </c>
      <c r="M249" s="650">
        <f t="shared" si="103"/>
        <v>0</v>
      </c>
      <c r="N249" s="650">
        <f t="shared" si="103"/>
        <v>0</v>
      </c>
      <c r="O249" s="650">
        <f t="shared" si="103"/>
        <v>0</v>
      </c>
      <c r="P249" s="650">
        <f t="shared" si="103"/>
        <v>0</v>
      </c>
      <c r="Q249" s="650">
        <f t="shared" si="103"/>
        <v>0</v>
      </c>
      <c r="R249" s="650">
        <f t="shared" si="103"/>
        <v>0</v>
      </c>
      <c r="S249" s="650">
        <f t="shared" si="103"/>
        <v>0</v>
      </c>
      <c r="T249" s="650">
        <f t="shared" si="103"/>
        <v>0</v>
      </c>
      <c r="U249" s="650">
        <f t="shared" si="103"/>
        <v>0</v>
      </c>
      <c r="V249" s="650">
        <f t="shared" si="103"/>
        <v>0</v>
      </c>
      <c r="W249" s="650">
        <f t="shared" si="103"/>
        <v>0</v>
      </c>
      <c r="X249" s="650">
        <f t="shared" si="103"/>
        <v>14717000</v>
      </c>
      <c r="Y249" s="690">
        <f t="shared" si="81"/>
        <v>-9743000</v>
      </c>
      <c r="Z249" s="650">
        <f>Z237+Z239+Z247</f>
        <v>0</v>
      </c>
      <c r="AA249" s="650">
        <f t="shared" ref="AA249:AV249" si="104">AA237+AA239+AA247</f>
        <v>0</v>
      </c>
      <c r="AB249" s="650">
        <f t="shared" si="104"/>
        <v>0</v>
      </c>
      <c r="AC249" s="650">
        <f t="shared" si="104"/>
        <v>0</v>
      </c>
      <c r="AD249" s="650">
        <f t="shared" si="104"/>
        <v>0</v>
      </c>
      <c r="AE249" s="650">
        <f t="shared" si="104"/>
        <v>0</v>
      </c>
      <c r="AF249" s="650">
        <f t="shared" si="104"/>
        <v>0</v>
      </c>
      <c r="AG249" s="650">
        <f t="shared" si="104"/>
        <v>0</v>
      </c>
      <c r="AH249" s="650">
        <f t="shared" si="104"/>
        <v>0</v>
      </c>
      <c r="AI249" s="650">
        <f t="shared" si="104"/>
        <v>0</v>
      </c>
      <c r="AJ249" s="650">
        <f t="shared" si="104"/>
        <v>-491000</v>
      </c>
      <c r="AK249" s="650">
        <f t="shared" si="104"/>
        <v>5095000</v>
      </c>
      <c r="AL249" s="650">
        <f t="shared" si="104"/>
        <v>4280000</v>
      </c>
      <c r="AM249" s="650">
        <f t="shared" si="104"/>
        <v>9637000</v>
      </c>
      <c r="AN249" s="650">
        <f t="shared" si="104"/>
        <v>-36000</v>
      </c>
      <c r="AO249" s="650">
        <f t="shared" si="104"/>
        <v>53964000</v>
      </c>
      <c r="AP249" s="650">
        <f t="shared" si="104"/>
        <v>-3959000</v>
      </c>
      <c r="AQ249" s="650">
        <f t="shared" si="104"/>
        <v>-15228000</v>
      </c>
      <c r="AR249" s="650">
        <f t="shared" si="104"/>
        <v>53262000</v>
      </c>
      <c r="AS249" s="650">
        <f t="shared" si="104"/>
        <v>43519000</v>
      </c>
      <c r="AT249" s="650">
        <f t="shared" si="104"/>
        <v>631480000</v>
      </c>
      <c r="AU249" s="650">
        <f t="shared" si="104"/>
        <v>0</v>
      </c>
      <c r="AV249" s="650">
        <f t="shared" si="104"/>
        <v>631480000</v>
      </c>
    </row>
    <row r="250" spans="1:48">
      <c r="A250" s="640">
        <v>246</v>
      </c>
      <c r="B250" s="607"/>
      <c r="C250" s="657"/>
      <c r="D250" s="657"/>
      <c r="E250" s="650"/>
      <c r="F250" s="643"/>
      <c r="G250" s="643"/>
      <c r="H250" s="643"/>
      <c r="I250" s="643"/>
      <c r="J250" s="643"/>
      <c r="K250" s="643"/>
      <c r="L250" s="643"/>
      <c r="M250" s="643"/>
      <c r="N250" s="643"/>
      <c r="O250" s="643"/>
      <c r="P250" s="643"/>
      <c r="Q250" s="643"/>
      <c r="R250" s="643"/>
      <c r="S250" s="643"/>
      <c r="T250" s="643"/>
      <c r="U250" s="643"/>
      <c r="V250" s="643"/>
      <c r="W250" s="643"/>
      <c r="X250" s="643"/>
      <c r="Y250" s="643"/>
      <c r="Z250" s="643"/>
      <c r="AA250" s="643"/>
      <c r="AB250" s="643"/>
      <c r="AC250" s="643"/>
      <c r="AD250" s="643"/>
      <c r="AE250" s="643"/>
      <c r="AF250" s="643"/>
      <c r="AG250" s="643"/>
      <c r="AH250" s="643"/>
      <c r="AI250" s="643"/>
      <c r="AJ250" s="643"/>
      <c r="AK250" s="643"/>
      <c r="AL250" s="643"/>
      <c r="AM250" s="643"/>
      <c r="AN250" s="643"/>
      <c r="AO250" s="643"/>
      <c r="AP250" s="643"/>
      <c r="AQ250" s="643"/>
      <c r="AR250" s="643"/>
      <c r="AS250" s="643"/>
      <c r="AT250" s="643"/>
      <c r="AU250" s="643"/>
      <c r="AV250" s="643"/>
    </row>
    <row r="251" spans="1:48">
      <c r="A251" s="640">
        <v>247</v>
      </c>
      <c r="B251" s="607"/>
      <c r="C251" s="657"/>
      <c r="D251" s="695" t="s">
        <v>1367</v>
      </c>
      <c r="E251" s="697">
        <f t="shared" ref="E251:X251" si="105">(E252*0.0743-E157)/0.755463</f>
        <v>7527598.1748940749</v>
      </c>
      <c r="F251" s="697">
        <f t="shared" si="105"/>
        <v>-97760.181504587264</v>
      </c>
      <c r="G251" s="697">
        <f t="shared" si="105"/>
        <v>15785.948484571714</v>
      </c>
      <c r="H251" s="697">
        <f t="shared" si="105"/>
        <v>-112512.72398515878</v>
      </c>
      <c r="I251" s="697">
        <f t="shared" si="105"/>
        <v>-2195276.6713922457</v>
      </c>
      <c r="J251" s="697">
        <f t="shared" si="105"/>
        <v>11913.224075831642</v>
      </c>
      <c r="K251" s="697">
        <f t="shared" si="105"/>
        <v>250177.70559246448</v>
      </c>
      <c r="L251" s="697">
        <f t="shared" si="105"/>
        <v>173403.59488154945</v>
      </c>
      <c r="M251" s="697">
        <f t="shared" si="105"/>
        <v>-60889.811943139503</v>
      </c>
      <c r="N251" s="697">
        <f t="shared" si="105"/>
        <v>-9265.8409478690555</v>
      </c>
      <c r="O251" s="697">
        <f t="shared" si="105"/>
        <v>70155.652891008562</v>
      </c>
      <c r="P251" s="697">
        <f t="shared" si="105"/>
        <v>-17207.990331756817</v>
      </c>
      <c r="Q251" s="697">
        <f t="shared" si="105"/>
        <v>1323.6915639812937</v>
      </c>
      <c r="R251" s="697">
        <f t="shared" si="105"/>
        <v>-11913.224075831642</v>
      </c>
      <c r="S251" s="697">
        <f t="shared" si="105"/>
        <v>6618.4578199064681</v>
      </c>
      <c r="T251" s="697">
        <f t="shared" si="105"/>
        <v>0</v>
      </c>
      <c r="U251" s="697">
        <f t="shared" si="105"/>
        <v>46329.204739345274</v>
      </c>
      <c r="V251" s="697">
        <f t="shared" si="105"/>
        <v>228998.6405687638</v>
      </c>
      <c r="W251" s="697">
        <f t="shared" si="105"/>
        <v>293859.52720384719</v>
      </c>
      <c r="X251" s="697">
        <f t="shared" si="105"/>
        <v>1173416.9641663458</v>
      </c>
      <c r="Y251" s="697">
        <f>SUM(F251:X251)</f>
        <v>-232843.832192973</v>
      </c>
      <c r="Z251" s="697">
        <f t="shared" ref="Z251:AQ251" si="106">(Z252*0.0743-Z157)/0.755463</f>
        <v>-10837062.834314851</v>
      </c>
      <c r="AA251" s="697">
        <f t="shared" si="106"/>
        <v>-240911.86464459542</v>
      </c>
      <c r="AB251" s="697">
        <f t="shared" si="106"/>
        <v>54271.354123233039</v>
      </c>
      <c r="AC251" s="697">
        <f t="shared" si="106"/>
        <v>1021889.8873935586</v>
      </c>
      <c r="AD251" s="697">
        <f t="shared" si="106"/>
        <v>-101924.25042655961</v>
      </c>
      <c r="AE251" s="697">
        <f t="shared" si="106"/>
        <v>356073.03071096796</v>
      </c>
      <c r="AF251" s="697">
        <f t="shared" si="106"/>
        <v>1127785.2125120622</v>
      </c>
      <c r="AG251" s="697">
        <f t="shared" si="106"/>
        <v>652579.94104277773</v>
      </c>
      <c r="AH251" s="697">
        <f t="shared" si="106"/>
        <v>484471.11241715343</v>
      </c>
      <c r="AI251" s="697">
        <f t="shared" si="106"/>
        <v>912023.48758311127</v>
      </c>
      <c r="AJ251" s="697">
        <f t="shared" si="106"/>
        <v>555313.36412239913</v>
      </c>
      <c r="AK251" s="697">
        <f t="shared" si="106"/>
        <v>695677.35282866273</v>
      </c>
      <c r="AL251" s="697">
        <f t="shared" si="106"/>
        <v>659203.69362894015</v>
      </c>
      <c r="AM251" s="697">
        <f t="shared" si="106"/>
        <v>1236366.4401830402</v>
      </c>
      <c r="AN251" s="697">
        <f t="shared" si="106"/>
        <v>667571.01274317876</v>
      </c>
      <c r="AO251" s="697">
        <f t="shared" si="106"/>
        <v>8927671.1102992464</v>
      </c>
      <c r="AP251" s="697">
        <f t="shared" si="106"/>
        <v>1230829.7031092192</v>
      </c>
      <c r="AQ251" s="697">
        <f t="shared" si="106"/>
        <v>-1497678.1126276206</v>
      </c>
      <c r="AR251" s="693">
        <f>SUM(Z251:AQ251)</f>
        <v>5904149.6406839238</v>
      </c>
      <c r="AS251" s="693">
        <f>Y251+AR251</f>
        <v>5671305.8084909506</v>
      </c>
      <c r="AT251" s="693">
        <f>E251+AS251</f>
        <v>13198903.983385026</v>
      </c>
      <c r="AU251" s="697">
        <f>(AU252*0.0743-AU157)/0.755463</f>
        <v>0</v>
      </c>
      <c r="AV251" s="693">
        <f>AT251+AU251</f>
        <v>13198903.983385026</v>
      </c>
    </row>
    <row r="252" spans="1:48">
      <c r="A252" s="640">
        <v>248</v>
      </c>
      <c r="B252" s="607"/>
      <c r="C252" s="657"/>
      <c r="D252" s="695" t="s">
        <v>1368</v>
      </c>
      <c r="E252" s="650">
        <f>E249</f>
        <v>405933000</v>
      </c>
      <c r="F252" s="650">
        <f t="shared" ref="F252:N252" si="107">F249</f>
        <v>-994000</v>
      </c>
      <c r="G252" s="650">
        <f t="shared" si="107"/>
        <v>-1000</v>
      </c>
      <c r="H252" s="650">
        <f t="shared" si="107"/>
        <v>-1144000</v>
      </c>
      <c r="I252" s="650">
        <f t="shared" si="107"/>
        <v>-22321000</v>
      </c>
      <c r="J252" s="650">
        <f t="shared" si="107"/>
        <v>0</v>
      </c>
      <c r="K252" s="650">
        <f t="shared" si="107"/>
        <v>0</v>
      </c>
      <c r="L252" s="650">
        <f t="shared" si="107"/>
        <v>0</v>
      </c>
      <c r="M252" s="650">
        <f t="shared" si="107"/>
        <v>0</v>
      </c>
      <c r="N252" s="650">
        <f t="shared" si="107"/>
        <v>0</v>
      </c>
      <c r="O252" s="650">
        <f t="shared" ref="O252:X252" si="108">O249</f>
        <v>0</v>
      </c>
      <c r="P252" s="650">
        <f t="shared" si="108"/>
        <v>0</v>
      </c>
      <c r="Q252" s="650">
        <f t="shared" si="108"/>
        <v>0</v>
      </c>
      <c r="R252" s="650">
        <f t="shared" si="108"/>
        <v>0</v>
      </c>
      <c r="S252" s="650">
        <f t="shared" si="108"/>
        <v>0</v>
      </c>
      <c r="T252" s="650">
        <f t="shared" si="108"/>
        <v>0</v>
      </c>
      <c r="U252" s="650">
        <f t="shared" si="108"/>
        <v>0</v>
      </c>
      <c r="V252" s="650">
        <f t="shared" si="108"/>
        <v>0</v>
      </c>
      <c r="W252" s="650">
        <f t="shared" si="108"/>
        <v>0</v>
      </c>
      <c r="X252" s="650">
        <f t="shared" si="108"/>
        <v>14717000</v>
      </c>
      <c r="Y252" s="697">
        <f>SUM(F252:X252)</f>
        <v>-9743000</v>
      </c>
      <c r="Z252" s="650">
        <f t="shared" ref="Z252:AQ252" si="109">Z249</f>
        <v>0</v>
      </c>
      <c r="AA252" s="650">
        <f t="shared" si="109"/>
        <v>0</v>
      </c>
      <c r="AB252" s="650">
        <f t="shared" si="109"/>
        <v>0</v>
      </c>
      <c r="AC252" s="650">
        <f t="shared" si="109"/>
        <v>0</v>
      </c>
      <c r="AD252" s="650">
        <f t="shared" si="109"/>
        <v>0</v>
      </c>
      <c r="AE252" s="650">
        <f t="shared" si="109"/>
        <v>0</v>
      </c>
      <c r="AF252" s="650">
        <f t="shared" si="109"/>
        <v>0</v>
      </c>
      <c r="AG252" s="650">
        <f t="shared" si="109"/>
        <v>0</v>
      </c>
      <c r="AH252" s="650">
        <f t="shared" si="109"/>
        <v>0</v>
      </c>
      <c r="AI252" s="650">
        <f t="shared" si="109"/>
        <v>0</v>
      </c>
      <c r="AJ252" s="650">
        <f t="shared" si="109"/>
        <v>-491000</v>
      </c>
      <c r="AK252" s="650">
        <f t="shared" si="109"/>
        <v>5095000</v>
      </c>
      <c r="AL252" s="650">
        <f t="shared" si="109"/>
        <v>4280000</v>
      </c>
      <c r="AM252" s="650">
        <f t="shared" si="109"/>
        <v>9637000</v>
      </c>
      <c r="AN252" s="650">
        <f t="shared" si="109"/>
        <v>-36000</v>
      </c>
      <c r="AO252" s="650">
        <f t="shared" si="109"/>
        <v>53964000</v>
      </c>
      <c r="AP252" s="650">
        <f t="shared" si="109"/>
        <v>-3959000</v>
      </c>
      <c r="AQ252" s="650">
        <f t="shared" si="109"/>
        <v>-15228000</v>
      </c>
      <c r="AR252" s="693">
        <f>SUM(Z252:AQ252)</f>
        <v>53262000</v>
      </c>
      <c r="AS252" s="693">
        <f>Y252+AR252</f>
        <v>43519000</v>
      </c>
      <c r="AT252" s="693">
        <f>E252+AS252</f>
        <v>449452000</v>
      </c>
      <c r="AU252" s="650">
        <f>AU249</f>
        <v>0</v>
      </c>
      <c r="AV252" s="693">
        <f>AT252+AU252</f>
        <v>449452000</v>
      </c>
    </row>
    <row r="253" spans="1:48">
      <c r="A253" s="640">
        <v>249</v>
      </c>
      <c r="B253" s="607"/>
      <c r="C253" s="657"/>
      <c r="D253" s="695" t="s">
        <v>1369</v>
      </c>
      <c r="E253" s="696">
        <f>E157/E249</f>
        <v>6.0290737634043058E-2</v>
      </c>
      <c r="F253" s="698">
        <f t="shared" ref="F253:X253" si="110">($E157+F157)/($E252+F252)-$E253</f>
        <v>1.4799511335840398E-4</v>
      </c>
      <c r="G253" s="698">
        <f t="shared" si="110"/>
        <v>-2.9413077220735717E-5</v>
      </c>
      <c r="H253" s="698">
        <f t="shared" si="110"/>
        <v>1.7039149743037357E-4</v>
      </c>
      <c r="I253" s="698">
        <f t="shared" si="110"/>
        <v>3.5081007756000218E-3</v>
      </c>
      <c r="J253" s="698">
        <f t="shared" si="110"/>
        <v>-2.217114646998336E-5</v>
      </c>
      <c r="K253" s="698">
        <f t="shared" si="110"/>
        <v>-4.6559407586966445E-4</v>
      </c>
      <c r="L253" s="698">
        <f t="shared" si="110"/>
        <v>-3.2271335417421304E-4</v>
      </c>
      <c r="M253" s="698">
        <f t="shared" si="110"/>
        <v>1.1331919306880461E-4</v>
      </c>
      <c r="N253" s="698">
        <f t="shared" si="110"/>
        <v>1.7244225032207738E-5</v>
      </c>
      <c r="O253" s="698">
        <f t="shared" si="110"/>
        <v>-1.3056341810101929E-4</v>
      </c>
      <c r="P253" s="698">
        <f t="shared" si="110"/>
        <v>3.2024989345527666E-5</v>
      </c>
      <c r="Q253" s="698">
        <f t="shared" si="110"/>
        <v>-2.463460718887811E-6</v>
      </c>
      <c r="R253" s="698">
        <f t="shared" si="110"/>
        <v>2.217114646998336E-5</v>
      </c>
      <c r="S253" s="698">
        <f t="shared" si="110"/>
        <v>-1.2317303594439055E-5</v>
      </c>
      <c r="T253" s="698">
        <f t="shared" si="110"/>
        <v>0</v>
      </c>
      <c r="U253" s="698">
        <f t="shared" si="110"/>
        <v>-8.622112516105257E-5</v>
      </c>
      <c r="V253" s="698">
        <f t="shared" si="110"/>
        <v>-4.2617870436747335E-4</v>
      </c>
      <c r="W253" s="698">
        <f t="shared" si="110"/>
        <v>-5.468882795929414E-4</v>
      </c>
      <c r="X253" s="698">
        <f t="shared" si="110"/>
        <v>-1.6172561173427163E-3</v>
      </c>
      <c r="Y253" s="700">
        <f>SUM(F253:X253)</f>
        <v>3.4946687769219636E-4</v>
      </c>
      <c r="Z253" s="698">
        <f t="shared" ref="Z253:AQ253" si="111">($E157+Z157)/($E252+Z252)-$E253</f>
        <v>2.0168352905528743E-2</v>
      </c>
      <c r="AA253" s="698">
        <f t="shared" si="111"/>
        <v>4.4834985083744977E-4</v>
      </c>
      <c r="AB253" s="698">
        <f t="shared" si="111"/>
        <v>-1.010018894743725E-4</v>
      </c>
      <c r="AC253" s="698">
        <f t="shared" si="111"/>
        <v>-1.9017916749808489E-3</v>
      </c>
      <c r="AD253" s="698">
        <f t="shared" si="111"/>
        <v>1.8968647535430594E-4</v>
      </c>
      <c r="AE253" s="698">
        <f t="shared" si="111"/>
        <v>-6.6267093338063382E-4</v>
      </c>
      <c r="AF253" s="698">
        <f t="shared" si="111"/>
        <v>-2.0988685324918183E-3</v>
      </c>
      <c r="AG253" s="698">
        <f t="shared" si="111"/>
        <v>-1.2144861344113439E-3</v>
      </c>
      <c r="AH253" s="698">
        <f t="shared" si="111"/>
        <v>-9.016266231126821E-4</v>
      </c>
      <c r="AI253" s="698">
        <f t="shared" si="111"/>
        <v>-1.6973244353132161E-3</v>
      </c>
      <c r="AJ253" s="698">
        <f t="shared" si="111"/>
        <v>-1.0516849458657093E-3</v>
      </c>
      <c r="AK253" s="698">
        <f t="shared" si="111"/>
        <v>-1.1049887312919102E-3</v>
      </c>
      <c r="AL253" s="698">
        <f t="shared" si="111"/>
        <v>-1.0678461118338659E-3</v>
      </c>
      <c r="AM253" s="698">
        <f t="shared" si="111"/>
        <v>-1.9227129931883302E-3</v>
      </c>
      <c r="AN253" s="698">
        <f t="shared" si="111"/>
        <v>-1.2437380257680555E-3</v>
      </c>
      <c r="AO253" s="698">
        <f t="shared" si="111"/>
        <v>-1.3021457773552556E-2</v>
      </c>
      <c r="AP253" s="698">
        <f t="shared" si="111"/>
        <v>-2.4511758713419846E-3</v>
      </c>
      <c r="AQ253" s="698">
        <f t="shared" si="111"/>
        <v>2.3498735687825997E-3</v>
      </c>
      <c r="AR253" s="699">
        <f>SUM(Z253:AQ253)</f>
        <v>-7.2851118755042285E-3</v>
      </c>
      <c r="AS253" s="699">
        <f>Y253+AR253</f>
        <v>-6.9356449978120321E-3</v>
      </c>
      <c r="AT253" s="699">
        <f>E253+AS253</f>
        <v>5.3355092636231026E-2</v>
      </c>
      <c r="AU253" s="698">
        <f>($E157+AU157)/($E252+AU252)-$E253</f>
        <v>0</v>
      </c>
      <c r="AV253" s="699">
        <f>AT253+AU253</f>
        <v>5.3355092636231026E-2</v>
      </c>
    </row>
    <row r="254" spans="1:48">
      <c r="A254" s="640">
        <v>250</v>
      </c>
      <c r="B254" s="607"/>
      <c r="C254" s="657"/>
      <c r="D254" s="657"/>
      <c r="E254" s="650"/>
      <c r="F254" s="643"/>
      <c r="G254" s="643"/>
      <c r="H254" s="643"/>
      <c r="I254" s="643"/>
      <c r="J254" s="643"/>
      <c r="K254" s="643"/>
      <c r="L254" s="643"/>
      <c r="M254" s="643"/>
      <c r="N254" s="643"/>
      <c r="O254" s="643"/>
      <c r="P254" s="643"/>
      <c r="Q254" s="643"/>
      <c r="R254" s="643"/>
      <c r="S254" s="643"/>
      <c r="T254" s="643"/>
      <c r="U254" s="643"/>
      <c r="V254" s="643"/>
      <c r="W254" s="643"/>
      <c r="X254" s="643"/>
      <c r="Y254" s="643"/>
      <c r="Z254" s="643"/>
      <c r="AA254" s="643"/>
      <c r="AB254" s="643"/>
      <c r="AC254" s="643"/>
      <c r="AD254" s="643"/>
      <c r="AE254" s="643"/>
      <c r="AF254" s="643"/>
      <c r="AG254" s="643"/>
      <c r="AH254" s="643"/>
      <c r="AI254" s="643"/>
      <c r="AJ254" s="643"/>
      <c r="AK254" s="643"/>
      <c r="AL254" s="643"/>
      <c r="AM254" s="643"/>
      <c r="AN254" s="643"/>
      <c r="AO254" s="643"/>
      <c r="AP254" s="643"/>
      <c r="AQ254" s="643"/>
      <c r="AR254" s="643"/>
      <c r="AS254" s="643"/>
      <c r="AT254" s="643"/>
      <c r="AU254" s="643"/>
      <c r="AV254" s="643"/>
    </row>
    <row r="255" spans="1:48">
      <c r="A255" s="640">
        <v>251</v>
      </c>
      <c r="B255" s="607"/>
      <c r="C255" s="657"/>
      <c r="D255" s="657"/>
      <c r="E255" s="650"/>
      <c r="F255" s="643"/>
      <c r="G255" s="643"/>
      <c r="H255" s="643"/>
      <c r="I255" s="643"/>
      <c r="J255" s="643"/>
      <c r="K255" s="643"/>
      <c r="L255" s="643"/>
      <c r="M255" s="643"/>
      <c r="N255" s="643"/>
      <c r="O255" s="643"/>
      <c r="P255" s="643"/>
      <c r="Q255" s="643"/>
      <c r="R255" s="643"/>
      <c r="S255" s="643"/>
      <c r="T255" s="643"/>
      <c r="U255" s="643"/>
      <c r="V255" s="643"/>
      <c r="W255" s="643"/>
      <c r="X255" s="643"/>
      <c r="Y255" s="643"/>
      <c r="Z255" s="643"/>
      <c r="AA255" s="643"/>
      <c r="AB255" s="643"/>
      <c r="AC255" s="643"/>
      <c r="AD255" s="643"/>
      <c r="AE255" s="643"/>
      <c r="AF255" s="643"/>
      <c r="AG255" s="643"/>
      <c r="AH255" s="643"/>
      <c r="AI255" s="643"/>
      <c r="AJ255" s="643"/>
      <c r="AK255" s="643"/>
      <c r="AL255" s="643"/>
      <c r="AM255" s="643"/>
      <c r="AN255" s="643"/>
      <c r="AO255" s="643"/>
      <c r="AP255" s="643"/>
      <c r="AQ255" s="643"/>
      <c r="AR255" s="643"/>
      <c r="AS255" s="643"/>
      <c r="AT255" s="643"/>
      <c r="AU255" s="643"/>
      <c r="AV255" s="643"/>
    </row>
    <row r="256" spans="1:48">
      <c r="A256" s="640">
        <v>252</v>
      </c>
      <c r="B256" s="607"/>
      <c r="C256" s="657"/>
      <c r="D256" s="657"/>
      <c r="E256" s="650"/>
      <c r="F256" s="643"/>
      <c r="G256" s="643"/>
      <c r="H256" s="643"/>
      <c r="I256" s="643"/>
      <c r="J256" s="643"/>
      <c r="K256" s="643"/>
      <c r="L256" s="643"/>
      <c r="M256" s="643"/>
      <c r="N256" s="643"/>
      <c r="O256" s="643"/>
      <c r="P256" s="643"/>
      <c r="Q256" s="643"/>
      <c r="R256" s="643"/>
      <c r="S256" s="643"/>
      <c r="T256" s="643"/>
      <c r="U256" s="643"/>
      <c r="V256" s="643"/>
      <c r="W256" s="643"/>
      <c r="X256" s="643"/>
      <c r="Y256" s="643"/>
      <c r="Z256" s="643"/>
      <c r="AA256" s="643"/>
      <c r="AB256" s="643"/>
      <c r="AC256" s="643"/>
      <c r="AD256" s="643"/>
      <c r="AE256" s="643"/>
      <c r="AF256" s="643"/>
      <c r="AG256" s="643"/>
      <c r="AH256" s="643"/>
      <c r="AI256" s="643"/>
      <c r="AJ256" s="643"/>
      <c r="AK256" s="643"/>
      <c r="AL256" s="643"/>
      <c r="AM256" s="643"/>
      <c r="AN256" s="643"/>
      <c r="AO256" s="643"/>
      <c r="AP256" s="643"/>
      <c r="AQ256" s="643"/>
      <c r="AR256" s="643"/>
      <c r="AS256" s="643"/>
      <c r="AT256" s="643"/>
      <c r="AU256" s="643"/>
      <c r="AV256" s="643"/>
    </row>
    <row r="257" spans="1:48">
      <c r="A257" s="640">
        <v>253</v>
      </c>
      <c r="B257" s="607"/>
      <c r="C257" s="657"/>
      <c r="D257" s="657"/>
      <c r="E257" s="650"/>
      <c r="F257" s="643"/>
      <c r="G257" s="643"/>
      <c r="H257" s="643"/>
      <c r="I257" s="643"/>
      <c r="J257" s="643"/>
      <c r="K257" s="643"/>
      <c r="L257" s="643"/>
      <c r="M257" s="643"/>
      <c r="N257" s="643"/>
      <c r="O257" s="643"/>
      <c r="P257" s="643"/>
      <c r="Q257" s="643"/>
      <c r="R257" s="643"/>
      <c r="S257" s="643"/>
      <c r="T257" s="643"/>
      <c r="U257" s="643"/>
      <c r="V257" s="643"/>
      <c r="W257" s="643"/>
      <c r="X257" s="643"/>
      <c r="Y257" s="643"/>
      <c r="Z257" s="643"/>
      <c r="AA257" s="643"/>
      <c r="AB257" s="643"/>
      <c r="AC257" s="643"/>
      <c r="AD257" s="643"/>
      <c r="AE257" s="643"/>
      <c r="AF257" s="643"/>
      <c r="AG257" s="643"/>
      <c r="AH257" s="643"/>
      <c r="AI257" s="643"/>
      <c r="AJ257" s="643"/>
      <c r="AK257" s="643"/>
      <c r="AL257" s="643"/>
      <c r="AM257" s="643"/>
      <c r="AN257" s="643"/>
      <c r="AO257" s="643"/>
      <c r="AP257" s="643"/>
      <c r="AQ257" s="643"/>
      <c r="AR257" s="643"/>
      <c r="AS257" s="643"/>
      <c r="AT257" s="643"/>
      <c r="AU257" s="643"/>
      <c r="AV257" s="643"/>
    </row>
    <row r="258" spans="1:48">
      <c r="A258" s="640">
        <v>254</v>
      </c>
      <c r="B258" s="607"/>
      <c r="C258" s="657"/>
      <c r="D258" s="657"/>
      <c r="E258" s="650"/>
      <c r="F258" s="643"/>
      <c r="G258" s="643"/>
      <c r="H258" s="643"/>
      <c r="I258" s="643"/>
      <c r="J258" s="643"/>
      <c r="K258" s="643"/>
      <c r="L258" s="643"/>
      <c r="M258" s="643"/>
      <c r="N258" s="643"/>
      <c r="O258" s="643"/>
      <c r="P258" s="643"/>
      <c r="Q258" s="643"/>
      <c r="R258" s="643"/>
      <c r="S258" s="643"/>
      <c r="T258" s="643"/>
      <c r="U258" s="643"/>
      <c r="V258" s="643"/>
      <c r="W258" s="643"/>
      <c r="X258" s="643"/>
      <c r="Y258" s="643"/>
      <c r="Z258" s="643"/>
      <c r="AA258" s="643"/>
      <c r="AB258" s="643"/>
      <c r="AC258" s="643"/>
      <c r="AD258" s="643"/>
      <c r="AE258" s="643"/>
      <c r="AF258" s="643"/>
      <c r="AG258" s="643"/>
      <c r="AH258" s="643"/>
      <c r="AI258" s="643"/>
      <c r="AJ258" s="643"/>
      <c r="AK258" s="643"/>
      <c r="AL258" s="643"/>
      <c r="AM258" s="643"/>
      <c r="AN258" s="643"/>
      <c r="AO258" s="643"/>
      <c r="AP258" s="643"/>
      <c r="AQ258" s="643"/>
      <c r="AR258" s="643"/>
      <c r="AS258" s="643"/>
      <c r="AT258" s="643"/>
      <c r="AU258" s="643"/>
      <c r="AV258" s="643"/>
    </row>
    <row r="259" spans="1:48">
      <c r="E259" s="651"/>
      <c r="F259" s="643"/>
      <c r="G259" s="643"/>
      <c r="H259" s="643"/>
      <c r="I259" s="643"/>
      <c r="J259" s="643"/>
      <c r="K259" s="643"/>
      <c r="L259" s="643"/>
      <c r="M259" s="643"/>
      <c r="N259" s="643"/>
      <c r="O259" s="643"/>
      <c r="P259" s="643"/>
      <c r="Q259" s="643"/>
      <c r="R259" s="643"/>
      <c r="S259" s="643"/>
      <c r="T259" s="643"/>
      <c r="U259" s="643"/>
      <c r="V259" s="643"/>
      <c r="W259" s="643"/>
      <c r="X259" s="643"/>
      <c r="Y259" s="643"/>
      <c r="Z259" s="643"/>
      <c r="AA259" s="643"/>
      <c r="AB259" s="643"/>
      <c r="AC259" s="643"/>
      <c r="AD259" s="643"/>
      <c r="AE259" s="643"/>
      <c r="AF259" s="643"/>
      <c r="AG259" s="643"/>
      <c r="AH259" s="643"/>
      <c r="AI259" s="643"/>
      <c r="AJ259" s="643"/>
      <c r="AK259" s="643"/>
      <c r="AL259" s="643"/>
      <c r="AM259" s="643"/>
      <c r="AN259" s="643"/>
      <c r="AO259" s="643"/>
      <c r="AP259" s="643"/>
      <c r="AQ259" s="643"/>
      <c r="AR259" s="643"/>
      <c r="AS259" s="643"/>
      <c r="AT259" s="643"/>
      <c r="AU259" s="643"/>
      <c r="AV259" s="643"/>
    </row>
  </sheetData>
  <mergeCells count="24">
    <mergeCell ref="B221:B230"/>
    <mergeCell ref="B232:B234"/>
    <mergeCell ref="B241:B246"/>
    <mergeCell ref="B172:B183"/>
    <mergeCell ref="B185:B194"/>
    <mergeCell ref="B148:B152"/>
    <mergeCell ref="B199:B206"/>
    <mergeCell ref="B208:B219"/>
    <mergeCell ref="B71:B75"/>
    <mergeCell ref="B77:B80"/>
    <mergeCell ref="B82:B85"/>
    <mergeCell ref="B163:B170"/>
    <mergeCell ref="B89:B100"/>
    <mergeCell ref="B105:B112"/>
    <mergeCell ref="B114:B126"/>
    <mergeCell ref="B128:B137"/>
    <mergeCell ref="B139:B144"/>
    <mergeCell ref="B159:B161"/>
    <mergeCell ref="B60:B68"/>
    <mergeCell ref="B4:B16"/>
    <mergeCell ref="B18:B24"/>
    <mergeCell ref="B26:B37"/>
    <mergeCell ref="B38:B46"/>
    <mergeCell ref="B49:B58"/>
  </mergeCells>
  <phoneticPr fontId="8" type="noConversion"/>
  <pageMargins left="0.7" right="0.7" top="0.75" bottom="0.75" header="0.3" footer="0.3"/>
  <pageSetup scale="50" fitToHeight="6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  <rowBreaks count="4" manualBreakCount="4">
    <brk id="47" max="16383" man="1"/>
    <brk id="101" max="16383" man="1"/>
    <brk id="153" max="16383" man="1"/>
    <brk id="207" max="16383" man="1"/>
  </rowBreaks>
  <colBreaks count="2" manualBreakCount="2">
    <brk id="25" max="1048575" man="1"/>
    <brk id="3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M45"/>
  <sheetViews>
    <sheetView view="pageLayout" zoomScaleNormal="100" workbookViewId="0">
      <selection activeCell="C36" sqref="C36"/>
    </sheetView>
  </sheetViews>
  <sheetFormatPr defaultRowHeight="13.2"/>
  <cols>
    <col min="1" max="1" width="7.21875" bestFit="1" customWidth="1"/>
    <col min="2" max="2" width="43.21875" customWidth="1"/>
    <col min="3" max="3" width="18.21875" bestFit="1" customWidth="1"/>
    <col min="4" max="4" width="13.44140625" bestFit="1" customWidth="1"/>
    <col min="5" max="5" width="12" bestFit="1" customWidth="1"/>
    <col min="6" max="6" width="11.21875" customWidth="1"/>
    <col min="7" max="8" width="11.21875" bestFit="1" customWidth="1"/>
  </cols>
  <sheetData>
    <row r="1" spans="1:13">
      <c r="B1" t="s">
        <v>670</v>
      </c>
    </row>
    <row r="2" spans="1:13" ht="15.6">
      <c r="B2" s="137" t="s">
        <v>673</v>
      </c>
    </row>
    <row r="4" spans="1:13">
      <c r="C4" s="34" t="s">
        <v>120</v>
      </c>
      <c r="D4" s="34" t="s">
        <v>398</v>
      </c>
      <c r="E4" s="34" t="s">
        <v>399</v>
      </c>
      <c r="F4" s="34" t="s">
        <v>400</v>
      </c>
      <c r="G4" s="34" t="s">
        <v>401</v>
      </c>
      <c r="H4" s="34" t="s">
        <v>402</v>
      </c>
    </row>
    <row r="5" spans="1:13">
      <c r="A5" s="51">
        <v>380</v>
      </c>
      <c r="B5" s="28" t="s">
        <v>91</v>
      </c>
      <c r="C5" s="135">
        <f>SUM(D5:H5)</f>
        <v>187335000</v>
      </c>
      <c r="D5" s="135">
        <f>SUMIF(Detail!$B$27:$B$40,'Avg Cust Unit Costs'!$A$5,Detail!BJ27:BJ40)</f>
        <v>183211888.02394524</v>
      </c>
      <c r="E5" s="135">
        <f>SUMIF(Detail!$B$27:$B$40,'Avg Cust Unit Costs'!$A$5,Detail!BK27:BK40)</f>
        <v>3439621.7967010955</v>
      </c>
      <c r="F5" s="135">
        <f>SUMIF(Detail!$B$27:$B$40,'Avg Cust Unit Costs'!$A$5,Detail!BL27:BL40)</f>
        <v>0</v>
      </c>
      <c r="G5" s="135">
        <f>SUMIF(Detail!$B$27:$B$40,'Avg Cust Unit Costs'!$A$5,Detail!BM27:BM40)</f>
        <v>8355.5439973022076</v>
      </c>
      <c r="H5" s="135">
        <f>SUMIF(Detail!$B$27:$B$40,'Avg Cust Unit Costs'!$A$5,Detail!BN27:BN40)</f>
        <v>675134.63535637478</v>
      </c>
      <c r="J5" s="138">
        <f>C5-Detail!E34</f>
        <v>0</v>
      </c>
    </row>
    <row r="6" spans="1:13">
      <c r="A6" s="51">
        <v>380</v>
      </c>
      <c r="B6" s="28" t="s">
        <v>264</v>
      </c>
      <c r="C6" s="136">
        <f>SUM(D6:H6)</f>
        <v>-62862000.000000007</v>
      </c>
      <c r="D6" s="136">
        <f>SUMIF(Detail!$B$74:$B$86,'Avg Cust Unit Costs'!$A$6,Detail!BJ74:BJ86)</f>
        <v>-61478451.463748075</v>
      </c>
      <c r="E6" s="136">
        <f>SUMIF(Detail!$B$74:$B$86,'Avg Cust Unit Costs'!$A$6,Detail!BK74:BK86)</f>
        <v>-1154197.055457999</v>
      </c>
      <c r="F6" s="136">
        <f>SUMIF(Detail!$B$74:$B$86,'Avg Cust Unit Costs'!$A$6,Detail!BL74:BL86)</f>
        <v>0</v>
      </c>
      <c r="G6" s="136">
        <f>SUMIF(Detail!$B$74:$B$86,'Avg Cust Unit Costs'!$A$6,Detail!BM74:BM86)</f>
        <v>-2803.7804294894777</v>
      </c>
      <c r="H6" s="136">
        <f>SUMIF(Detail!$B$74:$B$86,'Avg Cust Unit Costs'!$A$6,Detail!BN74:BN86)</f>
        <v>-226547.70036444033</v>
      </c>
      <c r="J6" s="138">
        <f>C6-Detail!E80</f>
        <v>0</v>
      </c>
    </row>
    <row r="7" spans="1:13">
      <c r="A7" s="51"/>
      <c r="B7" s="28" t="s">
        <v>671</v>
      </c>
      <c r="C7" s="135">
        <f t="shared" ref="C7:H7" si="0">SUM(C5:C6)</f>
        <v>124473000</v>
      </c>
      <c r="D7" s="135">
        <f t="shared" si="0"/>
        <v>121733436.56019717</v>
      </c>
      <c r="E7" s="135">
        <f t="shared" si="0"/>
        <v>2285424.7412430965</v>
      </c>
      <c r="F7" s="135">
        <f t="shared" si="0"/>
        <v>0</v>
      </c>
      <c r="G7" s="135">
        <f t="shared" si="0"/>
        <v>5551.7635678127299</v>
      </c>
      <c r="H7" s="135">
        <f t="shared" si="0"/>
        <v>448586.93499193445</v>
      </c>
      <c r="J7" s="138"/>
    </row>
    <row r="8" spans="1:13">
      <c r="A8" s="51"/>
      <c r="B8" s="28"/>
      <c r="C8" s="135"/>
      <c r="D8" s="135"/>
      <c r="E8" s="135"/>
      <c r="F8" s="135"/>
      <c r="G8" s="135"/>
      <c r="H8" s="135"/>
      <c r="J8" s="138"/>
    </row>
    <row r="9" spans="1:13">
      <c r="A9" s="51">
        <v>381</v>
      </c>
      <c r="B9" s="28" t="s">
        <v>8</v>
      </c>
      <c r="C9" s="135">
        <f>SUM(D9:H9)</f>
        <v>72165999.999999985</v>
      </c>
      <c r="D9" s="135">
        <f>SUMIF(Detail!$B$27:$B$40,'Avg Cust Unit Costs'!$A$9,Detail!BJ27:BJ40)</f>
        <v>65013536.617479742</v>
      </c>
      <c r="E9" s="135">
        <f>SUMIF(Detail!$B$27:$B$40,'Avg Cust Unit Costs'!$A$9,Detail!BK27:BK40)</f>
        <v>6499987.4524772642</v>
      </c>
      <c r="F9" s="135">
        <f>SUMIF(Detail!$B$27:$B$40,'Avg Cust Unit Costs'!$A$9,Detail!BL27:BL40)</f>
        <v>0</v>
      </c>
      <c r="G9" s="135">
        <f>SUMIF(Detail!$B$27:$B$40,'Avg Cust Unit Costs'!$A$9,Detail!BM27:BM40)</f>
        <v>68803.130446753654</v>
      </c>
      <c r="H9" s="135">
        <f>SUMIF(Detail!$B$27:$B$40,'Avg Cust Unit Costs'!$A$9,Detail!BN27:BN40)</f>
        <v>583672.79959623597</v>
      </c>
      <c r="J9" s="138">
        <f>C9-Detail!E35</f>
        <v>0</v>
      </c>
    </row>
    <row r="10" spans="1:13">
      <c r="A10" s="51">
        <v>381</v>
      </c>
      <c r="B10" s="28" t="s">
        <v>265</v>
      </c>
      <c r="C10" s="136">
        <f>SUM(D10:H10)</f>
        <v>-14169000</v>
      </c>
      <c r="D10" s="136">
        <f>SUMIF(Detail!$B$74:$B$86,'Avg Cust Unit Costs'!$A$10,Detail!BJ74:BJ86)</f>
        <v>-12764692.519095842</v>
      </c>
      <c r="E10" s="136">
        <f>SUMIF(Detail!$B$74:$B$86,'Avg Cust Unit Costs'!$A$10,Detail!BK74:BK86)</f>
        <v>-1276201.0117527694</v>
      </c>
      <c r="F10" s="136">
        <f>SUMIF(Detail!$B$74:$B$86,'Avg Cust Unit Costs'!$A$10,Detail!BL74:BL86)</f>
        <v>0</v>
      </c>
      <c r="G10" s="136">
        <f>SUMIF(Detail!$B$74:$B$86,'Avg Cust Unit Costs'!$A$10,Detail!BM74:BM86)</f>
        <v>-13508.737567553315</v>
      </c>
      <c r="H10" s="136">
        <f>SUMIF(Detail!$B$74:$B$86,'Avg Cust Unit Costs'!$A$10,Detail!BN74:BN86)</f>
        <v>-114597.73158383543</v>
      </c>
      <c r="J10" s="138">
        <f>C10-Detail!E81</f>
        <v>0</v>
      </c>
    </row>
    <row r="11" spans="1:13">
      <c r="B11" s="28" t="s">
        <v>672</v>
      </c>
      <c r="C11" s="135">
        <f t="shared" ref="C11:H11" si="1">SUM(C9:C10)</f>
        <v>57996999.999999985</v>
      </c>
      <c r="D11" s="135">
        <f t="shared" si="1"/>
        <v>52248844.098383904</v>
      </c>
      <c r="E11" s="135">
        <f t="shared" si="1"/>
        <v>5223786.4407244949</v>
      </c>
      <c r="F11" s="135">
        <f t="shared" si="1"/>
        <v>0</v>
      </c>
      <c r="G11" s="135">
        <f t="shared" si="1"/>
        <v>55294.392879200343</v>
      </c>
      <c r="H11" s="135">
        <f t="shared" si="1"/>
        <v>469075.06801240053</v>
      </c>
      <c r="J11" s="138"/>
    </row>
    <row r="12" spans="1:13">
      <c r="B12" s="28"/>
      <c r="C12" s="135"/>
      <c r="D12" s="135"/>
      <c r="E12" s="135"/>
      <c r="F12" s="135"/>
      <c r="G12" s="135"/>
      <c r="H12" s="135"/>
      <c r="J12" s="138"/>
    </row>
    <row r="13" spans="1:13">
      <c r="B13" s="28" t="s">
        <v>110</v>
      </c>
      <c r="C13" s="135">
        <f t="shared" ref="C13:H13" si="2">C7+C11</f>
        <v>182470000</v>
      </c>
      <c r="D13" s="135">
        <f t="shared" si="2"/>
        <v>173982280.65858108</v>
      </c>
      <c r="E13" s="135">
        <f t="shared" si="2"/>
        <v>7509211.1819675919</v>
      </c>
      <c r="F13" s="135">
        <f t="shared" si="2"/>
        <v>0</v>
      </c>
      <c r="G13" s="135">
        <f t="shared" si="2"/>
        <v>60846.156447013069</v>
      </c>
      <c r="H13" s="135">
        <f t="shared" si="2"/>
        <v>917662.00300433498</v>
      </c>
      <c r="J13" s="138"/>
    </row>
    <row r="14" spans="1:13">
      <c r="B14" s="28"/>
      <c r="C14" s="135"/>
      <c r="D14" s="135"/>
      <c r="E14" s="135"/>
      <c r="F14" s="135"/>
      <c r="G14" s="135"/>
      <c r="H14" s="135"/>
      <c r="J14" s="138"/>
    </row>
    <row r="15" spans="1:13">
      <c r="B15" s="431" t="s">
        <v>1416</v>
      </c>
      <c r="C15" s="142">
        <f>C13*$L$15</f>
        <v>13557521</v>
      </c>
      <c r="D15" s="142">
        <f>D13*$I$15</f>
        <v>12926883.452932576</v>
      </c>
      <c r="E15" s="142">
        <f>E13*$I$15</f>
        <v>557934.39082019206</v>
      </c>
      <c r="F15" s="142">
        <f>F13*$I$15</f>
        <v>0</v>
      </c>
      <c r="G15" s="142">
        <f>G13*$I$15</f>
        <v>4520.8694240130717</v>
      </c>
      <c r="H15" s="142">
        <f>H13*$I$15</f>
        <v>68182.286823222094</v>
      </c>
      <c r="I15" s="600">
        <f>L15</f>
        <v>7.4300000000000005E-2</v>
      </c>
      <c r="J15" s="138"/>
      <c r="L15" s="598">
        <f>'[1]RR SUMMARY'!$N$15</f>
        <v>7.4300000000000005E-2</v>
      </c>
      <c r="M15" s="599"/>
    </row>
    <row r="16" spans="1:13">
      <c r="B16" s="56" t="s">
        <v>1179</v>
      </c>
      <c r="C16" s="142">
        <f>SUM(D16:H16)</f>
        <v>-950303.76</v>
      </c>
      <c r="D16" s="142">
        <f>(D13*$I$16)*-0.21</f>
        <v>-906099.71766989015</v>
      </c>
      <c r="E16" s="142">
        <f>(E13*$I$16)*-0.21</f>
        <v>-39107.971835687218</v>
      </c>
      <c r="F16" s="142">
        <f>(F13*$I$16)*-0.35</f>
        <v>0</v>
      </c>
      <c r="G16" s="142">
        <f>(G13*$I$16)*-0.21</f>
        <v>-316.88678277604407</v>
      </c>
      <c r="H16" s="142">
        <f>(H13*$I$16)*-0.21</f>
        <v>-4779.1837116465767</v>
      </c>
      <c r="I16" s="600">
        <f>L16</f>
        <v>2.4799999999999999E-2</v>
      </c>
      <c r="J16" s="138"/>
      <c r="L16" s="598">
        <f>'[1]RR SUMMARY'!$P$12</f>
        <v>2.4799999999999999E-2</v>
      </c>
      <c r="M16" s="599"/>
    </row>
    <row r="17" spans="1:10">
      <c r="B17" s="28" t="s">
        <v>674</v>
      </c>
      <c r="C17" s="470">
        <f>1-SUM(Summary!L73:L77)</f>
        <v>0.755463</v>
      </c>
      <c r="D17" s="140">
        <f>$C$17</f>
        <v>0.755463</v>
      </c>
      <c r="E17" s="140">
        <f>$C$17</f>
        <v>0.755463</v>
      </c>
      <c r="F17" s="140">
        <f>$C$17</f>
        <v>0.755463</v>
      </c>
      <c r="G17" s="140">
        <f>$C$17</f>
        <v>0.755463</v>
      </c>
      <c r="H17" s="140">
        <f>$C$17</f>
        <v>0.755463</v>
      </c>
      <c r="J17" s="138"/>
    </row>
    <row r="18" spans="1:10">
      <c r="B18" s="28" t="s">
        <v>686</v>
      </c>
      <c r="C18" s="135">
        <f>(C15+C16)/C17</f>
        <v>16688067.105867527</v>
      </c>
      <c r="D18" s="135">
        <f>(D15+D16)/D17</f>
        <v>15911810.022810761</v>
      </c>
      <c r="E18" s="135">
        <f t="shared" ref="E18:H18" si="3">(E15+E16)/E17</f>
        <v>686766.1539804131</v>
      </c>
      <c r="F18" s="135">
        <f t="shared" si="3"/>
        <v>0</v>
      </c>
      <c r="G18" s="135">
        <f t="shared" si="3"/>
        <v>5564.7763573292505</v>
      </c>
      <c r="H18" s="135">
        <f t="shared" si="3"/>
        <v>83926.152719028614</v>
      </c>
      <c r="J18" s="138"/>
    </row>
    <row r="19" spans="1:10">
      <c r="B19" s="28"/>
      <c r="C19" s="135"/>
      <c r="D19" s="135"/>
      <c r="E19" s="135"/>
      <c r="F19" s="135"/>
      <c r="G19" s="135"/>
      <c r="H19" s="135"/>
      <c r="J19" s="138"/>
    </row>
    <row r="20" spans="1:10">
      <c r="J20" s="138"/>
    </row>
    <row r="21" spans="1:10">
      <c r="A21" s="36">
        <v>380</v>
      </c>
      <c r="B21" s="51" t="s">
        <v>675</v>
      </c>
      <c r="C21" s="135">
        <f t="shared" ref="C21:C26" si="4">SUM(D21:H21)</f>
        <v>4447000</v>
      </c>
      <c r="D21" s="135">
        <f>SUMIF(Detail!$B$172:$B$407,'Avg Cust Unit Costs'!$A$21,Detail!BJ172:BJ407)</f>
        <v>4349124.6485840045</v>
      </c>
      <c r="E21" s="135">
        <f>SUMIF(Detail!$B$172:$B$407,'Avg Cust Unit Costs'!$A$21,Detail!BK172:BK407)</f>
        <v>81650.509141002869</v>
      </c>
      <c r="F21" s="135">
        <f>SUMIF(Detail!$B$172:$B$407,'Avg Cust Unit Costs'!$A$21,Detail!BL172:BL407)</f>
        <v>0</v>
      </c>
      <c r="G21" s="135">
        <f>SUMIF(Detail!$B$172:$B$407,'Avg Cust Unit Costs'!$A$21,Detail!BM172:BM407)</f>
        <v>198.34576643981592</v>
      </c>
      <c r="H21" s="135">
        <f>SUMIF(Detail!$B$172:$B$407,'Avg Cust Unit Costs'!$A$21,Detail!BN172:BN407)</f>
        <v>16026.496508553118</v>
      </c>
      <c r="J21" s="138">
        <f>C21-Detail!E371</f>
        <v>0</v>
      </c>
    </row>
    <row r="22" spans="1:10">
      <c r="A22" s="36">
        <v>381</v>
      </c>
      <c r="B22" s="51" t="s">
        <v>676</v>
      </c>
      <c r="C22" s="135">
        <f t="shared" si="4"/>
        <v>3206999.9999999995</v>
      </c>
      <c r="D22" s="135">
        <f>SUMIF(Detail!$B$172:$B$407,'Avg Cust Unit Costs'!$A$22,Detail!BJ172:BJ407)</f>
        <v>2889150.1805872233</v>
      </c>
      <c r="E22" s="135">
        <f>SUMIF(Detail!$B$172:$B$407,'Avg Cust Unit Costs'!$A$22,Detail!BK172:BK407)</f>
        <v>288854.30479858362</v>
      </c>
      <c r="F22" s="135">
        <f>SUMIF(Detail!$B$172:$B$407,'Avg Cust Unit Costs'!$A$22,Detail!BL172:BL407)</f>
        <v>0</v>
      </c>
      <c r="G22" s="135">
        <f>SUMIF(Detail!$B$172:$B$407,'Avg Cust Unit Costs'!$A$22,Detail!BM172:BM407)</f>
        <v>3057.5567350655292</v>
      </c>
      <c r="H22" s="135">
        <f>SUMIF(Detail!$B$172:$B$407,'Avg Cust Unit Costs'!$A$22,Detail!BN172:BN407)</f>
        <v>25937.957879127687</v>
      </c>
      <c r="J22" s="138">
        <f>C22-Detail!E372</f>
        <v>0</v>
      </c>
    </row>
    <row r="23" spans="1:10">
      <c r="A23" t="s">
        <v>346</v>
      </c>
      <c r="B23" s="51" t="s">
        <v>677</v>
      </c>
      <c r="C23" s="135">
        <f t="shared" si="4"/>
        <v>1413000.0000000002</v>
      </c>
      <c r="D23" s="135">
        <f>SUMIF(Detail!$B$172:$B$407,'Avg Cust Unit Costs'!$A$23,Detail!BJ172:BJ407)</f>
        <v>1381900.8609060487</v>
      </c>
      <c r="E23" s="135">
        <f>SUMIF(Detail!$B$172:$B$407,'Avg Cust Unit Costs'!$A$23,Detail!BK172:BK407)</f>
        <v>25943.820421910736</v>
      </c>
      <c r="F23" s="135">
        <f>SUMIF(Detail!$B$172:$B$407,'Avg Cust Unit Costs'!$A$23,Detail!BL172:BL407)</f>
        <v>0</v>
      </c>
      <c r="G23" s="135">
        <f>SUMIF(Detail!$B$172:$B$407,'Avg Cust Unit Costs'!$A$23,Detail!BM172:BM407)</f>
        <v>63.022839662572494</v>
      </c>
      <c r="H23" s="135">
        <f>SUMIF(Detail!$B$172:$B$407,'Avg Cust Unit Costs'!$A$23,Detail!BN172:BN407)</f>
        <v>5092.2958323781331</v>
      </c>
      <c r="J23" s="138">
        <f>C23-Detail!E222</f>
        <v>0</v>
      </c>
    </row>
    <row r="24" spans="1:10">
      <c r="A24" t="s">
        <v>347</v>
      </c>
      <c r="B24" s="51" t="s">
        <v>678</v>
      </c>
      <c r="C24" s="135">
        <f t="shared" si="4"/>
        <v>1671000.0000000002</v>
      </c>
      <c r="D24" s="135">
        <f>SUMIF(Detail!$B$172:$B$407,'Avg Cust Unit Costs'!$A$24,Detail!BJ172:BJ407)</f>
        <v>1505385.0800627533</v>
      </c>
      <c r="E24" s="135">
        <f>SUMIF(Detail!$B$172:$B$407,'Avg Cust Unit Costs'!$A$24,Detail!BK172:BK407)</f>
        <v>150506.87350122645</v>
      </c>
      <c r="F24" s="135">
        <f>SUMIF(Detail!$B$172:$B$407,'Avg Cust Unit Costs'!$A$24,Detail!BL172:BL407)</f>
        <v>0</v>
      </c>
      <c r="G24" s="135">
        <f>SUMIF(Detail!$B$172:$B$407,'Avg Cust Unit Costs'!$A$24,Detail!BM172:BM407)</f>
        <v>1593.1329293091671</v>
      </c>
      <c r="H24" s="135">
        <f>SUMIF(Detail!$B$172:$B$407,'Avg Cust Unit Costs'!$A$24,Detail!BN172:BN407)</f>
        <v>13514.91350671106</v>
      </c>
      <c r="J24" s="138">
        <f>C24-Detail!E223</f>
        <v>0</v>
      </c>
    </row>
    <row r="25" spans="1:10">
      <c r="A25" t="s">
        <v>14</v>
      </c>
      <c r="B25" s="51" t="s">
        <v>679</v>
      </c>
      <c r="C25" s="135">
        <f t="shared" si="4"/>
        <v>1750000</v>
      </c>
      <c r="D25" s="135">
        <f>SUMIF(Detail!$B$172:$B$407,'Avg Cust Unit Costs'!$A$25,Detail!BJ172:BJ407)</f>
        <v>1717343.1671359045</v>
      </c>
      <c r="E25" s="135">
        <f>SUMIF(Detail!$B$172:$B$407,'Avg Cust Unit Costs'!$A$25,Detail!BK172:BK407)</f>
        <v>32241.417594715916</v>
      </c>
      <c r="F25" s="135">
        <f>SUMIF(Detail!$B$172:$B$407,'Avg Cust Unit Costs'!$A$25,Detail!BL172:BL407)</f>
        <v>0</v>
      </c>
      <c r="G25" s="135">
        <f>SUMIF(Detail!$B$172:$B$407,'Avg Cust Unit Costs'!$A$25,Detail!BM172:BM407)</f>
        <v>20.770763468974661</v>
      </c>
      <c r="H25" s="135">
        <f>SUMIF(Detail!$B$172:$B$407,'Avg Cust Unit Costs'!$A$25,Detail!BN172:BN407)</f>
        <v>394.64450591051855</v>
      </c>
      <c r="J25" s="138">
        <f>C25-Detail!E230</f>
        <v>0</v>
      </c>
    </row>
    <row r="26" spans="1:10">
      <c r="A26" t="s">
        <v>16</v>
      </c>
      <c r="B26" s="51" t="s">
        <v>687</v>
      </c>
      <c r="C26" s="136">
        <f t="shared" si="4"/>
        <v>4653000</v>
      </c>
      <c r="D26" s="136">
        <f>SUMIF(Detail!$B$172:$B$407,'Avg Cust Unit Costs'!$A$26,Detail!BJ172:BJ407)</f>
        <v>4566170.1466762079</v>
      </c>
      <c r="E26" s="136">
        <f>SUMIF(Detail!$B$172:$B$407,'Avg Cust Unit Costs'!$A$26,Detail!BK172:BK407)</f>
        <v>85725.323467550377</v>
      </c>
      <c r="F26" s="136">
        <f>SUMIF(Detail!$B$172:$B$407,'Avg Cust Unit Costs'!$A$26,Detail!BL172:BL407)</f>
        <v>0</v>
      </c>
      <c r="G26" s="136">
        <f>SUMIF(Detail!$B$172:$B$407,'Avg Cust Unit Costs'!$A$26,Detail!BM172:BM407)</f>
        <v>55.226492812079485</v>
      </c>
      <c r="H26" s="136">
        <f>SUMIF(Detail!$B$172:$B$407,'Avg Cust Unit Costs'!$A$26,Detail!BN172:BN407)</f>
        <v>1049.3033634295102</v>
      </c>
      <c r="J26" s="138">
        <f>C26-Detail!E231</f>
        <v>0</v>
      </c>
    </row>
    <row r="27" spans="1:10">
      <c r="B27" s="51" t="s">
        <v>685</v>
      </c>
      <c r="C27" s="135">
        <f t="shared" ref="C27:H27" si="5">SUM(C21:C26)</f>
        <v>17141000</v>
      </c>
      <c r="D27" s="135">
        <f t="shared" si="5"/>
        <v>16409074.08395214</v>
      </c>
      <c r="E27" s="135">
        <f t="shared" si="5"/>
        <v>664922.24892498995</v>
      </c>
      <c r="F27" s="135">
        <f t="shared" si="5"/>
        <v>0</v>
      </c>
      <c r="G27" s="135">
        <f t="shared" si="5"/>
        <v>4988.0555267581394</v>
      </c>
      <c r="H27" s="135">
        <f t="shared" si="5"/>
        <v>62015.611596110029</v>
      </c>
      <c r="J27" s="138"/>
    </row>
    <row r="28" spans="1:10">
      <c r="B28" s="51" t="s">
        <v>680</v>
      </c>
      <c r="C28" s="471">
        <f>1-Summary!L73-Summary!L74-Summary!L75</f>
        <v>0.95628199999999997</v>
      </c>
      <c r="D28" s="141">
        <f>$C$28</f>
        <v>0.95628199999999997</v>
      </c>
      <c r="E28" s="141">
        <f>$C$28</f>
        <v>0.95628199999999997</v>
      </c>
      <c r="F28" s="141">
        <f>$C$28</f>
        <v>0.95628199999999997</v>
      </c>
      <c r="G28" s="141">
        <f>$C$28</f>
        <v>0.95628199999999997</v>
      </c>
      <c r="H28" s="141">
        <f>$C$28</f>
        <v>0.95628199999999997</v>
      </c>
      <c r="J28" s="138"/>
    </row>
    <row r="29" spans="1:10">
      <c r="B29" s="51" t="s">
        <v>681</v>
      </c>
      <c r="C29" s="135">
        <f t="shared" ref="C29:H29" si="6">C27/C28</f>
        <v>17924628.927450273</v>
      </c>
      <c r="D29" s="135">
        <f>D27/D28</f>
        <v>17159241.817740101</v>
      </c>
      <c r="E29" s="135">
        <f t="shared" si="6"/>
        <v>695320.2600540322</v>
      </c>
      <c r="F29" s="135">
        <f t="shared" si="6"/>
        <v>0</v>
      </c>
      <c r="G29" s="135">
        <f t="shared" si="6"/>
        <v>5216.0926659271427</v>
      </c>
      <c r="H29" s="135">
        <f t="shared" si="6"/>
        <v>64850.756990207941</v>
      </c>
      <c r="J29" s="138"/>
    </row>
    <row r="30" spans="1:10">
      <c r="J30" s="138"/>
    </row>
    <row r="31" spans="1:10">
      <c r="B31" s="51" t="s">
        <v>682</v>
      </c>
      <c r="C31" s="135">
        <f>C18+C29</f>
        <v>34612696.033317804</v>
      </c>
      <c r="D31" s="135">
        <f t="shared" ref="D31:H31" si="7">D18+D29</f>
        <v>33071051.840550862</v>
      </c>
      <c r="E31" s="135">
        <f t="shared" si="7"/>
        <v>1382086.4140344453</v>
      </c>
      <c r="F31" s="135">
        <f t="shared" si="7"/>
        <v>0</v>
      </c>
      <c r="G31" s="135">
        <f t="shared" si="7"/>
        <v>10780.869023256393</v>
      </c>
      <c r="H31" s="135">
        <f t="shared" si="7"/>
        <v>148776.90970923656</v>
      </c>
      <c r="J31" s="138"/>
    </row>
    <row r="32" spans="1:10">
      <c r="C32" s="135"/>
      <c r="D32" s="135"/>
      <c r="E32" s="135"/>
      <c r="F32" s="135"/>
      <c r="G32" s="135"/>
      <c r="H32" s="135"/>
      <c r="J32" s="138"/>
    </row>
    <row r="33" spans="2:10">
      <c r="B33" t="s">
        <v>683</v>
      </c>
      <c r="C33" s="2">
        <f>SUM(D33:H33)</f>
        <v>2022073.01</v>
      </c>
      <c r="D33" s="2">
        <f>Factors!E43</f>
        <v>1984339</v>
      </c>
      <c r="E33" s="2">
        <f>Factors!F43</f>
        <v>37254</v>
      </c>
      <c r="F33" s="2">
        <f>Factors!G43</f>
        <v>0.01</v>
      </c>
      <c r="G33" s="2">
        <f>Factors!H43</f>
        <v>24</v>
      </c>
      <c r="H33" s="2">
        <f>Factors!I43</f>
        <v>456</v>
      </c>
      <c r="J33" s="138">
        <f>SUM(Factors!E43:I43)-'Avg Cust Unit Costs'!C33</f>
        <v>0</v>
      </c>
    </row>
    <row r="35" spans="2:10">
      <c r="B35" t="s">
        <v>684</v>
      </c>
      <c r="C35" s="139">
        <f>C31/C33</f>
        <v>17.117431399431915</v>
      </c>
      <c r="D35" s="139">
        <f>D31/D33</f>
        <v>16.666029262414771</v>
      </c>
      <c r="E35" s="139">
        <f t="shared" ref="E35:H35" si="8">E31/E33</f>
        <v>37.099007194782985</v>
      </c>
      <c r="F35" s="139">
        <f t="shared" si="8"/>
        <v>0</v>
      </c>
      <c r="G35" s="139">
        <f t="shared" si="8"/>
        <v>449.20287596901636</v>
      </c>
      <c r="H35" s="139">
        <f t="shared" si="8"/>
        <v>326.26515287113278</v>
      </c>
    </row>
    <row r="37" spans="2:10">
      <c r="B37" s="817" t="s">
        <v>1168</v>
      </c>
      <c r="C37" s="817"/>
      <c r="D37" s="817"/>
      <c r="E37" s="817"/>
      <c r="F37" s="817"/>
      <c r="G37" s="817"/>
      <c r="H37" s="817"/>
    </row>
    <row r="39" spans="2:10">
      <c r="B39" s="482" t="s">
        <v>1163</v>
      </c>
      <c r="C39" s="483">
        <f>SUM(D39:H39)</f>
        <v>69589837.597403035</v>
      </c>
      <c r="D39" s="483">
        <f>Summary!D243</f>
        <v>66976171.880236983</v>
      </c>
      <c r="E39" s="483">
        <f>Summary!E243</f>
        <v>2363411.7075417945</v>
      </c>
      <c r="F39" s="483">
        <f>Summary!F243</f>
        <v>0</v>
      </c>
      <c r="G39" s="483">
        <f>Summary!G243</f>
        <v>17394.359110530349</v>
      </c>
      <c r="H39" s="483">
        <f>Summary!H243</f>
        <v>232859.65051372463</v>
      </c>
    </row>
    <row r="40" spans="2:10">
      <c r="B40" s="482" t="s">
        <v>1164</v>
      </c>
      <c r="C40" s="485">
        <f t="shared" ref="C40:H40" si="9">C39/C33</f>
        <v>34.415096415041432</v>
      </c>
      <c r="D40" s="485">
        <f t="shared" si="9"/>
        <v>33.752383982896561</v>
      </c>
      <c r="E40" s="485">
        <f t="shared" si="9"/>
        <v>63.440481761469762</v>
      </c>
      <c r="F40" s="485">
        <f t="shared" si="9"/>
        <v>0</v>
      </c>
      <c r="G40" s="485">
        <f t="shared" si="9"/>
        <v>724.7649629387646</v>
      </c>
      <c r="H40" s="485">
        <f t="shared" si="9"/>
        <v>510.65712831957154</v>
      </c>
    </row>
    <row r="42" spans="2:10">
      <c r="B42" s="482" t="s">
        <v>1165</v>
      </c>
      <c r="C42" s="483">
        <f>Summary!C166-C39</f>
        <v>46611116.497107595</v>
      </c>
      <c r="D42" s="483">
        <f>Summary!D166-D39</f>
        <v>30807164.240776196</v>
      </c>
      <c r="E42" s="483">
        <f>Summary!E166-E39</f>
        <v>11442638.084762931</v>
      </c>
      <c r="F42" s="483">
        <f>Summary!F166-F39</f>
        <v>0</v>
      </c>
      <c r="G42" s="483">
        <f>Summary!G166-G39</f>
        <v>161377.75851732236</v>
      </c>
      <c r="H42" s="483">
        <f>Summary!H166-H39</f>
        <v>4199936.4130511442</v>
      </c>
    </row>
    <row r="43" spans="2:10">
      <c r="B43" s="482" t="s">
        <v>1166</v>
      </c>
      <c r="C43" s="485">
        <f t="shared" ref="C43:H43" si="10">C42/C33</f>
        <v>23.051154071389142</v>
      </c>
      <c r="D43" s="485">
        <f t="shared" si="10"/>
        <v>15.525151821728141</v>
      </c>
      <c r="E43" s="485">
        <f t="shared" si="10"/>
        <v>307.1519322693652</v>
      </c>
      <c r="F43" s="485">
        <f t="shared" si="10"/>
        <v>0</v>
      </c>
      <c r="G43" s="485">
        <f t="shared" si="10"/>
        <v>6724.0732715550985</v>
      </c>
      <c r="H43" s="485">
        <f t="shared" si="10"/>
        <v>9210.3868707261936</v>
      </c>
    </row>
    <row r="45" spans="2:10">
      <c r="B45" s="482" t="s">
        <v>1167</v>
      </c>
      <c r="C45" s="484">
        <f t="shared" ref="C45:H45" si="11">C40+C43</f>
        <v>57.466250486430575</v>
      </c>
      <c r="D45" s="484">
        <f t="shared" si="11"/>
        <v>49.277535804624705</v>
      </c>
      <c r="E45" s="484">
        <f t="shared" si="11"/>
        <v>370.59241403083496</v>
      </c>
      <c r="F45" s="484">
        <f t="shared" si="11"/>
        <v>0</v>
      </c>
      <c r="G45" s="484">
        <f t="shared" si="11"/>
        <v>7448.8382344938627</v>
      </c>
      <c r="H45" s="484">
        <f t="shared" si="11"/>
        <v>9721.0439990457653</v>
      </c>
    </row>
  </sheetData>
  <mergeCells count="1">
    <mergeCell ref="B37:H37"/>
  </mergeCells>
  <conditionalFormatting sqref="J5:J33">
    <cfRule type="cellIs" dxfId="4" priority="1" operator="notEqual">
      <formula>0</formula>
    </cfRule>
  </conditionalFormatting>
  <pageMargins left="0.7" right="0.7" top="0.75" bottom="0.75" header="0.3" footer="0.3"/>
  <pageSetup scale="76" orientation="landscape" r:id="rId1"/>
  <headerFooter>
    <oddHeader>&amp;LAVISTA UTILITIES
Average Customer Cost&amp;RWA Gas</oddHeader>
    <oddFooter>&amp;LWa Gas COS - Avg Cust Cost&amp;RSupplemental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"/>
  <sheetViews>
    <sheetView workbookViewId="0"/>
  </sheetViews>
  <sheetFormatPr defaultColWidth="9.21875" defaultRowHeight="13.2"/>
  <cols>
    <col min="1" max="16384" width="9.21875" style="543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BECA9-4806-4D13-AB32-3E013A3C535E}">
  <sheetPr>
    <tabColor rgb="FFFFC000"/>
  </sheetPr>
  <dimension ref="A1:M52"/>
  <sheetViews>
    <sheetView zoomScaleNormal="100" workbookViewId="0">
      <selection activeCell="H13" sqref="H13"/>
    </sheetView>
  </sheetViews>
  <sheetFormatPr defaultRowHeight="13.2"/>
  <cols>
    <col min="1" max="1" width="7.21875" bestFit="1" customWidth="1"/>
    <col min="2" max="2" width="43.21875" customWidth="1"/>
    <col min="3" max="3" width="18.21875" bestFit="1" customWidth="1"/>
    <col min="4" max="4" width="13.44140625" bestFit="1" customWidth="1"/>
    <col min="5" max="5" width="12" bestFit="1" customWidth="1"/>
    <col min="6" max="6" width="11.21875" hidden="1" customWidth="1"/>
    <col min="7" max="7" width="11.21875" bestFit="1" customWidth="1"/>
    <col min="8" max="8" width="12.88671875" customWidth="1"/>
    <col min="10" max="10" width="10.44140625" bestFit="1" customWidth="1"/>
    <col min="11" max="11" width="14.33203125" customWidth="1"/>
    <col min="12" max="12" width="11.33203125" customWidth="1"/>
    <col min="13" max="13" width="15.21875" customWidth="1"/>
  </cols>
  <sheetData>
    <row r="1" spans="1:10">
      <c r="B1" t="s">
        <v>670</v>
      </c>
    </row>
    <row r="2" spans="1:10" ht="15.6">
      <c r="B2" s="137" t="s">
        <v>1464</v>
      </c>
    </row>
    <row r="4" spans="1:10">
      <c r="A4" s="1" t="s">
        <v>1471</v>
      </c>
      <c r="C4" s="797" t="s">
        <v>120</v>
      </c>
      <c r="D4" s="797" t="s">
        <v>398</v>
      </c>
      <c r="E4" s="797" t="s">
        <v>399</v>
      </c>
      <c r="F4" s="797" t="s">
        <v>400</v>
      </c>
      <c r="G4" s="797" t="s">
        <v>401</v>
      </c>
      <c r="H4" s="797" t="s">
        <v>402</v>
      </c>
    </row>
    <row r="5" spans="1:10">
      <c r="A5" s="51">
        <v>303.12</v>
      </c>
      <c r="B5" s="501" t="s">
        <v>1465</v>
      </c>
      <c r="C5" s="135">
        <f>SUM(D5:H5)</f>
        <v>17246000</v>
      </c>
      <c r="D5" s="135">
        <f>SUMIF(Detail!$B$10:$B$40,'AMI Costs and Benefits'!$A$5,Detail!I10:I40)</f>
        <v>15094126.337705942</v>
      </c>
      <c r="E5" s="135">
        <f>SUMIF(Detail!$B$10:$B$40,'AMI Costs and Benefits'!$A$5,Detail!J10:J40)</f>
        <v>1634930.9350786207</v>
      </c>
      <c r="F5" s="135">
        <f>SUMIF(Detail!$B$10:$B$40,'AMI Costs and Benefits'!$A$5,Detail!K10:K40)</f>
        <v>0</v>
      </c>
      <c r="G5" s="135">
        <f>SUMIF(Detail!$B$10:$B$40,'AMI Costs and Benefits'!$A$5,Detail!L10:L40)</f>
        <v>20242.810762707828</v>
      </c>
      <c r="H5" s="135">
        <f>SUMIF(Detail!$B$10:$B$40,'AMI Costs and Benefits'!$A$5,Detail!M10:M40)</f>
        <v>496699.91645273165</v>
      </c>
      <c r="J5" s="138">
        <f>C5-Detail!E12</f>
        <v>0</v>
      </c>
    </row>
    <row r="6" spans="1:10">
      <c r="A6" s="51">
        <v>303.12</v>
      </c>
      <c r="B6" s="501" t="s">
        <v>1466</v>
      </c>
      <c r="C6" s="136">
        <f>SUM(D6:H6)</f>
        <v>2716000.0000000005</v>
      </c>
      <c r="D6" s="136">
        <f>SUMIF(Detail!$B$107:$B$109,'AMI Costs and Benefits'!$A$6,Detail!I107:I109)</f>
        <v>2377110.4681206853</v>
      </c>
      <c r="E6" s="136">
        <f>SUMIF(Detail!$B$107:$B$109,'AMI Costs and Benefits'!$A$6,Detail!J107:J109)</f>
        <v>257478.39613090188</v>
      </c>
      <c r="F6" s="136">
        <f>SUMIF(Detail!$B$107:$B$109,'AMI Costs and Benefits'!$A$6,Detail!K107:K109)</f>
        <v>0</v>
      </c>
      <c r="G6" s="136">
        <f>SUMIF(Detail!$B$107:$B$109,'AMI Costs and Benefits'!$A$6,Detail!L107:L109)</f>
        <v>3187.9551218551815</v>
      </c>
      <c r="H6" s="136">
        <f>SUMIF(Detail!$B$107:$B$109,'AMI Costs and Benefits'!$A$6,Detail!M107:M109)</f>
        <v>78223.180626557994</v>
      </c>
      <c r="J6" s="138">
        <f>C6-Detail!E108</f>
        <v>0</v>
      </c>
    </row>
    <row r="7" spans="1:10">
      <c r="A7" s="51"/>
      <c r="B7" s="501" t="s">
        <v>1467</v>
      </c>
      <c r="C7" s="135">
        <f>SUM(C5:C6)</f>
        <v>19962000</v>
      </c>
      <c r="D7" s="135">
        <f t="shared" ref="D7:H7" si="0">SUM(D5:D6)</f>
        <v>17471236.805826627</v>
      </c>
      <c r="E7" s="135">
        <f t="shared" si="0"/>
        <v>1892409.3312095227</v>
      </c>
      <c r="F7" s="135">
        <f t="shared" si="0"/>
        <v>0</v>
      </c>
      <c r="G7" s="135">
        <f t="shared" si="0"/>
        <v>23430.76588456301</v>
      </c>
      <c r="H7" s="135">
        <f t="shared" si="0"/>
        <v>574923.09707928961</v>
      </c>
      <c r="J7" s="138"/>
    </row>
    <row r="8" spans="1:10">
      <c r="A8" s="51"/>
      <c r="B8" s="28"/>
      <c r="C8" s="135"/>
      <c r="D8" s="135"/>
      <c r="E8" s="135"/>
      <c r="F8" s="135"/>
      <c r="G8" s="135"/>
      <c r="H8" s="135"/>
      <c r="J8" s="138"/>
    </row>
    <row r="9" spans="1:10">
      <c r="A9" s="51">
        <v>381</v>
      </c>
      <c r="B9" s="28" t="s">
        <v>8</v>
      </c>
      <c r="C9" s="135">
        <f>SUM(D9:H9)</f>
        <v>72165999.999999985</v>
      </c>
      <c r="D9" s="135">
        <f>SUMIF(Detail!$B$27:$B$40,'Avg Cust Unit Costs'!$A$9,Detail!BJ27:BJ40)</f>
        <v>65013536.617479742</v>
      </c>
      <c r="E9" s="135">
        <f>SUMIF(Detail!$B$27:$B$40,'Avg Cust Unit Costs'!$A$9,Detail!BK27:BK40)</f>
        <v>6499987.4524772642</v>
      </c>
      <c r="F9" s="135">
        <f>SUMIF(Detail!$B$27:$B$40,'Avg Cust Unit Costs'!$A$9,Detail!BL27:BL40)</f>
        <v>0</v>
      </c>
      <c r="G9" s="135">
        <f>SUMIF(Detail!$B$27:$B$40,'Avg Cust Unit Costs'!$A$9,Detail!BM27:BM40)</f>
        <v>68803.130446753654</v>
      </c>
      <c r="H9" s="135">
        <f>SUMIF(Detail!$B$27:$B$40,'Avg Cust Unit Costs'!$A$9,Detail!BN27:BN40)</f>
        <v>583672.79959623597</v>
      </c>
      <c r="J9" s="138">
        <f>C9-Detail!E35</f>
        <v>0</v>
      </c>
    </row>
    <row r="10" spans="1:10">
      <c r="A10" s="51">
        <v>381</v>
      </c>
      <c r="B10" s="28" t="s">
        <v>265</v>
      </c>
      <c r="C10" s="136">
        <f>SUM(D10:H10)</f>
        <v>-14169000</v>
      </c>
      <c r="D10" s="136">
        <f>SUMIF(Detail!$B$74:$B$86,'Avg Cust Unit Costs'!$A$10,Detail!BJ74:BJ86)</f>
        <v>-12764692.519095842</v>
      </c>
      <c r="E10" s="136">
        <f>SUMIF(Detail!$B$74:$B$86,'Avg Cust Unit Costs'!$A$10,Detail!BK74:BK86)</f>
        <v>-1276201.0117527694</v>
      </c>
      <c r="F10" s="136">
        <f>SUMIF(Detail!$B$74:$B$86,'Avg Cust Unit Costs'!$A$10,Detail!BL74:BL86)</f>
        <v>0</v>
      </c>
      <c r="G10" s="136">
        <f>SUMIF(Detail!$B$74:$B$86,'Avg Cust Unit Costs'!$A$10,Detail!BM74:BM86)</f>
        <v>-13508.737567553315</v>
      </c>
      <c r="H10" s="136">
        <f>SUMIF(Detail!$B$74:$B$86,'Avg Cust Unit Costs'!$A$10,Detail!BN74:BN86)</f>
        <v>-114597.73158383543</v>
      </c>
      <c r="J10" s="138">
        <f>C10-Detail!E81</f>
        <v>0</v>
      </c>
    </row>
    <row r="11" spans="1:10">
      <c r="B11" s="28" t="s">
        <v>672</v>
      </c>
      <c r="C11" s="135">
        <f t="shared" ref="C11:H11" si="1">SUM(C9:C10)</f>
        <v>57996999.999999985</v>
      </c>
      <c r="D11" s="135">
        <f t="shared" si="1"/>
        <v>52248844.098383904</v>
      </c>
      <c r="E11" s="135">
        <f t="shared" si="1"/>
        <v>5223786.4407244949</v>
      </c>
      <c r="F11" s="135">
        <f t="shared" si="1"/>
        <v>0</v>
      </c>
      <c r="G11" s="135">
        <f t="shared" si="1"/>
        <v>55294.392879200343</v>
      </c>
      <c r="H11" s="135">
        <f t="shared" si="1"/>
        <v>469075.06801240053</v>
      </c>
      <c r="J11" s="138"/>
    </row>
    <row r="12" spans="1:10">
      <c r="B12" s="28"/>
      <c r="C12" s="135"/>
      <c r="D12" s="135"/>
      <c r="E12" s="135"/>
      <c r="F12" s="135"/>
      <c r="G12" s="135"/>
      <c r="H12" s="135"/>
      <c r="J12" s="138"/>
    </row>
    <row r="13" spans="1:10">
      <c r="A13" s="800">
        <v>397.12</v>
      </c>
      <c r="B13" s="501" t="s">
        <v>1478</v>
      </c>
      <c r="C13" s="135">
        <f>ROUND(PROFORMA!AO291,-3)</f>
        <v>4660000</v>
      </c>
      <c r="D13" s="135">
        <f>$C$13*D20</f>
        <v>4078547.4158477136</v>
      </c>
      <c r="E13" s="135">
        <f>$C$13*E20</f>
        <v>441770.73857511143</v>
      </c>
      <c r="F13" s="135">
        <f>$C$13*F20</f>
        <v>0</v>
      </c>
      <c r="G13" s="135">
        <f>$C$13*G20</f>
        <v>5469.7609969974774</v>
      </c>
      <c r="H13" s="135">
        <f>$C$13*H20</f>
        <v>134212.0845801768</v>
      </c>
      <c r="J13" s="138"/>
    </row>
    <row r="14" spans="1:10">
      <c r="A14" s="800">
        <v>397.12</v>
      </c>
      <c r="B14" s="501" t="s">
        <v>1479</v>
      </c>
      <c r="C14" s="136">
        <f>ROUND(PROFORMA!AO344,-3)</f>
        <v>-1369000</v>
      </c>
      <c r="D14" s="136">
        <f>$C$14*D20</f>
        <v>-1198182.7065011845</v>
      </c>
      <c r="E14" s="136">
        <f>$C$14*E20</f>
        <v>-129782.00452989861</v>
      </c>
      <c r="F14" s="136">
        <f>$C$14*F20</f>
        <v>0</v>
      </c>
      <c r="G14" s="136">
        <f>$C$14*G20</f>
        <v>-1606.8890139247953</v>
      </c>
      <c r="H14" s="136">
        <f>$C$14*H20</f>
        <v>-39428.399954991852</v>
      </c>
      <c r="J14" s="138"/>
    </row>
    <row r="15" spans="1:10">
      <c r="A15" s="51"/>
      <c r="B15" s="501" t="s">
        <v>1467</v>
      </c>
      <c r="C15" s="135">
        <f>SUM(C13:C14)</f>
        <v>3291000</v>
      </c>
      <c r="D15" s="135">
        <f>SUM(D13:D14)</f>
        <v>2880364.7093465291</v>
      </c>
      <c r="E15" s="135">
        <f t="shared" ref="E15:H15" si="2">SUM(E13:E14)</f>
        <v>311988.73404521286</v>
      </c>
      <c r="F15" s="135">
        <f t="shared" si="2"/>
        <v>0</v>
      </c>
      <c r="G15" s="135">
        <f t="shared" si="2"/>
        <v>3862.8719830726823</v>
      </c>
      <c r="H15" s="135">
        <f t="shared" si="2"/>
        <v>94783.684625184949</v>
      </c>
      <c r="J15" s="138"/>
    </row>
    <row r="16" spans="1:10">
      <c r="A16" s="51"/>
      <c r="B16" s="501"/>
      <c r="C16" s="135"/>
      <c r="D16" s="135"/>
      <c r="E16" s="135"/>
      <c r="F16" s="135"/>
      <c r="G16" s="135"/>
      <c r="H16" s="135"/>
      <c r="J16" s="138"/>
    </row>
    <row r="17" spans="1:13">
      <c r="A17" s="51"/>
      <c r="B17" s="501" t="s">
        <v>1468</v>
      </c>
      <c r="C17" s="135">
        <f>PROFORMA!AO375</f>
        <v>15668000</v>
      </c>
      <c r="D17" s="135">
        <f>$C$17*D20</f>
        <v>13713021.65482875</v>
      </c>
      <c r="E17" s="135">
        <f>$C$17*E20</f>
        <v>1485335.6077242158</v>
      </c>
      <c r="F17" s="135">
        <f>$C$17*F20</f>
        <v>0</v>
      </c>
      <c r="G17" s="135">
        <f>$C$17*G20</f>
        <v>18390.604141836153</v>
      </c>
      <c r="H17" s="135">
        <f>$C$17*H20</f>
        <v>451252.13330519525</v>
      </c>
      <c r="J17" s="138"/>
    </row>
    <row r="18" spans="1:13">
      <c r="A18" s="51"/>
      <c r="B18" s="501" t="s">
        <v>1469</v>
      </c>
      <c r="C18" s="135">
        <f>PROFORMA!AO367</f>
        <v>-4241000</v>
      </c>
      <c r="D18" s="135">
        <f>$C$18*D20</f>
        <v>-3711828.2383283591</v>
      </c>
      <c r="E18" s="135">
        <f t="shared" ref="E18:H18" si="3">$C$18*E20</f>
        <v>-402049.29233842221</v>
      </c>
      <c r="F18" s="135">
        <f t="shared" si="3"/>
        <v>0</v>
      </c>
      <c r="G18" s="135">
        <f t="shared" si="3"/>
        <v>-4977.9520146494206</v>
      </c>
      <c r="H18" s="135">
        <f t="shared" si="3"/>
        <v>-122144.51731856861</v>
      </c>
      <c r="J18" s="138"/>
    </row>
    <row r="19" spans="1:13">
      <c r="B19" s="501"/>
      <c r="C19" s="135"/>
      <c r="D19" s="135"/>
      <c r="E19" s="135"/>
      <c r="F19" s="135"/>
      <c r="G19" s="135"/>
      <c r="H19" s="135"/>
      <c r="J19" s="138"/>
    </row>
    <row r="20" spans="1:13">
      <c r="B20" s="501" t="s">
        <v>1475</v>
      </c>
      <c r="C20" s="135"/>
      <c r="D20" s="27">
        <f>Factors!T29</f>
        <v>0.87522476734929477</v>
      </c>
      <c r="E20" s="27">
        <f>Factors!U29</f>
        <v>9.4800587677062537E-2</v>
      </c>
      <c r="F20" s="27">
        <f>Factors!V29</f>
        <v>0</v>
      </c>
      <c r="G20" s="27">
        <f>Factors!W29</f>
        <v>1.1737684542913042E-3</v>
      </c>
      <c r="H20" s="27">
        <f>Factors!X29</f>
        <v>2.8800876519351242E-2</v>
      </c>
      <c r="J20" s="138"/>
    </row>
    <row r="21" spans="1:13">
      <c r="B21" s="28"/>
      <c r="C21" s="135"/>
      <c r="D21" s="135"/>
      <c r="E21" s="135"/>
      <c r="F21" s="135"/>
      <c r="G21" s="135"/>
      <c r="H21" s="135"/>
      <c r="J21" s="138"/>
    </row>
    <row r="22" spans="1:13">
      <c r="B22" s="28" t="s">
        <v>110</v>
      </c>
      <c r="C22" s="135">
        <f>SUM(D22:H22)</f>
        <v>92677000.00000003</v>
      </c>
      <c r="D22" s="135">
        <f>D7+D11+D15+D17+D18</f>
        <v>82601639.030057475</v>
      </c>
      <c r="E22" s="135">
        <f>E7+E11+E15+E17+E18</f>
        <v>8511470.8213650249</v>
      </c>
      <c r="F22" s="135">
        <f t="shared" ref="F22" si="4">F7+F11+F15+F17+F18</f>
        <v>0</v>
      </c>
      <c r="G22" s="135">
        <f>G7+G11+G15+G17+G18</f>
        <v>96000.682874022765</v>
      </c>
      <c r="H22" s="135">
        <f>H7+H11+H15+H17+H18</f>
        <v>1467889.4657035016</v>
      </c>
      <c r="J22" s="138"/>
    </row>
    <row r="23" spans="1:13">
      <c r="B23" s="28"/>
      <c r="C23" s="135"/>
      <c r="D23" s="135"/>
      <c r="E23" s="135"/>
      <c r="F23" s="135"/>
      <c r="G23" s="135"/>
      <c r="H23" s="135"/>
      <c r="J23" s="138"/>
    </row>
    <row r="24" spans="1:13">
      <c r="B24" s="431" t="s">
        <v>1416</v>
      </c>
      <c r="C24" s="142">
        <f>C22*$L$24</f>
        <v>6885901.1000000024</v>
      </c>
      <c r="D24" s="142">
        <f>D22*$I$24</f>
        <v>6137301.779933271</v>
      </c>
      <c r="E24" s="142">
        <f>E22*$I$24</f>
        <v>632402.2820274214</v>
      </c>
      <c r="F24" s="142">
        <f>F22*$I$24</f>
        <v>0</v>
      </c>
      <c r="G24" s="142">
        <f>G22*$I$24</f>
        <v>7132.8507375398922</v>
      </c>
      <c r="H24" s="142">
        <f>H22*$I$24</f>
        <v>109064.18730177017</v>
      </c>
      <c r="I24" s="600">
        <f>L24</f>
        <v>7.4300000000000005E-2</v>
      </c>
      <c r="J24" s="138"/>
      <c r="L24" s="598">
        <f>'[1]RR SUMMARY'!$N$15</f>
        <v>7.4300000000000005E-2</v>
      </c>
      <c r="M24" s="599"/>
    </row>
    <row r="25" spans="1:13">
      <c r="B25" s="56" t="s">
        <v>1179</v>
      </c>
      <c r="C25" s="142">
        <f>SUM(D25:H25)</f>
        <v>-482661.81600000011</v>
      </c>
      <c r="D25" s="802">
        <f>(D22*$I$25)*-$I$26</f>
        <v>-430189.3360685393</v>
      </c>
      <c r="E25" s="802">
        <f t="shared" ref="E25:G25" si="5">(E22*$I$25)*-$I$26</f>
        <v>-44327.740037669049</v>
      </c>
      <c r="F25" s="802">
        <f t="shared" si="5"/>
        <v>0</v>
      </c>
      <c r="G25" s="802">
        <f t="shared" si="5"/>
        <v>-499.97155640791055</v>
      </c>
      <c r="H25" s="802">
        <f>(H22*$I$25)*-$I$26</f>
        <v>-7644.7683373838363</v>
      </c>
      <c r="I25" s="600">
        <f>L25</f>
        <v>2.4799999999999999E-2</v>
      </c>
      <c r="J25" s="138"/>
      <c r="L25" s="598">
        <f>'[1]RR SUMMARY'!$P$12</f>
        <v>2.4799999999999999E-2</v>
      </c>
      <c r="M25" s="451" t="s">
        <v>1476</v>
      </c>
    </row>
    <row r="26" spans="1:13">
      <c r="B26" s="28" t="s">
        <v>674</v>
      </c>
      <c r="C26" s="470">
        <f>1-SUM(Summary!L73:L77)</f>
        <v>0.755463</v>
      </c>
      <c r="D26" s="140">
        <f>$C$26</f>
        <v>0.755463</v>
      </c>
      <c r="E26" s="140">
        <f>$C$26</f>
        <v>0.755463</v>
      </c>
      <c r="F26" s="140">
        <f>$C$26</f>
        <v>0.755463</v>
      </c>
      <c r="G26" s="140">
        <f>$C$26</f>
        <v>0.755463</v>
      </c>
      <c r="H26" s="140">
        <f>$C$26</f>
        <v>0.755463</v>
      </c>
      <c r="I26" s="600">
        <f>L26</f>
        <v>0.21</v>
      </c>
      <c r="J26" s="138"/>
      <c r="L26" s="598">
        <v>0.21</v>
      </c>
      <c r="M26" s="24" t="s">
        <v>1477</v>
      </c>
    </row>
    <row r="27" spans="1:13">
      <c r="B27" s="28" t="s">
        <v>686</v>
      </c>
      <c r="C27" s="135">
        <f>(C24+C25)/C26</f>
        <v>8475913.8223844208</v>
      </c>
      <c r="D27" s="135">
        <f>(D24+D25)/D26</f>
        <v>7554456.5966364099</v>
      </c>
      <c r="E27" s="135">
        <f t="shared" ref="E27:H27" si="6">(E24+E25)/E26</f>
        <v>778429.31022399815</v>
      </c>
      <c r="F27" s="135">
        <f t="shared" si="6"/>
        <v>0</v>
      </c>
      <c r="G27" s="135">
        <f t="shared" si="6"/>
        <v>8779.8862169715539</v>
      </c>
      <c r="H27" s="135">
        <f t="shared" si="6"/>
        <v>134248.02930704263</v>
      </c>
      <c r="J27" s="138"/>
    </row>
    <row r="28" spans="1:13">
      <c r="B28" s="28"/>
      <c r="C28" s="135"/>
      <c r="D28" s="135"/>
      <c r="E28" s="135"/>
      <c r="F28" s="135"/>
      <c r="G28" s="135"/>
      <c r="H28" s="135"/>
      <c r="J28" s="138"/>
    </row>
    <row r="29" spans="1:13">
      <c r="B29" s="28"/>
      <c r="C29" s="135"/>
      <c r="D29" s="135"/>
      <c r="E29" s="135"/>
      <c r="F29" s="135"/>
      <c r="G29" s="135"/>
      <c r="H29" s="135"/>
      <c r="J29" s="138"/>
    </row>
    <row r="30" spans="1:13">
      <c r="B30" s="28"/>
      <c r="C30" s="135"/>
      <c r="D30" s="135"/>
      <c r="E30" s="135"/>
      <c r="F30" s="135"/>
      <c r="G30" s="135"/>
      <c r="H30" s="135"/>
      <c r="J30" s="138"/>
    </row>
    <row r="31" spans="1:13">
      <c r="A31" s="1" t="s">
        <v>1472</v>
      </c>
      <c r="J31" s="138"/>
    </row>
    <row r="32" spans="1:13">
      <c r="A32" s="800"/>
      <c r="B32" s="501" t="s">
        <v>1473</v>
      </c>
      <c r="C32" s="135">
        <f>PROFORMA!AO220</f>
        <v>3491000</v>
      </c>
      <c r="D32" s="135">
        <f>$C$32*D20</f>
        <v>3055409.6628163881</v>
      </c>
      <c r="E32" s="135">
        <f t="shared" ref="E32:H32" si="7">$C$32*E20</f>
        <v>330948.85158062534</v>
      </c>
      <c r="F32" s="135">
        <f t="shared" si="7"/>
        <v>0</v>
      </c>
      <c r="G32" s="135">
        <f t="shared" si="7"/>
        <v>4097.6256739309429</v>
      </c>
      <c r="H32" s="135">
        <f t="shared" si="7"/>
        <v>100543.85992905518</v>
      </c>
      <c r="J32" s="138"/>
    </row>
    <row r="33" spans="1:13">
      <c r="A33" s="36"/>
      <c r="B33" s="51" t="s">
        <v>676</v>
      </c>
      <c r="C33" s="135">
        <f t="shared" ref="C33" si="8">SUM(D33:H33)</f>
        <v>3206999.9999999995</v>
      </c>
      <c r="D33" s="135">
        <f>SUMIF(Detail!$B$172:$B$407,'Avg Cust Unit Costs'!$A$22,Detail!BJ172:BJ407)</f>
        <v>2889150.1805872233</v>
      </c>
      <c r="E33" s="135">
        <f>SUMIF(Detail!$B$172:$B$407,'Avg Cust Unit Costs'!$A$22,Detail!BK172:BK407)</f>
        <v>288854.30479858362</v>
      </c>
      <c r="F33" s="135">
        <f>SUMIF(Detail!$B$172:$B$407,'Avg Cust Unit Costs'!$A$22,Detail!BL172:BL407)</f>
        <v>0</v>
      </c>
      <c r="G33" s="135">
        <f>SUMIF(Detail!$B$172:$B$407,'Avg Cust Unit Costs'!$A$22,Detail!BM172:BM407)</f>
        <v>3057.5567350655292</v>
      </c>
      <c r="H33" s="135">
        <f>SUMIF(Detail!$B$172:$B$407,'Avg Cust Unit Costs'!$A$22,Detail!BN172:BN407)</f>
        <v>25937.957879127687</v>
      </c>
      <c r="J33" s="138"/>
    </row>
    <row r="34" spans="1:13">
      <c r="A34" s="800"/>
      <c r="B34" s="501" t="s">
        <v>1474</v>
      </c>
      <c r="C34" s="136">
        <f>PROFORMA!AO211</f>
        <v>101000</v>
      </c>
      <c r="D34" s="136">
        <f>$C$34*D20</f>
        <v>88397.701502278767</v>
      </c>
      <c r="E34" s="136">
        <f t="shared" ref="E34:H34" si="9">$C$34*E20</f>
        <v>9574.8593553833161</v>
      </c>
      <c r="F34" s="136">
        <f t="shared" si="9"/>
        <v>0</v>
      </c>
      <c r="G34" s="136">
        <f t="shared" si="9"/>
        <v>118.55061388342172</v>
      </c>
      <c r="H34" s="136">
        <f t="shared" si="9"/>
        <v>2908.8885284544754</v>
      </c>
      <c r="J34" s="138"/>
    </row>
    <row r="35" spans="1:13">
      <c r="B35" s="51" t="s">
        <v>685</v>
      </c>
      <c r="C35" s="135">
        <f t="shared" ref="C35:H35" si="10">SUM(C32:C34)</f>
        <v>6799000</v>
      </c>
      <c r="D35" s="135">
        <f t="shared" si="10"/>
        <v>6032957.5449058898</v>
      </c>
      <c r="E35" s="135">
        <f t="shared" si="10"/>
        <v>629378.01573459222</v>
      </c>
      <c r="F35" s="135">
        <f t="shared" si="10"/>
        <v>0</v>
      </c>
      <c r="G35" s="135">
        <f t="shared" si="10"/>
        <v>7273.7330228798937</v>
      </c>
      <c r="H35" s="135">
        <f t="shared" si="10"/>
        <v>129390.70633663735</v>
      </c>
      <c r="J35" s="138"/>
    </row>
    <row r="36" spans="1:13">
      <c r="B36" s="51"/>
      <c r="C36" s="135"/>
      <c r="D36" s="135"/>
      <c r="E36" s="135"/>
      <c r="F36" s="135"/>
      <c r="G36" s="135"/>
      <c r="H36" s="135"/>
      <c r="J36" s="138"/>
    </row>
    <row r="37" spans="1:13">
      <c r="B37" s="51" t="s">
        <v>680</v>
      </c>
      <c r="C37" s="471">
        <f>1-Summary!L73-Summary!L74-Summary!L75</f>
        <v>0.95628199999999997</v>
      </c>
      <c r="D37" s="141">
        <f>$C$37</f>
        <v>0.95628199999999997</v>
      </c>
      <c r="E37" s="141">
        <f>$C$37</f>
        <v>0.95628199999999997</v>
      </c>
      <c r="F37" s="141">
        <f>$C$37</f>
        <v>0.95628199999999997</v>
      </c>
      <c r="G37" s="141">
        <f>$C$37</f>
        <v>0.95628199999999997</v>
      </c>
      <c r="H37" s="141">
        <f>$C$37</f>
        <v>0.95628199999999997</v>
      </c>
      <c r="J37" s="138"/>
    </row>
    <row r="38" spans="1:13">
      <c r="B38" s="51" t="s">
        <v>681</v>
      </c>
      <c r="C38" s="135">
        <f>C35/C37</f>
        <v>7109827.4358400553</v>
      </c>
      <c r="D38" s="135">
        <f>D35/D37</f>
        <v>6308764.093547604</v>
      </c>
      <c r="E38" s="135">
        <f t="shared" ref="E38:H38" si="11">E35/E37</f>
        <v>658151.06394828332</v>
      </c>
      <c r="F38" s="135">
        <f t="shared" si="11"/>
        <v>0</v>
      </c>
      <c r="G38" s="135">
        <f t="shared" si="11"/>
        <v>7606.2636574565804</v>
      </c>
      <c r="H38" s="135">
        <f t="shared" si="11"/>
        <v>135306.01468671099</v>
      </c>
      <c r="J38" s="138"/>
    </row>
    <row r="39" spans="1:13">
      <c r="J39" s="138"/>
    </row>
    <row r="40" spans="1:13">
      <c r="B40" s="800" t="s">
        <v>1480</v>
      </c>
      <c r="C40" s="135">
        <f t="shared" ref="C40:H40" si="12">C27+C38</f>
        <v>15585741.258224476</v>
      </c>
      <c r="D40" s="135">
        <f t="shared" si="12"/>
        <v>13863220.690184014</v>
      </c>
      <c r="E40" s="135">
        <f t="shared" si="12"/>
        <v>1436580.3741722815</v>
      </c>
      <c r="F40" s="135">
        <f t="shared" si="12"/>
        <v>0</v>
      </c>
      <c r="G40" s="135">
        <f t="shared" si="12"/>
        <v>16386.149874428134</v>
      </c>
      <c r="H40" s="135">
        <f t="shared" si="12"/>
        <v>269554.04399375361</v>
      </c>
      <c r="J40" s="138"/>
    </row>
    <row r="41" spans="1:13">
      <c r="C41" s="135"/>
      <c r="D41" s="135"/>
      <c r="E41" s="135"/>
      <c r="F41" s="135"/>
      <c r="G41" s="135"/>
      <c r="H41" s="135"/>
      <c r="J41" s="138"/>
    </row>
    <row r="42" spans="1:13">
      <c r="C42" s="139"/>
      <c r="D42" s="139"/>
      <c r="E42" s="139"/>
      <c r="F42" s="139"/>
      <c r="G42" s="139"/>
      <c r="H42" s="139"/>
      <c r="K42" s="24" t="s">
        <v>1484</v>
      </c>
    </row>
    <row r="43" spans="1:13">
      <c r="B43" s="800" t="s">
        <v>1481</v>
      </c>
      <c r="C43" s="803">
        <f>ROUND(-M47,-3)</f>
        <v>-2260000</v>
      </c>
      <c r="D43" s="135">
        <f>$C$43*D20</f>
        <v>-1978007.9742094062</v>
      </c>
      <c r="E43" s="135">
        <f t="shared" ref="E43:H43" si="13">$C$43*E20</f>
        <v>-214249.32815016134</v>
      </c>
      <c r="F43" s="135">
        <f t="shared" si="13"/>
        <v>0</v>
      </c>
      <c r="G43" s="135">
        <f t="shared" si="13"/>
        <v>-2652.7167066983475</v>
      </c>
      <c r="H43" s="135">
        <f t="shared" si="13"/>
        <v>-65089.980933733808</v>
      </c>
      <c r="I43" s="135"/>
      <c r="J43" s="135"/>
      <c r="K43" s="24" t="s">
        <v>1485</v>
      </c>
    </row>
    <row r="44" spans="1:13">
      <c r="B44" s="51" t="s">
        <v>680</v>
      </c>
      <c r="C44" s="804">
        <f>C37</f>
        <v>0.95628199999999997</v>
      </c>
      <c r="D44" s="805">
        <f>C44</f>
        <v>0.95628199999999997</v>
      </c>
      <c r="E44" s="805">
        <f>C44</f>
        <v>0.95628199999999997</v>
      </c>
      <c r="F44" s="805">
        <f>C44</f>
        <v>0.95628199999999997</v>
      </c>
      <c r="G44" s="805">
        <f t="shared" ref="G44:H44" si="14">D44</f>
        <v>0.95628199999999997</v>
      </c>
      <c r="H44" s="805">
        <f t="shared" si="14"/>
        <v>0.95628199999999997</v>
      </c>
      <c r="I44" s="806"/>
      <c r="J44" s="806"/>
      <c r="K44">
        <v>2021</v>
      </c>
      <c r="L44">
        <v>2022</v>
      </c>
      <c r="M44" s="26" t="s">
        <v>1486</v>
      </c>
    </row>
    <row r="45" spans="1:13" ht="14.4">
      <c r="B45" s="800" t="s">
        <v>1482</v>
      </c>
      <c r="C45" s="135">
        <f>C43/C44</f>
        <v>-2363319.6065595713</v>
      </c>
      <c r="D45" s="135">
        <f>D43/D44</f>
        <v>-2068435.8528231278</v>
      </c>
      <c r="E45" s="135">
        <f t="shared" ref="E45:H45" si="15">E43/E44</f>
        <v>-224044.0875705716</v>
      </c>
      <c r="F45" s="135">
        <f t="shared" si="15"/>
        <v>0</v>
      </c>
      <c r="G45" s="135">
        <f t="shared" si="15"/>
        <v>-2773.9900015877615</v>
      </c>
      <c r="H45" s="135">
        <f t="shared" si="15"/>
        <v>-68065.676164283985</v>
      </c>
      <c r="I45" s="135"/>
      <c r="J45" s="135"/>
      <c r="K45" s="807">
        <v>8699584.1413360182</v>
      </c>
      <c r="L45" s="807">
        <v>9152763.041468624</v>
      </c>
      <c r="M45" s="808">
        <f>K45*3/12+L45*9/12</f>
        <v>9039468.316435473</v>
      </c>
    </row>
    <row r="46" spans="1:13">
      <c r="K46" s="1" t="s">
        <v>1487</v>
      </c>
      <c r="M46" s="808">
        <f>M45*0.75</f>
        <v>6779601.2373266052</v>
      </c>
    </row>
    <row r="47" spans="1:13">
      <c r="B47" s="800" t="s">
        <v>1483</v>
      </c>
      <c r="C47" s="135">
        <f>SUM(D47:J47)</f>
        <v>13222421.651664907</v>
      </c>
      <c r="D47" s="135">
        <f>D40+D45</f>
        <v>11794784.837360887</v>
      </c>
      <c r="E47" s="135">
        <f t="shared" ref="E47:H47" si="16">E40+E45</f>
        <v>1212536.2866017099</v>
      </c>
      <c r="F47" s="135">
        <f t="shared" si="16"/>
        <v>0</v>
      </c>
      <c r="G47" s="135">
        <f t="shared" si="16"/>
        <v>13612.159872840373</v>
      </c>
      <c r="H47" s="135">
        <f t="shared" si="16"/>
        <v>201488.36782946961</v>
      </c>
      <c r="I47" s="135"/>
      <c r="J47" s="135"/>
      <c r="K47" s="1" t="s">
        <v>1488</v>
      </c>
      <c r="M47" s="808">
        <f>M45*0.25</f>
        <v>2259867.0791088683</v>
      </c>
    </row>
    <row r="49" spans="2:11">
      <c r="B49" s="482"/>
      <c r="C49" s="483"/>
      <c r="D49" s="483"/>
      <c r="E49" s="483"/>
      <c r="F49" s="483"/>
      <c r="G49" s="483"/>
      <c r="H49" s="483"/>
      <c r="K49" s="24" t="s">
        <v>1489</v>
      </c>
    </row>
    <row r="50" spans="2:11">
      <c r="B50" s="482"/>
      <c r="C50" s="485"/>
      <c r="D50" s="485"/>
      <c r="E50" s="485"/>
      <c r="F50" s="485"/>
      <c r="G50" s="485"/>
      <c r="H50" s="485"/>
    </row>
    <row r="52" spans="2:11">
      <c r="B52" s="482"/>
      <c r="C52" s="484"/>
      <c r="D52" s="484"/>
      <c r="E52" s="484"/>
      <c r="F52" s="484"/>
      <c r="G52" s="484"/>
      <c r="H52" s="484"/>
    </row>
  </sheetData>
  <conditionalFormatting sqref="J5:J41">
    <cfRule type="cellIs" dxfId="3" priority="1" operator="notEqual">
      <formula>0</formula>
    </cfRule>
  </conditionalFormatting>
  <pageMargins left="0.7" right="0.7" top="0.75" bottom="0.75" header="0.3" footer="0.3"/>
  <pageSetup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0000"/>
  </sheetPr>
  <dimension ref="A1:AY418"/>
  <sheetViews>
    <sheetView zoomScaleNormal="100" workbookViewId="0">
      <pane xSplit="4" topLeftCell="E1" activePane="topRight" state="frozen"/>
      <selection activeCell="A376" sqref="A376"/>
      <selection pane="topRight" activeCell="AP207" sqref="AP207"/>
    </sheetView>
  </sheetViews>
  <sheetFormatPr defaultColWidth="9.21875" defaultRowHeight="14.1" customHeight="1"/>
  <cols>
    <col min="1" max="1" width="5.77734375" style="151" customWidth="1"/>
    <col min="2" max="2" width="9" style="151" customWidth="1"/>
    <col min="3" max="3" width="6.5546875" style="151" customWidth="1"/>
    <col min="4" max="4" width="23.5546875" style="151" customWidth="1"/>
    <col min="5" max="5" width="10.5546875" style="151" customWidth="1"/>
    <col min="6" max="6" width="13.5546875" style="154" customWidth="1"/>
    <col min="7" max="7" width="14" style="154" customWidth="1"/>
    <col min="8" max="8" width="12.77734375" style="154" customWidth="1"/>
    <col min="9" max="10" width="12.44140625" style="154" customWidth="1"/>
    <col min="11" max="12" width="14.44140625" style="154" customWidth="1"/>
    <col min="13" max="13" width="12.21875" style="154" customWidth="1"/>
    <col min="14" max="14" width="13.21875" style="154" customWidth="1"/>
    <col min="15" max="19" width="11.77734375" style="154" customWidth="1"/>
    <col min="20" max="21" width="16.77734375" style="154" customWidth="1"/>
    <col min="22" max="25" width="11.77734375" style="154" customWidth="1"/>
    <col min="26" max="28" width="14.77734375" style="154" customWidth="1"/>
    <col min="29" max="29" width="12.21875" style="154" customWidth="1"/>
    <col min="30" max="30" width="12" style="154" customWidth="1"/>
    <col min="31" max="31" width="12.5546875" style="154" customWidth="1"/>
    <col min="32" max="32" width="15.44140625" style="154" customWidth="1"/>
    <col min="33" max="34" width="16.44140625" style="154" customWidth="1"/>
    <col min="35" max="35" width="16.77734375" style="154" customWidth="1"/>
    <col min="36" max="36" width="19.77734375" style="154" customWidth="1"/>
    <col min="37" max="43" width="14.5546875" style="154" customWidth="1"/>
    <col min="44" max="44" width="6.21875" style="151" customWidth="1"/>
    <col min="45" max="45" width="13.77734375" style="151" customWidth="1"/>
    <col min="46" max="46" width="15.77734375" style="151" customWidth="1"/>
    <col min="47" max="51" width="12.77734375" style="152" customWidth="1"/>
    <col min="52" max="16384" width="9.21875" style="151"/>
  </cols>
  <sheetData>
    <row r="1" spans="1:51" ht="14.1" customHeight="1">
      <c r="A1" s="160">
        <v>1</v>
      </c>
      <c r="B1" s="151" t="s">
        <v>3</v>
      </c>
      <c r="I1" s="154" t="s">
        <v>709</v>
      </c>
      <c r="N1" s="539"/>
      <c r="Q1" s="217"/>
      <c r="R1" s="188"/>
      <c r="V1" s="211"/>
      <c r="W1" s="211"/>
      <c r="X1" s="211"/>
      <c r="Y1" s="211"/>
      <c r="Z1" s="188"/>
      <c r="AA1" s="188"/>
      <c r="AB1" s="188"/>
      <c r="AF1" s="211"/>
      <c r="AG1" s="217"/>
      <c r="AH1" s="217"/>
      <c r="AI1" s="188"/>
      <c r="AJ1" s="188"/>
      <c r="AK1" s="188"/>
      <c r="AL1" s="188"/>
      <c r="AM1" s="188"/>
      <c r="AN1" s="188"/>
      <c r="AO1" s="188"/>
      <c r="AP1" s="188"/>
      <c r="AQ1" s="188"/>
      <c r="AR1" s="159"/>
      <c r="AS1" s="159"/>
      <c r="AU1" s="160"/>
      <c r="AV1" s="217"/>
      <c r="AW1" s="160"/>
      <c r="AX1" s="160"/>
      <c r="AY1" s="160"/>
    </row>
    <row r="2" spans="1:51" ht="14.1" customHeight="1">
      <c r="A2" s="160">
        <v>2</v>
      </c>
      <c r="B2" s="151" t="s">
        <v>841</v>
      </c>
      <c r="E2" s="159"/>
      <c r="O2" s="540"/>
      <c r="S2" s="211"/>
      <c r="V2" s="211"/>
      <c r="W2" s="211"/>
      <c r="X2" s="211"/>
      <c r="Y2" s="211"/>
      <c r="Z2" s="211"/>
      <c r="AA2" s="211"/>
      <c r="AB2" s="211"/>
      <c r="AE2" s="211"/>
      <c r="AF2" s="211"/>
      <c r="AG2" s="191"/>
      <c r="AH2" s="191"/>
      <c r="AI2" s="211"/>
      <c r="AJ2" s="211"/>
      <c r="AK2" s="211"/>
      <c r="AL2" s="211"/>
      <c r="AM2" s="211"/>
      <c r="AN2" s="211"/>
      <c r="AO2" s="211"/>
      <c r="AP2" s="211"/>
      <c r="AQ2" s="211"/>
      <c r="AR2" s="159"/>
      <c r="AS2" s="159"/>
      <c r="AT2" s="190"/>
      <c r="AU2" s="160"/>
      <c r="AV2" s="191"/>
      <c r="AW2" s="160"/>
      <c r="AX2" s="160"/>
      <c r="AY2" s="160"/>
    </row>
    <row r="3" spans="1:51" ht="14.1" customHeight="1">
      <c r="A3" s="160">
        <v>3</v>
      </c>
      <c r="B3" s="151" t="s">
        <v>840</v>
      </c>
      <c r="S3" s="211"/>
      <c r="V3" s="211"/>
      <c r="W3" s="211"/>
      <c r="X3" s="211"/>
      <c r="Y3" s="211"/>
      <c r="Z3" s="211"/>
      <c r="AA3" s="211"/>
      <c r="AB3" s="211"/>
      <c r="AE3" s="211"/>
      <c r="AF3" s="211"/>
      <c r="AG3" s="211"/>
      <c r="AH3" s="211"/>
      <c r="AI3" s="211"/>
      <c r="AJ3" s="559"/>
      <c r="AK3" s="211"/>
      <c r="AL3" s="211"/>
      <c r="AM3" s="211"/>
      <c r="AN3" s="211"/>
      <c r="AO3" s="211"/>
      <c r="AP3" s="211"/>
      <c r="AQ3" s="211"/>
      <c r="AR3" s="159"/>
      <c r="AS3" s="159"/>
      <c r="AT3" s="189"/>
      <c r="AU3" s="160"/>
      <c r="AV3" s="160"/>
      <c r="AW3" s="160"/>
      <c r="AX3" s="160"/>
      <c r="AY3" s="160"/>
    </row>
    <row r="4" spans="1:51" ht="14.1" customHeight="1">
      <c r="A4" s="160">
        <v>4</v>
      </c>
      <c r="D4" s="216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545"/>
      <c r="AE4" s="211"/>
      <c r="AF4" s="211"/>
      <c r="AG4" s="545"/>
      <c r="AH4" s="545"/>
      <c r="AI4" s="213"/>
      <c r="AJ4" s="547"/>
      <c r="AK4" s="213"/>
      <c r="AL4" s="213"/>
      <c r="AM4" s="213"/>
      <c r="AN4" s="213"/>
      <c r="AO4" s="213"/>
      <c r="AP4" s="213"/>
      <c r="AQ4" s="213"/>
      <c r="AR4" s="211"/>
      <c r="AS4" s="211"/>
      <c r="AT4" s="159"/>
      <c r="AU4" s="160"/>
      <c r="AV4" s="160"/>
      <c r="AW4" s="160"/>
      <c r="AX4" s="160"/>
      <c r="AY4" s="160"/>
    </row>
    <row r="5" spans="1:51" s="152" customFormat="1" ht="14.1" customHeight="1">
      <c r="A5" s="160">
        <v>5</v>
      </c>
      <c r="B5" s="186"/>
      <c r="C5" s="186"/>
      <c r="D5" s="186"/>
      <c r="E5" s="186"/>
      <c r="F5" s="215">
        <v>1</v>
      </c>
      <c r="G5" s="535">
        <f>F5+0.01</f>
        <v>1.01</v>
      </c>
      <c r="H5" s="535">
        <f>G5+0.01</f>
        <v>1.02</v>
      </c>
      <c r="I5" s="535">
        <f>H5+0.01</f>
        <v>1.03</v>
      </c>
      <c r="J5" s="535">
        <f>I5+0.01</f>
        <v>1.04</v>
      </c>
      <c r="K5" s="535">
        <v>2.0099999999999998</v>
      </c>
      <c r="L5" s="535">
        <v>2.02</v>
      </c>
      <c r="M5" s="535">
        <v>2.0299999999999998</v>
      </c>
      <c r="N5" s="535">
        <v>2.04</v>
      </c>
      <c r="O5" s="535">
        <v>2.0499999999999998</v>
      </c>
      <c r="P5" s="535">
        <v>2.06</v>
      </c>
      <c r="Q5" s="535">
        <v>2.0699999999999998</v>
      </c>
      <c r="R5" s="535">
        <v>2.08</v>
      </c>
      <c r="S5" s="535">
        <v>2.09</v>
      </c>
      <c r="T5" s="544">
        <v>2.1</v>
      </c>
      <c r="U5" s="544">
        <v>2.11</v>
      </c>
      <c r="V5" s="544">
        <v>2.12</v>
      </c>
      <c r="W5" s="544">
        <v>2.13</v>
      </c>
      <c r="X5" s="544">
        <v>2.14</v>
      </c>
      <c r="Y5" s="544">
        <v>2.15</v>
      </c>
      <c r="Z5" s="535">
        <v>3.01</v>
      </c>
      <c r="AA5" s="535">
        <v>3.02</v>
      </c>
      <c r="AB5" s="535">
        <v>3.03</v>
      </c>
      <c r="AC5" s="544">
        <v>3.04</v>
      </c>
      <c r="AD5" s="535">
        <f>AC5+0.01</f>
        <v>3.05</v>
      </c>
      <c r="AE5" s="535">
        <f>AD5+0.01</f>
        <v>3.0599999999999996</v>
      </c>
      <c r="AF5" s="535">
        <f>AE5+0.01</f>
        <v>3.0699999999999994</v>
      </c>
      <c r="AG5" s="535">
        <v>3.08</v>
      </c>
      <c r="AH5" s="535">
        <f>AG5+0.01</f>
        <v>3.09</v>
      </c>
      <c r="AI5" s="535">
        <v>3.1</v>
      </c>
      <c r="AJ5" s="535">
        <f t="shared" ref="AJ5:AQ5" si="0">AI5+0.01</f>
        <v>3.11</v>
      </c>
      <c r="AK5" s="535">
        <f t="shared" si="0"/>
        <v>3.1199999999999997</v>
      </c>
      <c r="AL5" s="535">
        <f t="shared" si="0"/>
        <v>3.1299999999999994</v>
      </c>
      <c r="AM5" s="535">
        <f t="shared" si="0"/>
        <v>3.1399999999999992</v>
      </c>
      <c r="AN5" s="535">
        <f t="shared" si="0"/>
        <v>3.149999999999999</v>
      </c>
      <c r="AO5" s="535">
        <f t="shared" si="0"/>
        <v>3.1599999999999988</v>
      </c>
      <c r="AP5" s="535">
        <f t="shared" si="0"/>
        <v>3.1699999999999986</v>
      </c>
      <c r="AQ5" s="535">
        <f t="shared" si="0"/>
        <v>3.1799999999999984</v>
      </c>
      <c r="AR5" s="544"/>
      <c r="AS5" s="186" t="str">
        <f>ColHdr</f>
        <v>(as)</v>
      </c>
      <c r="AT5" s="186" t="str">
        <f>ColHdr</f>
        <v>(at)</v>
      </c>
      <c r="AU5" s="186" t="str">
        <f>ColHdr</f>
        <v>(au)</v>
      </c>
      <c r="AV5" s="186" t="str">
        <f>ColHdr</f>
        <v>(av)</v>
      </c>
    </row>
    <row r="6" spans="1:51" ht="14.1" customHeight="1">
      <c r="A6" s="160">
        <v>6</v>
      </c>
      <c r="B6" s="159"/>
      <c r="C6" s="159"/>
      <c r="D6" s="159"/>
      <c r="E6" s="152" t="s">
        <v>839</v>
      </c>
      <c r="F6" s="213" t="s">
        <v>838</v>
      </c>
      <c r="G6" s="213" t="s">
        <v>837</v>
      </c>
      <c r="H6" s="213" t="s">
        <v>836</v>
      </c>
      <c r="I6" s="213" t="s">
        <v>1140</v>
      </c>
      <c r="J6" s="213" t="s">
        <v>1221</v>
      </c>
      <c r="K6" s="213" t="s">
        <v>830</v>
      </c>
      <c r="L6" s="213" t="s">
        <v>827</v>
      </c>
      <c r="M6" s="213" t="s">
        <v>835</v>
      </c>
      <c r="N6" s="213" t="s">
        <v>834</v>
      </c>
      <c r="O6" s="213" t="s">
        <v>833</v>
      </c>
      <c r="P6" s="213" t="s">
        <v>832</v>
      </c>
      <c r="Q6" s="213" t="s">
        <v>829</v>
      </c>
      <c r="R6" s="213" t="s">
        <v>827</v>
      </c>
      <c r="S6" s="213" t="s">
        <v>831</v>
      </c>
      <c r="T6" s="213" t="s">
        <v>1184</v>
      </c>
      <c r="U6" s="213" t="s">
        <v>830</v>
      </c>
      <c r="V6" s="213" t="s">
        <v>828</v>
      </c>
      <c r="W6" s="213" t="s">
        <v>1193</v>
      </c>
      <c r="X6" s="213" t="s">
        <v>1195</v>
      </c>
      <c r="Y6" s="213" t="s">
        <v>1195</v>
      </c>
      <c r="Z6" s="213" t="s">
        <v>1178</v>
      </c>
      <c r="AA6" s="213" t="s">
        <v>1300</v>
      </c>
      <c r="AB6" s="213" t="s">
        <v>789</v>
      </c>
      <c r="AC6" s="213" t="s">
        <v>789</v>
      </c>
      <c r="AD6" s="213" t="s">
        <v>789</v>
      </c>
      <c r="AE6" s="213" t="s">
        <v>789</v>
      </c>
      <c r="AF6" s="213" t="s">
        <v>789</v>
      </c>
      <c r="AG6" s="213" t="s">
        <v>789</v>
      </c>
      <c r="AH6" s="213" t="s">
        <v>789</v>
      </c>
      <c r="AI6" s="213" t="s">
        <v>1187</v>
      </c>
      <c r="AJ6" s="213" t="s">
        <v>789</v>
      </c>
      <c r="AK6" s="213" t="s">
        <v>789</v>
      </c>
      <c r="AL6" s="213" t="s">
        <v>789</v>
      </c>
      <c r="AM6" s="213" t="s">
        <v>789</v>
      </c>
      <c r="AN6" s="213" t="s">
        <v>789</v>
      </c>
      <c r="AO6" s="213" t="s">
        <v>789</v>
      </c>
      <c r="AP6" s="213" t="s">
        <v>789</v>
      </c>
      <c r="AQ6" s="213" t="s">
        <v>789</v>
      </c>
      <c r="AR6" s="152"/>
      <c r="AS6" s="160" t="s">
        <v>825</v>
      </c>
      <c r="AT6" s="160" t="s">
        <v>120</v>
      </c>
      <c r="AU6" s="160" t="s">
        <v>824</v>
      </c>
      <c r="AV6" s="160" t="s">
        <v>120</v>
      </c>
      <c r="AW6" s="160"/>
      <c r="AX6" s="160"/>
      <c r="AY6" s="160"/>
    </row>
    <row r="7" spans="1:51" ht="14.1" customHeight="1">
      <c r="A7" s="160">
        <v>7</v>
      </c>
      <c r="B7" s="159" t="s">
        <v>823</v>
      </c>
      <c r="C7" s="159" t="s">
        <v>4</v>
      </c>
      <c r="D7" s="160"/>
      <c r="E7" s="214"/>
      <c r="F7" s="213" t="s">
        <v>822</v>
      </c>
      <c r="G7" s="213" t="s">
        <v>83</v>
      </c>
      <c r="H7" s="213" t="s">
        <v>821</v>
      </c>
      <c r="I7" s="213" t="s">
        <v>1141</v>
      </c>
      <c r="J7" s="213" t="s">
        <v>1222</v>
      </c>
      <c r="K7" s="213" t="s">
        <v>820</v>
      </c>
      <c r="L7" s="213" t="s">
        <v>1143</v>
      </c>
      <c r="M7" s="213" t="s">
        <v>534</v>
      </c>
      <c r="N7" s="213" t="s">
        <v>534</v>
      </c>
      <c r="O7" s="213" t="s">
        <v>819</v>
      </c>
      <c r="P7" s="213" t="s">
        <v>534</v>
      </c>
      <c r="Q7" s="213" t="s">
        <v>817</v>
      </c>
      <c r="R7" s="213" t="s">
        <v>816</v>
      </c>
      <c r="S7" s="213" t="s">
        <v>818</v>
      </c>
      <c r="T7" s="213" t="s">
        <v>1185</v>
      </c>
      <c r="U7" s="213" t="s">
        <v>1175</v>
      </c>
      <c r="V7" s="213" t="s">
        <v>791</v>
      </c>
      <c r="W7" s="213" t="s">
        <v>1194</v>
      </c>
      <c r="X7" s="213" t="s">
        <v>1196</v>
      </c>
      <c r="Y7" s="213" t="s">
        <v>1298</v>
      </c>
      <c r="Z7" s="213" t="s">
        <v>1148</v>
      </c>
      <c r="AA7" s="213" t="s">
        <v>1302</v>
      </c>
      <c r="AB7" s="213" t="s">
        <v>1301</v>
      </c>
      <c r="AC7" s="213" t="s">
        <v>815</v>
      </c>
      <c r="AD7" s="213" t="s">
        <v>814</v>
      </c>
      <c r="AE7" s="213" t="s">
        <v>813</v>
      </c>
      <c r="AF7" s="213" t="s">
        <v>1305</v>
      </c>
      <c r="AG7" s="213" t="s">
        <v>1307</v>
      </c>
      <c r="AH7" s="213" t="s">
        <v>812</v>
      </c>
      <c r="AI7" s="213" t="s">
        <v>1309</v>
      </c>
      <c r="AJ7" s="213" t="s">
        <v>1310</v>
      </c>
      <c r="AK7" s="213" t="s">
        <v>1312</v>
      </c>
      <c r="AL7" s="213" t="s">
        <v>1314</v>
      </c>
      <c r="AM7" s="213" t="s">
        <v>1320</v>
      </c>
      <c r="AN7" s="213" t="s">
        <v>1321</v>
      </c>
      <c r="AO7" s="213" t="s">
        <v>1322</v>
      </c>
      <c r="AP7" s="213" t="s">
        <v>1323</v>
      </c>
      <c r="AQ7" s="213" t="s">
        <v>1324</v>
      </c>
      <c r="AR7" s="152"/>
      <c r="AS7" s="160" t="s">
        <v>811</v>
      </c>
      <c r="AT7" s="160"/>
      <c r="AU7" s="160"/>
      <c r="AV7" s="160" t="s">
        <v>810</v>
      </c>
      <c r="AW7" s="160" t="s">
        <v>809</v>
      </c>
      <c r="AX7" s="160"/>
      <c r="AY7" s="160"/>
    </row>
    <row r="8" spans="1:51" ht="14.1" customHeight="1">
      <c r="A8" s="160">
        <v>8</v>
      </c>
      <c r="B8" s="159"/>
      <c r="C8" s="159"/>
      <c r="D8" s="160"/>
      <c r="E8" s="152"/>
      <c r="F8" s="213" t="s">
        <v>808</v>
      </c>
      <c r="G8" s="213" t="s">
        <v>807</v>
      </c>
      <c r="H8" s="213" t="s">
        <v>806</v>
      </c>
      <c r="I8" s="213" t="s">
        <v>1142</v>
      </c>
      <c r="J8" s="213" t="s">
        <v>1223</v>
      </c>
      <c r="K8" s="213" t="s">
        <v>805</v>
      </c>
      <c r="L8" s="213" t="s">
        <v>1144</v>
      </c>
      <c r="M8" s="213" t="s">
        <v>804</v>
      </c>
      <c r="N8" s="213" t="s">
        <v>803</v>
      </c>
      <c r="O8" s="213" t="s">
        <v>802</v>
      </c>
      <c r="P8" s="213" t="s">
        <v>801</v>
      </c>
      <c r="Q8" s="213" t="s">
        <v>799</v>
      </c>
      <c r="R8" s="213" t="s">
        <v>798</v>
      </c>
      <c r="S8" s="213" t="s">
        <v>800</v>
      </c>
      <c r="T8" s="213" t="s">
        <v>1186</v>
      </c>
      <c r="U8" s="213" t="s">
        <v>1176</v>
      </c>
      <c r="V8" s="213" t="s">
        <v>797</v>
      </c>
      <c r="W8" s="213" t="s">
        <v>796</v>
      </c>
      <c r="X8" s="213" t="s">
        <v>1197</v>
      </c>
      <c r="Y8" s="213" t="s">
        <v>1299</v>
      </c>
      <c r="Z8" s="213" t="s">
        <v>1177</v>
      </c>
      <c r="AA8" s="213" t="s">
        <v>1303</v>
      </c>
      <c r="AB8" s="213" t="s">
        <v>1304</v>
      </c>
      <c r="AC8" s="213" t="s">
        <v>795</v>
      </c>
      <c r="AD8" s="213" t="s">
        <v>794</v>
      </c>
      <c r="AE8" s="213" t="s">
        <v>793</v>
      </c>
      <c r="AF8" s="213" t="s">
        <v>1306</v>
      </c>
      <c r="AG8" s="213" t="s">
        <v>1308</v>
      </c>
      <c r="AH8" s="213" t="s">
        <v>1147</v>
      </c>
      <c r="AI8" s="213" t="s">
        <v>1227</v>
      </c>
      <c r="AJ8" s="213" t="s">
        <v>1311</v>
      </c>
      <c r="AK8" s="213" t="s">
        <v>1313</v>
      </c>
      <c r="AL8" s="213" t="s">
        <v>1315</v>
      </c>
      <c r="AM8" s="213" t="s">
        <v>1316</v>
      </c>
      <c r="AN8" s="213" t="s">
        <v>1317</v>
      </c>
      <c r="AO8" s="213" t="s">
        <v>1318</v>
      </c>
      <c r="AP8" s="213" t="s">
        <v>1198</v>
      </c>
      <c r="AQ8" s="213" t="s">
        <v>1319</v>
      </c>
      <c r="AR8" s="152"/>
      <c r="AS8" s="160" t="s">
        <v>791</v>
      </c>
      <c r="AT8" s="160"/>
      <c r="AU8" s="160"/>
      <c r="AV8" s="160" t="s">
        <v>790</v>
      </c>
      <c r="AW8" s="160" t="s">
        <v>789</v>
      </c>
      <c r="AX8" s="160"/>
      <c r="AY8" s="160"/>
    </row>
    <row r="9" spans="1:51" ht="14.1" customHeight="1">
      <c r="A9" s="160">
        <v>9</v>
      </c>
      <c r="B9" s="159" t="s">
        <v>0</v>
      </c>
      <c r="C9" s="159"/>
      <c r="D9" s="159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6"/>
      <c r="AS9" s="159"/>
      <c r="AT9" s="159"/>
      <c r="AU9" s="160"/>
      <c r="AV9" s="160"/>
      <c r="AW9" s="160" t="s">
        <v>120</v>
      </c>
      <c r="AX9" s="160" t="s">
        <v>697</v>
      </c>
      <c r="AY9" s="160"/>
    </row>
    <row r="10" spans="1:51" ht="14.1" customHeight="1">
      <c r="A10" s="160">
        <v>10</v>
      </c>
      <c r="B10" s="159"/>
      <c r="C10" s="172" t="s">
        <v>283</v>
      </c>
      <c r="D10" s="159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6"/>
      <c r="AS10" s="159"/>
      <c r="AT10" s="159"/>
      <c r="AU10" s="160"/>
      <c r="AV10" s="160"/>
      <c r="AW10" s="161"/>
      <c r="AX10" s="161"/>
      <c r="AY10" s="160"/>
    </row>
    <row r="11" spans="1:51" ht="14.1" customHeight="1">
      <c r="A11" s="160">
        <v>11</v>
      </c>
      <c r="B11" s="159" t="s">
        <v>1139</v>
      </c>
      <c r="C11" s="159" t="s">
        <v>788</v>
      </c>
      <c r="D11" s="159"/>
      <c r="F11" s="165">
        <f>100541000+1000</f>
        <v>100542000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81">
        <v>-1655000</v>
      </c>
      <c r="U11" s="181">
        <v>-47738000</v>
      </c>
      <c r="V11" s="157"/>
      <c r="W11" s="181"/>
      <c r="X11" s="181"/>
      <c r="Y11" s="181"/>
      <c r="Z11" s="181">
        <f>-51148000</f>
        <v>-51148000</v>
      </c>
      <c r="AA11" s="181"/>
      <c r="AB11" s="181"/>
      <c r="AC11" s="181"/>
      <c r="AD11" s="198"/>
      <c r="AE11" s="181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6"/>
      <c r="AS11" s="164">
        <f>SUM(G11:AQ11)</f>
        <v>-100541000</v>
      </c>
      <c r="AT11" s="164">
        <f>F11+AS11</f>
        <v>1000</v>
      </c>
      <c r="AU11" s="160"/>
      <c r="AV11" s="164">
        <f>ROUND(AT11/1000,0)*1000</f>
        <v>1000</v>
      </c>
      <c r="AW11" s="161"/>
      <c r="AX11" s="161"/>
      <c r="AY11" s="160"/>
    </row>
    <row r="12" spans="1:51" ht="14.1" customHeight="1">
      <c r="A12" s="160">
        <v>12</v>
      </c>
      <c r="B12" s="159" t="s">
        <v>787</v>
      </c>
      <c r="C12" s="159" t="s">
        <v>786</v>
      </c>
      <c r="D12" s="159"/>
      <c r="F12" s="165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>
        <f t="shared" ref="U12:U25" si="1">-F12</f>
        <v>0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6"/>
      <c r="AS12" s="164">
        <f t="shared" ref="AS12:AS27" si="2">SUM(G12:AQ12)</f>
        <v>0</v>
      </c>
      <c r="AT12" s="164">
        <f t="shared" ref="AT12:AT27" si="3">F12+AS12</f>
        <v>0</v>
      </c>
      <c r="AU12" s="160"/>
      <c r="AV12" s="164">
        <f t="shared" ref="AV12:AV27" si="4">ROUND(AT12/1000,0)*1000</f>
        <v>0</v>
      </c>
      <c r="AW12" s="161"/>
      <c r="AX12" s="161"/>
      <c r="AY12" s="160"/>
    </row>
    <row r="13" spans="1:51" ht="14.1" customHeight="1">
      <c r="A13" s="160">
        <v>13</v>
      </c>
      <c r="B13" s="159" t="s">
        <v>785</v>
      </c>
      <c r="C13" s="159" t="s">
        <v>784</v>
      </c>
      <c r="D13" s="159"/>
      <c r="F13" s="165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>
        <f t="shared" si="1"/>
        <v>0</v>
      </c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6"/>
      <c r="AS13" s="164">
        <f t="shared" si="2"/>
        <v>0</v>
      </c>
      <c r="AT13" s="164">
        <f t="shared" si="3"/>
        <v>0</v>
      </c>
      <c r="AU13" s="160"/>
      <c r="AV13" s="164">
        <f t="shared" si="4"/>
        <v>0</v>
      </c>
      <c r="AW13" s="161"/>
      <c r="AX13" s="161"/>
      <c r="AY13" s="160"/>
    </row>
    <row r="14" spans="1:51" ht="14.1" customHeight="1">
      <c r="A14" s="160">
        <v>14</v>
      </c>
      <c r="B14" s="159" t="s">
        <v>783</v>
      </c>
      <c r="C14" s="159" t="s">
        <v>782</v>
      </c>
      <c r="D14" s="159"/>
      <c r="F14" s="165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>
        <f t="shared" si="1"/>
        <v>0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6"/>
      <c r="AS14" s="164">
        <f t="shared" si="2"/>
        <v>0</v>
      </c>
      <c r="AT14" s="164">
        <f t="shared" si="3"/>
        <v>0</v>
      </c>
      <c r="AU14" s="160"/>
      <c r="AV14" s="164">
        <f t="shared" si="4"/>
        <v>0</v>
      </c>
      <c r="AW14" s="161"/>
      <c r="AX14" s="161"/>
      <c r="AY14" s="160"/>
    </row>
    <row r="15" spans="1:51" ht="14.1" customHeight="1">
      <c r="A15" s="160">
        <v>15</v>
      </c>
      <c r="B15" s="159" t="s">
        <v>781</v>
      </c>
      <c r="C15" s="159" t="s">
        <v>780</v>
      </c>
      <c r="D15" s="159"/>
      <c r="F15" s="165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>
        <f t="shared" si="1"/>
        <v>0</v>
      </c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6"/>
      <c r="AS15" s="164">
        <f t="shared" si="2"/>
        <v>0</v>
      </c>
      <c r="AT15" s="164">
        <f t="shared" si="3"/>
        <v>0</v>
      </c>
      <c r="AU15" s="160"/>
      <c r="AV15" s="164">
        <f t="shared" si="4"/>
        <v>0</v>
      </c>
      <c r="AW15" s="161"/>
      <c r="AX15" s="161"/>
      <c r="AY15" s="160"/>
    </row>
    <row r="16" spans="1:51" ht="14.1" customHeight="1">
      <c r="A16" s="160">
        <v>16</v>
      </c>
      <c r="B16" s="159" t="s">
        <v>779</v>
      </c>
      <c r="C16" s="159" t="s">
        <v>778</v>
      </c>
      <c r="D16" s="159"/>
      <c r="F16" s="165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>
        <f t="shared" si="1"/>
        <v>0</v>
      </c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6"/>
      <c r="AS16" s="164">
        <f t="shared" si="2"/>
        <v>0</v>
      </c>
      <c r="AT16" s="164">
        <f t="shared" si="3"/>
        <v>0</v>
      </c>
      <c r="AU16" s="160"/>
      <c r="AV16" s="164">
        <f t="shared" si="4"/>
        <v>0</v>
      </c>
      <c r="AW16" s="161"/>
      <c r="AX16" s="161"/>
      <c r="AY16" s="160"/>
    </row>
    <row r="17" spans="1:51" ht="14.1" customHeight="1">
      <c r="A17" s="160">
        <v>17</v>
      </c>
      <c r="B17" s="159" t="s">
        <v>777</v>
      </c>
      <c r="C17" s="159" t="s">
        <v>776</v>
      </c>
      <c r="D17" s="159"/>
      <c r="F17" s="165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>
        <f t="shared" si="1"/>
        <v>0</v>
      </c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6"/>
      <c r="AS17" s="164">
        <f t="shared" si="2"/>
        <v>0</v>
      </c>
      <c r="AT17" s="164">
        <f t="shared" si="3"/>
        <v>0</v>
      </c>
      <c r="AU17" s="160"/>
      <c r="AV17" s="164">
        <f t="shared" si="4"/>
        <v>0</v>
      </c>
      <c r="AW17" s="161"/>
      <c r="AX17" s="161"/>
      <c r="AY17" s="160"/>
    </row>
    <row r="18" spans="1:51" ht="14.1" customHeight="1">
      <c r="A18" s="160">
        <v>18</v>
      </c>
      <c r="B18" s="159" t="s">
        <v>775</v>
      </c>
      <c r="C18" s="159" t="s">
        <v>774</v>
      </c>
      <c r="D18" s="159"/>
      <c r="F18" s="165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>
        <f t="shared" si="1"/>
        <v>0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6"/>
      <c r="AS18" s="164">
        <f t="shared" si="2"/>
        <v>0</v>
      </c>
      <c r="AT18" s="164">
        <f t="shared" si="3"/>
        <v>0</v>
      </c>
      <c r="AU18" s="160"/>
      <c r="AV18" s="164">
        <f t="shared" si="4"/>
        <v>0</v>
      </c>
      <c r="AW18" s="161"/>
      <c r="AX18" s="161"/>
      <c r="AY18" s="160"/>
    </row>
    <row r="19" spans="1:51" ht="14.1" customHeight="1">
      <c r="A19" s="160">
        <v>19</v>
      </c>
      <c r="B19" s="159" t="s">
        <v>773</v>
      </c>
      <c r="C19" s="159" t="s">
        <v>772</v>
      </c>
      <c r="D19" s="159"/>
      <c r="F19" s="165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>
        <f t="shared" si="1"/>
        <v>0</v>
      </c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6"/>
      <c r="AS19" s="164">
        <f t="shared" si="2"/>
        <v>0</v>
      </c>
      <c r="AT19" s="164">
        <f t="shared" si="3"/>
        <v>0</v>
      </c>
      <c r="AU19" s="160"/>
      <c r="AV19" s="164">
        <f t="shared" si="4"/>
        <v>0</v>
      </c>
      <c r="AW19" s="161"/>
      <c r="AX19" s="161"/>
      <c r="AY19" s="160"/>
    </row>
    <row r="20" spans="1:51" ht="14.1" customHeight="1">
      <c r="A20" s="160">
        <v>20</v>
      </c>
      <c r="B20" s="159" t="s">
        <v>771</v>
      </c>
      <c r="C20" s="159" t="s">
        <v>770</v>
      </c>
      <c r="D20" s="159"/>
      <c r="F20" s="165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>
        <f t="shared" si="1"/>
        <v>0</v>
      </c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6"/>
      <c r="AS20" s="164">
        <f t="shared" si="2"/>
        <v>0</v>
      </c>
      <c r="AT20" s="164">
        <f t="shared" si="3"/>
        <v>0</v>
      </c>
      <c r="AU20" s="160"/>
      <c r="AV20" s="164">
        <f t="shared" si="4"/>
        <v>0</v>
      </c>
      <c r="AW20" s="161"/>
      <c r="AX20" s="161"/>
      <c r="AY20" s="160"/>
    </row>
    <row r="21" spans="1:51" ht="14.1" customHeight="1">
      <c r="A21" s="160">
        <v>21</v>
      </c>
      <c r="B21" s="159" t="s">
        <v>769</v>
      </c>
      <c r="C21" s="159" t="s">
        <v>768</v>
      </c>
      <c r="D21" s="159"/>
      <c r="F21" s="165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>
        <f t="shared" si="1"/>
        <v>0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6"/>
      <c r="AS21" s="164">
        <f t="shared" si="2"/>
        <v>0</v>
      </c>
      <c r="AT21" s="164">
        <f t="shared" si="3"/>
        <v>0</v>
      </c>
      <c r="AU21" s="160"/>
      <c r="AV21" s="164">
        <f t="shared" si="4"/>
        <v>0</v>
      </c>
      <c r="AW21" s="161"/>
      <c r="AX21" s="161"/>
      <c r="AY21" s="160"/>
    </row>
    <row r="22" spans="1:51" ht="14.1" customHeight="1">
      <c r="A22" s="160">
        <v>22</v>
      </c>
      <c r="B22" s="159" t="s">
        <v>767</v>
      </c>
      <c r="C22" s="159" t="s">
        <v>766</v>
      </c>
      <c r="D22" s="159"/>
      <c r="F22" s="165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>
        <f t="shared" si="1"/>
        <v>0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6"/>
      <c r="AS22" s="164">
        <f t="shared" si="2"/>
        <v>0</v>
      </c>
      <c r="AT22" s="164">
        <f t="shared" si="3"/>
        <v>0</v>
      </c>
      <c r="AU22" s="160"/>
      <c r="AV22" s="164">
        <f t="shared" si="4"/>
        <v>0</v>
      </c>
      <c r="AW22" s="161"/>
      <c r="AX22" s="161"/>
      <c r="AY22" s="160"/>
    </row>
    <row r="23" spans="1:51" ht="14.1" customHeight="1">
      <c r="A23" s="160">
        <v>23</v>
      </c>
      <c r="B23" s="159" t="s">
        <v>765</v>
      </c>
      <c r="C23" s="159" t="s">
        <v>764</v>
      </c>
      <c r="D23" s="159"/>
      <c r="F23" s="165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>
        <f t="shared" si="1"/>
        <v>0</v>
      </c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6"/>
      <c r="AS23" s="164">
        <f t="shared" si="2"/>
        <v>0</v>
      </c>
      <c r="AT23" s="164">
        <f t="shared" si="3"/>
        <v>0</v>
      </c>
      <c r="AU23" s="160"/>
      <c r="AV23" s="164">
        <f t="shared" si="4"/>
        <v>0</v>
      </c>
      <c r="AW23" s="161"/>
      <c r="AX23" s="161"/>
      <c r="AY23" s="160"/>
    </row>
    <row r="24" spans="1:51" ht="14.1" customHeight="1">
      <c r="A24" s="160">
        <v>24</v>
      </c>
      <c r="B24" s="159" t="s">
        <v>763</v>
      </c>
      <c r="C24" s="159" t="s">
        <v>762</v>
      </c>
      <c r="D24" s="159"/>
      <c r="F24" s="165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>
        <f t="shared" si="1"/>
        <v>0</v>
      </c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6"/>
      <c r="AS24" s="164">
        <f t="shared" si="2"/>
        <v>0</v>
      </c>
      <c r="AT24" s="164">
        <f t="shared" si="3"/>
        <v>0</v>
      </c>
      <c r="AU24" s="160"/>
      <c r="AV24" s="164">
        <f t="shared" si="4"/>
        <v>0</v>
      </c>
      <c r="AW24" s="161"/>
      <c r="AX24" s="161"/>
      <c r="AY24" s="160"/>
    </row>
    <row r="25" spans="1:51" ht="14.1" customHeight="1">
      <c r="A25" s="160">
        <v>25</v>
      </c>
      <c r="B25" s="159" t="s">
        <v>282</v>
      </c>
      <c r="C25" s="159" t="s">
        <v>282</v>
      </c>
      <c r="D25" s="159"/>
      <c r="F25" s="165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>
        <f t="shared" si="1"/>
        <v>0</v>
      </c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6"/>
      <c r="AS25" s="164">
        <f t="shared" si="2"/>
        <v>0</v>
      </c>
      <c r="AT25" s="164">
        <f t="shared" si="3"/>
        <v>0</v>
      </c>
      <c r="AU25" s="160"/>
      <c r="AV25" s="164">
        <f t="shared" si="4"/>
        <v>0</v>
      </c>
      <c r="AW25" s="161"/>
      <c r="AX25" s="161"/>
      <c r="AY25" s="160"/>
    </row>
    <row r="26" spans="1:51" ht="14.1" customHeight="1">
      <c r="A26" s="160">
        <v>26</v>
      </c>
      <c r="B26" s="159" t="s">
        <v>761</v>
      </c>
      <c r="C26" s="159" t="s">
        <v>760</v>
      </c>
      <c r="D26" s="159"/>
      <c r="F26" s="165">
        <v>-1600000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81">
        <v>1928000</v>
      </c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6"/>
      <c r="AS26" s="164">
        <f t="shared" si="2"/>
        <v>1928000</v>
      </c>
      <c r="AT26" s="164">
        <f t="shared" si="3"/>
        <v>328000</v>
      </c>
      <c r="AU26" s="160"/>
      <c r="AV26" s="164">
        <f>ROUND(AT26/1000,0)*1000</f>
        <v>328000</v>
      </c>
      <c r="AW26" s="161"/>
      <c r="AX26" s="161"/>
      <c r="AY26" s="160"/>
    </row>
    <row r="27" spans="1:51" ht="14.1" customHeight="1">
      <c r="A27" s="160">
        <v>27</v>
      </c>
      <c r="B27" s="159" t="s">
        <v>759</v>
      </c>
      <c r="C27" s="159" t="s">
        <v>285</v>
      </c>
      <c r="D27" s="159"/>
      <c r="F27" s="165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65"/>
      <c r="U27" s="165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6"/>
      <c r="AS27" s="164">
        <f t="shared" si="2"/>
        <v>0</v>
      </c>
      <c r="AT27" s="164">
        <f t="shared" si="3"/>
        <v>0</v>
      </c>
      <c r="AU27" s="160"/>
      <c r="AV27" s="164">
        <f t="shared" si="4"/>
        <v>0</v>
      </c>
      <c r="AW27" s="161"/>
      <c r="AX27" s="161"/>
      <c r="AY27" s="160"/>
    </row>
    <row r="28" spans="1:51" s="169" customFormat="1" ht="14.1" customHeight="1">
      <c r="A28" s="160">
        <v>28</v>
      </c>
      <c r="B28" s="172"/>
      <c r="C28" s="172" t="s">
        <v>758</v>
      </c>
      <c r="D28" s="172"/>
      <c r="E28" s="171"/>
      <c r="F28" s="194">
        <f t="shared" ref="F28:AJ28" si="5">SUM(F11:F27)</f>
        <v>98942000</v>
      </c>
      <c r="G28" s="194">
        <f t="shared" si="5"/>
        <v>0</v>
      </c>
      <c r="H28" s="194">
        <f t="shared" si="5"/>
        <v>0</v>
      </c>
      <c r="I28" s="194">
        <f t="shared" si="5"/>
        <v>0</v>
      </c>
      <c r="J28" s="194">
        <f>SUM(J11:J27)</f>
        <v>0</v>
      </c>
      <c r="K28" s="194">
        <f>SUM(K11:K27)</f>
        <v>0</v>
      </c>
      <c r="L28" s="194">
        <f>SUM(L11:L27)</f>
        <v>0</v>
      </c>
      <c r="M28" s="194">
        <f t="shared" si="5"/>
        <v>0</v>
      </c>
      <c r="N28" s="194">
        <f t="shared" si="5"/>
        <v>0</v>
      </c>
      <c r="O28" s="194">
        <f t="shared" si="5"/>
        <v>0</v>
      </c>
      <c r="P28" s="194">
        <f t="shared" si="5"/>
        <v>0</v>
      </c>
      <c r="Q28" s="194">
        <f>SUM(Q11:Q27)</f>
        <v>0</v>
      </c>
      <c r="R28" s="194">
        <f>SUM(R11:R27)</f>
        <v>0</v>
      </c>
      <c r="S28" s="194">
        <f>SUM(S11:S27)</f>
        <v>0</v>
      </c>
      <c r="T28" s="194">
        <f>SUM(T11:T27)</f>
        <v>-1655000</v>
      </c>
      <c r="U28" s="194">
        <f>SUM(U11:U27)</f>
        <v>-45810000</v>
      </c>
      <c r="V28" s="194">
        <f t="shared" si="5"/>
        <v>0</v>
      </c>
      <c r="W28" s="194">
        <f t="shared" ref="W28:AB28" si="6">SUM(W11:W27)</f>
        <v>0</v>
      </c>
      <c r="X28" s="194">
        <f t="shared" si="6"/>
        <v>0</v>
      </c>
      <c r="Y28" s="194">
        <f t="shared" si="6"/>
        <v>0</v>
      </c>
      <c r="Z28" s="194">
        <f t="shared" si="6"/>
        <v>-51148000</v>
      </c>
      <c r="AA28" s="194">
        <f t="shared" si="6"/>
        <v>0</v>
      </c>
      <c r="AB28" s="194">
        <f t="shared" si="6"/>
        <v>0</v>
      </c>
      <c r="AC28" s="194">
        <f t="shared" si="5"/>
        <v>0</v>
      </c>
      <c r="AD28" s="194">
        <f t="shared" si="5"/>
        <v>0</v>
      </c>
      <c r="AE28" s="194">
        <f t="shared" si="5"/>
        <v>0</v>
      </c>
      <c r="AF28" s="194">
        <f t="shared" si="5"/>
        <v>0</v>
      </c>
      <c r="AG28" s="194">
        <f t="shared" si="5"/>
        <v>0</v>
      </c>
      <c r="AH28" s="194">
        <f>SUM(AH11:AH27)</f>
        <v>0</v>
      </c>
      <c r="AI28" s="194">
        <f t="shared" si="5"/>
        <v>0</v>
      </c>
      <c r="AJ28" s="194">
        <f t="shared" si="5"/>
        <v>0</v>
      </c>
      <c r="AK28" s="194">
        <f t="shared" ref="AK28:AQ28" si="7">SUM(AK11:AK27)</f>
        <v>0</v>
      </c>
      <c r="AL28" s="194">
        <f t="shared" si="7"/>
        <v>0</v>
      </c>
      <c r="AM28" s="194">
        <f t="shared" si="7"/>
        <v>0</v>
      </c>
      <c r="AN28" s="194">
        <f t="shared" si="7"/>
        <v>0</v>
      </c>
      <c r="AO28" s="194">
        <f t="shared" si="7"/>
        <v>0</v>
      </c>
      <c r="AP28" s="194">
        <f t="shared" si="7"/>
        <v>0</v>
      </c>
      <c r="AQ28" s="194">
        <f t="shared" si="7"/>
        <v>0</v>
      </c>
      <c r="AR28" s="212"/>
      <c r="AS28" s="212">
        <f>SUM(AS11:AS27)</f>
        <v>-98613000</v>
      </c>
      <c r="AT28" s="212">
        <f>SUM(AT11:AT27)</f>
        <v>329000</v>
      </c>
      <c r="AU28" s="167" t="str">
        <f>IF(ROUND(SUM(F28:AQ28),0)=ROUND(AT28,0),"ok","crossfoot error")</f>
        <v>ok</v>
      </c>
      <c r="AV28" s="212">
        <f>SUM(AV11:AV27)/1000</f>
        <v>329</v>
      </c>
      <c r="AW28" s="161"/>
      <c r="AX28" s="161"/>
      <c r="AY28" s="167"/>
    </row>
    <row r="29" spans="1:51" ht="14.1" customHeight="1">
      <c r="A29" s="160">
        <v>29</v>
      </c>
      <c r="B29" s="159" t="s">
        <v>757</v>
      </c>
      <c r="C29" s="159" t="s">
        <v>756</v>
      </c>
      <c r="D29" s="159"/>
      <c r="E29" s="156"/>
      <c r="F29" s="165">
        <v>-328000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6"/>
      <c r="AS29" s="164">
        <f>SUM(G29:AQ29)</f>
        <v>0</v>
      </c>
      <c r="AT29" s="164">
        <f>F29+AS29</f>
        <v>-328000</v>
      </c>
      <c r="AU29" s="160"/>
      <c r="AV29" s="164">
        <f>ROUND(AT29/1000,0)*1000</f>
        <v>-328000</v>
      </c>
      <c r="AW29" s="161"/>
      <c r="AX29" s="161"/>
      <c r="AY29" s="160"/>
    </row>
    <row r="30" spans="1:51" ht="14.1" customHeight="1">
      <c r="A30" s="160">
        <v>30</v>
      </c>
      <c r="B30" s="211" t="s">
        <v>689</v>
      </c>
      <c r="C30" s="211" t="s">
        <v>755</v>
      </c>
      <c r="D30" s="211"/>
      <c r="E30" s="156"/>
      <c r="F30" s="165">
        <v>87000</v>
      </c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81">
        <v>-3000</v>
      </c>
      <c r="U30" s="181"/>
      <c r="V30" s="157"/>
      <c r="W30" s="157"/>
      <c r="X30" s="157"/>
      <c r="Y30" s="157"/>
      <c r="Z30" s="181"/>
      <c r="AA30" s="181"/>
      <c r="AB30" s="181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6"/>
      <c r="AS30" s="164">
        <f>SUM(G30:AQ30)</f>
        <v>-3000</v>
      </c>
      <c r="AT30" s="164">
        <f>F30+AS30</f>
        <v>84000</v>
      </c>
      <c r="AU30" s="160"/>
      <c r="AV30" s="164">
        <f>ROUND(AT30/1000,0)*1000</f>
        <v>84000</v>
      </c>
      <c r="AW30" s="161"/>
      <c r="AX30" s="161"/>
      <c r="AY30" s="160"/>
    </row>
    <row r="31" spans="1:51" ht="14.1" customHeight="1">
      <c r="A31" s="160">
        <v>31</v>
      </c>
      <c r="B31" s="159" t="s">
        <v>754</v>
      </c>
      <c r="C31" s="159" t="s">
        <v>286</v>
      </c>
      <c r="D31" s="159"/>
      <c r="E31" s="156"/>
      <c r="F31" s="165">
        <v>871000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81"/>
      <c r="U31" s="181"/>
      <c r="V31" s="181"/>
      <c r="W31" s="157"/>
      <c r="X31" s="157"/>
      <c r="Y31" s="157"/>
      <c r="Z31" s="181"/>
      <c r="AA31" s="181"/>
      <c r="AB31" s="181"/>
      <c r="AC31" s="165">
        <v>30000</v>
      </c>
      <c r="AD31" s="165"/>
      <c r="AE31" s="165">
        <v>10000</v>
      </c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6"/>
      <c r="AS31" s="164">
        <f>SUM(G31:AQ31)</f>
        <v>40000</v>
      </c>
      <c r="AT31" s="164">
        <f>F31+AS31</f>
        <v>911000</v>
      </c>
      <c r="AU31" s="160"/>
      <c r="AV31" s="164">
        <f>ROUND(AT31/1000,0)*1000</f>
        <v>911000</v>
      </c>
      <c r="AW31" s="161"/>
      <c r="AX31" s="161"/>
      <c r="AY31" s="160"/>
    </row>
    <row r="32" spans="1:51" s="169" customFormat="1" ht="14.1" customHeight="1">
      <c r="A32" s="160">
        <v>32</v>
      </c>
      <c r="B32" s="172"/>
      <c r="C32" s="172" t="s">
        <v>287</v>
      </c>
      <c r="D32" s="172"/>
      <c r="E32" s="171"/>
      <c r="F32" s="174">
        <f>SUM(F28:F31)</f>
        <v>99572000</v>
      </c>
      <c r="G32" s="174">
        <f t="shared" ref="G32:AJ32" si="8">SUM(G28:G31)</f>
        <v>0</v>
      </c>
      <c r="H32" s="174">
        <f t="shared" si="8"/>
        <v>0</v>
      </c>
      <c r="I32" s="174">
        <f t="shared" si="8"/>
        <v>0</v>
      </c>
      <c r="J32" s="174">
        <f>SUM(J28:J31)</f>
        <v>0</v>
      </c>
      <c r="K32" s="174">
        <f>SUM(K28:K31)</f>
        <v>0</v>
      </c>
      <c r="L32" s="174">
        <f>SUM(L28:L31)</f>
        <v>0</v>
      </c>
      <c r="M32" s="174">
        <f t="shared" si="8"/>
        <v>0</v>
      </c>
      <c r="N32" s="174">
        <f t="shared" si="8"/>
        <v>0</v>
      </c>
      <c r="O32" s="174">
        <f t="shared" si="8"/>
        <v>0</v>
      </c>
      <c r="P32" s="174">
        <f t="shared" si="8"/>
        <v>0</v>
      </c>
      <c r="Q32" s="174">
        <f>SUM(Q28:Q31)</f>
        <v>0</v>
      </c>
      <c r="R32" s="174">
        <f>SUM(R28:R31)</f>
        <v>0</v>
      </c>
      <c r="S32" s="174">
        <f>SUM(S28:S31)</f>
        <v>0</v>
      </c>
      <c r="T32" s="174">
        <f>SUM(T28:T31)</f>
        <v>-1658000</v>
      </c>
      <c r="U32" s="174">
        <f>SUM(U28:U31)</f>
        <v>-45810000</v>
      </c>
      <c r="V32" s="174">
        <f t="shared" si="8"/>
        <v>0</v>
      </c>
      <c r="W32" s="174">
        <f t="shared" ref="W32:AB32" si="9">SUM(W28:W31)</f>
        <v>0</v>
      </c>
      <c r="X32" s="174">
        <f t="shared" si="9"/>
        <v>0</v>
      </c>
      <c r="Y32" s="174">
        <f t="shared" si="9"/>
        <v>0</v>
      </c>
      <c r="Z32" s="174">
        <f t="shared" si="9"/>
        <v>-51148000</v>
      </c>
      <c r="AA32" s="174">
        <f t="shared" si="9"/>
        <v>0</v>
      </c>
      <c r="AB32" s="174">
        <f t="shared" si="9"/>
        <v>0</v>
      </c>
      <c r="AC32" s="174">
        <f t="shared" si="8"/>
        <v>30000</v>
      </c>
      <c r="AD32" s="174">
        <f t="shared" si="8"/>
        <v>0</v>
      </c>
      <c r="AE32" s="174">
        <f t="shared" si="8"/>
        <v>10000</v>
      </c>
      <c r="AF32" s="174">
        <f t="shared" si="8"/>
        <v>0</v>
      </c>
      <c r="AG32" s="174">
        <f t="shared" si="8"/>
        <v>0</v>
      </c>
      <c r="AH32" s="174">
        <f>SUM(AH28:AH31)</f>
        <v>0</v>
      </c>
      <c r="AI32" s="174">
        <f t="shared" si="8"/>
        <v>0</v>
      </c>
      <c r="AJ32" s="174">
        <f t="shared" si="8"/>
        <v>0</v>
      </c>
      <c r="AK32" s="174">
        <f t="shared" ref="AK32:AQ32" si="10">SUM(AK28:AK31)</f>
        <v>0</v>
      </c>
      <c r="AL32" s="174">
        <f t="shared" si="10"/>
        <v>0</v>
      </c>
      <c r="AM32" s="174">
        <f t="shared" si="10"/>
        <v>0</v>
      </c>
      <c r="AN32" s="174">
        <f t="shared" si="10"/>
        <v>0</v>
      </c>
      <c r="AO32" s="174">
        <f t="shared" si="10"/>
        <v>0</v>
      </c>
      <c r="AP32" s="174">
        <f t="shared" si="10"/>
        <v>0</v>
      </c>
      <c r="AQ32" s="174">
        <f t="shared" si="10"/>
        <v>0</v>
      </c>
      <c r="AR32" s="173"/>
      <c r="AS32" s="173">
        <f>SUM(AS28:AS31)</f>
        <v>-98576000</v>
      </c>
      <c r="AT32" s="173">
        <f>SUM(AT28:AT31)</f>
        <v>996000</v>
      </c>
      <c r="AU32" s="167" t="str">
        <f>IF(ROUND(SUM(F32:AQ32),0)=ROUND(AT32,0),"ok","crossfoot error")</f>
        <v>ok</v>
      </c>
      <c r="AV32" s="173">
        <f>AV28+SUM(AV29:AV31)/1000</f>
        <v>996</v>
      </c>
      <c r="AW32" s="162">
        <f>'[2]ADJ DETAIL INPUT'!$AU$24</f>
        <v>996</v>
      </c>
      <c r="AX32" s="161">
        <f>AV32-AW32</f>
        <v>0</v>
      </c>
      <c r="AY32" s="167"/>
    </row>
    <row r="33" spans="1:51" ht="14.1" customHeight="1">
      <c r="A33" s="160">
        <v>33</v>
      </c>
      <c r="B33" s="159"/>
      <c r="C33" s="159"/>
      <c r="D33" s="159"/>
      <c r="E33" s="15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6"/>
      <c r="AS33" s="206"/>
      <c r="AT33" s="206"/>
      <c r="AU33" s="160"/>
      <c r="AV33" s="206"/>
      <c r="AW33" s="161"/>
      <c r="AX33" s="161"/>
      <c r="AY33" s="160"/>
    </row>
    <row r="34" spans="1:51" ht="14.1" customHeight="1">
      <c r="A34" s="160">
        <v>34</v>
      </c>
      <c r="B34" s="159"/>
      <c r="C34" s="172" t="s">
        <v>288</v>
      </c>
      <c r="D34" s="159"/>
      <c r="E34" s="156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6"/>
      <c r="AS34" s="164"/>
      <c r="AT34" s="164"/>
      <c r="AU34" s="160"/>
      <c r="AV34" s="164"/>
      <c r="AW34" s="161"/>
      <c r="AX34" s="161"/>
      <c r="AY34" s="160"/>
    </row>
    <row r="35" spans="1:51" ht="14.1" customHeight="1">
      <c r="A35" s="160">
        <v>35</v>
      </c>
      <c r="B35" s="159" t="s">
        <v>299</v>
      </c>
      <c r="C35" s="159" t="s">
        <v>1</v>
      </c>
      <c r="D35" s="159"/>
      <c r="E35" s="156"/>
      <c r="F35" s="165">
        <v>14000</v>
      </c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65"/>
      <c r="AA35" s="165"/>
      <c r="AB35" s="165"/>
      <c r="AC35" s="165"/>
      <c r="AD35" s="157"/>
      <c r="AE35" s="165"/>
      <c r="AF35" s="157"/>
      <c r="AG35" s="157"/>
      <c r="AH35" s="157"/>
      <c r="AI35" s="165"/>
      <c r="AJ35" s="165"/>
      <c r="AK35" s="165"/>
      <c r="AL35" s="165"/>
      <c r="AM35" s="165"/>
      <c r="AN35" s="165"/>
      <c r="AO35" s="165"/>
      <c r="AP35" s="165"/>
      <c r="AQ35" s="165"/>
      <c r="AR35" s="156"/>
      <c r="AS35" s="164">
        <f>SUM(G35:AQ35)</f>
        <v>0</v>
      </c>
      <c r="AT35" s="164">
        <f t="shared" ref="AT35:AT45" si="11">F35+AS35</f>
        <v>14000</v>
      </c>
      <c r="AU35" s="160"/>
      <c r="AV35" s="164">
        <f>ROUND(AT35/1000,0)*1000</f>
        <v>14000</v>
      </c>
      <c r="AW35" s="161"/>
      <c r="AX35" s="161"/>
      <c r="AY35" s="160"/>
    </row>
    <row r="36" spans="1:51" ht="14.1" customHeight="1">
      <c r="A36" s="160">
        <v>36</v>
      </c>
      <c r="B36" s="159" t="s">
        <v>300</v>
      </c>
      <c r="C36" s="159" t="s">
        <v>290</v>
      </c>
      <c r="D36" s="159"/>
      <c r="E36" s="156"/>
      <c r="F36" s="165">
        <v>0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65"/>
      <c r="AA36" s="165"/>
      <c r="AB36" s="165"/>
      <c r="AC36" s="157"/>
      <c r="AD36" s="157"/>
      <c r="AE36" s="157"/>
      <c r="AF36" s="157"/>
      <c r="AG36" s="157"/>
      <c r="AH36" s="157"/>
      <c r="AI36" s="165"/>
      <c r="AJ36" s="165"/>
      <c r="AK36" s="165"/>
      <c r="AL36" s="165"/>
      <c r="AM36" s="165"/>
      <c r="AN36" s="165"/>
      <c r="AO36" s="165"/>
      <c r="AP36" s="165"/>
      <c r="AQ36" s="165"/>
      <c r="AR36" s="156"/>
      <c r="AS36" s="164">
        <f t="shared" ref="AS36:AS45" si="12">SUM(G36:AQ36)</f>
        <v>0</v>
      </c>
      <c r="AT36" s="164">
        <f t="shared" si="11"/>
        <v>0</v>
      </c>
      <c r="AU36" s="160"/>
      <c r="AV36" s="164"/>
      <c r="AW36" s="161"/>
      <c r="AX36" s="161"/>
      <c r="AY36" s="160"/>
    </row>
    <row r="37" spans="1:51" ht="14.1" customHeight="1">
      <c r="A37" s="160">
        <v>37</v>
      </c>
      <c r="B37" s="159" t="s">
        <v>301</v>
      </c>
      <c r="C37" s="159" t="s">
        <v>291</v>
      </c>
      <c r="D37" s="159"/>
      <c r="E37" s="156"/>
      <c r="F37" s="165">
        <v>0</v>
      </c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65"/>
      <c r="AA37" s="165"/>
      <c r="AB37" s="165"/>
      <c r="AC37" s="157"/>
      <c r="AD37" s="157"/>
      <c r="AE37" s="157"/>
      <c r="AF37" s="157"/>
      <c r="AG37" s="157"/>
      <c r="AH37" s="157"/>
      <c r="AI37" s="165"/>
      <c r="AJ37" s="165"/>
      <c r="AK37" s="165"/>
      <c r="AL37" s="165"/>
      <c r="AM37" s="165"/>
      <c r="AN37" s="165"/>
      <c r="AO37" s="165"/>
      <c r="AP37" s="165"/>
      <c r="AQ37" s="165"/>
      <c r="AR37" s="156"/>
      <c r="AS37" s="164">
        <f t="shared" si="12"/>
        <v>0</v>
      </c>
      <c r="AT37" s="164">
        <f t="shared" si="11"/>
        <v>0</v>
      </c>
      <c r="AU37" s="160"/>
      <c r="AV37" s="164"/>
      <c r="AW37" s="161"/>
      <c r="AX37" s="161"/>
      <c r="AY37" s="160"/>
    </row>
    <row r="38" spans="1:51" ht="14.1" customHeight="1">
      <c r="A38" s="160">
        <v>38</v>
      </c>
      <c r="B38" s="159" t="s">
        <v>302</v>
      </c>
      <c r="C38" s="159" t="s">
        <v>292</v>
      </c>
      <c r="D38" s="159"/>
      <c r="E38" s="156"/>
      <c r="F38" s="165">
        <v>0</v>
      </c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65"/>
      <c r="AA38" s="165"/>
      <c r="AB38" s="165"/>
      <c r="AC38" s="157"/>
      <c r="AD38" s="157"/>
      <c r="AE38" s="157"/>
      <c r="AF38" s="157"/>
      <c r="AG38" s="157"/>
      <c r="AH38" s="157"/>
      <c r="AI38" s="165"/>
      <c r="AJ38" s="165"/>
      <c r="AK38" s="165"/>
      <c r="AL38" s="165"/>
      <c r="AM38" s="165"/>
      <c r="AN38" s="165"/>
      <c r="AO38" s="165"/>
      <c r="AP38" s="165"/>
      <c r="AQ38" s="165"/>
      <c r="AR38" s="156"/>
      <c r="AS38" s="164">
        <f t="shared" si="12"/>
        <v>0</v>
      </c>
      <c r="AT38" s="164">
        <f t="shared" si="11"/>
        <v>0</v>
      </c>
      <c r="AU38" s="160"/>
      <c r="AV38" s="164"/>
      <c r="AW38" s="161"/>
      <c r="AX38" s="161"/>
      <c r="AY38" s="160"/>
    </row>
    <row r="39" spans="1:51" ht="14.1" customHeight="1">
      <c r="A39" s="160">
        <v>39</v>
      </c>
      <c r="B39" s="159" t="s">
        <v>303</v>
      </c>
      <c r="C39" s="159" t="s">
        <v>293</v>
      </c>
      <c r="D39" s="159"/>
      <c r="E39" s="156"/>
      <c r="F39" s="165">
        <v>0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65"/>
      <c r="AA39" s="165"/>
      <c r="AB39" s="165"/>
      <c r="AC39" s="157"/>
      <c r="AD39" s="157"/>
      <c r="AE39" s="157"/>
      <c r="AF39" s="157"/>
      <c r="AG39" s="157"/>
      <c r="AH39" s="157"/>
      <c r="AI39" s="165"/>
      <c r="AJ39" s="165"/>
      <c r="AK39" s="165"/>
      <c r="AL39" s="165"/>
      <c r="AM39" s="165"/>
      <c r="AN39" s="165"/>
      <c r="AO39" s="165"/>
      <c r="AP39" s="165"/>
      <c r="AQ39" s="165"/>
      <c r="AR39" s="156"/>
      <c r="AS39" s="164">
        <f t="shared" si="12"/>
        <v>0</v>
      </c>
      <c r="AT39" s="164">
        <f t="shared" si="11"/>
        <v>0</v>
      </c>
      <c r="AU39" s="160"/>
      <c r="AV39" s="164"/>
      <c r="AW39" s="161"/>
      <c r="AX39" s="161"/>
      <c r="AY39" s="160"/>
    </row>
    <row r="40" spans="1:51" ht="14.1" customHeight="1">
      <c r="A40" s="160">
        <v>40</v>
      </c>
      <c r="B40" s="159" t="s">
        <v>304</v>
      </c>
      <c r="C40" s="159" t="s">
        <v>294</v>
      </c>
      <c r="D40" s="159"/>
      <c r="E40" s="156"/>
      <c r="F40" s="165">
        <v>0</v>
      </c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65"/>
      <c r="AA40" s="165"/>
      <c r="AB40" s="165"/>
      <c r="AC40" s="157"/>
      <c r="AD40" s="157"/>
      <c r="AE40" s="157"/>
      <c r="AF40" s="157"/>
      <c r="AG40" s="157"/>
      <c r="AH40" s="157"/>
      <c r="AI40" s="165"/>
      <c r="AJ40" s="165"/>
      <c r="AK40" s="165"/>
      <c r="AL40" s="165"/>
      <c r="AM40" s="165"/>
      <c r="AN40" s="165"/>
      <c r="AO40" s="165"/>
      <c r="AP40" s="165"/>
      <c r="AQ40" s="165"/>
      <c r="AR40" s="156"/>
      <c r="AS40" s="164">
        <f t="shared" si="12"/>
        <v>0</v>
      </c>
      <c r="AT40" s="164">
        <f t="shared" si="11"/>
        <v>0</v>
      </c>
      <c r="AU40" s="160"/>
      <c r="AV40" s="164"/>
      <c r="AW40" s="161"/>
      <c r="AX40" s="161"/>
      <c r="AY40" s="160"/>
    </row>
    <row r="41" spans="1:51" ht="14.1" customHeight="1">
      <c r="A41" s="160">
        <v>41</v>
      </c>
      <c r="B41" s="159" t="s">
        <v>305</v>
      </c>
      <c r="C41" s="159" t="s">
        <v>295</v>
      </c>
      <c r="D41" s="159"/>
      <c r="E41" s="156"/>
      <c r="F41" s="165">
        <v>0</v>
      </c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65"/>
      <c r="AA41" s="165"/>
      <c r="AB41" s="165"/>
      <c r="AC41" s="157"/>
      <c r="AD41" s="157"/>
      <c r="AE41" s="157"/>
      <c r="AF41" s="157"/>
      <c r="AG41" s="157"/>
      <c r="AH41" s="157"/>
      <c r="AI41" s="165"/>
      <c r="AJ41" s="165"/>
      <c r="AK41" s="165"/>
      <c r="AL41" s="165"/>
      <c r="AM41" s="165"/>
      <c r="AN41" s="165"/>
      <c r="AO41" s="165"/>
      <c r="AP41" s="165"/>
      <c r="AQ41" s="165"/>
      <c r="AR41" s="156"/>
      <c r="AS41" s="164">
        <f t="shared" si="12"/>
        <v>0</v>
      </c>
      <c r="AT41" s="164">
        <f t="shared" si="11"/>
        <v>0</v>
      </c>
      <c r="AU41" s="160"/>
      <c r="AV41" s="164"/>
      <c r="AW41" s="161"/>
      <c r="AX41" s="161"/>
      <c r="AY41" s="160"/>
    </row>
    <row r="42" spans="1:51" ht="14.1" customHeight="1">
      <c r="A42" s="160">
        <v>42</v>
      </c>
      <c r="B42" s="159" t="s">
        <v>306</v>
      </c>
      <c r="C42" s="159" t="s">
        <v>296</v>
      </c>
      <c r="D42" s="159"/>
      <c r="E42" s="156"/>
      <c r="F42" s="165">
        <v>0</v>
      </c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65"/>
      <c r="AA42" s="165"/>
      <c r="AB42" s="165"/>
      <c r="AC42" s="157"/>
      <c r="AD42" s="157"/>
      <c r="AE42" s="157"/>
      <c r="AF42" s="157"/>
      <c r="AG42" s="157"/>
      <c r="AH42" s="157"/>
      <c r="AI42" s="165"/>
      <c r="AJ42" s="165"/>
      <c r="AK42" s="165"/>
      <c r="AL42" s="165"/>
      <c r="AM42" s="165"/>
      <c r="AN42" s="165"/>
      <c r="AO42" s="165"/>
      <c r="AP42" s="165"/>
      <c r="AQ42" s="165"/>
      <c r="AR42" s="156"/>
      <c r="AS42" s="164">
        <f t="shared" si="12"/>
        <v>0</v>
      </c>
      <c r="AT42" s="164">
        <f t="shared" si="11"/>
        <v>0</v>
      </c>
      <c r="AU42" s="160"/>
      <c r="AV42" s="164"/>
      <c r="AW42" s="161"/>
      <c r="AX42" s="161"/>
      <c r="AY42" s="160"/>
    </row>
    <row r="43" spans="1:51" ht="14.1" customHeight="1">
      <c r="A43" s="160">
        <v>43</v>
      </c>
      <c r="B43" s="159" t="s">
        <v>307</v>
      </c>
      <c r="C43" s="159" t="s">
        <v>297</v>
      </c>
      <c r="D43" s="159"/>
      <c r="E43" s="156"/>
      <c r="F43" s="165">
        <v>479000</v>
      </c>
      <c r="G43" s="157"/>
      <c r="H43" s="157"/>
      <c r="I43" s="181"/>
      <c r="J43" s="181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65"/>
      <c r="AA43" s="165"/>
      <c r="AB43" s="165"/>
      <c r="AC43" s="157"/>
      <c r="AD43" s="157"/>
      <c r="AE43" s="157"/>
      <c r="AF43" s="157"/>
      <c r="AG43" s="157"/>
      <c r="AH43" s="157"/>
      <c r="AI43" s="165"/>
      <c r="AJ43" s="165"/>
      <c r="AK43" s="165"/>
      <c r="AL43" s="165"/>
      <c r="AM43" s="165"/>
      <c r="AN43" s="165"/>
      <c r="AO43" s="165"/>
      <c r="AP43" s="165"/>
      <c r="AQ43" s="165"/>
      <c r="AR43" s="156"/>
      <c r="AS43" s="164">
        <f t="shared" si="12"/>
        <v>0</v>
      </c>
      <c r="AT43" s="164">
        <f t="shared" si="11"/>
        <v>479000</v>
      </c>
      <c r="AU43" s="160"/>
      <c r="AV43" s="164">
        <f>ROUND(AT43/1000,0)*1000</f>
        <v>479000</v>
      </c>
      <c r="AW43" s="161"/>
      <c r="AX43" s="161"/>
      <c r="AY43" s="160"/>
    </row>
    <row r="44" spans="1:51" ht="14.1" customHeight="1">
      <c r="A44" s="160">
        <v>44</v>
      </c>
      <c r="B44" s="159" t="s">
        <v>308</v>
      </c>
      <c r="C44" s="159" t="s">
        <v>298</v>
      </c>
      <c r="D44" s="159"/>
      <c r="E44" s="156"/>
      <c r="F44" s="165">
        <v>0</v>
      </c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65"/>
      <c r="AA44" s="165"/>
      <c r="AB44" s="165"/>
      <c r="AC44" s="157"/>
      <c r="AD44" s="157"/>
      <c r="AE44" s="157"/>
      <c r="AF44" s="157"/>
      <c r="AG44" s="157"/>
      <c r="AH44" s="157"/>
      <c r="AI44" s="165"/>
      <c r="AJ44" s="165"/>
      <c r="AK44" s="165"/>
      <c r="AL44" s="165"/>
      <c r="AM44" s="165"/>
      <c r="AN44" s="165"/>
      <c r="AO44" s="165"/>
      <c r="AP44" s="165"/>
      <c r="AQ44" s="165"/>
      <c r="AR44" s="156"/>
      <c r="AS44" s="164">
        <f t="shared" si="12"/>
        <v>0</v>
      </c>
      <c r="AT44" s="164">
        <f t="shared" si="11"/>
        <v>0</v>
      </c>
      <c r="AU44" s="160"/>
      <c r="AV44" s="164"/>
      <c r="AW44" s="161"/>
      <c r="AX44" s="161"/>
      <c r="AY44" s="160"/>
    </row>
    <row r="45" spans="1:51" ht="14.1" customHeight="1">
      <c r="A45" s="160">
        <v>45</v>
      </c>
      <c r="B45" s="159" t="s">
        <v>309</v>
      </c>
      <c r="C45" s="159" t="s">
        <v>2</v>
      </c>
      <c r="D45" s="159"/>
      <c r="E45" s="156"/>
      <c r="F45" s="165">
        <v>0</v>
      </c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65"/>
      <c r="AA45" s="165"/>
      <c r="AB45" s="165"/>
      <c r="AC45" s="157"/>
      <c r="AD45" s="157"/>
      <c r="AE45" s="157"/>
      <c r="AF45" s="157"/>
      <c r="AG45" s="157"/>
      <c r="AH45" s="157"/>
      <c r="AI45" s="165"/>
      <c r="AJ45" s="165"/>
      <c r="AK45" s="165"/>
      <c r="AL45" s="165"/>
      <c r="AM45" s="165"/>
      <c r="AN45" s="165"/>
      <c r="AO45" s="165"/>
      <c r="AP45" s="165"/>
      <c r="AQ45" s="165"/>
      <c r="AR45" s="156"/>
      <c r="AS45" s="164">
        <f t="shared" si="12"/>
        <v>0</v>
      </c>
      <c r="AT45" s="164">
        <f t="shared" si="11"/>
        <v>0</v>
      </c>
      <c r="AU45" s="160"/>
      <c r="AV45" s="164"/>
      <c r="AW45" s="161"/>
      <c r="AX45" s="161"/>
      <c r="AY45" s="160"/>
    </row>
    <row r="46" spans="1:51" ht="14.1" customHeight="1">
      <c r="A46" s="160">
        <v>46</v>
      </c>
      <c r="B46" s="159"/>
      <c r="C46" s="159"/>
      <c r="D46" s="159"/>
      <c r="E46" s="156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65"/>
      <c r="AA46" s="165"/>
      <c r="AB46" s="165"/>
      <c r="AC46" s="157"/>
      <c r="AD46" s="157"/>
      <c r="AE46" s="157"/>
      <c r="AF46" s="157"/>
      <c r="AG46" s="157"/>
      <c r="AH46" s="157"/>
      <c r="AI46" s="165"/>
      <c r="AJ46" s="165"/>
      <c r="AK46" s="165"/>
      <c r="AL46" s="165"/>
      <c r="AM46" s="165"/>
      <c r="AN46" s="165"/>
      <c r="AO46" s="165"/>
      <c r="AP46" s="165"/>
      <c r="AQ46" s="165"/>
      <c r="AR46" s="156"/>
      <c r="AS46" s="164"/>
      <c r="AT46" s="164"/>
      <c r="AU46" s="160"/>
      <c r="AV46" s="164"/>
      <c r="AW46" s="161"/>
      <c r="AX46" s="161"/>
      <c r="AY46" s="160"/>
    </row>
    <row r="47" spans="1:51" ht="14.1" customHeight="1">
      <c r="A47" s="160">
        <v>47</v>
      </c>
      <c r="B47" s="159" t="s">
        <v>310</v>
      </c>
      <c r="C47" s="159" t="s">
        <v>1</v>
      </c>
      <c r="D47" s="159"/>
      <c r="E47" s="156"/>
      <c r="F47" s="165">
        <v>0</v>
      </c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65"/>
      <c r="AA47" s="165"/>
      <c r="AB47" s="165"/>
      <c r="AC47" s="157"/>
      <c r="AD47" s="157"/>
      <c r="AE47" s="157"/>
      <c r="AF47" s="157"/>
      <c r="AG47" s="157"/>
      <c r="AH47" s="157"/>
      <c r="AI47" s="165"/>
      <c r="AJ47" s="165"/>
      <c r="AK47" s="165"/>
      <c r="AL47" s="165"/>
      <c r="AM47" s="165"/>
      <c r="AN47" s="165"/>
      <c r="AO47" s="165"/>
      <c r="AP47" s="165"/>
      <c r="AQ47" s="165"/>
      <c r="AR47" s="156"/>
      <c r="AS47" s="164">
        <f>SUM(G47:AQ47)</f>
        <v>0</v>
      </c>
      <c r="AT47" s="164">
        <f t="shared" ref="AT47:AT54" si="13">F47+AS47</f>
        <v>0</v>
      </c>
      <c r="AU47" s="160"/>
      <c r="AV47" s="164"/>
      <c r="AW47" s="161"/>
      <c r="AX47" s="161"/>
      <c r="AY47" s="160"/>
    </row>
    <row r="48" spans="1:51" ht="14.1" customHeight="1">
      <c r="A48" s="160">
        <v>48</v>
      </c>
      <c r="B48" s="159" t="s">
        <v>311</v>
      </c>
      <c r="C48" s="159" t="s">
        <v>290</v>
      </c>
      <c r="D48" s="159"/>
      <c r="E48" s="156"/>
      <c r="F48" s="165">
        <v>0</v>
      </c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65"/>
      <c r="AA48" s="165"/>
      <c r="AB48" s="165"/>
      <c r="AC48" s="157"/>
      <c r="AD48" s="157"/>
      <c r="AE48" s="157"/>
      <c r="AF48" s="157"/>
      <c r="AG48" s="157"/>
      <c r="AH48" s="157"/>
      <c r="AI48" s="165"/>
      <c r="AJ48" s="165"/>
      <c r="AK48" s="165"/>
      <c r="AL48" s="165"/>
      <c r="AM48" s="165"/>
      <c r="AN48" s="165"/>
      <c r="AO48" s="165"/>
      <c r="AP48" s="165"/>
      <c r="AQ48" s="165"/>
      <c r="AR48" s="156"/>
      <c r="AS48" s="164">
        <f t="shared" ref="AS48:AS54" si="14">SUM(G48:AQ48)</f>
        <v>0</v>
      </c>
      <c r="AT48" s="164">
        <f t="shared" si="13"/>
        <v>0</v>
      </c>
      <c r="AU48" s="160"/>
      <c r="AV48" s="164"/>
      <c r="AW48" s="161"/>
      <c r="AX48" s="161"/>
      <c r="AY48" s="160"/>
    </row>
    <row r="49" spans="1:51" ht="14.1" customHeight="1">
      <c r="A49" s="160">
        <v>49</v>
      </c>
      <c r="B49" s="159" t="s">
        <v>312</v>
      </c>
      <c r="C49" s="159" t="s">
        <v>291</v>
      </c>
      <c r="D49" s="159"/>
      <c r="E49" s="156"/>
      <c r="F49" s="165">
        <v>0</v>
      </c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65"/>
      <c r="AA49" s="165"/>
      <c r="AB49" s="165"/>
      <c r="AC49" s="157"/>
      <c r="AD49" s="157"/>
      <c r="AE49" s="157"/>
      <c r="AF49" s="157"/>
      <c r="AG49" s="157"/>
      <c r="AH49" s="157"/>
      <c r="AI49" s="165"/>
      <c r="AJ49" s="165"/>
      <c r="AK49" s="165"/>
      <c r="AL49" s="165"/>
      <c r="AM49" s="165"/>
      <c r="AN49" s="165"/>
      <c r="AO49" s="165"/>
      <c r="AP49" s="165"/>
      <c r="AQ49" s="165"/>
      <c r="AR49" s="156"/>
      <c r="AS49" s="164">
        <f t="shared" si="14"/>
        <v>0</v>
      </c>
      <c r="AT49" s="164">
        <f t="shared" si="13"/>
        <v>0</v>
      </c>
      <c r="AU49" s="160"/>
      <c r="AV49" s="164"/>
      <c r="AW49" s="161"/>
      <c r="AX49" s="161"/>
      <c r="AY49" s="160"/>
    </row>
    <row r="50" spans="1:51" ht="14.1" customHeight="1">
      <c r="A50" s="160">
        <v>50</v>
      </c>
      <c r="B50" s="159" t="s">
        <v>313</v>
      </c>
      <c r="C50" s="159" t="s">
        <v>292</v>
      </c>
      <c r="D50" s="159"/>
      <c r="E50" s="156"/>
      <c r="F50" s="165">
        <v>0</v>
      </c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65"/>
      <c r="AA50" s="165"/>
      <c r="AB50" s="165"/>
      <c r="AC50" s="157"/>
      <c r="AD50" s="157"/>
      <c r="AE50" s="157"/>
      <c r="AF50" s="157"/>
      <c r="AG50" s="157"/>
      <c r="AH50" s="157"/>
      <c r="AI50" s="165"/>
      <c r="AJ50" s="165"/>
      <c r="AK50" s="165"/>
      <c r="AL50" s="165"/>
      <c r="AM50" s="165"/>
      <c r="AN50" s="165"/>
      <c r="AO50" s="165"/>
      <c r="AP50" s="165"/>
      <c r="AQ50" s="165"/>
      <c r="AR50" s="156"/>
      <c r="AS50" s="164">
        <f t="shared" si="14"/>
        <v>0</v>
      </c>
      <c r="AT50" s="164">
        <f t="shared" si="13"/>
        <v>0</v>
      </c>
      <c r="AU50" s="160"/>
      <c r="AV50" s="164"/>
      <c r="AW50" s="161"/>
      <c r="AX50" s="161"/>
      <c r="AY50" s="160"/>
    </row>
    <row r="51" spans="1:51" ht="14.1" customHeight="1">
      <c r="A51" s="160">
        <v>51</v>
      </c>
      <c r="B51" s="159" t="s">
        <v>314</v>
      </c>
      <c r="C51" s="159" t="s">
        <v>293</v>
      </c>
      <c r="D51" s="159"/>
      <c r="E51" s="156"/>
      <c r="F51" s="165">
        <v>0</v>
      </c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65"/>
      <c r="AA51" s="165"/>
      <c r="AB51" s="165"/>
      <c r="AC51" s="157"/>
      <c r="AD51" s="157"/>
      <c r="AE51" s="157"/>
      <c r="AF51" s="157"/>
      <c r="AG51" s="157"/>
      <c r="AH51" s="157"/>
      <c r="AI51" s="165"/>
      <c r="AJ51" s="165"/>
      <c r="AK51" s="165"/>
      <c r="AL51" s="165"/>
      <c r="AM51" s="165"/>
      <c r="AN51" s="165"/>
      <c r="AO51" s="165"/>
      <c r="AP51" s="165"/>
      <c r="AQ51" s="165"/>
      <c r="AR51" s="156"/>
      <c r="AS51" s="164">
        <f t="shared" si="14"/>
        <v>0</v>
      </c>
      <c r="AT51" s="164">
        <f t="shared" si="13"/>
        <v>0</v>
      </c>
      <c r="AU51" s="160"/>
      <c r="AV51" s="164"/>
      <c r="AW51" s="161"/>
      <c r="AX51" s="161"/>
      <c r="AY51" s="160"/>
    </row>
    <row r="52" spans="1:51" ht="14.1" customHeight="1">
      <c r="A52" s="160">
        <v>52</v>
      </c>
      <c r="B52" s="159" t="s">
        <v>315</v>
      </c>
      <c r="C52" s="159" t="s">
        <v>294</v>
      </c>
      <c r="D52" s="159"/>
      <c r="E52" s="156"/>
      <c r="F52" s="165">
        <v>0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65"/>
      <c r="AA52" s="165"/>
      <c r="AB52" s="165"/>
      <c r="AC52" s="157"/>
      <c r="AD52" s="157"/>
      <c r="AE52" s="157"/>
      <c r="AF52" s="157"/>
      <c r="AG52" s="157"/>
      <c r="AH52" s="157"/>
      <c r="AI52" s="165"/>
      <c r="AJ52" s="165"/>
      <c r="AK52" s="165"/>
      <c r="AL52" s="165"/>
      <c r="AM52" s="165"/>
      <c r="AN52" s="165"/>
      <c r="AO52" s="165"/>
      <c r="AP52" s="165"/>
      <c r="AQ52" s="165"/>
      <c r="AR52" s="156"/>
      <c r="AS52" s="164">
        <f t="shared" si="14"/>
        <v>0</v>
      </c>
      <c r="AT52" s="164">
        <f t="shared" si="13"/>
        <v>0</v>
      </c>
      <c r="AU52" s="160"/>
      <c r="AV52" s="164"/>
      <c r="AW52" s="161"/>
      <c r="AX52" s="161"/>
      <c r="AY52" s="160"/>
    </row>
    <row r="53" spans="1:51" ht="14.1" customHeight="1">
      <c r="A53" s="160">
        <v>53</v>
      </c>
      <c r="B53" s="159" t="s">
        <v>316</v>
      </c>
      <c r="C53" s="159" t="s">
        <v>318</v>
      </c>
      <c r="D53" s="159"/>
      <c r="E53" s="156"/>
      <c r="F53" s="165">
        <v>0</v>
      </c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65"/>
      <c r="AA53" s="165"/>
      <c r="AB53" s="165"/>
      <c r="AC53" s="157"/>
      <c r="AD53" s="157"/>
      <c r="AE53" s="157"/>
      <c r="AF53" s="157"/>
      <c r="AG53" s="157"/>
      <c r="AH53" s="157"/>
      <c r="AI53" s="165"/>
      <c r="AJ53" s="165"/>
      <c r="AK53" s="165"/>
      <c r="AL53" s="165"/>
      <c r="AM53" s="165"/>
      <c r="AN53" s="165"/>
      <c r="AO53" s="165"/>
      <c r="AP53" s="165"/>
      <c r="AQ53" s="165"/>
      <c r="AR53" s="156"/>
      <c r="AS53" s="164">
        <f t="shared" si="14"/>
        <v>0</v>
      </c>
      <c r="AT53" s="164">
        <f t="shared" si="13"/>
        <v>0</v>
      </c>
      <c r="AU53" s="160"/>
      <c r="AV53" s="164"/>
      <c r="AW53" s="161"/>
      <c r="AX53" s="161"/>
      <c r="AY53" s="160"/>
    </row>
    <row r="54" spans="1:51" ht="14.1" customHeight="1">
      <c r="A54" s="160">
        <v>54</v>
      </c>
      <c r="B54" s="159" t="s">
        <v>317</v>
      </c>
      <c r="C54" s="159" t="s">
        <v>243</v>
      </c>
      <c r="D54" s="159"/>
      <c r="E54" s="156"/>
      <c r="F54" s="165">
        <v>1390000</v>
      </c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65"/>
      <c r="AA54" s="165"/>
      <c r="AB54" s="165"/>
      <c r="AC54" s="157"/>
      <c r="AD54" s="157"/>
      <c r="AE54" s="157"/>
      <c r="AF54" s="157"/>
      <c r="AG54" s="157"/>
      <c r="AH54" s="157"/>
      <c r="AI54" s="165"/>
      <c r="AJ54" s="165"/>
      <c r="AK54" s="165"/>
      <c r="AL54" s="165"/>
      <c r="AM54" s="165"/>
      <c r="AN54" s="165"/>
      <c r="AO54" s="165"/>
      <c r="AP54" s="165"/>
      <c r="AQ54" s="165"/>
      <c r="AR54" s="156"/>
      <c r="AS54" s="164">
        <f t="shared" si="14"/>
        <v>0</v>
      </c>
      <c r="AT54" s="164">
        <f t="shared" si="13"/>
        <v>1390000</v>
      </c>
      <c r="AU54" s="160"/>
      <c r="AV54" s="164">
        <f>ROUND(AT54/1000,0)*1000</f>
        <v>1390000</v>
      </c>
      <c r="AW54" s="161"/>
      <c r="AX54" s="161"/>
      <c r="AY54" s="160"/>
    </row>
    <row r="55" spans="1:51" s="169" customFormat="1" ht="14.1" customHeight="1">
      <c r="A55" s="160">
        <v>55</v>
      </c>
      <c r="B55" s="172"/>
      <c r="C55" s="172" t="s">
        <v>320</v>
      </c>
      <c r="D55" s="172"/>
      <c r="E55" s="171"/>
      <c r="F55" s="174">
        <f t="shared" ref="F55:AJ55" si="15">SUM(F35:F54)</f>
        <v>1883000</v>
      </c>
      <c r="G55" s="174">
        <f t="shared" si="15"/>
        <v>0</v>
      </c>
      <c r="H55" s="174">
        <f t="shared" si="15"/>
        <v>0</v>
      </c>
      <c r="I55" s="174">
        <f t="shared" si="15"/>
        <v>0</v>
      </c>
      <c r="J55" s="174">
        <f>SUM(J35:J54)</f>
        <v>0</v>
      </c>
      <c r="K55" s="174">
        <f>SUM(K35:K54)</f>
        <v>0</v>
      </c>
      <c r="L55" s="174">
        <f>SUM(L35:L54)</f>
        <v>0</v>
      </c>
      <c r="M55" s="174">
        <f t="shared" si="15"/>
        <v>0</v>
      </c>
      <c r="N55" s="174">
        <f t="shared" si="15"/>
        <v>0</v>
      </c>
      <c r="O55" s="174">
        <f t="shared" si="15"/>
        <v>0</v>
      </c>
      <c r="P55" s="174">
        <f t="shared" si="15"/>
        <v>0</v>
      </c>
      <c r="Q55" s="174">
        <f>SUM(Q35:Q54)</f>
        <v>0</v>
      </c>
      <c r="R55" s="174">
        <f>SUM(R35:R54)</f>
        <v>0</v>
      </c>
      <c r="S55" s="174">
        <f>SUM(S35:S54)</f>
        <v>0</v>
      </c>
      <c r="T55" s="174">
        <f>SUM(T35:T54)</f>
        <v>0</v>
      </c>
      <c r="U55" s="174">
        <f>SUM(U35:U54)</f>
        <v>0</v>
      </c>
      <c r="V55" s="174">
        <f t="shared" si="15"/>
        <v>0</v>
      </c>
      <c r="W55" s="174">
        <f t="shared" ref="W55:AB55" si="16">SUM(W35:W54)</f>
        <v>0</v>
      </c>
      <c r="X55" s="174">
        <f t="shared" si="16"/>
        <v>0</v>
      </c>
      <c r="Y55" s="174">
        <f t="shared" si="16"/>
        <v>0</v>
      </c>
      <c r="Z55" s="174">
        <f t="shared" si="16"/>
        <v>0</v>
      </c>
      <c r="AA55" s="174">
        <f t="shared" si="16"/>
        <v>0</v>
      </c>
      <c r="AB55" s="174">
        <f t="shared" si="16"/>
        <v>0</v>
      </c>
      <c r="AC55" s="174">
        <f t="shared" si="15"/>
        <v>0</v>
      </c>
      <c r="AD55" s="174">
        <f t="shared" si="15"/>
        <v>0</v>
      </c>
      <c r="AE55" s="174">
        <f t="shared" si="15"/>
        <v>0</v>
      </c>
      <c r="AF55" s="174">
        <f t="shared" si="15"/>
        <v>0</v>
      </c>
      <c r="AG55" s="174">
        <f t="shared" si="15"/>
        <v>0</v>
      </c>
      <c r="AH55" s="174">
        <f>SUM(AH35:AH54)</f>
        <v>0</v>
      </c>
      <c r="AI55" s="174">
        <f t="shared" si="15"/>
        <v>0</v>
      </c>
      <c r="AJ55" s="174">
        <f t="shared" si="15"/>
        <v>0</v>
      </c>
      <c r="AK55" s="174">
        <f t="shared" ref="AK55:AQ55" si="17">SUM(AK35:AK54)</f>
        <v>0</v>
      </c>
      <c r="AL55" s="174">
        <f t="shared" si="17"/>
        <v>0</v>
      </c>
      <c r="AM55" s="174">
        <f t="shared" si="17"/>
        <v>0</v>
      </c>
      <c r="AN55" s="174">
        <f t="shared" si="17"/>
        <v>0</v>
      </c>
      <c r="AO55" s="174">
        <f t="shared" si="17"/>
        <v>0</v>
      </c>
      <c r="AP55" s="174">
        <f t="shared" si="17"/>
        <v>0</v>
      </c>
      <c r="AQ55" s="174">
        <f t="shared" si="17"/>
        <v>0</v>
      </c>
      <c r="AR55" s="173"/>
      <c r="AS55" s="173">
        <f>SUM(AS35:AS54)</f>
        <v>0</v>
      </c>
      <c r="AT55" s="173">
        <f>SUM(AT35:AT54)</f>
        <v>1883000</v>
      </c>
      <c r="AU55" s="167" t="str">
        <f>IF(ROUND(SUM(F55:AQ55),0)=ROUND(AT55,0),"ok","crossfoot error")</f>
        <v>ok</v>
      </c>
      <c r="AV55" s="173">
        <f>SUM(AV35:AV54)/1000</f>
        <v>1883</v>
      </c>
      <c r="AW55" s="162">
        <f>'[2]ADJ DETAIL INPUT'!$AU$27</f>
        <v>1883</v>
      </c>
      <c r="AX55" s="161">
        <f>AV55-AW55</f>
        <v>0</v>
      </c>
      <c r="AY55" s="167"/>
    </row>
    <row r="56" spans="1:51" ht="14.1" customHeight="1">
      <c r="A56" s="160">
        <v>56</v>
      </c>
      <c r="B56" s="159"/>
      <c r="C56" s="159"/>
      <c r="D56" s="159"/>
      <c r="E56" s="156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6"/>
      <c r="AS56" s="164"/>
      <c r="AT56" s="164"/>
      <c r="AU56" s="160"/>
      <c r="AV56" s="164"/>
      <c r="AW56" s="161"/>
      <c r="AX56" s="161"/>
      <c r="AY56" s="160"/>
    </row>
    <row r="57" spans="1:51" ht="14.1" customHeight="1">
      <c r="A57" s="160">
        <v>57</v>
      </c>
      <c r="B57" s="159"/>
      <c r="C57" s="159"/>
      <c r="D57" s="159"/>
      <c r="E57" s="156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6"/>
      <c r="AS57" s="164"/>
      <c r="AT57" s="164"/>
      <c r="AU57" s="160"/>
      <c r="AV57" s="164"/>
      <c r="AW57" s="161"/>
      <c r="AX57" s="161"/>
      <c r="AY57" s="160"/>
    </row>
    <row r="58" spans="1:51" ht="14.1" customHeight="1">
      <c r="A58" s="160">
        <v>58</v>
      </c>
      <c r="B58" s="159"/>
      <c r="C58" s="159"/>
      <c r="D58" s="159"/>
      <c r="E58" s="156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6"/>
      <c r="AS58" s="164"/>
      <c r="AT58" s="164"/>
      <c r="AU58" s="160"/>
      <c r="AV58" s="164"/>
      <c r="AW58" s="161"/>
      <c r="AX58" s="161"/>
      <c r="AY58" s="160"/>
    </row>
    <row r="59" spans="1:51" ht="14.1" customHeight="1">
      <c r="A59" s="160">
        <v>59</v>
      </c>
      <c r="B59" s="159"/>
      <c r="C59" s="159"/>
      <c r="D59" s="159"/>
      <c r="E59" s="156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6"/>
      <c r="AS59" s="164"/>
      <c r="AT59" s="164"/>
      <c r="AU59" s="160"/>
      <c r="AV59" s="164"/>
      <c r="AW59" s="161"/>
      <c r="AX59" s="161"/>
      <c r="AY59" s="160"/>
    </row>
    <row r="60" spans="1:51" ht="14.1" customHeight="1">
      <c r="A60" s="160">
        <v>60</v>
      </c>
      <c r="B60" s="159" t="str">
        <f>$B$1</f>
        <v>Proforma</v>
      </c>
      <c r="C60" s="159"/>
      <c r="D60" s="159"/>
      <c r="E60" s="164"/>
      <c r="F60" s="188"/>
      <c r="G60" s="188"/>
      <c r="H60" s="188"/>
      <c r="I60" s="188" t="str">
        <f>$I$1</f>
        <v>Natural Gas Utility</v>
      </c>
      <c r="J60" s="188"/>
      <c r="K60" s="188"/>
      <c r="L60" s="188"/>
      <c r="M60" s="188"/>
      <c r="N60" s="541"/>
      <c r="P60" s="188"/>
      <c r="Q60" s="188"/>
      <c r="R60" s="188"/>
      <c r="S60" s="188"/>
      <c r="T60" s="549"/>
      <c r="U60" s="549"/>
      <c r="V60" s="188"/>
      <c r="W60" s="188"/>
      <c r="X60" s="188"/>
      <c r="Y60" s="188"/>
      <c r="Z60" s="188"/>
      <c r="AA60" s="188"/>
      <c r="AB60" s="188"/>
      <c r="AD60" s="188"/>
      <c r="AE60" s="154" t="s">
        <v>709</v>
      </c>
      <c r="AF60" s="188"/>
      <c r="AG60" s="541"/>
      <c r="AH60" s="541"/>
      <c r="AI60" s="188"/>
      <c r="AJ60" s="188"/>
      <c r="AK60" s="188"/>
      <c r="AL60" s="188"/>
      <c r="AM60" s="188"/>
      <c r="AN60" s="188"/>
      <c r="AO60" s="188"/>
      <c r="AP60" s="188"/>
      <c r="AQ60" s="188"/>
      <c r="AR60" s="164"/>
      <c r="AS60" s="164"/>
      <c r="AT60" s="192"/>
      <c r="AU60" s="160"/>
      <c r="AV60" s="192"/>
      <c r="AW60" s="161"/>
      <c r="AX60" s="161"/>
      <c r="AY60" s="160"/>
    </row>
    <row r="61" spans="1:51" ht="14.1" customHeight="1">
      <c r="A61" s="160">
        <v>61</v>
      </c>
      <c r="B61" s="159" t="str">
        <f>$B$2</f>
        <v>Pro Forma Results of Operations</v>
      </c>
      <c r="C61" s="159"/>
      <c r="D61" s="159"/>
      <c r="E61" s="164" t="s">
        <v>753</v>
      </c>
      <c r="F61" s="188"/>
      <c r="G61" s="188"/>
      <c r="H61" s="188"/>
      <c r="I61" s="188"/>
      <c r="J61" s="188"/>
      <c r="K61" s="188"/>
      <c r="L61" s="188"/>
      <c r="N61" s="191"/>
      <c r="P61" s="188" t="str">
        <f>$E61</f>
        <v>Operation and Maintenance Expenses</v>
      </c>
      <c r="Q61" s="188"/>
      <c r="R61" s="188"/>
      <c r="S61" s="188"/>
      <c r="T61" s="191"/>
      <c r="U61" s="191"/>
      <c r="V61" s="188"/>
      <c r="W61" s="188"/>
      <c r="X61" s="188"/>
      <c r="Y61" s="188"/>
      <c r="AC61" s="188"/>
      <c r="AD61" s="188"/>
      <c r="AE61" s="188" t="str">
        <f>$E61</f>
        <v>Operation and Maintenance Expenses</v>
      </c>
      <c r="AF61" s="188"/>
      <c r="AG61" s="191"/>
      <c r="AH61" s="191"/>
      <c r="AR61" s="164"/>
      <c r="AS61" s="164"/>
      <c r="AT61" s="190"/>
      <c r="AU61" s="160"/>
      <c r="AV61" s="190"/>
      <c r="AW61" s="161"/>
      <c r="AX61" s="161"/>
      <c r="AY61" s="160"/>
    </row>
    <row r="62" spans="1:51" ht="14.1" customHeight="1">
      <c r="A62" s="160">
        <v>62</v>
      </c>
      <c r="B62" s="159" t="str">
        <f>$B$3</f>
        <v>Company Base Case</v>
      </c>
      <c r="C62" s="159"/>
      <c r="D62" s="159"/>
      <c r="E62" s="164"/>
      <c r="F62" s="188"/>
      <c r="G62" s="188"/>
      <c r="H62" s="188"/>
      <c r="I62" s="188"/>
      <c r="J62" s="188"/>
      <c r="K62" s="188"/>
      <c r="L62" s="188"/>
      <c r="M62" s="188"/>
      <c r="N62" s="542"/>
      <c r="P62" s="188"/>
      <c r="Q62" s="188"/>
      <c r="R62" s="188"/>
      <c r="S62" s="188"/>
      <c r="T62" s="542"/>
      <c r="U62" s="542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64"/>
      <c r="AS62" s="164"/>
      <c r="AT62" s="189"/>
      <c r="AU62" s="160"/>
      <c r="AV62" s="189"/>
      <c r="AW62" s="161"/>
      <c r="AX62" s="161"/>
      <c r="AY62" s="160"/>
    </row>
    <row r="63" spans="1:51" ht="14.1" customHeight="1">
      <c r="A63" s="160">
        <v>63</v>
      </c>
      <c r="B63" s="159"/>
      <c r="C63" s="159"/>
      <c r="D63" s="159"/>
      <c r="E63" s="164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64"/>
      <c r="AS63" s="164"/>
      <c r="AT63" s="164"/>
      <c r="AU63" s="160"/>
      <c r="AV63" s="164"/>
      <c r="AW63" s="161"/>
      <c r="AX63" s="161"/>
      <c r="AY63" s="160"/>
    </row>
    <row r="64" spans="1:51" ht="14.1" customHeight="1">
      <c r="A64" s="160">
        <v>64</v>
      </c>
      <c r="B64" s="186"/>
      <c r="C64" s="186"/>
      <c r="D64" s="186"/>
      <c r="E64" s="186"/>
      <c r="F64" s="187">
        <f t="shared" ref="F64:AJ64" si="18">F5</f>
        <v>1</v>
      </c>
      <c r="G64" s="536">
        <f t="shared" si="18"/>
        <v>1.01</v>
      </c>
      <c r="H64" s="536">
        <f t="shared" si="18"/>
        <v>1.02</v>
      </c>
      <c r="I64" s="536">
        <f t="shared" si="18"/>
        <v>1.03</v>
      </c>
      <c r="J64" s="536">
        <f>J5</f>
        <v>1.04</v>
      </c>
      <c r="K64" s="536">
        <f t="shared" ref="K64:L67" si="19">K5</f>
        <v>2.0099999999999998</v>
      </c>
      <c r="L64" s="536">
        <f t="shared" si="19"/>
        <v>2.02</v>
      </c>
      <c r="M64" s="536">
        <f t="shared" si="18"/>
        <v>2.0299999999999998</v>
      </c>
      <c r="N64" s="536">
        <f t="shared" si="18"/>
        <v>2.04</v>
      </c>
      <c r="O64" s="536">
        <f t="shared" si="18"/>
        <v>2.0499999999999998</v>
      </c>
      <c r="P64" s="536">
        <f t="shared" si="18"/>
        <v>2.06</v>
      </c>
      <c r="Q64" s="536">
        <f t="shared" ref="Q64:S67" si="20">Q5</f>
        <v>2.0699999999999998</v>
      </c>
      <c r="R64" s="536">
        <f t="shared" si="20"/>
        <v>2.08</v>
      </c>
      <c r="S64" s="536">
        <f t="shared" si="20"/>
        <v>2.09</v>
      </c>
      <c r="T64" s="536">
        <f t="shared" ref="T64:U67" si="21">T5</f>
        <v>2.1</v>
      </c>
      <c r="U64" s="536">
        <f t="shared" si="21"/>
        <v>2.11</v>
      </c>
      <c r="V64" s="536">
        <f t="shared" si="18"/>
        <v>2.12</v>
      </c>
      <c r="W64" s="536">
        <f t="shared" ref="W64:X67" si="22">W5</f>
        <v>2.13</v>
      </c>
      <c r="X64" s="536">
        <f t="shared" si="22"/>
        <v>2.14</v>
      </c>
      <c r="Y64" s="536">
        <f t="shared" ref="Y64:AB67" si="23">Y5</f>
        <v>2.15</v>
      </c>
      <c r="Z64" s="536">
        <f t="shared" si="23"/>
        <v>3.01</v>
      </c>
      <c r="AA64" s="536">
        <f t="shared" si="23"/>
        <v>3.02</v>
      </c>
      <c r="AB64" s="536">
        <f t="shared" si="23"/>
        <v>3.03</v>
      </c>
      <c r="AC64" s="536">
        <f t="shared" si="18"/>
        <v>3.04</v>
      </c>
      <c r="AD64" s="536">
        <f t="shared" si="18"/>
        <v>3.05</v>
      </c>
      <c r="AE64" s="536">
        <f t="shared" si="18"/>
        <v>3.0599999999999996</v>
      </c>
      <c r="AF64" s="536">
        <f t="shared" si="18"/>
        <v>3.0699999999999994</v>
      </c>
      <c r="AG64" s="536">
        <f t="shared" ref="AG64:AH67" si="24">AG5</f>
        <v>3.08</v>
      </c>
      <c r="AH64" s="536">
        <f t="shared" si="24"/>
        <v>3.09</v>
      </c>
      <c r="AI64" s="536">
        <f t="shared" si="18"/>
        <v>3.1</v>
      </c>
      <c r="AJ64" s="536">
        <f t="shared" si="18"/>
        <v>3.11</v>
      </c>
      <c r="AK64" s="536">
        <f t="shared" ref="AK64:AL67" si="25">AK5</f>
        <v>3.1199999999999997</v>
      </c>
      <c r="AL64" s="536">
        <f t="shared" si="25"/>
        <v>3.1299999999999994</v>
      </c>
      <c r="AM64" s="536">
        <f t="shared" ref="AM64:AQ67" si="26">AM5</f>
        <v>3.1399999999999992</v>
      </c>
      <c r="AN64" s="536">
        <f t="shared" si="26"/>
        <v>3.149999999999999</v>
      </c>
      <c r="AO64" s="536">
        <f t="shared" si="26"/>
        <v>3.1599999999999988</v>
      </c>
      <c r="AP64" s="536">
        <f t="shared" si="26"/>
        <v>3.1699999999999986</v>
      </c>
      <c r="AQ64" s="536">
        <f t="shared" si="26"/>
        <v>3.1799999999999984</v>
      </c>
      <c r="AR64" s="186"/>
      <c r="AS64" s="186" t="str">
        <f>AS$5</f>
        <v>(as)</v>
      </c>
      <c r="AT64" s="186" t="str">
        <f>AT$5</f>
        <v>(at)</v>
      </c>
      <c r="AU64" s="186" t="str">
        <f>AU$5</f>
        <v>(au)</v>
      </c>
      <c r="AV64" s="186" t="str">
        <f>AV$5</f>
        <v>(av)</v>
      </c>
      <c r="AW64" s="161"/>
      <c r="AX64" s="161"/>
      <c r="AY64" s="160"/>
    </row>
    <row r="65" spans="1:51" ht="14.1" customHeight="1">
      <c r="A65" s="160">
        <v>65</v>
      </c>
      <c r="B65" s="183" t="str">
        <f>IF(ISBLANK(B$6),"",B$6)</f>
        <v/>
      </c>
      <c r="C65" s="183" t="str">
        <f>IF(ISBLANK(C$6),"",C$6)</f>
        <v/>
      </c>
      <c r="D65" s="183" t="str">
        <f>IF(ISBLANK(D$6),"",D$6)</f>
        <v/>
      </c>
      <c r="E65" s="183" t="str">
        <f>IF(ISBLANK(E$6),"",E$6)</f>
        <v>Notes</v>
      </c>
      <c r="F65" s="183" t="s">
        <v>707</v>
      </c>
      <c r="G65" s="537" t="str">
        <f t="shared" ref="G65:I67" si="27">G6</f>
        <v>Deferred FIT</v>
      </c>
      <c r="H65" s="537" t="str">
        <f t="shared" si="27"/>
        <v>Deferred Debits</v>
      </c>
      <c r="I65" s="537" t="str">
        <f t="shared" si="27"/>
        <v xml:space="preserve">Working </v>
      </c>
      <c r="J65" s="537" t="str">
        <f>J6</f>
        <v>Remove</v>
      </c>
      <c r="K65" s="537" t="str">
        <f t="shared" si="19"/>
        <v>Eliminate</v>
      </c>
      <c r="L65" s="537" t="str">
        <f t="shared" si="19"/>
        <v>Restate</v>
      </c>
      <c r="M65" s="537" t="str">
        <f t="shared" ref="M65:P67" si="28">M6</f>
        <v>Uncollectible</v>
      </c>
      <c r="N65" s="537" t="str">
        <f t="shared" si="28"/>
        <v>Regulatory</v>
      </c>
      <c r="O65" s="537" t="str">
        <f t="shared" si="28"/>
        <v>Injuries &amp;</v>
      </c>
      <c r="P65" s="537" t="str">
        <f t="shared" si="28"/>
        <v>FIT/DFIT</v>
      </c>
      <c r="Q65" s="537" t="str">
        <f t="shared" si="20"/>
        <v>Office Space</v>
      </c>
      <c r="R65" s="537" t="str">
        <f t="shared" si="20"/>
        <v>Restate</v>
      </c>
      <c r="S65" s="537" t="str">
        <f t="shared" si="20"/>
        <v>Net Gains/</v>
      </c>
      <c r="T65" s="537" t="str">
        <f t="shared" si="21"/>
        <v>Weather Normalization</v>
      </c>
      <c r="U65" s="537" t="str">
        <f t="shared" si="21"/>
        <v>Eliminate</v>
      </c>
      <c r="V65" s="537" t="str">
        <f>V6</f>
        <v>Misc. Restating</v>
      </c>
      <c r="W65" s="537" t="str">
        <f t="shared" si="22"/>
        <v xml:space="preserve">Restating </v>
      </c>
      <c r="X65" s="537" t="str">
        <f t="shared" si="22"/>
        <v xml:space="preserve">Restate </v>
      </c>
      <c r="Y65" s="537" t="str">
        <f t="shared" si="23"/>
        <v xml:space="preserve">Restate </v>
      </c>
      <c r="Z65" s="537" t="str">
        <f t="shared" si="23"/>
        <v>Pro Forma Revenue</v>
      </c>
      <c r="AA65" s="537" t="str">
        <f t="shared" si="23"/>
        <v xml:space="preserve">Pro Forma Def. </v>
      </c>
      <c r="AB65" s="537" t="str">
        <f t="shared" si="23"/>
        <v>Pro Forma</v>
      </c>
      <c r="AC65" s="537" t="str">
        <f t="shared" ref="AC65:AF67" si="29">AC6</f>
        <v>Pro Forma</v>
      </c>
      <c r="AD65" s="537" t="str">
        <f t="shared" si="29"/>
        <v>Pro Forma</v>
      </c>
      <c r="AE65" s="537" t="str">
        <f t="shared" si="29"/>
        <v>Pro Forma</v>
      </c>
      <c r="AF65" s="537" t="str">
        <f t="shared" si="29"/>
        <v>Pro Forma</v>
      </c>
      <c r="AG65" s="537" t="str">
        <f t="shared" si="24"/>
        <v>Pro Forma</v>
      </c>
      <c r="AH65" s="537" t="str">
        <f t="shared" si="24"/>
        <v>Pro Forma</v>
      </c>
      <c r="AI65" s="537" t="str">
        <f t="shared" ref="AI65:AJ67" si="30">AI6</f>
        <v xml:space="preserve">Pro Forma </v>
      </c>
      <c r="AJ65" s="537" t="str">
        <f t="shared" si="30"/>
        <v>Pro Forma</v>
      </c>
      <c r="AK65" s="537" t="str">
        <f t="shared" si="25"/>
        <v>Pro Forma</v>
      </c>
      <c r="AL65" s="537" t="str">
        <f t="shared" si="25"/>
        <v>Pro Forma</v>
      </c>
      <c r="AM65" s="537" t="str">
        <f t="shared" si="26"/>
        <v>Pro Forma</v>
      </c>
      <c r="AN65" s="537" t="str">
        <f t="shared" si="26"/>
        <v>Pro Forma</v>
      </c>
      <c r="AO65" s="537" t="str">
        <f t="shared" si="26"/>
        <v>Pro Forma</v>
      </c>
      <c r="AP65" s="537" t="str">
        <f t="shared" si="26"/>
        <v>Pro Forma</v>
      </c>
      <c r="AQ65" s="537" t="str">
        <f t="shared" si="26"/>
        <v>Pro Forma</v>
      </c>
      <c r="AR65" s="183"/>
      <c r="AS65" s="183" t="str">
        <f>IF(ISBLANK(AS$6),"",AS$6)</f>
        <v>Net Total</v>
      </c>
      <c r="AT65" s="183" t="str">
        <f>IF(ISBLANK(AT$6),"",AT$6)</f>
        <v>Total</v>
      </c>
      <c r="AU65" s="183" t="str">
        <f>IF(ISBLANK(AU$6),"",AU$6)</f>
        <v>check</v>
      </c>
      <c r="AV65" s="183" t="str">
        <f>IF(ISBLANK(AV$6),"",AV$6)</f>
        <v>Total</v>
      </c>
      <c r="AW65" s="161"/>
      <c r="AX65" s="161"/>
      <c r="AY65" s="160"/>
    </row>
    <row r="66" spans="1:51" ht="14.1" customHeight="1">
      <c r="A66" s="160">
        <v>66</v>
      </c>
      <c r="B66" s="185" t="str">
        <f>IF(ISBLANK(B$7),"",B$7)</f>
        <v>Account</v>
      </c>
      <c r="C66" s="184" t="str">
        <f>IF(ISBLANK(C$7),"",C$7)</f>
        <v>Description</v>
      </c>
      <c r="D66" s="183"/>
      <c r="E66" s="183" t="str">
        <f>IF(ISBLANK(E$7),"",E$7)</f>
        <v/>
      </c>
      <c r="F66" s="183" t="s">
        <v>706</v>
      </c>
      <c r="G66" s="537" t="str">
        <f t="shared" si="27"/>
        <v>Rate Base</v>
      </c>
      <c r="H66" s="537" t="str">
        <f t="shared" si="27"/>
        <v>and Credits</v>
      </c>
      <c r="I66" s="537" t="str">
        <f t="shared" si="27"/>
        <v>Capital</v>
      </c>
      <c r="J66" s="537" t="str">
        <f>J7</f>
        <v>AMI Rate Base</v>
      </c>
      <c r="K66" s="537" t="str">
        <f t="shared" si="19"/>
        <v>B &amp; O Taxes</v>
      </c>
      <c r="L66" s="537" t="str">
        <f t="shared" si="19"/>
        <v>Property Taxes</v>
      </c>
      <c r="M66" s="537" t="str">
        <f t="shared" si="28"/>
        <v>Expense</v>
      </c>
      <c r="N66" s="537" t="str">
        <f t="shared" si="28"/>
        <v>Expense</v>
      </c>
      <c r="O66" s="537" t="str">
        <f t="shared" si="28"/>
        <v>Damages</v>
      </c>
      <c r="P66" s="537" t="str">
        <f t="shared" si="28"/>
        <v>Expense</v>
      </c>
      <c r="Q66" s="537" t="str">
        <f t="shared" si="20"/>
        <v>Charges to Subs</v>
      </c>
      <c r="R66" s="537" t="str">
        <f t="shared" si="20"/>
        <v>Excise Tax</v>
      </c>
      <c r="S66" s="537" t="str">
        <f t="shared" si="20"/>
        <v>Losses</v>
      </c>
      <c r="T66" s="537" t="str">
        <f t="shared" si="21"/>
        <v>Gas Cost Adjust</v>
      </c>
      <c r="U66" s="537" t="str">
        <f t="shared" si="21"/>
        <v>Adder Schedules</v>
      </c>
      <c r="V66" s="537" t="str">
        <f>V7</f>
        <v>Adjustments</v>
      </c>
      <c r="W66" s="537" t="str">
        <f t="shared" si="22"/>
        <v>Incentives</v>
      </c>
      <c r="X66" s="537" t="str">
        <f t="shared" si="22"/>
        <v>Debt Int</v>
      </c>
      <c r="Y66" s="537" t="str">
        <f t="shared" si="23"/>
        <v>2019 Rate Base</v>
      </c>
      <c r="Z66" s="537" t="str">
        <f t="shared" si="23"/>
        <v>Normalization</v>
      </c>
      <c r="AA66" s="537" t="str">
        <f t="shared" si="23"/>
        <v>Debits &amp; Credits</v>
      </c>
      <c r="AB66" s="537" t="str">
        <f t="shared" si="23"/>
        <v>ARAM</v>
      </c>
      <c r="AC66" s="537" t="str">
        <f t="shared" si="29"/>
        <v>Non-Exec Labor</v>
      </c>
      <c r="AD66" s="537" t="str">
        <f t="shared" si="29"/>
        <v>Exec Labor</v>
      </c>
      <c r="AE66" s="537" t="str">
        <f t="shared" si="29"/>
        <v>Empl. Benefits</v>
      </c>
      <c r="AF66" s="537" t="str">
        <f t="shared" si="29"/>
        <v>Insurance Exp</v>
      </c>
      <c r="AG66" s="537" t="str">
        <f t="shared" si="24"/>
        <v>IS/IT</v>
      </c>
      <c r="AH66" s="537" t="str">
        <f t="shared" si="24"/>
        <v>Property Tax</v>
      </c>
      <c r="AI66" s="537" t="str">
        <f t="shared" si="30"/>
        <v>Fee Free Amort</v>
      </c>
      <c r="AJ66" s="537" t="str">
        <f t="shared" si="30"/>
        <v>2020 Customer AT Center</v>
      </c>
      <c r="AK66" s="537" t="str">
        <f t="shared" si="25"/>
        <v>2020 Large &amp; Distinct</v>
      </c>
      <c r="AL66" s="537" t="str">
        <f t="shared" si="25"/>
        <v>2020 Programmatic</v>
      </c>
      <c r="AM66" s="537" t="str">
        <f t="shared" si="26"/>
        <v>2020 Mandatory</v>
      </c>
      <c r="AN66" s="537" t="str">
        <f t="shared" si="26"/>
        <v>2020 Short Lived</v>
      </c>
      <c r="AO66" s="537" t="str">
        <f t="shared" si="26"/>
        <v>AMI Capital Adds</v>
      </c>
      <c r="AP66" s="537" t="str">
        <f t="shared" si="26"/>
        <v>LEAP Def. Amort</v>
      </c>
      <c r="AQ66" s="537" t="str">
        <f t="shared" si="26"/>
        <v>Tax Repairs</v>
      </c>
      <c r="AR66" s="183"/>
      <c r="AS66" s="183" t="str">
        <f>IF(ISBLANK(AS$7),"",AS$7)</f>
        <v>of All</v>
      </c>
      <c r="AT66" s="183" t="str">
        <f>IF(ISBLANK(AT$7),"",AT$7)</f>
        <v/>
      </c>
      <c r="AU66" s="183" t="str">
        <f>IF(ISBLANK(AU$7),"",AU$7)</f>
        <v/>
      </c>
      <c r="AV66" s="183" t="str">
        <f>IF(ISBLANK(AV$7),"",AV$7)</f>
        <v>$000's</v>
      </c>
      <c r="AW66" s="161"/>
      <c r="AX66" s="161"/>
      <c r="AY66" s="183"/>
    </row>
    <row r="67" spans="1:51" ht="14.1" customHeight="1">
      <c r="A67" s="160">
        <v>67</v>
      </c>
      <c r="B67" s="183" t="str">
        <f>IF(ISBLANK(B$8),"",B$8)</f>
        <v/>
      </c>
      <c r="C67" s="183" t="str">
        <f>IF(ISBLANK(C$8),"",C$8)</f>
        <v/>
      </c>
      <c r="D67" s="183" t="str">
        <f>IF(ISBLANK(D$8),"",D$8)</f>
        <v/>
      </c>
      <c r="E67" s="183" t="str">
        <f>IF(ISBLANK(E$8),"",E$8)</f>
        <v/>
      </c>
      <c r="F67" s="183"/>
      <c r="G67" s="537" t="str">
        <f t="shared" si="27"/>
        <v>G-DFIT</v>
      </c>
      <c r="H67" s="537" t="str">
        <f t="shared" si="27"/>
        <v>G-DDC</v>
      </c>
      <c r="I67" s="537" t="str">
        <f t="shared" si="27"/>
        <v>G-WC</v>
      </c>
      <c r="J67" s="537" t="str">
        <f>J8</f>
        <v>G-AMI</v>
      </c>
      <c r="K67" s="537" t="str">
        <f t="shared" si="19"/>
        <v>G-EBO</v>
      </c>
      <c r="L67" s="537" t="str">
        <f t="shared" si="19"/>
        <v>G-RPT</v>
      </c>
      <c r="M67" s="537" t="str">
        <f t="shared" si="28"/>
        <v>G-UE</v>
      </c>
      <c r="N67" s="537" t="str">
        <f t="shared" si="28"/>
        <v>G-RE</v>
      </c>
      <c r="O67" s="537" t="str">
        <f t="shared" si="28"/>
        <v>G-ID</v>
      </c>
      <c r="P67" s="537" t="str">
        <f t="shared" si="28"/>
        <v>G-FIT</v>
      </c>
      <c r="Q67" s="537" t="str">
        <f t="shared" si="20"/>
        <v>G-OSC</v>
      </c>
      <c r="R67" s="537" t="str">
        <f t="shared" si="20"/>
        <v>G-RET</v>
      </c>
      <c r="S67" s="537" t="str">
        <f t="shared" si="20"/>
        <v>G-NGL</v>
      </c>
      <c r="T67" s="537" t="str">
        <f t="shared" si="21"/>
        <v>G-WNGC</v>
      </c>
      <c r="U67" s="537" t="str">
        <f t="shared" si="21"/>
        <v>G-EAS</v>
      </c>
      <c r="V67" s="537" t="str">
        <f>V8</f>
        <v>G-MR</v>
      </c>
      <c r="W67" s="537" t="str">
        <f t="shared" si="22"/>
        <v>G-RI</v>
      </c>
      <c r="X67" s="537" t="str">
        <f t="shared" si="22"/>
        <v>G-DI</v>
      </c>
      <c r="Y67" s="537" t="str">
        <f t="shared" si="23"/>
        <v>G-EOP19</v>
      </c>
      <c r="Z67" s="537" t="str">
        <f t="shared" si="23"/>
        <v>G-PREV</v>
      </c>
      <c r="AA67" s="537" t="str">
        <f t="shared" si="23"/>
        <v>G-PRA</v>
      </c>
      <c r="AB67" s="537" t="str">
        <f t="shared" si="23"/>
        <v>G-ARAM</v>
      </c>
      <c r="AC67" s="537" t="str">
        <f t="shared" si="29"/>
        <v>G-PLN</v>
      </c>
      <c r="AD67" s="537" t="str">
        <f t="shared" si="29"/>
        <v>G-PLE</v>
      </c>
      <c r="AE67" s="537" t="str">
        <f t="shared" si="29"/>
        <v>G-PEB</v>
      </c>
      <c r="AF67" s="537" t="str">
        <f t="shared" si="29"/>
        <v>G-PINS</v>
      </c>
      <c r="AG67" s="537" t="str">
        <f t="shared" si="24"/>
        <v>G-PIT</v>
      </c>
      <c r="AH67" s="537" t="str">
        <f t="shared" si="24"/>
        <v>G-PPT</v>
      </c>
      <c r="AI67" s="537" t="str">
        <f t="shared" si="30"/>
        <v>G-PFEE</v>
      </c>
      <c r="AJ67" s="537" t="str">
        <f t="shared" si="30"/>
        <v>G-PCAP1</v>
      </c>
      <c r="AK67" s="537" t="str">
        <f t="shared" si="25"/>
        <v>G-PCAP2</v>
      </c>
      <c r="AL67" s="537" t="str">
        <f t="shared" si="25"/>
        <v>G-PCAP3</v>
      </c>
      <c r="AM67" s="537" t="str">
        <f t="shared" si="26"/>
        <v>G-PCAP4</v>
      </c>
      <c r="AN67" s="537" t="str">
        <f t="shared" si="26"/>
        <v>G-PCAP5</v>
      </c>
      <c r="AO67" s="537" t="str">
        <f t="shared" si="26"/>
        <v>G-PAMI</v>
      </c>
      <c r="AP67" s="537" t="str">
        <f t="shared" si="26"/>
        <v>G-PLEAP</v>
      </c>
      <c r="AQ67" s="537" t="str">
        <f t="shared" si="26"/>
        <v>G-PTAX</v>
      </c>
      <c r="AR67" s="183"/>
      <c r="AS67" s="183" t="str">
        <f>IF(ISBLANK(AS$8),"",AS$8)</f>
        <v>Adjustments</v>
      </c>
      <c r="AT67" s="183" t="str">
        <f>IF(ISBLANK(AT$8),"",AT$8)</f>
        <v/>
      </c>
      <c r="AU67" s="183" t="str">
        <f>IF(ISBLANK(AU$8),"",AU$8)</f>
        <v/>
      </c>
      <c r="AV67" s="183" t="str">
        <f>IF(ISBLANK(AV$8),"",AV$8)</f>
        <v>in bold</v>
      </c>
      <c r="AW67" s="161"/>
      <c r="AX67" s="161"/>
      <c r="AY67" s="183"/>
    </row>
    <row r="68" spans="1:51" ht="14.1" customHeight="1">
      <c r="A68" s="160">
        <v>68</v>
      </c>
      <c r="B68" s="159"/>
      <c r="C68" s="172" t="s">
        <v>6</v>
      </c>
      <c r="D68" s="159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6"/>
      <c r="AS68" s="164"/>
      <c r="AT68" s="164"/>
      <c r="AU68" s="160"/>
      <c r="AV68" s="164"/>
      <c r="AW68" s="161"/>
      <c r="AX68" s="161"/>
      <c r="AY68" s="160"/>
    </row>
    <row r="69" spans="1:51" ht="14.1" customHeight="1">
      <c r="A69" s="160">
        <v>69</v>
      </c>
      <c r="B69" s="159"/>
      <c r="C69" s="197" t="s">
        <v>752</v>
      </c>
      <c r="D69" s="159"/>
      <c r="E69" s="156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6"/>
      <c r="AS69" s="164"/>
      <c r="AT69" s="164"/>
      <c r="AU69" s="160"/>
      <c r="AV69" s="164"/>
      <c r="AW69" s="161"/>
      <c r="AX69" s="161"/>
      <c r="AY69" s="160"/>
    </row>
    <row r="70" spans="1:51" ht="14.1" customHeight="1">
      <c r="A70" s="160">
        <v>70</v>
      </c>
      <c r="B70" s="159" t="s">
        <v>321</v>
      </c>
      <c r="C70" s="159" t="s">
        <v>1</v>
      </c>
      <c r="D70" s="159"/>
      <c r="E70" s="156"/>
      <c r="F70" s="165">
        <v>1716000</v>
      </c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81">
        <v>-2000</v>
      </c>
      <c r="W70" s="181"/>
      <c r="X70" s="181"/>
      <c r="Y70" s="181"/>
      <c r="Z70" s="157"/>
      <c r="AA70" s="157"/>
      <c r="AB70" s="157"/>
      <c r="AC70" s="165">
        <v>64000</v>
      </c>
      <c r="AD70" s="181"/>
      <c r="AE70" s="165">
        <f>ROUND(F70/($F$81+$F$92)*153000,-3)</f>
        <v>19000</v>
      </c>
      <c r="AF70" s="181"/>
      <c r="AG70" s="157"/>
      <c r="AH70" s="157"/>
      <c r="AI70" s="157"/>
      <c r="AJ70" s="157"/>
      <c r="AK70" s="157"/>
      <c r="AL70" s="157"/>
      <c r="AM70" s="157"/>
      <c r="AN70" s="157"/>
      <c r="AO70" s="181"/>
      <c r="AP70" s="157"/>
      <c r="AQ70" s="157"/>
      <c r="AR70" s="156"/>
      <c r="AS70" s="164">
        <f>SUM(G70:AQ70)</f>
        <v>81000</v>
      </c>
      <c r="AT70" s="164">
        <f>F70+AS70</f>
        <v>1797000</v>
      </c>
      <c r="AU70" s="160"/>
      <c r="AV70" s="164">
        <f t="shared" ref="AV70:AV80" si="31">ROUND(AT70/1000,0)*1000</f>
        <v>1797000</v>
      </c>
      <c r="AW70" s="161"/>
      <c r="AX70" s="161"/>
      <c r="AY70" s="160"/>
    </row>
    <row r="71" spans="1:51" ht="14.1" customHeight="1">
      <c r="A71" s="160">
        <v>71</v>
      </c>
      <c r="B71" s="159" t="s">
        <v>322</v>
      </c>
      <c r="C71" s="159" t="s">
        <v>331</v>
      </c>
      <c r="D71" s="159"/>
      <c r="E71" s="156"/>
      <c r="F71" s="165">
        <v>0</v>
      </c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65"/>
      <c r="AD71" s="157"/>
      <c r="AE71" s="165">
        <f t="shared" ref="AE71:AE80" si="32">ROUND(F71/($F$81+$F$92)*153000,-3)</f>
        <v>0</v>
      </c>
      <c r="AF71" s="157"/>
      <c r="AG71" s="157"/>
      <c r="AH71" s="157"/>
      <c r="AI71" s="157"/>
      <c r="AJ71" s="157"/>
      <c r="AK71" s="157"/>
      <c r="AL71" s="157"/>
      <c r="AM71" s="157"/>
      <c r="AN71" s="157"/>
      <c r="AO71" s="181"/>
      <c r="AP71" s="157"/>
      <c r="AQ71" s="157"/>
      <c r="AR71" s="156"/>
      <c r="AS71" s="164">
        <f t="shared" ref="AS71:AS80" si="33">SUM(G71:AQ71)</f>
        <v>0</v>
      </c>
      <c r="AT71" s="164">
        <f t="shared" ref="AT71:AT80" si="34">F71+AS71</f>
        <v>0</v>
      </c>
      <c r="AU71" s="160"/>
      <c r="AV71" s="164">
        <f t="shared" si="31"/>
        <v>0</v>
      </c>
      <c r="AW71" s="161"/>
      <c r="AX71" s="161"/>
      <c r="AY71" s="160"/>
    </row>
    <row r="72" spans="1:51" ht="14.1" customHeight="1">
      <c r="A72" s="160">
        <v>72</v>
      </c>
      <c r="B72" s="159" t="s">
        <v>751</v>
      </c>
      <c r="C72" s="159" t="s">
        <v>750</v>
      </c>
      <c r="D72" s="159"/>
      <c r="E72" s="156"/>
      <c r="F72" s="165">
        <v>0</v>
      </c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65"/>
      <c r="AD72" s="157"/>
      <c r="AE72" s="165">
        <f t="shared" si="32"/>
        <v>0</v>
      </c>
      <c r="AF72" s="157"/>
      <c r="AG72" s="157"/>
      <c r="AH72" s="157"/>
      <c r="AI72" s="157"/>
      <c r="AJ72" s="157"/>
      <c r="AK72" s="157"/>
      <c r="AL72" s="157"/>
      <c r="AM72" s="157"/>
      <c r="AN72" s="157"/>
      <c r="AO72" s="181"/>
      <c r="AP72" s="157"/>
      <c r="AQ72" s="157"/>
      <c r="AR72" s="156"/>
      <c r="AS72" s="164">
        <f t="shared" si="33"/>
        <v>0</v>
      </c>
      <c r="AT72" s="164">
        <f t="shared" si="34"/>
        <v>0</v>
      </c>
      <c r="AU72" s="160"/>
      <c r="AV72" s="164">
        <f t="shared" si="31"/>
        <v>0</v>
      </c>
      <c r="AW72" s="161"/>
      <c r="AX72" s="161"/>
      <c r="AY72" s="160"/>
    </row>
    <row r="73" spans="1:51" ht="14.1" customHeight="1">
      <c r="A73" s="160">
        <v>73</v>
      </c>
      <c r="B73" s="159" t="s">
        <v>323</v>
      </c>
      <c r="C73" s="159" t="s">
        <v>332</v>
      </c>
      <c r="D73" s="159"/>
      <c r="E73" s="156"/>
      <c r="F73" s="165">
        <v>3412000</v>
      </c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65">
        <v>88000</v>
      </c>
      <c r="AD73" s="157"/>
      <c r="AE73" s="165">
        <f t="shared" si="32"/>
        <v>38000</v>
      </c>
      <c r="AF73" s="157"/>
      <c r="AG73" s="181"/>
      <c r="AH73" s="181"/>
      <c r="AI73" s="157"/>
      <c r="AJ73" s="157"/>
      <c r="AK73" s="157"/>
      <c r="AL73" s="157"/>
      <c r="AM73" s="157"/>
      <c r="AN73" s="157"/>
      <c r="AO73" s="181"/>
      <c r="AP73" s="157"/>
      <c r="AQ73" s="157"/>
      <c r="AR73" s="156"/>
      <c r="AS73" s="164">
        <f t="shared" si="33"/>
        <v>126000</v>
      </c>
      <c r="AT73" s="164">
        <f t="shared" si="34"/>
        <v>3538000</v>
      </c>
      <c r="AU73" s="160"/>
      <c r="AV73" s="588">
        <f>ROUND(AT73/1000,0)*1000+1000</f>
        <v>3539000</v>
      </c>
      <c r="AW73" s="161"/>
      <c r="AX73" s="161"/>
      <c r="AY73" s="160"/>
    </row>
    <row r="74" spans="1:51" ht="14.1" customHeight="1">
      <c r="A74" s="160">
        <v>74</v>
      </c>
      <c r="B74" s="159" t="s">
        <v>324</v>
      </c>
      <c r="C74" s="159" t="s">
        <v>333</v>
      </c>
      <c r="D74" s="159"/>
      <c r="E74" s="156"/>
      <c r="F74" s="165">
        <v>94000</v>
      </c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65">
        <v>3000</v>
      </c>
      <c r="AD74" s="157"/>
      <c r="AE74" s="165">
        <f t="shared" si="32"/>
        <v>1000</v>
      </c>
      <c r="AF74" s="157"/>
      <c r="AG74" s="157"/>
      <c r="AH74" s="157"/>
      <c r="AI74" s="157"/>
      <c r="AJ74" s="157"/>
      <c r="AK74" s="157"/>
      <c r="AL74" s="157"/>
      <c r="AM74" s="157"/>
      <c r="AN74" s="157"/>
      <c r="AO74" s="181"/>
      <c r="AP74" s="157"/>
      <c r="AQ74" s="157"/>
      <c r="AR74" s="156"/>
      <c r="AS74" s="164">
        <f t="shared" si="33"/>
        <v>4000</v>
      </c>
      <c r="AT74" s="164">
        <f t="shared" si="34"/>
        <v>98000</v>
      </c>
      <c r="AU74" s="160"/>
      <c r="AV74" s="164">
        <f t="shared" si="31"/>
        <v>98000</v>
      </c>
      <c r="AW74" s="161"/>
      <c r="AX74" s="161"/>
      <c r="AY74" s="160"/>
    </row>
    <row r="75" spans="1:51" ht="14.1" customHeight="1">
      <c r="A75" s="160">
        <v>75</v>
      </c>
      <c r="B75" s="159" t="s">
        <v>325</v>
      </c>
      <c r="C75" s="159" t="s">
        <v>334</v>
      </c>
      <c r="D75" s="159"/>
      <c r="E75" s="156"/>
      <c r="F75" s="165">
        <v>8000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65">
        <v>0</v>
      </c>
      <c r="AD75" s="157"/>
      <c r="AE75" s="165">
        <f t="shared" si="32"/>
        <v>0</v>
      </c>
      <c r="AF75" s="157"/>
      <c r="AG75" s="157"/>
      <c r="AH75" s="157"/>
      <c r="AI75" s="157"/>
      <c r="AJ75" s="157"/>
      <c r="AK75" s="157"/>
      <c r="AL75" s="157"/>
      <c r="AM75" s="157"/>
      <c r="AN75" s="157"/>
      <c r="AO75" s="181"/>
      <c r="AP75" s="157"/>
      <c r="AQ75" s="157"/>
      <c r="AR75" s="156"/>
      <c r="AS75" s="164">
        <f t="shared" si="33"/>
        <v>0</v>
      </c>
      <c r="AT75" s="164">
        <f t="shared" si="34"/>
        <v>8000</v>
      </c>
      <c r="AU75" s="160"/>
      <c r="AV75" s="164">
        <f t="shared" si="31"/>
        <v>8000</v>
      </c>
      <c r="AW75" s="161"/>
      <c r="AX75" s="161"/>
      <c r="AY75" s="160"/>
    </row>
    <row r="76" spans="1:51" ht="14.1" customHeight="1">
      <c r="A76" s="160">
        <v>76</v>
      </c>
      <c r="B76" s="159" t="s">
        <v>326</v>
      </c>
      <c r="C76" s="159" t="s">
        <v>335</v>
      </c>
      <c r="D76" s="159"/>
      <c r="E76" s="156"/>
      <c r="F76" s="165">
        <v>57000</v>
      </c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65">
        <v>2000</v>
      </c>
      <c r="AD76" s="157"/>
      <c r="AE76" s="165">
        <f t="shared" si="32"/>
        <v>1000</v>
      </c>
      <c r="AF76" s="157"/>
      <c r="AG76" s="157"/>
      <c r="AH76" s="157"/>
      <c r="AI76" s="157"/>
      <c r="AJ76" s="157"/>
      <c r="AK76" s="157"/>
      <c r="AL76" s="157"/>
      <c r="AM76" s="157"/>
      <c r="AN76" s="157"/>
      <c r="AO76" s="181"/>
      <c r="AP76" s="157"/>
      <c r="AQ76" s="157"/>
      <c r="AR76" s="156"/>
      <c r="AS76" s="164">
        <f t="shared" si="33"/>
        <v>3000</v>
      </c>
      <c r="AT76" s="164">
        <f t="shared" si="34"/>
        <v>60000</v>
      </c>
      <c r="AU76" s="160"/>
      <c r="AV76" s="164">
        <f t="shared" si="31"/>
        <v>60000</v>
      </c>
      <c r="AW76" s="161"/>
      <c r="AX76" s="161"/>
      <c r="AY76" s="160"/>
    </row>
    <row r="77" spans="1:51" ht="14.1" customHeight="1">
      <c r="A77" s="160">
        <v>77</v>
      </c>
      <c r="B77" s="159" t="s">
        <v>327</v>
      </c>
      <c r="C77" s="159" t="s">
        <v>336</v>
      </c>
      <c r="D77" s="159"/>
      <c r="E77" s="156"/>
      <c r="F77" s="165">
        <v>412000</v>
      </c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65">
        <v>0</v>
      </c>
      <c r="AD77" s="157"/>
      <c r="AE77" s="165">
        <f t="shared" si="32"/>
        <v>5000</v>
      </c>
      <c r="AF77" s="157"/>
      <c r="AG77" s="157"/>
      <c r="AH77" s="157"/>
      <c r="AI77" s="157"/>
      <c r="AJ77" s="157"/>
      <c r="AK77" s="181"/>
      <c r="AL77" s="181"/>
      <c r="AM77" s="181"/>
      <c r="AN77" s="181"/>
      <c r="AO77" s="181">
        <v>-995000</v>
      </c>
      <c r="AP77" s="181"/>
      <c r="AQ77" s="181"/>
      <c r="AR77" s="156"/>
      <c r="AS77" s="164">
        <f t="shared" si="33"/>
        <v>-990000</v>
      </c>
      <c r="AT77" s="164">
        <f t="shared" si="34"/>
        <v>-578000</v>
      </c>
      <c r="AU77" s="160"/>
      <c r="AV77" s="164">
        <f t="shared" si="31"/>
        <v>-578000</v>
      </c>
      <c r="AW77" s="161"/>
      <c r="AX77" s="161"/>
      <c r="AY77" s="160"/>
    </row>
    <row r="78" spans="1:51" ht="14.1" customHeight="1">
      <c r="A78" s="160">
        <v>78</v>
      </c>
      <c r="B78" s="159" t="s">
        <v>328</v>
      </c>
      <c r="C78" s="159" t="s">
        <v>337</v>
      </c>
      <c r="D78" s="159"/>
      <c r="E78" s="156"/>
      <c r="F78" s="165">
        <v>1471000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65">
        <v>62000</v>
      </c>
      <c r="AD78" s="157"/>
      <c r="AE78" s="165">
        <f t="shared" si="32"/>
        <v>16000</v>
      </c>
      <c r="AF78" s="157"/>
      <c r="AG78" s="157"/>
      <c r="AH78" s="157"/>
      <c r="AI78" s="157"/>
      <c r="AJ78" s="157"/>
      <c r="AK78" s="157"/>
      <c r="AL78" s="157"/>
      <c r="AM78" s="157"/>
      <c r="AN78" s="157"/>
      <c r="AO78" s="181"/>
      <c r="AP78" s="157"/>
      <c r="AQ78" s="157"/>
      <c r="AR78" s="156"/>
      <c r="AS78" s="164">
        <f t="shared" si="33"/>
        <v>78000</v>
      </c>
      <c r="AT78" s="164">
        <f t="shared" si="34"/>
        <v>1549000</v>
      </c>
      <c r="AU78" s="160"/>
      <c r="AV78" s="164">
        <f t="shared" si="31"/>
        <v>1549000</v>
      </c>
      <c r="AW78" s="161"/>
      <c r="AX78" s="161"/>
      <c r="AY78" s="160"/>
    </row>
    <row r="79" spans="1:51" ht="14.1" customHeight="1">
      <c r="A79" s="160">
        <v>79</v>
      </c>
      <c r="B79" s="159" t="s">
        <v>329</v>
      </c>
      <c r="C79" s="159" t="s">
        <v>338</v>
      </c>
      <c r="D79" s="159"/>
      <c r="E79" s="156"/>
      <c r="F79" s="165">
        <v>2110000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65">
        <v>0</v>
      </c>
      <c r="W79" s="546"/>
      <c r="X79" s="546"/>
      <c r="Y79" s="546"/>
      <c r="Z79" s="157"/>
      <c r="AA79" s="157"/>
      <c r="AB79" s="157"/>
      <c r="AC79" s="165">
        <v>72000</v>
      </c>
      <c r="AD79" s="157"/>
      <c r="AE79" s="165">
        <f t="shared" si="32"/>
        <v>24000</v>
      </c>
      <c r="AF79" s="157"/>
      <c r="AI79" s="157"/>
      <c r="AJ79" s="157"/>
      <c r="AK79" s="181"/>
      <c r="AL79" s="181"/>
      <c r="AM79" s="181"/>
      <c r="AN79" s="181"/>
      <c r="AO79" s="181"/>
      <c r="AP79" s="181"/>
      <c r="AQ79" s="181"/>
      <c r="AR79" s="156"/>
      <c r="AS79" s="164">
        <f t="shared" si="33"/>
        <v>96000</v>
      </c>
      <c r="AT79" s="164">
        <f t="shared" si="34"/>
        <v>2206000</v>
      </c>
      <c r="AU79" s="160"/>
      <c r="AV79" s="164">
        <f t="shared" si="31"/>
        <v>2206000</v>
      </c>
      <c r="AW79" s="161"/>
      <c r="AX79" s="161"/>
      <c r="AY79" s="160"/>
    </row>
    <row r="80" spans="1:51" ht="14.1" customHeight="1">
      <c r="A80" s="160">
        <v>80</v>
      </c>
      <c r="B80" s="159" t="s">
        <v>330</v>
      </c>
      <c r="C80" s="159" t="s">
        <v>2</v>
      </c>
      <c r="D80" s="159"/>
      <c r="E80" s="156"/>
      <c r="F80" s="165">
        <v>27000</v>
      </c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65">
        <v>0</v>
      </c>
      <c r="AD80" s="157"/>
      <c r="AE80" s="165">
        <f t="shared" si="32"/>
        <v>0</v>
      </c>
      <c r="AF80" s="157"/>
      <c r="AG80" s="157"/>
      <c r="AH80" s="157"/>
      <c r="AI80" s="157"/>
      <c r="AJ80" s="157"/>
      <c r="AK80" s="157"/>
      <c r="AL80" s="157"/>
      <c r="AM80" s="157"/>
      <c r="AN80" s="157"/>
      <c r="AO80" s="181"/>
      <c r="AP80" s="157"/>
      <c r="AQ80" s="157"/>
      <c r="AR80" s="156"/>
      <c r="AS80" s="164">
        <f t="shared" si="33"/>
        <v>0</v>
      </c>
      <c r="AT80" s="164">
        <f t="shared" si="34"/>
        <v>27000</v>
      </c>
      <c r="AU80" s="160"/>
      <c r="AV80" s="164">
        <f t="shared" si="31"/>
        <v>27000</v>
      </c>
      <c r="AW80" s="161"/>
      <c r="AX80" s="161"/>
      <c r="AY80" s="160"/>
    </row>
    <row r="81" spans="1:51" s="169" customFormat="1" ht="14.1" customHeight="1">
      <c r="A81" s="160">
        <v>81</v>
      </c>
      <c r="B81" s="172"/>
      <c r="C81" s="172" t="s">
        <v>749</v>
      </c>
      <c r="D81" s="172"/>
      <c r="E81" s="171"/>
      <c r="F81" s="174">
        <f t="shared" ref="F81:AJ81" si="35">SUM(F70:F80)</f>
        <v>9307000</v>
      </c>
      <c r="G81" s="174">
        <f t="shared" si="35"/>
        <v>0</v>
      </c>
      <c r="H81" s="174">
        <f t="shared" si="35"/>
        <v>0</v>
      </c>
      <c r="I81" s="174">
        <f t="shared" si="35"/>
        <v>0</v>
      </c>
      <c r="J81" s="174">
        <f>SUM(J70:J80)</f>
        <v>0</v>
      </c>
      <c r="K81" s="174">
        <f>SUM(K70:K80)</f>
        <v>0</v>
      </c>
      <c r="L81" s="174">
        <f>SUM(L70:L80)</f>
        <v>0</v>
      </c>
      <c r="M81" s="174">
        <f t="shared" si="35"/>
        <v>0</v>
      </c>
      <c r="N81" s="174">
        <f t="shared" si="35"/>
        <v>0</v>
      </c>
      <c r="O81" s="174">
        <f t="shared" si="35"/>
        <v>0</v>
      </c>
      <c r="P81" s="174">
        <f t="shared" si="35"/>
        <v>0</v>
      </c>
      <c r="Q81" s="174">
        <f>SUM(Q70:Q80)</f>
        <v>0</v>
      </c>
      <c r="R81" s="174">
        <f>SUM(R70:R80)</f>
        <v>0</v>
      </c>
      <c r="S81" s="174">
        <f>SUM(S70:S80)</f>
        <v>0</v>
      </c>
      <c r="T81" s="174">
        <f>SUM(T70:T80)</f>
        <v>0</v>
      </c>
      <c r="U81" s="174">
        <f>SUM(U70:U80)</f>
        <v>0</v>
      </c>
      <c r="V81" s="174">
        <f t="shared" si="35"/>
        <v>-2000</v>
      </c>
      <c r="W81" s="174">
        <f t="shared" ref="W81:AB81" si="36">SUM(W70:W80)</f>
        <v>0</v>
      </c>
      <c r="X81" s="174">
        <f t="shared" si="36"/>
        <v>0</v>
      </c>
      <c r="Y81" s="174">
        <f t="shared" si="36"/>
        <v>0</v>
      </c>
      <c r="Z81" s="174">
        <f t="shared" si="36"/>
        <v>0</v>
      </c>
      <c r="AA81" s="174">
        <f t="shared" si="36"/>
        <v>0</v>
      </c>
      <c r="AB81" s="174">
        <f t="shared" si="36"/>
        <v>0</v>
      </c>
      <c r="AC81" s="174">
        <f t="shared" si="35"/>
        <v>291000</v>
      </c>
      <c r="AD81" s="174">
        <f t="shared" si="35"/>
        <v>0</v>
      </c>
      <c r="AE81" s="174">
        <f>SUM(AE70:AE80)</f>
        <v>104000</v>
      </c>
      <c r="AF81" s="174">
        <f t="shared" si="35"/>
        <v>0</v>
      </c>
      <c r="AG81" s="174">
        <f t="shared" si="35"/>
        <v>0</v>
      </c>
      <c r="AH81" s="174">
        <f>SUM(AH70:AH80)</f>
        <v>0</v>
      </c>
      <c r="AI81" s="174">
        <f t="shared" si="35"/>
        <v>0</v>
      </c>
      <c r="AJ81" s="174">
        <f t="shared" si="35"/>
        <v>0</v>
      </c>
      <c r="AK81" s="174">
        <f t="shared" ref="AK81:AQ81" si="37">SUM(AK70:AK80)</f>
        <v>0</v>
      </c>
      <c r="AL81" s="174">
        <f t="shared" si="37"/>
        <v>0</v>
      </c>
      <c r="AM81" s="174">
        <f t="shared" si="37"/>
        <v>0</v>
      </c>
      <c r="AN81" s="174">
        <f t="shared" si="37"/>
        <v>0</v>
      </c>
      <c r="AO81" s="174">
        <f t="shared" si="37"/>
        <v>-995000</v>
      </c>
      <c r="AP81" s="174">
        <f t="shared" si="37"/>
        <v>0</v>
      </c>
      <c r="AQ81" s="174">
        <f t="shared" si="37"/>
        <v>0</v>
      </c>
      <c r="AR81" s="173"/>
      <c r="AS81" s="173">
        <f>SUM(AS70:AS80)</f>
        <v>-602000</v>
      </c>
      <c r="AT81" s="173">
        <f>SUM(AT70:AT80)</f>
        <v>8705000</v>
      </c>
      <c r="AU81" s="167" t="str">
        <f>IF(ROUND(SUM(F81:AQ81),0)=ROUND(AT81,0),"ok","crossfoot error")</f>
        <v>ok</v>
      </c>
      <c r="AV81" s="173"/>
      <c r="AW81" s="161"/>
      <c r="AX81" s="161"/>
      <c r="AY81" s="167"/>
    </row>
    <row r="82" spans="1:51" ht="14.1" customHeight="1">
      <c r="A82" s="160">
        <v>82</v>
      </c>
      <c r="B82" s="159"/>
      <c r="C82" s="197" t="s">
        <v>748</v>
      </c>
      <c r="D82" s="159"/>
      <c r="E82" s="156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6"/>
      <c r="AS82" s="164"/>
      <c r="AT82" s="164"/>
      <c r="AU82" s="160"/>
      <c r="AV82" s="164"/>
      <c r="AW82" s="161"/>
      <c r="AX82" s="161"/>
      <c r="AY82" s="160"/>
    </row>
    <row r="83" spans="1:51" ht="14.1" customHeight="1">
      <c r="A83" s="160">
        <v>83</v>
      </c>
      <c r="B83" s="159" t="s">
        <v>340</v>
      </c>
      <c r="C83" s="159" t="s">
        <v>1</v>
      </c>
      <c r="D83" s="159"/>
      <c r="E83" s="156"/>
      <c r="F83" s="165">
        <v>82000</v>
      </c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65">
        <v>3000</v>
      </c>
      <c r="AD83" s="157"/>
      <c r="AE83" s="165">
        <f>ROUND(F83/($F$81+$F$92)*153000,-3)</f>
        <v>1000</v>
      </c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6"/>
      <c r="AS83" s="164">
        <f>SUM(G83:AQ83)</f>
        <v>4000</v>
      </c>
      <c r="AT83" s="164">
        <f>F83+AS83</f>
        <v>86000</v>
      </c>
      <c r="AU83" s="160"/>
      <c r="AV83" s="164">
        <f t="shared" ref="AV83:AV91" si="38">ROUND(AT83/1000,0)*1000</f>
        <v>86000</v>
      </c>
      <c r="AW83" s="161"/>
      <c r="AX83" s="161"/>
      <c r="AY83" s="160"/>
    </row>
    <row r="84" spans="1:51" ht="14.1" customHeight="1">
      <c r="A84" s="160">
        <v>84</v>
      </c>
      <c r="B84" s="159" t="s">
        <v>342</v>
      </c>
      <c r="C84" s="159" t="s">
        <v>245</v>
      </c>
      <c r="D84" s="159"/>
      <c r="E84" s="156"/>
      <c r="F84" s="165">
        <v>770000</v>
      </c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65">
        <v>30000</v>
      </c>
      <c r="AD84" s="157"/>
      <c r="AE84" s="165">
        <f t="shared" ref="AE84:AE91" si="39">ROUND(F84/($F$81+$F$92)*153000,-3)</f>
        <v>9000</v>
      </c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6"/>
      <c r="AS84" s="164">
        <f t="shared" ref="AS84:AS91" si="40">SUM(G84:AQ84)</f>
        <v>39000</v>
      </c>
      <c r="AT84" s="164">
        <f t="shared" ref="AT84:AT91" si="41">F84+AS84</f>
        <v>809000</v>
      </c>
      <c r="AU84" s="160"/>
      <c r="AV84" s="164">
        <f t="shared" si="38"/>
        <v>809000</v>
      </c>
      <c r="AW84" s="161"/>
      <c r="AX84" s="161"/>
      <c r="AY84" s="160"/>
    </row>
    <row r="85" spans="1:51" ht="14.1" customHeight="1">
      <c r="A85" s="160">
        <v>85</v>
      </c>
      <c r="B85" s="159" t="s">
        <v>747</v>
      </c>
      <c r="C85" s="159" t="s">
        <v>240</v>
      </c>
      <c r="D85" s="159"/>
      <c r="E85" s="156"/>
      <c r="F85" s="165">
        <v>0</v>
      </c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65">
        <v>0</v>
      </c>
      <c r="AD85" s="157"/>
      <c r="AE85" s="165">
        <f t="shared" si="39"/>
        <v>0</v>
      </c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6"/>
      <c r="AS85" s="164">
        <f t="shared" si="40"/>
        <v>0</v>
      </c>
      <c r="AT85" s="164">
        <f t="shared" si="41"/>
        <v>0</v>
      </c>
      <c r="AU85" s="160"/>
      <c r="AV85" s="164">
        <f t="shared" si="38"/>
        <v>0</v>
      </c>
      <c r="AW85" s="161"/>
      <c r="AX85" s="161"/>
      <c r="AY85" s="160"/>
    </row>
    <row r="86" spans="1:51" ht="14.1" customHeight="1">
      <c r="A86" s="160">
        <v>86</v>
      </c>
      <c r="B86" s="159" t="s">
        <v>343</v>
      </c>
      <c r="C86" s="159" t="s">
        <v>333</v>
      </c>
      <c r="D86" s="159"/>
      <c r="E86" s="156"/>
      <c r="F86" s="165">
        <v>276000</v>
      </c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65">
        <v>7000</v>
      </c>
      <c r="AD86" s="157"/>
      <c r="AE86" s="165">
        <f t="shared" si="39"/>
        <v>3000</v>
      </c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6"/>
      <c r="AS86" s="164">
        <f t="shared" si="40"/>
        <v>10000</v>
      </c>
      <c r="AT86" s="164">
        <f t="shared" si="41"/>
        <v>286000</v>
      </c>
      <c r="AU86" s="160"/>
      <c r="AV86" s="164">
        <f t="shared" si="38"/>
        <v>286000</v>
      </c>
      <c r="AW86" s="161"/>
      <c r="AX86" s="161"/>
      <c r="AY86" s="160"/>
    </row>
    <row r="87" spans="1:51" ht="14.1" customHeight="1">
      <c r="A87" s="160">
        <v>87</v>
      </c>
      <c r="B87" s="159" t="s">
        <v>344</v>
      </c>
      <c r="C87" s="159" t="s">
        <v>334</v>
      </c>
      <c r="D87" s="159"/>
      <c r="E87" s="156"/>
      <c r="F87" s="165">
        <v>15000</v>
      </c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65">
        <v>1000</v>
      </c>
      <c r="AD87" s="157"/>
      <c r="AE87" s="165">
        <f t="shared" si="39"/>
        <v>0</v>
      </c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6"/>
      <c r="AS87" s="164">
        <f t="shared" si="40"/>
        <v>1000</v>
      </c>
      <c r="AT87" s="164">
        <f t="shared" si="41"/>
        <v>16000</v>
      </c>
      <c r="AU87" s="160"/>
      <c r="AV87" s="164">
        <f t="shared" si="38"/>
        <v>16000</v>
      </c>
      <c r="AW87" s="161"/>
      <c r="AX87" s="161"/>
      <c r="AY87" s="160"/>
    </row>
    <row r="88" spans="1:51" ht="14.1" customHeight="1">
      <c r="A88" s="160">
        <v>88</v>
      </c>
      <c r="B88" s="159" t="s">
        <v>345</v>
      </c>
      <c r="C88" s="159" t="s">
        <v>335</v>
      </c>
      <c r="D88" s="159"/>
      <c r="E88" s="156"/>
      <c r="F88" s="165">
        <v>66000</v>
      </c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65">
        <v>2000</v>
      </c>
      <c r="AD88" s="157"/>
      <c r="AE88" s="165">
        <f t="shared" si="39"/>
        <v>1000</v>
      </c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6"/>
      <c r="AS88" s="164">
        <f t="shared" si="40"/>
        <v>3000</v>
      </c>
      <c r="AT88" s="164">
        <f t="shared" si="41"/>
        <v>69000</v>
      </c>
      <c r="AU88" s="160"/>
      <c r="AV88" s="164">
        <f t="shared" si="38"/>
        <v>69000</v>
      </c>
      <c r="AW88" s="161"/>
      <c r="AX88" s="161"/>
      <c r="AY88" s="160"/>
    </row>
    <row r="89" spans="1:51" ht="14.1" customHeight="1">
      <c r="A89" s="160">
        <v>89</v>
      </c>
      <c r="B89" s="159" t="s">
        <v>346</v>
      </c>
      <c r="C89" s="159" t="s">
        <v>91</v>
      </c>
      <c r="D89" s="159"/>
      <c r="E89" s="156"/>
      <c r="F89" s="165">
        <v>1358000</v>
      </c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65">
        <v>41000</v>
      </c>
      <c r="AD89" s="157"/>
      <c r="AE89" s="165">
        <f t="shared" si="39"/>
        <v>15000</v>
      </c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6"/>
      <c r="AS89" s="164">
        <f t="shared" si="40"/>
        <v>56000</v>
      </c>
      <c r="AT89" s="164">
        <f t="shared" si="41"/>
        <v>1414000</v>
      </c>
      <c r="AU89" s="160"/>
      <c r="AV89" s="164">
        <f>ROUND(AT89/1000,0)*1000-1000</f>
        <v>1413000</v>
      </c>
      <c r="AW89" s="161"/>
      <c r="AX89" s="161"/>
      <c r="AY89" s="160"/>
    </row>
    <row r="90" spans="1:51" ht="14.1" customHeight="1">
      <c r="A90" s="160">
        <v>90</v>
      </c>
      <c r="B90" s="159" t="s">
        <v>347</v>
      </c>
      <c r="C90" s="159" t="s">
        <v>339</v>
      </c>
      <c r="D90" s="159"/>
      <c r="E90" s="156"/>
      <c r="F90" s="165">
        <v>1610000</v>
      </c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546"/>
      <c r="X90" s="546"/>
      <c r="Y90" s="546"/>
      <c r="Z90" s="157"/>
      <c r="AA90" s="157"/>
      <c r="AB90" s="157"/>
      <c r="AC90" s="165">
        <v>43000</v>
      </c>
      <c r="AD90" s="157"/>
      <c r="AE90" s="165">
        <f t="shared" si="39"/>
        <v>18000</v>
      </c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6"/>
      <c r="AS90" s="164">
        <f>SUM(G90:AQ90)</f>
        <v>61000</v>
      </c>
      <c r="AT90" s="164">
        <f t="shared" si="41"/>
        <v>1671000</v>
      </c>
      <c r="AU90" s="160"/>
      <c r="AV90" s="164">
        <f t="shared" si="38"/>
        <v>1671000</v>
      </c>
      <c r="AW90" s="161"/>
      <c r="AX90" s="161"/>
      <c r="AY90" s="160"/>
    </row>
    <row r="91" spans="1:51" ht="14.1" customHeight="1">
      <c r="A91" s="160">
        <v>91</v>
      </c>
      <c r="B91" s="159" t="s">
        <v>348</v>
      </c>
      <c r="C91" s="159" t="s">
        <v>243</v>
      </c>
      <c r="D91" s="159"/>
      <c r="E91" s="156"/>
      <c r="F91" s="165">
        <v>185000</v>
      </c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65">
        <v>6000</v>
      </c>
      <c r="AD91" s="157"/>
      <c r="AE91" s="165">
        <f t="shared" si="39"/>
        <v>2000</v>
      </c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6"/>
      <c r="AS91" s="164">
        <f t="shared" si="40"/>
        <v>8000</v>
      </c>
      <c r="AT91" s="164">
        <f t="shared" si="41"/>
        <v>193000</v>
      </c>
      <c r="AU91" s="160"/>
      <c r="AV91" s="164">
        <f t="shared" si="38"/>
        <v>193000</v>
      </c>
      <c r="AW91" s="161"/>
      <c r="AX91" s="161"/>
      <c r="AY91" s="160"/>
    </row>
    <row r="92" spans="1:51" s="169" customFormat="1" ht="14.1" customHeight="1">
      <c r="A92" s="160">
        <v>92</v>
      </c>
      <c r="B92" s="172"/>
      <c r="C92" s="172" t="s">
        <v>746</v>
      </c>
      <c r="D92" s="172"/>
      <c r="E92" s="171"/>
      <c r="F92" s="174">
        <f t="shared" ref="F92:V92" si="42">SUM(F83:F87)+ SUM(F88:F91)</f>
        <v>4362000</v>
      </c>
      <c r="G92" s="174">
        <f t="shared" si="42"/>
        <v>0</v>
      </c>
      <c r="H92" s="174">
        <f t="shared" si="42"/>
        <v>0</v>
      </c>
      <c r="I92" s="174">
        <f t="shared" si="42"/>
        <v>0</v>
      </c>
      <c r="J92" s="174">
        <f>SUM(J83:J87)+ SUM(J88:J91)</f>
        <v>0</v>
      </c>
      <c r="K92" s="174">
        <f>SUM(K83:K87)+ SUM(K88:K91)</f>
        <v>0</v>
      </c>
      <c r="L92" s="174">
        <f>SUM(L83:L87)+ SUM(L88:L91)</f>
        <v>0</v>
      </c>
      <c r="M92" s="174">
        <f t="shared" si="42"/>
        <v>0</v>
      </c>
      <c r="N92" s="174">
        <f t="shared" si="42"/>
        <v>0</v>
      </c>
      <c r="O92" s="174">
        <f t="shared" si="42"/>
        <v>0</v>
      </c>
      <c r="P92" s="174">
        <f t="shared" si="42"/>
        <v>0</v>
      </c>
      <c r="Q92" s="174">
        <f>SUM(Q83:Q87)+ SUM(Q88:Q91)</f>
        <v>0</v>
      </c>
      <c r="R92" s="174">
        <f>SUM(R83:R87)+ SUM(R88:R91)</f>
        <v>0</v>
      </c>
      <c r="S92" s="174">
        <f>SUM(S83:S87)+ SUM(S88:S91)</f>
        <v>0</v>
      </c>
      <c r="T92" s="174">
        <f>SUM(T83:T87)+ SUM(T88:T91)</f>
        <v>0</v>
      </c>
      <c r="U92" s="174">
        <f>SUM(U83:U87)+ SUM(U88:U91)</f>
        <v>0</v>
      </c>
      <c r="V92" s="174">
        <f t="shared" si="42"/>
        <v>0</v>
      </c>
      <c r="W92" s="174">
        <f t="shared" ref="W92:AB92" si="43">SUM(W83:W87)+ SUM(W88:W91)</f>
        <v>0</v>
      </c>
      <c r="X92" s="174">
        <f t="shared" si="43"/>
        <v>0</v>
      </c>
      <c r="Y92" s="174">
        <f t="shared" si="43"/>
        <v>0</v>
      </c>
      <c r="Z92" s="174">
        <f t="shared" si="43"/>
        <v>0</v>
      </c>
      <c r="AA92" s="174">
        <f t="shared" si="43"/>
        <v>0</v>
      </c>
      <c r="AB92" s="174">
        <f t="shared" si="43"/>
        <v>0</v>
      </c>
      <c r="AC92" s="174">
        <f>SUM(AC83:AC91)</f>
        <v>133000</v>
      </c>
      <c r="AD92" s="174">
        <f t="shared" ref="AD92:AJ92" si="44">SUM(AD83:AD87)+ SUM(AD88:AD91)</f>
        <v>0</v>
      </c>
      <c r="AE92" s="174">
        <f t="shared" si="44"/>
        <v>49000</v>
      </c>
      <c r="AF92" s="174">
        <f t="shared" si="44"/>
        <v>0</v>
      </c>
      <c r="AG92" s="174">
        <f t="shared" si="44"/>
        <v>0</v>
      </c>
      <c r="AH92" s="174">
        <f>SUM(AH83:AH87)+ SUM(AH88:AH91)</f>
        <v>0</v>
      </c>
      <c r="AI92" s="174">
        <f t="shared" si="44"/>
        <v>0</v>
      </c>
      <c r="AJ92" s="174">
        <f t="shared" si="44"/>
        <v>0</v>
      </c>
      <c r="AK92" s="174">
        <f t="shared" ref="AK92:AQ92" si="45">SUM(AK83:AK87)+ SUM(AK88:AK91)</f>
        <v>0</v>
      </c>
      <c r="AL92" s="174">
        <f t="shared" si="45"/>
        <v>0</v>
      </c>
      <c r="AM92" s="174">
        <f t="shared" si="45"/>
        <v>0</v>
      </c>
      <c r="AN92" s="174">
        <f t="shared" si="45"/>
        <v>0</v>
      </c>
      <c r="AO92" s="174">
        <f t="shared" si="45"/>
        <v>0</v>
      </c>
      <c r="AP92" s="174">
        <f t="shared" si="45"/>
        <v>0</v>
      </c>
      <c r="AQ92" s="174">
        <f t="shared" si="45"/>
        <v>0</v>
      </c>
      <c r="AR92" s="173"/>
      <c r="AS92" s="173">
        <f>SUM(AS83:AS87)+ SUM(AS88:AS91)</f>
        <v>182000</v>
      </c>
      <c r="AT92" s="173">
        <f>SUM(AT83:AT87)+ SUM(AT88:AT91)</f>
        <v>4544000</v>
      </c>
      <c r="AU92" s="167" t="str">
        <f>IF(ROUND(SUM(F92:AQ92),0)=ROUND(AT92,0),"ok","crossfoot error")</f>
        <v>ok</v>
      </c>
      <c r="AV92" s="173"/>
      <c r="AW92" s="161"/>
      <c r="AX92" s="161"/>
      <c r="AY92" s="167"/>
    </row>
    <row r="93" spans="1:51" ht="14.1" customHeight="1">
      <c r="A93" s="160">
        <v>93</v>
      </c>
      <c r="B93" s="159"/>
      <c r="C93" s="159"/>
      <c r="D93" s="159"/>
      <c r="E93" s="156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6"/>
      <c r="AS93" s="206"/>
      <c r="AT93" s="206"/>
      <c r="AU93" s="160"/>
      <c r="AV93" s="206"/>
      <c r="AW93" s="161"/>
      <c r="AX93" s="161"/>
      <c r="AY93" s="160"/>
    </row>
    <row r="94" spans="1:51" s="169" customFormat="1" ht="14.1" customHeight="1">
      <c r="A94" s="160">
        <v>94</v>
      </c>
      <c r="B94" s="172"/>
      <c r="C94" s="172" t="s">
        <v>745</v>
      </c>
      <c r="D94" s="172"/>
      <c r="E94" s="171"/>
      <c r="F94" s="205">
        <f t="shared" ref="F94:V94" si="46">F81+F92</f>
        <v>13669000</v>
      </c>
      <c r="G94" s="205">
        <f t="shared" si="46"/>
        <v>0</v>
      </c>
      <c r="H94" s="205">
        <f t="shared" si="46"/>
        <v>0</v>
      </c>
      <c r="I94" s="205">
        <f t="shared" si="46"/>
        <v>0</v>
      </c>
      <c r="J94" s="205">
        <f t="shared" si="46"/>
        <v>0</v>
      </c>
      <c r="K94" s="205">
        <f t="shared" si="46"/>
        <v>0</v>
      </c>
      <c r="L94" s="205">
        <f t="shared" si="46"/>
        <v>0</v>
      </c>
      <c r="M94" s="205">
        <f t="shared" si="46"/>
        <v>0</v>
      </c>
      <c r="N94" s="205">
        <f t="shared" si="46"/>
        <v>0</v>
      </c>
      <c r="O94" s="205">
        <f t="shared" si="46"/>
        <v>0</v>
      </c>
      <c r="P94" s="205">
        <f t="shared" si="46"/>
        <v>0</v>
      </c>
      <c r="Q94" s="205">
        <f t="shared" si="46"/>
        <v>0</v>
      </c>
      <c r="R94" s="205">
        <f t="shared" si="46"/>
        <v>0</v>
      </c>
      <c r="S94" s="205">
        <f t="shared" si="46"/>
        <v>0</v>
      </c>
      <c r="T94" s="205">
        <f t="shared" si="46"/>
        <v>0</v>
      </c>
      <c r="U94" s="205">
        <f t="shared" si="46"/>
        <v>0</v>
      </c>
      <c r="V94" s="205">
        <f t="shared" si="46"/>
        <v>-2000</v>
      </c>
      <c r="W94" s="205">
        <f t="shared" ref="W94:AC94" si="47">W81+W92</f>
        <v>0</v>
      </c>
      <c r="X94" s="205">
        <f t="shared" si="47"/>
        <v>0</v>
      </c>
      <c r="Y94" s="205">
        <f t="shared" si="47"/>
        <v>0</v>
      </c>
      <c r="Z94" s="205">
        <f t="shared" si="47"/>
        <v>0</v>
      </c>
      <c r="AA94" s="205">
        <f t="shared" si="47"/>
        <v>0</v>
      </c>
      <c r="AB94" s="205">
        <f t="shared" si="47"/>
        <v>0</v>
      </c>
      <c r="AC94" s="205">
        <f t="shared" si="47"/>
        <v>424000</v>
      </c>
      <c r="AD94" s="205">
        <f t="shared" ref="AD94:AQ94" si="48">AD81+AD92</f>
        <v>0</v>
      </c>
      <c r="AE94" s="205">
        <f t="shared" si="48"/>
        <v>153000</v>
      </c>
      <c r="AF94" s="205">
        <f t="shared" si="48"/>
        <v>0</v>
      </c>
      <c r="AG94" s="205">
        <f t="shared" si="48"/>
        <v>0</v>
      </c>
      <c r="AH94" s="205">
        <f t="shared" si="48"/>
        <v>0</v>
      </c>
      <c r="AI94" s="205">
        <f t="shared" si="48"/>
        <v>0</v>
      </c>
      <c r="AJ94" s="205">
        <f t="shared" si="48"/>
        <v>0</v>
      </c>
      <c r="AK94" s="205">
        <f t="shared" si="48"/>
        <v>0</v>
      </c>
      <c r="AL94" s="205">
        <f t="shared" si="48"/>
        <v>0</v>
      </c>
      <c r="AM94" s="205">
        <f t="shared" si="48"/>
        <v>0</v>
      </c>
      <c r="AN94" s="205">
        <f t="shared" si="48"/>
        <v>0</v>
      </c>
      <c r="AO94" s="205">
        <f t="shared" si="48"/>
        <v>-995000</v>
      </c>
      <c r="AP94" s="205">
        <f t="shared" si="48"/>
        <v>0</v>
      </c>
      <c r="AQ94" s="205">
        <f t="shared" si="48"/>
        <v>0</v>
      </c>
      <c r="AR94" s="204"/>
      <c r="AS94" s="204">
        <f>AS81+AS92</f>
        <v>-420000</v>
      </c>
      <c r="AT94" s="204">
        <f>AT81+AT92</f>
        <v>13249000</v>
      </c>
      <c r="AU94" s="167" t="str">
        <f>IF(ROUND(SUM(F94:AQ94),0)=ROUND(AT94,0),"ok","crossfoot error")</f>
        <v>ok</v>
      </c>
      <c r="AV94" s="204">
        <f>SUM(AV70:AV91)/1000</f>
        <v>13249</v>
      </c>
      <c r="AW94" s="162">
        <f>'[2]ADJ DETAIL INPUT'!$AU$33</f>
        <v>13249</v>
      </c>
      <c r="AX94" s="161">
        <f>AV94-AW94</f>
        <v>0</v>
      </c>
      <c r="AY94" s="167"/>
    </row>
    <row r="95" spans="1:51" ht="14.1" customHeight="1">
      <c r="A95" s="160">
        <v>95</v>
      </c>
      <c r="B95" s="159"/>
      <c r="C95" s="159"/>
      <c r="D95" s="159"/>
      <c r="E95" s="156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6"/>
      <c r="AS95" s="164"/>
      <c r="AT95" s="164"/>
      <c r="AU95" s="160"/>
      <c r="AV95" s="164"/>
      <c r="AW95" s="161"/>
      <c r="AX95" s="161"/>
      <c r="AY95" s="160"/>
    </row>
    <row r="96" spans="1:51" ht="14.1" customHeight="1">
      <c r="A96" s="160">
        <v>96</v>
      </c>
      <c r="B96" s="159"/>
      <c r="C96" s="172" t="s">
        <v>11</v>
      </c>
      <c r="D96" s="159"/>
      <c r="E96" s="156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6"/>
      <c r="AS96" s="164"/>
      <c r="AT96" s="164"/>
      <c r="AU96" s="160"/>
      <c r="AV96" s="164"/>
      <c r="AW96" s="161"/>
      <c r="AX96" s="161"/>
      <c r="AY96" s="160"/>
    </row>
    <row r="97" spans="1:51" ht="14.1" customHeight="1">
      <c r="A97" s="160">
        <v>97</v>
      </c>
      <c r="B97" s="159" t="s">
        <v>12</v>
      </c>
      <c r="C97" s="159" t="s">
        <v>13</v>
      </c>
      <c r="D97" s="159"/>
      <c r="E97" s="156"/>
      <c r="F97" s="165">
        <v>78000</v>
      </c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65">
        <v>3000</v>
      </c>
      <c r="AD97" s="157"/>
      <c r="AE97" s="165">
        <f>ROUND((F97/$F$102)*72000,-3)</f>
        <v>1000</v>
      </c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6"/>
      <c r="AS97" s="164">
        <f>SUM(G97:AQ97)</f>
        <v>4000</v>
      </c>
      <c r="AT97" s="164">
        <f>F97+AS97</f>
        <v>82000</v>
      </c>
      <c r="AU97" s="160"/>
      <c r="AV97" s="164">
        <f>ROUND(AT97/1000,0)*1000</f>
        <v>82000</v>
      </c>
      <c r="AW97" s="161"/>
      <c r="AX97" s="161"/>
      <c r="AY97" s="160"/>
    </row>
    <row r="98" spans="1:51" ht="14.1" customHeight="1">
      <c r="A98" s="160">
        <v>98</v>
      </c>
      <c r="B98" s="159" t="s">
        <v>14</v>
      </c>
      <c r="C98" s="159" t="s">
        <v>15</v>
      </c>
      <c r="D98" s="159"/>
      <c r="E98" s="156"/>
      <c r="F98" s="165">
        <v>1669000</v>
      </c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65">
        <v>62000</v>
      </c>
      <c r="AD98" s="157"/>
      <c r="AE98" s="165">
        <f>ROUND((F98/$F$102)*72000,-3)</f>
        <v>19000</v>
      </c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6"/>
      <c r="AS98" s="164">
        <f>SUM(G98:AQ98)</f>
        <v>81000</v>
      </c>
      <c r="AT98" s="164">
        <f>F98+AS98</f>
        <v>1750000</v>
      </c>
      <c r="AU98" s="160"/>
      <c r="AV98" s="164">
        <f>ROUND(AT98/1000,0)*1000</f>
        <v>1750000</v>
      </c>
      <c r="AW98" s="161"/>
      <c r="AX98" s="161"/>
      <c r="AY98" s="160"/>
    </row>
    <row r="99" spans="1:51" ht="14.1" customHeight="1">
      <c r="A99" s="160">
        <v>99</v>
      </c>
      <c r="B99" s="159" t="s">
        <v>16</v>
      </c>
      <c r="C99" s="159" t="s">
        <v>349</v>
      </c>
      <c r="D99" s="159"/>
      <c r="E99" s="156"/>
      <c r="F99" s="165">
        <f>4469000-1000</f>
        <v>4468000</v>
      </c>
      <c r="G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81"/>
      <c r="W99" s="546"/>
      <c r="X99" s="546"/>
      <c r="Y99" s="546"/>
      <c r="Z99" s="165"/>
      <c r="AA99" s="165"/>
      <c r="AB99" s="165"/>
      <c r="AC99" s="165">
        <v>135000</v>
      </c>
      <c r="AD99" s="157"/>
      <c r="AE99" s="165">
        <f>ROUND((F99/$F$102)*72000,-3)</f>
        <v>50000</v>
      </c>
      <c r="AF99" s="157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56"/>
      <c r="AS99" s="164">
        <f>SUM(G99:AQ99)</f>
        <v>185000</v>
      </c>
      <c r="AT99" s="164">
        <f>F99+AS99</f>
        <v>4653000</v>
      </c>
      <c r="AU99" s="160"/>
      <c r="AV99" s="164">
        <f>ROUND(AT99/1000,0)*1000</f>
        <v>4653000</v>
      </c>
      <c r="AW99" s="161"/>
      <c r="AX99" s="161"/>
      <c r="AY99" s="160"/>
    </row>
    <row r="100" spans="1:51" ht="14.1" customHeight="1">
      <c r="A100" s="160">
        <v>100</v>
      </c>
      <c r="B100" s="159" t="s">
        <v>17</v>
      </c>
      <c r="C100" s="159" t="s">
        <v>18</v>
      </c>
      <c r="D100" s="159"/>
      <c r="E100" s="156"/>
      <c r="F100" s="165">
        <v>90000</v>
      </c>
      <c r="G100" s="157"/>
      <c r="H100" s="157"/>
      <c r="I100" s="157"/>
      <c r="J100" s="157"/>
      <c r="K100" s="157"/>
      <c r="L100" s="157"/>
      <c r="M100" s="165">
        <v>166000</v>
      </c>
      <c r="N100" s="157"/>
      <c r="O100" s="157"/>
      <c r="P100" s="157"/>
      <c r="Q100" s="157"/>
      <c r="R100" s="157"/>
      <c r="S100" s="157"/>
      <c r="T100" s="165">
        <v>-13000</v>
      </c>
      <c r="U100" s="165">
        <v>27000</v>
      </c>
      <c r="V100" s="157"/>
      <c r="W100" s="181"/>
      <c r="X100" s="181"/>
      <c r="Y100" s="181"/>
      <c r="Z100" s="181">
        <v>-138000</v>
      </c>
      <c r="AA100" s="181"/>
      <c r="AB100" s="181"/>
      <c r="AC100" s="165"/>
      <c r="AD100" s="157"/>
      <c r="AE100" s="165">
        <f>ROUND((F100/$F$102)*72000,-3)</f>
        <v>1000</v>
      </c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6"/>
      <c r="AS100" s="164">
        <f>SUM(G100:AQ100)</f>
        <v>43000</v>
      </c>
      <c r="AT100" s="164">
        <f>F100+AS100</f>
        <v>133000</v>
      </c>
      <c r="AU100" s="160"/>
      <c r="AV100" s="164">
        <f>ROUND(AT100/1000,0)*1000</f>
        <v>133000</v>
      </c>
      <c r="AW100" s="161"/>
      <c r="AX100" s="161"/>
      <c r="AY100" s="160"/>
    </row>
    <row r="101" spans="1:51" ht="14.1" customHeight="1">
      <c r="A101" s="160">
        <v>101</v>
      </c>
      <c r="B101" s="159" t="s">
        <v>19</v>
      </c>
      <c r="C101" s="159" t="s">
        <v>20</v>
      </c>
      <c r="D101" s="159"/>
      <c r="E101" s="156"/>
      <c r="F101" s="165">
        <v>93000</v>
      </c>
      <c r="G101" s="157"/>
      <c r="H101" s="181">
        <v>15000</v>
      </c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65">
        <v>3000</v>
      </c>
      <c r="AD101" s="157"/>
      <c r="AE101" s="165">
        <f>ROUND((F101/$F$102)*72000,-3)</f>
        <v>1000</v>
      </c>
      <c r="AF101" s="157"/>
      <c r="AG101" s="157"/>
      <c r="AH101" s="157"/>
      <c r="AI101" s="181">
        <v>67000</v>
      </c>
      <c r="AJ101" s="157"/>
      <c r="AK101" s="157"/>
      <c r="AL101" s="157"/>
      <c r="AM101" s="157"/>
      <c r="AN101" s="157"/>
      <c r="AO101" s="157"/>
      <c r="AP101" s="157"/>
      <c r="AQ101" s="157"/>
      <c r="AR101" s="156"/>
      <c r="AS101" s="164">
        <f>SUM(G101:AQ101)</f>
        <v>86000</v>
      </c>
      <c r="AT101" s="164">
        <f>F101+AS101</f>
        <v>179000</v>
      </c>
      <c r="AU101" s="160"/>
      <c r="AV101" s="164">
        <f>ROUND(AT101/1000,0)*1000</f>
        <v>179000</v>
      </c>
      <c r="AW101" s="161"/>
      <c r="AX101" s="161"/>
      <c r="AY101" s="160"/>
    </row>
    <row r="102" spans="1:51" s="169" customFormat="1" ht="14.1" customHeight="1">
      <c r="A102" s="160">
        <v>102</v>
      </c>
      <c r="B102" s="172"/>
      <c r="C102" s="172" t="s">
        <v>21</v>
      </c>
      <c r="D102" s="172"/>
      <c r="E102" s="171"/>
      <c r="F102" s="174">
        <f t="shared" ref="F102:AJ102" si="49">SUM(F97:F101)</f>
        <v>6398000</v>
      </c>
      <c r="G102" s="174">
        <f t="shared" si="49"/>
        <v>0</v>
      </c>
      <c r="H102" s="174">
        <f t="shared" si="49"/>
        <v>15000</v>
      </c>
      <c r="I102" s="174">
        <f t="shared" si="49"/>
        <v>0</v>
      </c>
      <c r="J102" s="174">
        <f>SUM(J97:J101)</f>
        <v>0</v>
      </c>
      <c r="K102" s="174">
        <f>SUM(K97:K101)</f>
        <v>0</v>
      </c>
      <c r="L102" s="174">
        <f>SUM(L97:L101)</f>
        <v>0</v>
      </c>
      <c r="M102" s="174">
        <f t="shared" si="49"/>
        <v>166000</v>
      </c>
      <c r="N102" s="174">
        <f t="shared" si="49"/>
        <v>0</v>
      </c>
      <c r="O102" s="174">
        <f t="shared" si="49"/>
        <v>0</v>
      </c>
      <c r="P102" s="174">
        <f t="shared" si="49"/>
        <v>0</v>
      </c>
      <c r="Q102" s="174">
        <f>SUM(Q97:Q101)</f>
        <v>0</v>
      </c>
      <c r="R102" s="174">
        <f>SUM(R97:R101)</f>
        <v>0</v>
      </c>
      <c r="S102" s="174">
        <f>SUM(S97:S101)</f>
        <v>0</v>
      </c>
      <c r="T102" s="174">
        <f>SUM(T97:T101)</f>
        <v>-13000</v>
      </c>
      <c r="U102" s="174">
        <f>SUM(U97:U101)</f>
        <v>27000</v>
      </c>
      <c r="V102" s="174">
        <f t="shared" si="49"/>
        <v>0</v>
      </c>
      <c r="W102" s="174">
        <f t="shared" ref="W102:AB102" si="50">SUM(W97:W101)</f>
        <v>0</v>
      </c>
      <c r="X102" s="174">
        <f t="shared" si="50"/>
        <v>0</v>
      </c>
      <c r="Y102" s="174">
        <f t="shared" si="50"/>
        <v>0</v>
      </c>
      <c r="Z102" s="174">
        <f t="shared" si="50"/>
        <v>-138000</v>
      </c>
      <c r="AA102" s="174">
        <f t="shared" si="50"/>
        <v>0</v>
      </c>
      <c r="AB102" s="174">
        <f t="shared" si="50"/>
        <v>0</v>
      </c>
      <c r="AC102" s="174">
        <f t="shared" si="49"/>
        <v>203000</v>
      </c>
      <c r="AD102" s="174">
        <f t="shared" si="49"/>
        <v>0</v>
      </c>
      <c r="AE102" s="174">
        <f t="shared" si="49"/>
        <v>72000</v>
      </c>
      <c r="AF102" s="174">
        <f t="shared" si="49"/>
        <v>0</v>
      </c>
      <c r="AG102" s="174">
        <f t="shared" si="49"/>
        <v>0</v>
      </c>
      <c r="AH102" s="174">
        <f>SUM(AH97:AH101)</f>
        <v>0</v>
      </c>
      <c r="AI102" s="174">
        <f t="shared" si="49"/>
        <v>67000</v>
      </c>
      <c r="AJ102" s="174">
        <f t="shared" si="49"/>
        <v>0</v>
      </c>
      <c r="AK102" s="174">
        <f t="shared" ref="AK102:AQ102" si="51">SUM(AK97:AK101)</f>
        <v>0</v>
      </c>
      <c r="AL102" s="174">
        <f t="shared" si="51"/>
        <v>0</v>
      </c>
      <c r="AM102" s="174">
        <f t="shared" si="51"/>
        <v>0</v>
      </c>
      <c r="AN102" s="174">
        <f t="shared" si="51"/>
        <v>0</v>
      </c>
      <c r="AO102" s="174">
        <f t="shared" si="51"/>
        <v>0</v>
      </c>
      <c r="AP102" s="174">
        <f t="shared" si="51"/>
        <v>0</v>
      </c>
      <c r="AQ102" s="174">
        <f t="shared" si="51"/>
        <v>0</v>
      </c>
      <c r="AR102" s="173"/>
      <c r="AS102" s="173">
        <f>SUM(AS97:AS101)</f>
        <v>399000</v>
      </c>
      <c r="AT102" s="173">
        <f>SUM(AT97:AT101)</f>
        <v>6797000</v>
      </c>
      <c r="AU102" s="167" t="str">
        <f>IF(ROUND(SUM(F102:AQ102),0)=ROUND(AT102,0),"ok","crossfoot error")</f>
        <v>ok</v>
      </c>
      <c r="AV102" s="173">
        <f>SUM(AV97:AV101)/1000</f>
        <v>6797</v>
      </c>
      <c r="AW102" s="162">
        <f>'[2]ADJ DETAIL INPUT'!$AU$38</f>
        <v>6797</v>
      </c>
      <c r="AX102" s="161">
        <f>AV102-AW102</f>
        <v>0</v>
      </c>
      <c r="AY102" s="167"/>
    </row>
    <row r="103" spans="1:51" ht="14.1" customHeight="1">
      <c r="A103" s="160">
        <v>103</v>
      </c>
      <c r="B103" s="159"/>
      <c r="C103" s="159"/>
      <c r="D103" s="159"/>
      <c r="E103" s="156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6"/>
      <c r="AS103" s="164"/>
      <c r="AT103" s="164"/>
      <c r="AU103" s="160"/>
      <c r="AV103" s="164"/>
      <c r="AW103" s="161"/>
      <c r="AX103" s="161"/>
      <c r="AY103" s="160"/>
    </row>
    <row r="104" spans="1:51" ht="14.1" customHeight="1">
      <c r="A104" s="160">
        <v>104</v>
      </c>
      <c r="B104" s="159"/>
      <c r="C104" s="172" t="s">
        <v>744</v>
      </c>
      <c r="D104" s="159"/>
      <c r="E104" s="156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6"/>
      <c r="AS104" s="164"/>
      <c r="AT104" s="164"/>
      <c r="AU104" s="160"/>
      <c r="AV104" s="164"/>
      <c r="AW104" s="161"/>
      <c r="AX104" s="161"/>
      <c r="AY104" s="160"/>
    </row>
    <row r="105" spans="1:51" ht="14.1" customHeight="1">
      <c r="A105" s="160">
        <v>105</v>
      </c>
      <c r="B105" s="159" t="s">
        <v>23</v>
      </c>
      <c r="C105" s="159" t="s">
        <v>13</v>
      </c>
      <c r="D105" s="159"/>
      <c r="E105" s="156"/>
      <c r="F105" s="165">
        <v>0</v>
      </c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6"/>
      <c r="AS105" s="164">
        <f>SUM(G105:AQ105)</f>
        <v>0</v>
      </c>
      <c r="AT105" s="164">
        <f>F105+AS105</f>
        <v>0</v>
      </c>
      <c r="AU105" s="160"/>
      <c r="AV105" s="164">
        <f>ROUND(AT105/1000,0)*1000</f>
        <v>0</v>
      </c>
      <c r="AW105" s="161"/>
      <c r="AX105" s="161"/>
      <c r="AY105" s="160"/>
    </row>
    <row r="106" spans="1:51" ht="14.1" customHeight="1">
      <c r="A106" s="160">
        <v>106</v>
      </c>
      <c r="B106" s="159" t="s">
        <v>24</v>
      </c>
      <c r="C106" s="159" t="s">
        <v>25</v>
      </c>
      <c r="D106" s="159"/>
      <c r="E106" s="156"/>
      <c r="F106" s="165">
        <v>8902000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65">
        <v>0</v>
      </c>
      <c r="U106" s="165">
        <v>-8485000</v>
      </c>
      <c r="V106" s="165"/>
      <c r="W106" s="157"/>
      <c r="X106" s="157"/>
      <c r="Y106" s="157"/>
      <c r="Z106" s="157"/>
      <c r="AA106" s="157"/>
      <c r="AB106" s="157"/>
      <c r="AC106" s="165">
        <v>12000</v>
      </c>
      <c r="AD106" s="157"/>
      <c r="AE106" s="165">
        <f>ROUND((F106/$F$109)*7000,-3)</f>
        <v>6000</v>
      </c>
      <c r="AF106" s="157"/>
      <c r="AG106" s="546"/>
      <c r="AH106" s="546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6"/>
      <c r="AS106" s="164">
        <f>SUM(G106:AQ106)</f>
        <v>-8467000</v>
      </c>
      <c r="AT106" s="164">
        <f>F106+AS106</f>
        <v>435000</v>
      </c>
      <c r="AU106" s="160"/>
      <c r="AV106" s="164">
        <f>ROUND(AT106/1000,0)*1000</f>
        <v>435000</v>
      </c>
      <c r="AW106" s="161"/>
      <c r="AX106" s="161"/>
      <c r="AY106" s="160"/>
    </row>
    <row r="107" spans="1:51" ht="14.1" customHeight="1">
      <c r="A107" s="160">
        <v>107</v>
      </c>
      <c r="B107" s="159" t="s">
        <v>26</v>
      </c>
      <c r="C107" s="159" t="s">
        <v>27</v>
      </c>
      <c r="D107" s="159"/>
      <c r="E107" s="156"/>
      <c r="F107" s="165">
        <v>644000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65">
        <v>1000</v>
      </c>
      <c r="W107" s="546"/>
      <c r="X107" s="546"/>
      <c r="Y107" s="546"/>
      <c r="Z107" s="157"/>
      <c r="AA107" s="157"/>
      <c r="AB107" s="157"/>
      <c r="AC107" s="165">
        <v>5000</v>
      </c>
      <c r="AD107" s="157"/>
      <c r="AE107" s="165">
        <f>ROUND((F107/$F$109)*7000,-3)+1000</f>
        <v>1000</v>
      </c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6"/>
      <c r="AS107" s="164">
        <f>SUM(G107:AQ107)</f>
        <v>7000</v>
      </c>
      <c r="AT107" s="164">
        <f>F107+AS107</f>
        <v>651000</v>
      </c>
      <c r="AU107" s="160"/>
      <c r="AV107" s="164">
        <f>ROUND(AT107/1000,0)*1000</f>
        <v>651000</v>
      </c>
      <c r="AW107" s="161"/>
      <c r="AX107" s="161"/>
      <c r="AY107" s="160"/>
    </row>
    <row r="108" spans="1:51" ht="14.1" customHeight="1">
      <c r="A108" s="160">
        <v>108</v>
      </c>
      <c r="B108" s="159" t="s">
        <v>28</v>
      </c>
      <c r="C108" s="159" t="s">
        <v>350</v>
      </c>
      <c r="D108" s="159"/>
      <c r="E108" s="156"/>
      <c r="F108" s="165">
        <v>118000</v>
      </c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81"/>
      <c r="V108" s="181"/>
      <c r="W108" s="181"/>
      <c r="X108" s="181"/>
      <c r="Y108" s="181"/>
      <c r="Z108" s="157"/>
      <c r="AA108" s="157"/>
      <c r="AB108" s="157"/>
      <c r="AC108" s="165">
        <v>1000</v>
      </c>
      <c r="AD108" s="157"/>
      <c r="AE108" s="165">
        <f>ROUND((F108/$F$109)*7000,-3)</f>
        <v>0</v>
      </c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6"/>
      <c r="AS108" s="164">
        <f>SUM(G108:AQ108)</f>
        <v>1000</v>
      </c>
      <c r="AT108" s="164">
        <f>F108+AS108</f>
        <v>119000</v>
      </c>
      <c r="AU108" s="160"/>
      <c r="AV108" s="164">
        <f>ROUND(AT108/1000,0)*1000</f>
        <v>119000</v>
      </c>
      <c r="AW108" s="161"/>
      <c r="AX108" s="161"/>
      <c r="AY108" s="160"/>
    </row>
    <row r="109" spans="1:51" s="169" customFormat="1" ht="14.1" customHeight="1">
      <c r="A109" s="160">
        <v>109</v>
      </c>
      <c r="B109" s="172"/>
      <c r="C109" s="172" t="s">
        <v>743</v>
      </c>
      <c r="D109" s="172"/>
      <c r="E109" s="171"/>
      <c r="F109" s="174">
        <f t="shared" ref="F109:AJ109" si="52">SUM(F105:F108)</f>
        <v>9664000</v>
      </c>
      <c r="G109" s="174">
        <f t="shared" si="52"/>
        <v>0</v>
      </c>
      <c r="H109" s="174">
        <f t="shared" si="52"/>
        <v>0</v>
      </c>
      <c r="I109" s="174">
        <f t="shared" si="52"/>
        <v>0</v>
      </c>
      <c r="J109" s="174">
        <f>SUM(J105:J108)</f>
        <v>0</v>
      </c>
      <c r="K109" s="174">
        <f>SUM(K105:K108)</f>
        <v>0</v>
      </c>
      <c r="L109" s="174">
        <f>SUM(L105:L108)</f>
        <v>0</v>
      </c>
      <c r="M109" s="174">
        <f t="shared" si="52"/>
        <v>0</v>
      </c>
      <c r="N109" s="174">
        <f t="shared" si="52"/>
        <v>0</v>
      </c>
      <c r="O109" s="174">
        <f t="shared" si="52"/>
        <v>0</v>
      </c>
      <c r="P109" s="174">
        <f t="shared" si="52"/>
        <v>0</v>
      </c>
      <c r="Q109" s="174">
        <f>SUM(Q105:Q108)</f>
        <v>0</v>
      </c>
      <c r="R109" s="174">
        <f>SUM(R105:R108)</f>
        <v>0</v>
      </c>
      <c r="S109" s="174">
        <f>SUM(S105:S108)</f>
        <v>0</v>
      </c>
      <c r="T109" s="174">
        <f>SUM(T105:T108)</f>
        <v>0</v>
      </c>
      <c r="U109" s="174">
        <f>SUM(U105:U108)</f>
        <v>-8485000</v>
      </c>
      <c r="V109" s="174">
        <f t="shared" si="52"/>
        <v>1000</v>
      </c>
      <c r="W109" s="174">
        <f t="shared" ref="W109:AB109" si="53">SUM(W105:W108)</f>
        <v>0</v>
      </c>
      <c r="X109" s="174">
        <f t="shared" si="53"/>
        <v>0</v>
      </c>
      <c r="Y109" s="174">
        <f t="shared" si="53"/>
        <v>0</v>
      </c>
      <c r="Z109" s="174">
        <f t="shared" si="53"/>
        <v>0</v>
      </c>
      <c r="AA109" s="174">
        <f t="shared" si="53"/>
        <v>0</v>
      </c>
      <c r="AB109" s="174">
        <f t="shared" si="53"/>
        <v>0</v>
      </c>
      <c r="AC109" s="174">
        <f t="shared" si="52"/>
        <v>18000</v>
      </c>
      <c r="AD109" s="174">
        <f t="shared" si="52"/>
        <v>0</v>
      </c>
      <c r="AE109" s="174">
        <f t="shared" si="52"/>
        <v>7000</v>
      </c>
      <c r="AF109" s="174">
        <f t="shared" si="52"/>
        <v>0</v>
      </c>
      <c r="AG109" s="174">
        <f t="shared" si="52"/>
        <v>0</v>
      </c>
      <c r="AH109" s="174">
        <f>SUM(AH105:AH108)</f>
        <v>0</v>
      </c>
      <c r="AI109" s="174">
        <f t="shared" si="52"/>
        <v>0</v>
      </c>
      <c r="AJ109" s="174">
        <f t="shared" si="52"/>
        <v>0</v>
      </c>
      <c r="AK109" s="174">
        <f t="shared" ref="AK109:AQ109" si="54">SUM(AK105:AK108)</f>
        <v>0</v>
      </c>
      <c r="AL109" s="174">
        <f t="shared" si="54"/>
        <v>0</v>
      </c>
      <c r="AM109" s="174">
        <f t="shared" si="54"/>
        <v>0</v>
      </c>
      <c r="AN109" s="174">
        <f t="shared" si="54"/>
        <v>0</v>
      </c>
      <c r="AO109" s="174">
        <f t="shared" si="54"/>
        <v>0</v>
      </c>
      <c r="AP109" s="174">
        <f t="shared" si="54"/>
        <v>0</v>
      </c>
      <c r="AQ109" s="174">
        <f t="shared" si="54"/>
        <v>0</v>
      </c>
      <c r="AR109" s="173"/>
      <c r="AS109" s="173">
        <f>SUM(AS105:AS108)</f>
        <v>-8459000</v>
      </c>
      <c r="AT109" s="173">
        <f>SUM(AT105:AT108)</f>
        <v>1205000</v>
      </c>
      <c r="AU109" s="167" t="str">
        <f>IF(ROUND(SUM(F109:AQ109),0)=ROUND(AT109,0),"ok","crossfoot error")</f>
        <v>ok</v>
      </c>
      <c r="AV109" s="173">
        <f>SUM(AV105:AV108)/1000</f>
        <v>1205</v>
      </c>
      <c r="AW109" s="162">
        <f>'[2]ADJ DETAIL INPUT'!$AU$39</f>
        <v>1205</v>
      </c>
      <c r="AX109" s="161">
        <f>AV109-AW109</f>
        <v>0</v>
      </c>
      <c r="AY109" s="167"/>
    </row>
    <row r="110" spans="1:51" ht="14.1" customHeight="1">
      <c r="A110" s="160">
        <v>110</v>
      </c>
      <c r="B110" s="159"/>
      <c r="C110" s="159"/>
      <c r="D110" s="159"/>
      <c r="E110" s="156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6"/>
      <c r="AS110" s="164"/>
      <c r="AT110" s="164"/>
      <c r="AU110" s="160"/>
      <c r="AV110" s="164"/>
      <c r="AW110" s="161"/>
      <c r="AX110" s="161"/>
      <c r="AY110" s="160"/>
    </row>
    <row r="111" spans="1:51" ht="14.1" customHeight="1">
      <c r="A111" s="160">
        <v>111</v>
      </c>
      <c r="B111" s="159"/>
      <c r="C111" s="172" t="s">
        <v>30</v>
      </c>
      <c r="D111" s="159"/>
      <c r="E111" s="156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6"/>
      <c r="AS111" s="164"/>
      <c r="AT111" s="164"/>
      <c r="AU111" s="160"/>
      <c r="AV111" s="164"/>
      <c r="AW111" s="161"/>
      <c r="AX111" s="161"/>
      <c r="AY111" s="160"/>
    </row>
    <row r="112" spans="1:51" ht="14.1" customHeight="1">
      <c r="A112" s="160">
        <v>112</v>
      </c>
      <c r="B112" s="159" t="s">
        <v>31</v>
      </c>
      <c r="C112" s="159" t="s">
        <v>13</v>
      </c>
      <c r="D112" s="159"/>
      <c r="E112" s="156"/>
      <c r="F112" s="165">
        <v>0</v>
      </c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6"/>
      <c r="AS112" s="164">
        <f>SUM(G112:AQ112)+501</f>
        <v>501</v>
      </c>
      <c r="AT112" s="164">
        <f>F112+AS112</f>
        <v>501</v>
      </c>
      <c r="AU112" s="160"/>
      <c r="AV112" s="164">
        <f>ROUND(AT112/1000,0)*1000</f>
        <v>1000</v>
      </c>
      <c r="AW112" s="161"/>
      <c r="AX112" s="161"/>
      <c r="AY112" s="160"/>
    </row>
    <row r="113" spans="1:51" ht="14.1" customHeight="1">
      <c r="A113" s="160">
        <v>113</v>
      </c>
      <c r="B113" s="159" t="s">
        <v>32</v>
      </c>
      <c r="C113" s="159" t="s">
        <v>33</v>
      </c>
      <c r="D113" s="159"/>
      <c r="E113" s="156"/>
      <c r="F113" s="165">
        <v>0</v>
      </c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65"/>
      <c r="W113" s="157"/>
      <c r="X113" s="157"/>
      <c r="Y113" s="157"/>
      <c r="Z113" s="157"/>
      <c r="AA113" s="157"/>
      <c r="AB113" s="157"/>
      <c r="AC113" s="165"/>
      <c r="AD113" s="157"/>
      <c r="AE113" s="165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6"/>
      <c r="AS113" s="164">
        <f>SUM(G113:AQ113)</f>
        <v>0</v>
      </c>
      <c r="AT113" s="164">
        <f>F113+AS113</f>
        <v>0</v>
      </c>
      <c r="AU113" s="160"/>
      <c r="AV113" s="164">
        <f>ROUND(AT113/1000,0)*1000</f>
        <v>0</v>
      </c>
      <c r="AW113" s="161"/>
      <c r="AX113" s="161"/>
      <c r="AY113" s="160"/>
    </row>
    <row r="114" spans="1:51" ht="14.1" customHeight="1">
      <c r="A114" s="160">
        <v>114</v>
      </c>
      <c r="B114" s="159" t="s">
        <v>34</v>
      </c>
      <c r="C114" s="159" t="s">
        <v>35</v>
      </c>
      <c r="D114" s="159"/>
      <c r="E114" s="156"/>
      <c r="F114" s="165">
        <v>0</v>
      </c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65"/>
      <c r="W114" s="157"/>
      <c r="X114" s="157"/>
      <c r="Y114" s="157"/>
      <c r="Z114" s="157"/>
      <c r="AA114" s="157"/>
      <c r="AB114" s="157"/>
      <c r="AC114" s="165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6"/>
      <c r="AS114" s="164">
        <f>SUM(G114:AQ114)</f>
        <v>0</v>
      </c>
      <c r="AT114" s="164">
        <f>F114+AS114</f>
        <v>0</v>
      </c>
      <c r="AU114" s="160"/>
      <c r="AV114" s="164">
        <f>ROUND(AT114/1000,0)*1000</f>
        <v>0</v>
      </c>
      <c r="AW114" s="161"/>
      <c r="AX114" s="161"/>
      <c r="AY114" s="160"/>
    </row>
    <row r="115" spans="1:51" ht="14.1" customHeight="1">
      <c r="A115" s="160">
        <v>115</v>
      </c>
      <c r="B115" s="159" t="s">
        <v>36</v>
      </c>
      <c r="C115" s="159" t="s">
        <v>37</v>
      </c>
      <c r="D115" s="159"/>
      <c r="E115" s="156"/>
      <c r="F115" s="165">
        <v>0</v>
      </c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65"/>
      <c r="AD115" s="157"/>
      <c r="AE115" s="165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6"/>
      <c r="AS115" s="164">
        <f>SUM(G115:AQ115)</f>
        <v>0</v>
      </c>
      <c r="AT115" s="164">
        <f>F115+AS115</f>
        <v>0</v>
      </c>
      <c r="AU115" s="160"/>
      <c r="AV115" s="164">
        <f>ROUND(AT115/1000,0)*1000</f>
        <v>0</v>
      </c>
      <c r="AW115" s="161"/>
      <c r="AX115" s="161"/>
      <c r="AY115" s="160"/>
    </row>
    <row r="116" spans="1:51" s="169" customFormat="1" ht="14.1" customHeight="1">
      <c r="A116" s="160">
        <v>116</v>
      </c>
      <c r="B116" s="172"/>
      <c r="C116" s="172" t="s">
        <v>38</v>
      </c>
      <c r="D116" s="172"/>
      <c r="E116" s="171"/>
      <c r="F116" s="174">
        <f t="shared" ref="F116:AJ116" si="55">SUM(F112:F115)</f>
        <v>0</v>
      </c>
      <c r="G116" s="174">
        <f t="shared" si="55"/>
        <v>0</v>
      </c>
      <c r="H116" s="174">
        <f t="shared" si="55"/>
        <v>0</v>
      </c>
      <c r="I116" s="174">
        <f t="shared" si="55"/>
        <v>0</v>
      </c>
      <c r="J116" s="174">
        <f>SUM(J112:J115)</f>
        <v>0</v>
      </c>
      <c r="K116" s="174">
        <f>SUM(K112:K115)</f>
        <v>0</v>
      </c>
      <c r="L116" s="174">
        <f>SUM(L112:L115)</f>
        <v>0</v>
      </c>
      <c r="M116" s="174">
        <f t="shared" si="55"/>
        <v>0</v>
      </c>
      <c r="N116" s="174">
        <f t="shared" si="55"/>
        <v>0</v>
      </c>
      <c r="O116" s="174">
        <f t="shared" si="55"/>
        <v>0</v>
      </c>
      <c r="P116" s="174">
        <f t="shared" si="55"/>
        <v>0</v>
      </c>
      <c r="Q116" s="174">
        <f>SUM(Q112:Q115)</f>
        <v>0</v>
      </c>
      <c r="R116" s="174">
        <f>SUM(R112:R115)</f>
        <v>0</v>
      </c>
      <c r="S116" s="174">
        <f>SUM(S112:S115)</f>
        <v>0</v>
      </c>
      <c r="T116" s="174">
        <f>SUM(T112:T115)</f>
        <v>0</v>
      </c>
      <c r="U116" s="174">
        <f>SUM(U112:U115)</f>
        <v>0</v>
      </c>
      <c r="V116" s="174">
        <f t="shared" si="55"/>
        <v>0</v>
      </c>
      <c r="W116" s="174">
        <f t="shared" ref="W116:AB116" si="56">SUM(W112:W115)</f>
        <v>0</v>
      </c>
      <c r="X116" s="174">
        <f t="shared" si="56"/>
        <v>0</v>
      </c>
      <c r="Y116" s="174">
        <f t="shared" si="56"/>
        <v>0</v>
      </c>
      <c r="Z116" s="174">
        <f t="shared" si="56"/>
        <v>0</v>
      </c>
      <c r="AA116" s="174">
        <f t="shared" si="56"/>
        <v>0</v>
      </c>
      <c r="AB116" s="174">
        <f t="shared" si="56"/>
        <v>0</v>
      </c>
      <c r="AC116" s="174">
        <f t="shared" si="55"/>
        <v>0</v>
      </c>
      <c r="AD116" s="174">
        <f t="shared" si="55"/>
        <v>0</v>
      </c>
      <c r="AE116" s="174">
        <f t="shared" si="55"/>
        <v>0</v>
      </c>
      <c r="AF116" s="174">
        <f t="shared" si="55"/>
        <v>0</v>
      </c>
      <c r="AG116" s="174">
        <f t="shared" si="55"/>
        <v>0</v>
      </c>
      <c r="AH116" s="174">
        <f>SUM(AH112:AH115)</f>
        <v>0</v>
      </c>
      <c r="AI116" s="174">
        <f t="shared" si="55"/>
        <v>0</v>
      </c>
      <c r="AJ116" s="174">
        <f t="shared" si="55"/>
        <v>0</v>
      </c>
      <c r="AK116" s="174">
        <f t="shared" ref="AK116:AQ116" si="57">SUM(AK112:AK115)</f>
        <v>0</v>
      </c>
      <c r="AL116" s="174">
        <f t="shared" si="57"/>
        <v>0</v>
      </c>
      <c r="AM116" s="174">
        <f t="shared" si="57"/>
        <v>0</v>
      </c>
      <c r="AN116" s="174">
        <f t="shared" si="57"/>
        <v>0</v>
      </c>
      <c r="AO116" s="174">
        <f t="shared" si="57"/>
        <v>0</v>
      </c>
      <c r="AP116" s="174">
        <f t="shared" si="57"/>
        <v>0</v>
      </c>
      <c r="AQ116" s="174">
        <f t="shared" si="57"/>
        <v>0</v>
      </c>
      <c r="AR116" s="173"/>
      <c r="AS116" s="173">
        <f>SUM(AS112:AS115)</f>
        <v>501</v>
      </c>
      <c r="AT116" s="173">
        <f>SUM(AT112:AT115)</f>
        <v>501</v>
      </c>
      <c r="AU116" s="167" t="str">
        <f>IF(ROUND(SUM(F116:AQ116),0)=ROUND(AT116,0),"ok","crossfoot error")</f>
        <v>crossfoot error</v>
      </c>
      <c r="AV116" s="173">
        <f>SUM(AV112:AV115)/1000</f>
        <v>1</v>
      </c>
      <c r="AW116" s="162">
        <f>'[2]ADJ DETAIL INPUT'!$AU$40</f>
        <v>0</v>
      </c>
      <c r="AX116" s="161">
        <f>AV116-AW116</f>
        <v>1</v>
      </c>
      <c r="AY116" s="167"/>
    </row>
    <row r="117" spans="1:51" ht="14.1" customHeight="1">
      <c r="A117" s="160">
        <v>117</v>
      </c>
      <c r="B117" s="159"/>
      <c r="C117" s="159"/>
      <c r="D117" s="159"/>
      <c r="E117" s="156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6"/>
      <c r="AS117" s="206"/>
      <c r="AT117" s="206"/>
      <c r="AU117" s="160"/>
      <c r="AV117" s="206"/>
      <c r="AW117" s="161"/>
      <c r="AX117" s="161"/>
      <c r="AY117" s="160"/>
    </row>
    <row r="118" spans="1:51" s="169" customFormat="1" ht="14.1" customHeight="1">
      <c r="A118" s="160">
        <v>118</v>
      </c>
      <c r="B118" s="172"/>
      <c r="C118" s="172" t="s">
        <v>39</v>
      </c>
      <c r="D118" s="172"/>
      <c r="E118" s="171"/>
      <c r="F118" s="170">
        <f t="shared" ref="F118:AJ118" si="58">F116+F109+F102+F94+F55+F32</f>
        <v>131186000</v>
      </c>
      <c r="G118" s="170">
        <f t="shared" si="58"/>
        <v>0</v>
      </c>
      <c r="H118" s="170">
        <f t="shared" si="58"/>
        <v>15000</v>
      </c>
      <c r="I118" s="170">
        <f t="shared" si="58"/>
        <v>0</v>
      </c>
      <c r="J118" s="170">
        <f>J116+J109+J102+J94+J55+J32</f>
        <v>0</v>
      </c>
      <c r="K118" s="170">
        <f>K116+K109+K102+K94+K55+K32</f>
        <v>0</v>
      </c>
      <c r="L118" s="170">
        <f>L116+L109+L102+L94+L55+L32</f>
        <v>0</v>
      </c>
      <c r="M118" s="170">
        <f t="shared" si="58"/>
        <v>166000</v>
      </c>
      <c r="N118" s="170">
        <f t="shared" si="58"/>
        <v>0</v>
      </c>
      <c r="O118" s="170">
        <f t="shared" si="58"/>
        <v>0</v>
      </c>
      <c r="P118" s="170">
        <f t="shared" si="58"/>
        <v>0</v>
      </c>
      <c r="Q118" s="170">
        <f>Q116+Q109+Q102+Q94+Q55+Q32</f>
        <v>0</v>
      </c>
      <c r="R118" s="170">
        <f>R116+R109+R102+R94+R55+R32</f>
        <v>0</v>
      </c>
      <c r="S118" s="170">
        <f>S116+S109+S102+S94+S55+S32</f>
        <v>0</v>
      </c>
      <c r="T118" s="170">
        <f>T116+T109+T102+T94+T55+T32</f>
        <v>-1671000</v>
      </c>
      <c r="U118" s="170">
        <f>U116+U109+U102+U94+U55+U32</f>
        <v>-54268000</v>
      </c>
      <c r="V118" s="170">
        <f t="shared" si="58"/>
        <v>-1000</v>
      </c>
      <c r="W118" s="170">
        <f t="shared" ref="W118:AB118" si="59">W116+W109+W102+W94+W55+W32</f>
        <v>0</v>
      </c>
      <c r="X118" s="170">
        <f t="shared" si="59"/>
        <v>0</v>
      </c>
      <c r="Y118" s="170">
        <f t="shared" si="59"/>
        <v>0</v>
      </c>
      <c r="Z118" s="170">
        <f t="shared" si="59"/>
        <v>-51286000</v>
      </c>
      <c r="AA118" s="170">
        <f t="shared" si="59"/>
        <v>0</v>
      </c>
      <c r="AB118" s="170">
        <f t="shared" si="59"/>
        <v>0</v>
      </c>
      <c r="AC118" s="170">
        <f t="shared" si="58"/>
        <v>675000</v>
      </c>
      <c r="AD118" s="170">
        <f t="shared" si="58"/>
        <v>0</v>
      </c>
      <c r="AE118" s="170">
        <f t="shared" si="58"/>
        <v>242000</v>
      </c>
      <c r="AF118" s="170">
        <f t="shared" si="58"/>
        <v>0</v>
      </c>
      <c r="AG118" s="170">
        <f t="shared" si="58"/>
        <v>0</v>
      </c>
      <c r="AH118" s="170">
        <f>AH116+AH109+AH102+AH94+AH55+AH32</f>
        <v>0</v>
      </c>
      <c r="AI118" s="170">
        <f t="shared" si="58"/>
        <v>67000</v>
      </c>
      <c r="AJ118" s="170">
        <f t="shared" si="58"/>
        <v>0</v>
      </c>
      <c r="AK118" s="170">
        <f t="shared" ref="AK118:AQ118" si="60">AK116+AK109+AK102+AK94+AK55+AK32</f>
        <v>0</v>
      </c>
      <c r="AL118" s="170">
        <f t="shared" si="60"/>
        <v>0</v>
      </c>
      <c r="AM118" s="170">
        <f t="shared" si="60"/>
        <v>0</v>
      </c>
      <c r="AN118" s="170">
        <f t="shared" si="60"/>
        <v>0</v>
      </c>
      <c r="AO118" s="170">
        <f t="shared" si="60"/>
        <v>-995000</v>
      </c>
      <c r="AP118" s="170">
        <f t="shared" si="60"/>
        <v>0</v>
      </c>
      <c r="AQ118" s="170">
        <f t="shared" si="60"/>
        <v>0</v>
      </c>
      <c r="AR118" s="163"/>
      <c r="AS118" s="163">
        <f>AS116+AS109+AS102+AS94+AS55+AS32</f>
        <v>-107055499</v>
      </c>
      <c r="AT118" s="163">
        <f>AT116+AT109+AT102+AT94+AT55+AT32</f>
        <v>24130501</v>
      </c>
      <c r="AU118" s="167" t="str">
        <f>IF(ROUND(SUM(F118:AQ118),0)=ROUND(AT118,0),"ok","crossfoot error")</f>
        <v>crossfoot error</v>
      </c>
      <c r="AV118" s="163">
        <f>AV116+AV109+AV102+AV94+AV55+AV32</f>
        <v>24131</v>
      </c>
      <c r="AW118" s="161"/>
      <c r="AX118" s="161"/>
      <c r="AY118" s="167"/>
    </row>
    <row r="119" spans="1:51" ht="14.1" customHeight="1">
      <c r="A119" s="160">
        <v>119</v>
      </c>
      <c r="B119" s="159" t="str">
        <f>$B$1</f>
        <v>Proforma</v>
      </c>
      <c r="C119" s="159"/>
      <c r="D119" s="159"/>
      <c r="E119" s="164"/>
      <c r="F119" s="188"/>
      <c r="G119" s="188"/>
      <c r="H119" s="188"/>
      <c r="I119" s="188" t="str">
        <f>$I$1</f>
        <v>Natural Gas Utility</v>
      </c>
      <c r="J119" s="188"/>
      <c r="K119" s="188"/>
      <c r="L119" s="188"/>
      <c r="M119" s="188"/>
      <c r="N119" s="541"/>
      <c r="P119" s="188"/>
      <c r="Q119" s="188"/>
      <c r="R119" s="188"/>
      <c r="S119" s="188"/>
      <c r="T119" s="549"/>
      <c r="U119" s="549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54" t="s">
        <v>709</v>
      </c>
      <c r="AF119" s="188"/>
      <c r="AG119" s="541"/>
      <c r="AH119" s="541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64"/>
      <c r="AS119" s="164"/>
      <c r="AT119" s="192"/>
      <c r="AU119" s="160"/>
      <c r="AV119" s="192"/>
      <c r="AW119" s="161"/>
      <c r="AX119" s="161"/>
      <c r="AY119" s="160"/>
    </row>
    <row r="120" spans="1:51" ht="14.1" customHeight="1">
      <c r="A120" s="160">
        <v>120</v>
      </c>
      <c r="B120" s="159" t="str">
        <f>$B$2</f>
        <v>Pro Forma Results of Operations</v>
      </c>
      <c r="C120" s="159"/>
      <c r="D120" s="159"/>
      <c r="E120" s="164" t="s">
        <v>742</v>
      </c>
      <c r="F120" s="188"/>
      <c r="G120" s="188"/>
      <c r="H120" s="188"/>
      <c r="I120" s="188"/>
      <c r="J120" s="188"/>
      <c r="K120" s="188"/>
      <c r="L120" s="188"/>
      <c r="M120" s="188"/>
      <c r="N120" s="191"/>
      <c r="P120" s="188" t="str">
        <f>E120</f>
        <v>Admin, &amp; General, Other Taxes &amp; Depreciation Expense</v>
      </c>
      <c r="Q120" s="188"/>
      <c r="R120" s="188"/>
      <c r="S120" s="188"/>
      <c r="T120" s="191"/>
      <c r="U120" s="191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 t="str">
        <f>P120</f>
        <v>Admin, &amp; General, Other Taxes &amp; Depreciation Expense</v>
      </c>
      <c r="AF120" s="188"/>
      <c r="AG120" s="191"/>
      <c r="AH120" s="191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64"/>
      <c r="AS120" s="164"/>
      <c r="AT120" s="190"/>
      <c r="AU120" s="160"/>
      <c r="AV120" s="190"/>
      <c r="AW120" s="161"/>
      <c r="AX120" s="161"/>
      <c r="AY120" s="160"/>
    </row>
    <row r="121" spans="1:51" ht="14.1" customHeight="1">
      <c r="A121" s="160">
        <v>121</v>
      </c>
      <c r="B121" s="159" t="str">
        <f>$B$3</f>
        <v>Company Base Case</v>
      </c>
      <c r="C121" s="159"/>
      <c r="D121" s="159"/>
      <c r="E121" s="164"/>
      <c r="F121" s="188"/>
      <c r="G121" s="188"/>
      <c r="H121" s="188"/>
      <c r="I121" s="188"/>
      <c r="J121" s="188"/>
      <c r="K121" s="188"/>
      <c r="L121" s="188"/>
      <c r="M121" s="188"/>
      <c r="N121" s="542"/>
      <c r="P121" s="188"/>
      <c r="Q121" s="188"/>
      <c r="R121" s="188"/>
      <c r="S121" s="188"/>
      <c r="T121" s="542"/>
      <c r="U121" s="542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64"/>
      <c r="AS121" s="164"/>
      <c r="AT121" s="189"/>
      <c r="AU121" s="160"/>
      <c r="AV121" s="189"/>
      <c r="AW121" s="161"/>
      <c r="AX121" s="161"/>
      <c r="AY121" s="160"/>
    </row>
    <row r="122" spans="1:51" ht="14.1" customHeight="1">
      <c r="A122" s="160">
        <v>122</v>
      </c>
      <c r="B122" s="159"/>
      <c r="C122" s="159"/>
      <c r="D122" s="159"/>
      <c r="E122" s="164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64"/>
      <c r="AS122" s="164"/>
      <c r="AT122" s="164"/>
      <c r="AU122" s="160"/>
      <c r="AV122" s="164"/>
      <c r="AW122" s="161"/>
      <c r="AX122" s="161"/>
      <c r="AY122" s="160"/>
    </row>
    <row r="123" spans="1:51" ht="14.1" customHeight="1">
      <c r="A123" s="160">
        <v>123</v>
      </c>
      <c r="B123" s="186"/>
      <c r="C123" s="186"/>
      <c r="D123" s="186"/>
      <c r="E123" s="186"/>
      <c r="F123" s="187">
        <f t="shared" ref="F123:AJ123" si="61">F5</f>
        <v>1</v>
      </c>
      <c r="G123" s="536">
        <f t="shared" si="61"/>
        <v>1.01</v>
      </c>
      <c r="H123" s="536">
        <f t="shared" si="61"/>
        <v>1.02</v>
      </c>
      <c r="I123" s="536">
        <f t="shared" si="61"/>
        <v>1.03</v>
      </c>
      <c r="J123" s="536">
        <f>J5</f>
        <v>1.04</v>
      </c>
      <c r="K123" s="536">
        <f>K5</f>
        <v>2.0099999999999998</v>
      </c>
      <c r="L123" s="536">
        <f>L5</f>
        <v>2.02</v>
      </c>
      <c r="M123" s="536">
        <f t="shared" si="61"/>
        <v>2.0299999999999998</v>
      </c>
      <c r="N123" s="536">
        <f t="shared" si="61"/>
        <v>2.04</v>
      </c>
      <c r="O123" s="536">
        <f t="shared" si="61"/>
        <v>2.0499999999999998</v>
      </c>
      <c r="P123" s="536">
        <f t="shared" si="61"/>
        <v>2.06</v>
      </c>
      <c r="Q123" s="536">
        <f>Q5</f>
        <v>2.0699999999999998</v>
      </c>
      <c r="R123" s="536">
        <f>R5</f>
        <v>2.08</v>
      </c>
      <c r="S123" s="536">
        <f>S5</f>
        <v>2.09</v>
      </c>
      <c r="T123" s="536">
        <f>T5</f>
        <v>2.1</v>
      </c>
      <c r="U123" s="536">
        <f>U5</f>
        <v>2.11</v>
      </c>
      <c r="V123" s="536">
        <f t="shared" si="61"/>
        <v>2.12</v>
      </c>
      <c r="W123" s="536">
        <f t="shared" ref="W123:AB123" si="62">W5</f>
        <v>2.13</v>
      </c>
      <c r="X123" s="536">
        <f t="shared" si="62"/>
        <v>2.14</v>
      </c>
      <c r="Y123" s="536">
        <f t="shared" si="62"/>
        <v>2.15</v>
      </c>
      <c r="Z123" s="536">
        <f t="shared" si="62"/>
        <v>3.01</v>
      </c>
      <c r="AA123" s="536">
        <f t="shared" si="62"/>
        <v>3.02</v>
      </c>
      <c r="AB123" s="536">
        <f t="shared" si="62"/>
        <v>3.03</v>
      </c>
      <c r="AC123" s="536">
        <f t="shared" si="61"/>
        <v>3.04</v>
      </c>
      <c r="AD123" s="536">
        <f t="shared" si="61"/>
        <v>3.05</v>
      </c>
      <c r="AE123" s="536">
        <f t="shared" si="61"/>
        <v>3.0599999999999996</v>
      </c>
      <c r="AF123" s="536">
        <f t="shared" si="61"/>
        <v>3.0699999999999994</v>
      </c>
      <c r="AG123" s="536">
        <f>AG5</f>
        <v>3.08</v>
      </c>
      <c r="AH123" s="536">
        <f>AH5</f>
        <v>3.09</v>
      </c>
      <c r="AI123" s="536">
        <f t="shared" si="61"/>
        <v>3.1</v>
      </c>
      <c r="AJ123" s="536">
        <f t="shared" si="61"/>
        <v>3.11</v>
      </c>
      <c r="AK123" s="536">
        <f t="shared" ref="AK123:AQ123" si="63">AK5</f>
        <v>3.1199999999999997</v>
      </c>
      <c r="AL123" s="536">
        <f t="shared" si="63"/>
        <v>3.1299999999999994</v>
      </c>
      <c r="AM123" s="536">
        <f t="shared" si="63"/>
        <v>3.1399999999999992</v>
      </c>
      <c r="AN123" s="536">
        <f t="shared" si="63"/>
        <v>3.149999999999999</v>
      </c>
      <c r="AO123" s="536">
        <f t="shared" si="63"/>
        <v>3.1599999999999988</v>
      </c>
      <c r="AP123" s="536">
        <f t="shared" si="63"/>
        <v>3.1699999999999986</v>
      </c>
      <c r="AQ123" s="536">
        <f t="shared" si="63"/>
        <v>3.1799999999999984</v>
      </c>
      <c r="AR123" s="186"/>
      <c r="AS123" s="186" t="str">
        <f>AS$5</f>
        <v>(as)</v>
      </c>
      <c r="AT123" s="186" t="str">
        <f>AT$5</f>
        <v>(at)</v>
      </c>
      <c r="AU123" s="186" t="str">
        <f>AU$5</f>
        <v>(au)</v>
      </c>
      <c r="AV123" s="186" t="str">
        <f>AV$5</f>
        <v>(av)</v>
      </c>
      <c r="AW123" s="161"/>
      <c r="AX123" s="161"/>
      <c r="AY123" s="160"/>
    </row>
    <row r="124" spans="1:51" ht="14.1" customHeight="1">
      <c r="A124" s="160">
        <v>124</v>
      </c>
      <c r="B124" s="183" t="str">
        <f>IF(ISBLANK(B$6),"",B$6)</f>
        <v/>
      </c>
      <c r="C124" s="183" t="str">
        <f>IF(ISBLANK(C$6),"",C$6)</f>
        <v/>
      </c>
      <c r="D124" s="183" t="str">
        <f>IF(ISBLANK(D$6),"",D$6)</f>
        <v/>
      </c>
      <c r="E124" s="183" t="str">
        <f>IF(ISBLANK(E$6),"",E$6)</f>
        <v>Notes</v>
      </c>
      <c r="F124" s="183" t="s">
        <v>707</v>
      </c>
      <c r="G124" s="537" t="str">
        <f t="shared" ref="G124:AQ124" si="64">IF(ISBLANK(G$6),"",G$6)</f>
        <v>Deferred FIT</v>
      </c>
      <c r="H124" s="537" t="str">
        <f t="shared" si="64"/>
        <v>Deferred Debits</v>
      </c>
      <c r="I124" s="537" t="str">
        <f t="shared" si="64"/>
        <v xml:space="preserve">Working </v>
      </c>
      <c r="J124" s="537" t="str">
        <f t="shared" si="64"/>
        <v>Remove</v>
      </c>
      <c r="K124" s="537" t="str">
        <f t="shared" si="64"/>
        <v>Eliminate</v>
      </c>
      <c r="L124" s="537" t="str">
        <f t="shared" si="64"/>
        <v>Restate</v>
      </c>
      <c r="M124" s="537" t="str">
        <f t="shared" si="64"/>
        <v>Uncollectible</v>
      </c>
      <c r="N124" s="537" t="str">
        <f t="shared" si="64"/>
        <v>Regulatory</v>
      </c>
      <c r="O124" s="537" t="str">
        <f t="shared" si="64"/>
        <v>Injuries &amp;</v>
      </c>
      <c r="P124" s="537" t="str">
        <f t="shared" si="64"/>
        <v>FIT/DFIT</v>
      </c>
      <c r="Q124" s="537" t="str">
        <f t="shared" si="64"/>
        <v>Office Space</v>
      </c>
      <c r="R124" s="537" t="str">
        <f t="shared" si="64"/>
        <v>Restate</v>
      </c>
      <c r="S124" s="537" t="str">
        <f t="shared" si="64"/>
        <v>Net Gains/</v>
      </c>
      <c r="T124" s="537" t="str">
        <f>IF(ISBLANK(T$6),"",T$6)</f>
        <v>Weather Normalization</v>
      </c>
      <c r="U124" s="537" t="str">
        <f>IF(ISBLANK(U$6),"",U$6)</f>
        <v>Eliminate</v>
      </c>
      <c r="V124" s="537" t="str">
        <f t="shared" si="64"/>
        <v>Misc. Restating</v>
      </c>
      <c r="W124" s="537" t="str">
        <f t="shared" si="64"/>
        <v xml:space="preserve">Restating </v>
      </c>
      <c r="X124" s="537" t="str">
        <f t="shared" si="64"/>
        <v xml:space="preserve">Restate </v>
      </c>
      <c r="Y124" s="537" t="str">
        <f t="shared" si="64"/>
        <v xml:space="preserve">Restate </v>
      </c>
      <c r="Z124" s="537" t="str">
        <f t="shared" si="64"/>
        <v>Pro Forma Revenue</v>
      </c>
      <c r="AA124" s="537" t="str">
        <f t="shared" si="64"/>
        <v xml:space="preserve">Pro Forma Def. </v>
      </c>
      <c r="AB124" s="537" t="str">
        <f t="shared" si="64"/>
        <v>Pro Forma</v>
      </c>
      <c r="AC124" s="537" t="str">
        <f t="shared" si="64"/>
        <v>Pro Forma</v>
      </c>
      <c r="AD124" s="537" t="str">
        <f t="shared" si="64"/>
        <v>Pro Forma</v>
      </c>
      <c r="AE124" s="537" t="str">
        <f t="shared" si="64"/>
        <v>Pro Forma</v>
      </c>
      <c r="AF124" s="537" t="str">
        <f t="shared" si="64"/>
        <v>Pro Forma</v>
      </c>
      <c r="AG124" s="537" t="str">
        <f t="shared" si="64"/>
        <v>Pro Forma</v>
      </c>
      <c r="AH124" s="537" t="str">
        <f t="shared" si="64"/>
        <v>Pro Forma</v>
      </c>
      <c r="AI124" s="537" t="str">
        <f t="shared" si="64"/>
        <v xml:space="preserve">Pro Forma </v>
      </c>
      <c r="AJ124" s="537" t="str">
        <f t="shared" si="64"/>
        <v>Pro Forma</v>
      </c>
      <c r="AK124" s="537" t="str">
        <f t="shared" si="64"/>
        <v>Pro Forma</v>
      </c>
      <c r="AL124" s="537" t="str">
        <f t="shared" si="64"/>
        <v>Pro Forma</v>
      </c>
      <c r="AM124" s="537" t="str">
        <f t="shared" si="64"/>
        <v>Pro Forma</v>
      </c>
      <c r="AN124" s="537" t="str">
        <f t="shared" si="64"/>
        <v>Pro Forma</v>
      </c>
      <c r="AO124" s="537" t="str">
        <f t="shared" si="64"/>
        <v>Pro Forma</v>
      </c>
      <c r="AP124" s="537" t="str">
        <f t="shared" si="64"/>
        <v>Pro Forma</v>
      </c>
      <c r="AQ124" s="537" t="str">
        <f t="shared" si="64"/>
        <v>Pro Forma</v>
      </c>
      <c r="AR124" s="183"/>
      <c r="AS124" s="183" t="str">
        <f>IF(ISBLANK(AS$6),"",AS$6)</f>
        <v>Net Total</v>
      </c>
      <c r="AT124" s="183" t="str">
        <f>IF(ISBLANK(AT$6),"",AT$6)</f>
        <v>Total</v>
      </c>
      <c r="AU124" s="183" t="str">
        <f>IF(ISBLANK(AU$6),"",AU$6)</f>
        <v>check</v>
      </c>
      <c r="AV124" s="183" t="str">
        <f>IF(ISBLANK(AV$6),"",AV$6)</f>
        <v>Total</v>
      </c>
      <c r="AW124" s="161"/>
      <c r="AX124" s="161"/>
      <c r="AY124" s="160"/>
    </row>
    <row r="125" spans="1:51" ht="14.1" customHeight="1">
      <c r="A125" s="160">
        <v>125</v>
      </c>
      <c r="B125" s="185" t="str">
        <f>IF(ISBLANK(B$7),"",B$7)</f>
        <v>Account</v>
      </c>
      <c r="C125" s="184" t="str">
        <f>IF(ISBLANK(C$7),"",C$7)</f>
        <v>Description</v>
      </c>
      <c r="D125" s="183"/>
      <c r="E125" s="183" t="str">
        <f>IF(ISBLANK(E$7),"",E$7)</f>
        <v/>
      </c>
      <c r="F125" s="183" t="s">
        <v>706</v>
      </c>
      <c r="G125" s="537" t="str">
        <f t="shared" ref="G125:AQ125" si="65">IF(ISBLANK(G$7),"",G$7)</f>
        <v>Rate Base</v>
      </c>
      <c r="H125" s="537" t="str">
        <f t="shared" si="65"/>
        <v>and Credits</v>
      </c>
      <c r="I125" s="537" t="str">
        <f t="shared" si="65"/>
        <v>Capital</v>
      </c>
      <c r="J125" s="537" t="str">
        <f t="shared" si="65"/>
        <v>AMI Rate Base</v>
      </c>
      <c r="K125" s="537" t="str">
        <f t="shared" si="65"/>
        <v>B &amp; O Taxes</v>
      </c>
      <c r="L125" s="537" t="str">
        <f t="shared" si="65"/>
        <v>Property Taxes</v>
      </c>
      <c r="M125" s="537" t="str">
        <f t="shared" si="65"/>
        <v>Expense</v>
      </c>
      <c r="N125" s="537" t="str">
        <f t="shared" si="65"/>
        <v>Expense</v>
      </c>
      <c r="O125" s="537" t="str">
        <f t="shared" si="65"/>
        <v>Damages</v>
      </c>
      <c r="P125" s="537" t="str">
        <f t="shared" si="65"/>
        <v>Expense</v>
      </c>
      <c r="Q125" s="537" t="str">
        <f t="shared" si="65"/>
        <v>Charges to Subs</v>
      </c>
      <c r="R125" s="537" t="str">
        <f t="shared" si="65"/>
        <v>Excise Tax</v>
      </c>
      <c r="S125" s="537" t="str">
        <f t="shared" si="65"/>
        <v>Losses</v>
      </c>
      <c r="T125" s="537" t="str">
        <f>IF(ISBLANK(T$7),"",T$7)</f>
        <v>Gas Cost Adjust</v>
      </c>
      <c r="U125" s="537" t="str">
        <f>IF(ISBLANK(U$7),"",U$7)</f>
        <v>Adder Schedules</v>
      </c>
      <c r="V125" s="537" t="str">
        <f t="shared" si="65"/>
        <v>Adjustments</v>
      </c>
      <c r="W125" s="537" t="str">
        <f t="shared" si="65"/>
        <v>Incentives</v>
      </c>
      <c r="X125" s="537" t="str">
        <f t="shared" si="65"/>
        <v>Debt Int</v>
      </c>
      <c r="Y125" s="537" t="str">
        <f t="shared" si="65"/>
        <v>2019 Rate Base</v>
      </c>
      <c r="Z125" s="537" t="str">
        <f t="shared" si="65"/>
        <v>Normalization</v>
      </c>
      <c r="AA125" s="537" t="str">
        <f t="shared" si="65"/>
        <v>Debits &amp; Credits</v>
      </c>
      <c r="AB125" s="537" t="str">
        <f t="shared" si="65"/>
        <v>ARAM</v>
      </c>
      <c r="AC125" s="537" t="str">
        <f t="shared" si="65"/>
        <v>Non-Exec Labor</v>
      </c>
      <c r="AD125" s="537" t="str">
        <f t="shared" si="65"/>
        <v>Exec Labor</v>
      </c>
      <c r="AE125" s="537" t="str">
        <f t="shared" si="65"/>
        <v>Empl. Benefits</v>
      </c>
      <c r="AF125" s="537" t="str">
        <f t="shared" si="65"/>
        <v>Insurance Exp</v>
      </c>
      <c r="AG125" s="537" t="str">
        <f t="shared" si="65"/>
        <v>IS/IT</v>
      </c>
      <c r="AH125" s="537" t="str">
        <f t="shared" si="65"/>
        <v>Property Tax</v>
      </c>
      <c r="AI125" s="537" t="str">
        <f t="shared" si="65"/>
        <v>Fee Free Amort</v>
      </c>
      <c r="AJ125" s="537" t="str">
        <f t="shared" si="65"/>
        <v>2020 Customer AT Center</v>
      </c>
      <c r="AK125" s="537" t="str">
        <f t="shared" si="65"/>
        <v>2020 Large &amp; Distinct</v>
      </c>
      <c r="AL125" s="537" t="str">
        <f t="shared" si="65"/>
        <v>2020 Programmatic</v>
      </c>
      <c r="AM125" s="537" t="str">
        <f t="shared" si="65"/>
        <v>2020 Mandatory</v>
      </c>
      <c r="AN125" s="537" t="str">
        <f t="shared" si="65"/>
        <v>2020 Short Lived</v>
      </c>
      <c r="AO125" s="537" t="str">
        <f t="shared" si="65"/>
        <v>AMI Capital Adds</v>
      </c>
      <c r="AP125" s="537" t="str">
        <f t="shared" si="65"/>
        <v>LEAP Def. Amort</v>
      </c>
      <c r="AQ125" s="537" t="str">
        <f t="shared" si="65"/>
        <v>Tax Repairs</v>
      </c>
      <c r="AR125" s="183"/>
      <c r="AS125" s="183" t="str">
        <f>IF(ISBLANK(AS$7),"",AS$7)</f>
        <v>of All</v>
      </c>
      <c r="AT125" s="183" t="str">
        <f>IF(ISBLANK(AT$7),"",AT$7)</f>
        <v/>
      </c>
      <c r="AU125" s="183" t="str">
        <f>IF(ISBLANK(AU$7),"",AU$7)</f>
        <v/>
      </c>
      <c r="AV125" s="183" t="str">
        <f>IF(ISBLANK(AV$7),"",AV$7)</f>
        <v>$000's</v>
      </c>
      <c r="AW125" s="161"/>
      <c r="AX125" s="161"/>
      <c r="AY125" s="183"/>
    </row>
    <row r="126" spans="1:51" ht="14.1" customHeight="1">
      <c r="A126" s="160">
        <v>126</v>
      </c>
      <c r="B126" s="183" t="str">
        <f>IF(ISBLANK(B$8),"",B$8)</f>
        <v/>
      </c>
      <c r="C126" s="183" t="str">
        <f>IF(ISBLANK(C$8),"",C$8)</f>
        <v/>
      </c>
      <c r="D126" s="183" t="str">
        <f>IF(ISBLANK(D$8),"",D$8)</f>
        <v/>
      </c>
      <c r="E126" s="183" t="str">
        <f>IF(ISBLANK(E$8),"",E$8)</f>
        <v/>
      </c>
      <c r="F126" s="183"/>
      <c r="G126" s="537" t="str">
        <f t="shared" ref="G126:AQ126" si="66">IF(ISBLANK(G$8),"",G$8)</f>
        <v>G-DFIT</v>
      </c>
      <c r="H126" s="537" t="str">
        <f t="shared" si="66"/>
        <v>G-DDC</v>
      </c>
      <c r="I126" s="537" t="str">
        <f t="shared" si="66"/>
        <v>G-WC</v>
      </c>
      <c r="J126" s="537" t="str">
        <f t="shared" si="66"/>
        <v>G-AMI</v>
      </c>
      <c r="K126" s="537" t="str">
        <f t="shared" si="66"/>
        <v>G-EBO</v>
      </c>
      <c r="L126" s="537" t="str">
        <f t="shared" si="66"/>
        <v>G-RPT</v>
      </c>
      <c r="M126" s="537" t="str">
        <f t="shared" si="66"/>
        <v>G-UE</v>
      </c>
      <c r="N126" s="537" t="str">
        <f t="shared" si="66"/>
        <v>G-RE</v>
      </c>
      <c r="O126" s="537" t="str">
        <f t="shared" si="66"/>
        <v>G-ID</v>
      </c>
      <c r="P126" s="537" t="str">
        <f t="shared" si="66"/>
        <v>G-FIT</v>
      </c>
      <c r="Q126" s="537" t="str">
        <f t="shared" si="66"/>
        <v>G-OSC</v>
      </c>
      <c r="R126" s="537" t="str">
        <f t="shared" si="66"/>
        <v>G-RET</v>
      </c>
      <c r="S126" s="537" t="str">
        <f t="shared" si="66"/>
        <v>G-NGL</v>
      </c>
      <c r="T126" s="537" t="str">
        <f>IF(ISBLANK(T$8),"",T$8)</f>
        <v>G-WNGC</v>
      </c>
      <c r="U126" s="537" t="str">
        <f>IF(ISBLANK(U$8),"",U$8)</f>
        <v>G-EAS</v>
      </c>
      <c r="V126" s="537" t="str">
        <f t="shared" si="66"/>
        <v>G-MR</v>
      </c>
      <c r="W126" s="537" t="str">
        <f t="shared" si="66"/>
        <v>G-RI</v>
      </c>
      <c r="X126" s="537" t="str">
        <f t="shared" si="66"/>
        <v>G-DI</v>
      </c>
      <c r="Y126" s="537" t="str">
        <f t="shared" si="66"/>
        <v>G-EOP19</v>
      </c>
      <c r="Z126" s="537" t="str">
        <f t="shared" si="66"/>
        <v>G-PREV</v>
      </c>
      <c r="AA126" s="537" t="str">
        <f t="shared" si="66"/>
        <v>G-PRA</v>
      </c>
      <c r="AB126" s="537" t="str">
        <f t="shared" si="66"/>
        <v>G-ARAM</v>
      </c>
      <c r="AC126" s="537" t="str">
        <f t="shared" si="66"/>
        <v>G-PLN</v>
      </c>
      <c r="AD126" s="537" t="str">
        <f t="shared" si="66"/>
        <v>G-PLE</v>
      </c>
      <c r="AE126" s="537" t="str">
        <f t="shared" si="66"/>
        <v>G-PEB</v>
      </c>
      <c r="AF126" s="537" t="str">
        <f t="shared" si="66"/>
        <v>G-PINS</v>
      </c>
      <c r="AG126" s="537" t="str">
        <f t="shared" si="66"/>
        <v>G-PIT</v>
      </c>
      <c r="AH126" s="537" t="str">
        <f t="shared" si="66"/>
        <v>G-PPT</v>
      </c>
      <c r="AI126" s="537" t="str">
        <f t="shared" si="66"/>
        <v>G-PFEE</v>
      </c>
      <c r="AJ126" s="537" t="str">
        <f t="shared" si="66"/>
        <v>G-PCAP1</v>
      </c>
      <c r="AK126" s="537" t="str">
        <f t="shared" si="66"/>
        <v>G-PCAP2</v>
      </c>
      <c r="AL126" s="537" t="str">
        <f t="shared" si="66"/>
        <v>G-PCAP3</v>
      </c>
      <c r="AM126" s="537" t="str">
        <f t="shared" si="66"/>
        <v>G-PCAP4</v>
      </c>
      <c r="AN126" s="537" t="str">
        <f t="shared" si="66"/>
        <v>G-PCAP5</v>
      </c>
      <c r="AO126" s="537" t="str">
        <f t="shared" si="66"/>
        <v>G-PAMI</v>
      </c>
      <c r="AP126" s="537" t="str">
        <f t="shared" si="66"/>
        <v>G-PLEAP</v>
      </c>
      <c r="AQ126" s="537" t="str">
        <f t="shared" si="66"/>
        <v>G-PTAX</v>
      </c>
      <c r="AR126" s="183"/>
      <c r="AS126" s="183" t="str">
        <f>IF(ISBLANK(AS$8),"",AS$8)</f>
        <v>Adjustments</v>
      </c>
      <c r="AT126" s="183" t="str">
        <f>IF(ISBLANK(AT$8),"",AT$8)</f>
        <v/>
      </c>
      <c r="AU126" s="183" t="str">
        <f>IF(ISBLANK(AU$8),"",AU$8)</f>
        <v/>
      </c>
      <c r="AV126" s="183" t="str">
        <f>IF(ISBLANK(AV$8),"",AV$8)</f>
        <v>in bold</v>
      </c>
      <c r="AW126" s="161"/>
      <c r="AX126" s="161"/>
      <c r="AY126" s="183"/>
    </row>
    <row r="127" spans="1:51" ht="14.1" customHeight="1">
      <c r="A127" s="160">
        <v>127</v>
      </c>
      <c r="B127" s="159"/>
      <c r="C127" s="172" t="s">
        <v>40</v>
      </c>
      <c r="D127" s="159"/>
      <c r="AS127" s="159"/>
      <c r="AT127" s="159"/>
      <c r="AU127" s="183">
        <f>AU$9</f>
        <v>0</v>
      </c>
      <c r="AV127" s="159"/>
      <c r="AW127" s="161"/>
      <c r="AX127" s="161"/>
      <c r="AY127" s="183"/>
    </row>
    <row r="128" spans="1:51" ht="14.1" customHeight="1">
      <c r="A128" s="160">
        <v>128</v>
      </c>
      <c r="B128" s="159" t="s">
        <v>41</v>
      </c>
      <c r="C128" s="159" t="s">
        <v>741</v>
      </c>
      <c r="D128" s="159"/>
      <c r="E128" s="156"/>
      <c r="F128" s="165">
        <f>6966000-1000</f>
        <v>6965000</v>
      </c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81"/>
      <c r="U128" s="181">
        <v>16000</v>
      </c>
      <c r="V128" s="181">
        <v>-235000</v>
      </c>
      <c r="W128" s="181">
        <v>219000</v>
      </c>
      <c r="X128" s="181"/>
      <c r="Y128" s="181"/>
      <c r="Z128" s="181"/>
      <c r="AA128" s="181"/>
      <c r="AB128" s="181"/>
      <c r="AC128" s="165">
        <f>249000+1000</f>
        <v>250000</v>
      </c>
      <c r="AD128" s="165">
        <v>-97000</v>
      </c>
      <c r="AE128" s="165"/>
      <c r="AF128" s="181">
        <v>1079000</v>
      </c>
      <c r="AG128" s="157"/>
      <c r="AH128" s="157"/>
      <c r="AI128" s="181"/>
      <c r="AJ128" s="157"/>
      <c r="AK128" s="157"/>
      <c r="AL128" s="157"/>
      <c r="AM128" s="157"/>
      <c r="AN128" s="157"/>
      <c r="AO128" s="157"/>
      <c r="AP128" s="157"/>
      <c r="AQ128" s="157"/>
      <c r="AR128" s="156"/>
      <c r="AS128" s="164">
        <f>SUM(G128:AQ128)</f>
        <v>1232000</v>
      </c>
      <c r="AT128" s="164">
        <f>F128+AS128</f>
        <v>8197000</v>
      </c>
      <c r="AU128" s="160"/>
      <c r="AV128" s="164">
        <f>ROUND(AT128/1000,0)*1000</f>
        <v>8197000</v>
      </c>
      <c r="AW128" s="161"/>
      <c r="AX128" s="161"/>
      <c r="AY128" s="160"/>
    </row>
    <row r="129" spans="1:51" ht="14.1" customHeight="1">
      <c r="A129" s="160">
        <v>129</v>
      </c>
      <c r="B129" s="159" t="s">
        <v>43</v>
      </c>
      <c r="C129" s="159" t="s">
        <v>44</v>
      </c>
      <c r="D129" s="159"/>
      <c r="E129" s="156"/>
      <c r="F129" s="165">
        <v>973000</v>
      </c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65">
        <v>-16000</v>
      </c>
      <c r="R129" s="157"/>
      <c r="S129" s="157"/>
      <c r="T129" s="157"/>
      <c r="U129" s="157"/>
      <c r="V129" s="181">
        <v>-2000</v>
      </c>
      <c r="W129" s="157"/>
      <c r="X129" s="157"/>
      <c r="Y129" s="157"/>
      <c r="Z129" s="157"/>
      <c r="AA129" s="157"/>
      <c r="AB129" s="157"/>
      <c r="AC129" s="165">
        <v>5000</v>
      </c>
      <c r="AD129" s="157"/>
      <c r="AE129" s="165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6"/>
      <c r="AS129" s="164">
        <f t="shared" ref="AS129:AS139" si="67">SUM(G129:AQ129)</f>
        <v>-13000</v>
      </c>
      <c r="AT129" s="164">
        <f t="shared" ref="AT129:AT139" si="68">F129+AS129</f>
        <v>960000</v>
      </c>
      <c r="AU129" s="160"/>
      <c r="AV129" s="164">
        <f t="shared" ref="AV129:AV139" si="69">ROUND(AT129/1000,0)*1000</f>
        <v>960000</v>
      </c>
      <c r="AW129" s="161"/>
      <c r="AX129" s="161"/>
      <c r="AY129" s="160"/>
    </row>
    <row r="130" spans="1:51" ht="14.1" customHeight="1">
      <c r="A130" s="160">
        <v>130</v>
      </c>
      <c r="B130" s="159" t="s">
        <v>45</v>
      </c>
      <c r="C130" s="159" t="s">
        <v>740</v>
      </c>
      <c r="D130" s="159"/>
      <c r="E130" s="156"/>
      <c r="F130" s="165">
        <v>-13000</v>
      </c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81"/>
      <c r="W130" s="157"/>
      <c r="X130" s="157"/>
      <c r="Y130" s="157"/>
      <c r="Z130" s="157"/>
      <c r="AA130" s="157"/>
      <c r="AB130" s="157"/>
      <c r="AC130" s="165"/>
      <c r="AD130" s="157"/>
      <c r="AE130" s="165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6"/>
      <c r="AS130" s="164">
        <f t="shared" si="67"/>
        <v>0</v>
      </c>
      <c r="AT130" s="164">
        <f t="shared" si="68"/>
        <v>-13000</v>
      </c>
      <c r="AU130" s="160"/>
      <c r="AV130" s="164">
        <f t="shared" si="69"/>
        <v>-13000</v>
      </c>
      <c r="AW130" s="161"/>
      <c r="AX130" s="161"/>
      <c r="AY130" s="160"/>
    </row>
    <row r="131" spans="1:51" ht="14.1" customHeight="1">
      <c r="A131" s="160">
        <v>131</v>
      </c>
      <c r="B131" s="159" t="s">
        <v>47</v>
      </c>
      <c r="C131" s="159" t="s">
        <v>48</v>
      </c>
      <c r="D131" s="159"/>
      <c r="E131" s="156"/>
      <c r="F131" s="165">
        <v>1950000</v>
      </c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81"/>
      <c r="W131" s="157"/>
      <c r="X131" s="157"/>
      <c r="Y131" s="157"/>
      <c r="Z131" s="157"/>
      <c r="AA131" s="157"/>
      <c r="AB131" s="157"/>
      <c r="AC131" s="165"/>
      <c r="AD131" s="157"/>
      <c r="AE131" s="165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6"/>
      <c r="AS131" s="164">
        <f t="shared" si="67"/>
        <v>0</v>
      </c>
      <c r="AT131" s="164">
        <f t="shared" si="68"/>
        <v>1950000</v>
      </c>
      <c r="AU131" s="160"/>
      <c r="AV131" s="188">
        <f t="shared" si="69"/>
        <v>1950000</v>
      </c>
      <c r="AW131" s="161"/>
      <c r="AX131" s="161"/>
      <c r="AY131" s="160"/>
    </row>
    <row r="132" spans="1:51" ht="14.1" customHeight="1">
      <c r="A132" s="160">
        <v>132</v>
      </c>
      <c r="B132" s="159" t="s">
        <v>49</v>
      </c>
      <c r="C132" s="159" t="s">
        <v>50</v>
      </c>
      <c r="D132" s="159"/>
      <c r="E132" s="156"/>
      <c r="F132" s="165">
        <v>248000</v>
      </c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81"/>
      <c r="W132" s="157"/>
      <c r="X132" s="157"/>
      <c r="Y132" s="157"/>
      <c r="Z132" s="157"/>
      <c r="AA132" s="157"/>
      <c r="AB132" s="157"/>
      <c r="AC132" s="165"/>
      <c r="AD132" s="157"/>
      <c r="AE132" s="165"/>
      <c r="AF132" s="165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6"/>
      <c r="AS132" s="164">
        <f t="shared" si="67"/>
        <v>0</v>
      </c>
      <c r="AT132" s="164">
        <f t="shared" si="68"/>
        <v>248000</v>
      </c>
      <c r="AU132" s="160"/>
      <c r="AV132" s="164">
        <f t="shared" si="69"/>
        <v>248000</v>
      </c>
      <c r="AW132" s="161"/>
      <c r="AX132" s="161"/>
      <c r="AY132" s="160"/>
    </row>
    <row r="133" spans="1:51" ht="14.1" customHeight="1">
      <c r="A133" s="160">
        <v>133</v>
      </c>
      <c r="B133" s="159" t="s">
        <v>51</v>
      </c>
      <c r="C133" s="159" t="s">
        <v>52</v>
      </c>
      <c r="D133" s="159"/>
      <c r="E133" s="156"/>
      <c r="F133" s="165">
        <v>596000</v>
      </c>
      <c r="G133" s="157"/>
      <c r="H133" s="157"/>
      <c r="I133" s="157"/>
      <c r="J133" s="157"/>
      <c r="K133" s="157"/>
      <c r="L133" s="157"/>
      <c r="M133" s="157"/>
      <c r="N133" s="157"/>
      <c r="O133" s="165">
        <v>-9000</v>
      </c>
      <c r="P133" s="157"/>
      <c r="Q133" s="157"/>
      <c r="R133" s="157"/>
      <c r="S133" s="157"/>
      <c r="T133" s="157"/>
      <c r="U133" s="157"/>
      <c r="V133" s="181">
        <v>-9000</v>
      </c>
      <c r="W133" s="157"/>
      <c r="X133" s="157"/>
      <c r="Y133" s="157"/>
      <c r="Z133" s="157"/>
      <c r="AA133" s="157"/>
      <c r="AB133" s="157"/>
      <c r="AC133" s="165"/>
      <c r="AD133" s="157"/>
      <c r="AE133" s="165"/>
      <c r="AF133" s="165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6"/>
      <c r="AS133" s="164">
        <f t="shared" si="67"/>
        <v>-18000</v>
      </c>
      <c r="AT133" s="164">
        <f t="shared" si="68"/>
        <v>578000</v>
      </c>
      <c r="AU133" s="160"/>
      <c r="AV133" s="164">
        <f t="shared" si="69"/>
        <v>578000</v>
      </c>
      <c r="AW133" s="161"/>
      <c r="AX133" s="161"/>
      <c r="AY133" s="160"/>
    </row>
    <row r="134" spans="1:51" ht="14.1" customHeight="1">
      <c r="A134" s="160">
        <v>134</v>
      </c>
      <c r="B134" s="159" t="s">
        <v>53</v>
      </c>
      <c r="C134" s="159" t="s">
        <v>54</v>
      </c>
      <c r="D134" s="159"/>
      <c r="E134" s="156"/>
      <c r="F134" s="165">
        <v>416000</v>
      </c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81"/>
      <c r="W134" s="157"/>
      <c r="X134" s="157"/>
      <c r="Y134" s="157"/>
      <c r="Z134" s="157"/>
      <c r="AA134" s="157"/>
      <c r="AB134" s="157"/>
      <c r="AC134" s="165">
        <v>4000</v>
      </c>
      <c r="AD134" s="157"/>
      <c r="AE134" s="165">
        <v>99000</v>
      </c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164">
        <f t="shared" si="67"/>
        <v>103000</v>
      </c>
      <c r="AT134" s="164">
        <f t="shared" si="68"/>
        <v>519000</v>
      </c>
      <c r="AU134" s="160"/>
      <c r="AV134" s="164">
        <f t="shared" si="69"/>
        <v>519000</v>
      </c>
      <c r="AW134" s="161"/>
      <c r="AX134" s="161"/>
      <c r="AY134" s="160"/>
    </row>
    <row r="135" spans="1:51" ht="14.1" customHeight="1">
      <c r="A135" s="160">
        <v>135</v>
      </c>
      <c r="B135" s="159" t="s">
        <v>55</v>
      </c>
      <c r="C135" s="159" t="s">
        <v>56</v>
      </c>
      <c r="D135" s="159"/>
      <c r="E135" s="156"/>
      <c r="F135" s="165">
        <v>0</v>
      </c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81"/>
      <c r="W135" s="157"/>
      <c r="X135" s="157"/>
      <c r="Y135" s="157"/>
      <c r="Z135" s="157"/>
      <c r="AA135" s="157"/>
      <c r="AB135" s="157"/>
      <c r="AC135" s="165"/>
      <c r="AD135" s="157"/>
      <c r="AE135" s="165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164">
        <f t="shared" si="67"/>
        <v>0</v>
      </c>
      <c r="AT135" s="164">
        <f t="shared" si="68"/>
        <v>0</v>
      </c>
      <c r="AU135" s="160"/>
      <c r="AV135" s="164">
        <f t="shared" si="69"/>
        <v>0</v>
      </c>
      <c r="AW135" s="161"/>
      <c r="AX135" s="161"/>
      <c r="AY135" s="160"/>
    </row>
    <row r="136" spans="1:51" ht="14.1" customHeight="1">
      <c r="A136" s="160">
        <v>136</v>
      </c>
      <c r="B136" s="159" t="s">
        <v>57</v>
      </c>
      <c r="C136" s="159" t="s">
        <v>58</v>
      </c>
      <c r="D136" s="159"/>
      <c r="E136" s="156"/>
      <c r="F136" s="165">
        <v>801000</v>
      </c>
      <c r="G136" s="157"/>
      <c r="H136" s="157"/>
      <c r="I136" s="157"/>
      <c r="J136" s="157"/>
      <c r="K136" s="157"/>
      <c r="L136" s="157"/>
      <c r="M136" s="157"/>
      <c r="N136" s="165">
        <v>-58000</v>
      </c>
      <c r="O136" s="157"/>
      <c r="P136" s="157"/>
      <c r="Q136" s="157"/>
      <c r="R136" s="157"/>
      <c r="S136" s="157"/>
      <c r="T136" s="165">
        <v>-8000</v>
      </c>
      <c r="U136" s="165"/>
      <c r="V136" s="181">
        <v>-31000</v>
      </c>
      <c r="W136" s="181"/>
      <c r="X136" s="181"/>
      <c r="Y136" s="181"/>
      <c r="Z136" s="165">
        <v>-83000</v>
      </c>
      <c r="AA136" s="165"/>
      <c r="AB136" s="165"/>
      <c r="AC136" s="165">
        <v>17000</v>
      </c>
      <c r="AD136" s="181"/>
      <c r="AE136" s="165"/>
      <c r="AF136" s="157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56"/>
      <c r="AS136" s="164">
        <f t="shared" si="67"/>
        <v>-163000</v>
      </c>
      <c r="AT136" s="164">
        <f>F136+AS136</f>
        <v>638000</v>
      </c>
      <c r="AU136" s="160"/>
      <c r="AV136" s="164">
        <f t="shared" si="69"/>
        <v>638000</v>
      </c>
      <c r="AW136" s="161"/>
      <c r="AX136" s="161"/>
      <c r="AY136" s="160"/>
    </row>
    <row r="137" spans="1:51" ht="14.1" customHeight="1">
      <c r="A137" s="160">
        <v>137</v>
      </c>
      <c r="B137" s="159" t="s">
        <v>59</v>
      </c>
      <c r="C137" s="159" t="s">
        <v>60</v>
      </c>
      <c r="D137" s="159"/>
      <c r="E137" s="156"/>
      <c r="F137" s="165">
        <v>962000</v>
      </c>
      <c r="G137" s="157"/>
      <c r="H137" s="181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81">
        <v>-120000</v>
      </c>
      <c r="W137" s="157"/>
      <c r="X137" s="157"/>
      <c r="Y137" s="157"/>
      <c r="Z137" s="181"/>
      <c r="AA137" s="181"/>
      <c r="AB137" s="181"/>
      <c r="AC137" s="165">
        <v>5000</v>
      </c>
      <c r="AD137" s="181"/>
      <c r="AE137" s="165"/>
      <c r="AF137" s="157"/>
      <c r="AG137" s="181">
        <v>624000</v>
      </c>
      <c r="AH137" s="181"/>
      <c r="AI137" s="157"/>
      <c r="AJ137" s="181"/>
      <c r="AK137" s="181"/>
      <c r="AL137" s="181"/>
      <c r="AM137" s="181"/>
      <c r="AN137" s="181"/>
      <c r="AO137" s="181"/>
      <c r="AP137" s="181"/>
      <c r="AQ137" s="181"/>
      <c r="AR137" s="156"/>
      <c r="AS137" s="164">
        <f t="shared" si="67"/>
        <v>509000</v>
      </c>
      <c r="AT137" s="164">
        <f t="shared" si="68"/>
        <v>1471000</v>
      </c>
      <c r="AU137" s="160"/>
      <c r="AV137" s="164">
        <f>ROUND(AT137/1000,0)*1000</f>
        <v>1471000</v>
      </c>
      <c r="AW137" s="161"/>
      <c r="AX137" s="161"/>
      <c r="AY137" s="160"/>
    </row>
    <row r="138" spans="1:51" ht="14.1" customHeight="1">
      <c r="A138" s="160">
        <v>138</v>
      </c>
      <c r="B138" s="159" t="s">
        <v>61</v>
      </c>
      <c r="C138" s="159" t="s">
        <v>2</v>
      </c>
      <c r="D138" s="159"/>
      <c r="E138" s="156"/>
      <c r="F138" s="165">
        <v>72000</v>
      </c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81"/>
      <c r="W138" s="157"/>
      <c r="X138" s="157"/>
      <c r="Y138" s="157"/>
      <c r="Z138" s="157"/>
      <c r="AA138" s="157"/>
      <c r="AB138" s="157"/>
      <c r="AC138" s="165"/>
      <c r="AD138" s="157"/>
      <c r="AE138" s="165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164">
        <f t="shared" si="67"/>
        <v>0</v>
      </c>
      <c r="AT138" s="164">
        <f t="shared" si="68"/>
        <v>72000</v>
      </c>
      <c r="AU138" s="160"/>
      <c r="AV138" s="164">
        <f t="shared" si="69"/>
        <v>72000</v>
      </c>
      <c r="AW138" s="161"/>
      <c r="AX138" s="161"/>
      <c r="AY138" s="160"/>
    </row>
    <row r="139" spans="1:51" ht="14.1" customHeight="1">
      <c r="A139" s="160">
        <v>139</v>
      </c>
      <c r="B139" s="159" t="s">
        <v>62</v>
      </c>
      <c r="C139" s="159" t="s">
        <v>63</v>
      </c>
      <c r="D139" s="159"/>
      <c r="E139" s="156"/>
      <c r="F139" s="165">
        <v>2726000</v>
      </c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81">
        <v>-2000</v>
      </c>
      <c r="W139" s="157"/>
      <c r="X139" s="157"/>
      <c r="Y139" s="157"/>
      <c r="Z139" s="181"/>
      <c r="AA139" s="181"/>
      <c r="AB139" s="181"/>
      <c r="AC139" s="165">
        <v>21000</v>
      </c>
      <c r="AD139" s="157"/>
      <c r="AE139" s="165"/>
      <c r="AF139" s="157"/>
      <c r="AG139" s="181"/>
      <c r="AH139" s="181"/>
      <c r="AI139" s="157"/>
      <c r="AJ139" s="157"/>
      <c r="AK139" s="181"/>
      <c r="AL139" s="181"/>
      <c r="AM139" s="181"/>
      <c r="AN139" s="181"/>
      <c r="AO139" s="181"/>
      <c r="AP139" s="181"/>
      <c r="AQ139" s="181"/>
      <c r="AR139" s="156"/>
      <c r="AS139" s="164">
        <f t="shared" si="67"/>
        <v>19000</v>
      </c>
      <c r="AT139" s="164">
        <f t="shared" si="68"/>
        <v>2745000</v>
      </c>
      <c r="AU139" s="160"/>
      <c r="AV139" s="164">
        <f t="shared" si="69"/>
        <v>2745000</v>
      </c>
      <c r="AW139" s="161"/>
      <c r="AX139" s="161"/>
      <c r="AY139" s="160"/>
    </row>
    <row r="140" spans="1:51" s="169" customFormat="1" ht="14.1" customHeight="1">
      <c r="A140" s="160">
        <v>140</v>
      </c>
      <c r="B140" s="172"/>
      <c r="C140" s="172" t="s">
        <v>64</v>
      </c>
      <c r="D140" s="172"/>
      <c r="E140" s="171"/>
      <c r="F140" s="174">
        <f t="shared" ref="F140:AJ140" si="70">SUM(F128:F139)</f>
        <v>15696000</v>
      </c>
      <c r="G140" s="174">
        <f t="shared" si="70"/>
        <v>0</v>
      </c>
      <c r="H140" s="174">
        <f t="shared" si="70"/>
        <v>0</v>
      </c>
      <c r="I140" s="174">
        <f t="shared" si="70"/>
        <v>0</v>
      </c>
      <c r="J140" s="174">
        <f>SUM(J128:J139)</f>
        <v>0</v>
      </c>
      <c r="K140" s="174">
        <f>SUM(K128:K139)</f>
        <v>0</v>
      </c>
      <c r="L140" s="174">
        <f>SUM(L128:L139)</f>
        <v>0</v>
      </c>
      <c r="M140" s="174">
        <f t="shared" si="70"/>
        <v>0</v>
      </c>
      <c r="N140" s="174">
        <f t="shared" si="70"/>
        <v>-58000</v>
      </c>
      <c r="O140" s="174">
        <f t="shared" si="70"/>
        <v>-9000</v>
      </c>
      <c r="P140" s="174">
        <f t="shared" si="70"/>
        <v>0</v>
      </c>
      <c r="Q140" s="174">
        <f>SUM(Q128:Q139)</f>
        <v>-16000</v>
      </c>
      <c r="R140" s="174">
        <f>SUM(R128:R139)</f>
        <v>0</v>
      </c>
      <c r="S140" s="174">
        <f>SUM(S128:S139)</f>
        <v>0</v>
      </c>
      <c r="T140" s="174">
        <f>SUM(T128:T139)</f>
        <v>-8000</v>
      </c>
      <c r="U140" s="174">
        <f>SUM(U128:U139)</f>
        <v>16000</v>
      </c>
      <c r="V140" s="174">
        <f t="shared" si="70"/>
        <v>-399000</v>
      </c>
      <c r="W140" s="174">
        <f t="shared" ref="W140:AB140" si="71">SUM(W128:W139)</f>
        <v>219000</v>
      </c>
      <c r="X140" s="174">
        <f t="shared" si="71"/>
        <v>0</v>
      </c>
      <c r="Y140" s="174">
        <f t="shared" si="71"/>
        <v>0</v>
      </c>
      <c r="Z140" s="174">
        <f t="shared" si="71"/>
        <v>-83000</v>
      </c>
      <c r="AA140" s="174">
        <f t="shared" si="71"/>
        <v>0</v>
      </c>
      <c r="AB140" s="174">
        <f t="shared" si="71"/>
        <v>0</v>
      </c>
      <c r="AC140" s="174">
        <f t="shared" si="70"/>
        <v>302000</v>
      </c>
      <c r="AD140" s="174">
        <f t="shared" si="70"/>
        <v>-97000</v>
      </c>
      <c r="AE140" s="174">
        <f t="shared" si="70"/>
        <v>99000</v>
      </c>
      <c r="AF140" s="174">
        <f t="shared" si="70"/>
        <v>1079000</v>
      </c>
      <c r="AG140" s="174">
        <f t="shared" si="70"/>
        <v>624000</v>
      </c>
      <c r="AH140" s="174">
        <f>SUM(AH128:AH139)</f>
        <v>0</v>
      </c>
      <c r="AI140" s="174">
        <f t="shared" si="70"/>
        <v>0</v>
      </c>
      <c r="AJ140" s="174">
        <f t="shared" si="70"/>
        <v>0</v>
      </c>
      <c r="AK140" s="174">
        <f t="shared" ref="AK140:AQ140" si="72">SUM(AK128:AK139)</f>
        <v>0</v>
      </c>
      <c r="AL140" s="174">
        <f t="shared" si="72"/>
        <v>0</v>
      </c>
      <c r="AM140" s="174">
        <f t="shared" si="72"/>
        <v>0</v>
      </c>
      <c r="AN140" s="174">
        <f t="shared" si="72"/>
        <v>0</v>
      </c>
      <c r="AO140" s="174">
        <f t="shared" si="72"/>
        <v>0</v>
      </c>
      <c r="AP140" s="174">
        <f t="shared" si="72"/>
        <v>0</v>
      </c>
      <c r="AQ140" s="174">
        <f t="shared" si="72"/>
        <v>0</v>
      </c>
      <c r="AR140" s="173"/>
      <c r="AS140" s="173">
        <f>SUM(AS128:AS139)</f>
        <v>1669000</v>
      </c>
      <c r="AT140" s="173">
        <f>SUM(AT128:AT139)</f>
        <v>17365000</v>
      </c>
      <c r="AU140" s="167" t="str">
        <f>IF(ROUND(SUM(F140:AQ140),0)=ROUND(AT140,0),"ok","crossfoot error")</f>
        <v>ok</v>
      </c>
      <c r="AV140" s="173">
        <f>SUM(AV128:AV139)/1000</f>
        <v>17365</v>
      </c>
      <c r="AW140" s="162">
        <f>'[2]ADJ DETAIL INPUT'!$AU$43</f>
        <v>17365</v>
      </c>
      <c r="AX140" s="161">
        <f>AV140-AW140</f>
        <v>0</v>
      </c>
      <c r="AY140" s="167"/>
    </row>
    <row r="141" spans="1:51" ht="14.1" customHeight="1">
      <c r="A141" s="160">
        <v>141</v>
      </c>
      <c r="B141" s="159"/>
      <c r="C141" s="159"/>
      <c r="D141" s="159"/>
      <c r="E141" s="156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164"/>
      <c r="AT141" s="164"/>
      <c r="AU141" s="160"/>
      <c r="AV141" s="164"/>
      <c r="AW141" s="161"/>
      <c r="AX141" s="161"/>
      <c r="AY141" s="160"/>
    </row>
    <row r="142" spans="1:51" s="169" customFormat="1" ht="14.1" customHeight="1">
      <c r="A142" s="160">
        <v>142</v>
      </c>
      <c r="B142" s="172"/>
      <c r="C142" s="172" t="s">
        <v>65</v>
      </c>
      <c r="D142" s="172"/>
      <c r="E142" s="171"/>
      <c r="F142" s="170">
        <f t="shared" ref="F142:AJ142" si="73">F140+F118</f>
        <v>146882000</v>
      </c>
      <c r="G142" s="170">
        <f t="shared" si="73"/>
        <v>0</v>
      </c>
      <c r="H142" s="170">
        <f t="shared" si="73"/>
        <v>15000</v>
      </c>
      <c r="I142" s="170">
        <f t="shared" si="73"/>
        <v>0</v>
      </c>
      <c r="J142" s="170">
        <f>J140+J118</f>
        <v>0</v>
      </c>
      <c r="K142" s="170">
        <f>K140+K118</f>
        <v>0</v>
      </c>
      <c r="L142" s="170">
        <f>L140+L118</f>
        <v>0</v>
      </c>
      <c r="M142" s="170">
        <f t="shared" si="73"/>
        <v>166000</v>
      </c>
      <c r="N142" s="170">
        <f t="shared" si="73"/>
        <v>-58000</v>
      </c>
      <c r="O142" s="170">
        <f t="shared" si="73"/>
        <v>-9000</v>
      </c>
      <c r="P142" s="170">
        <f t="shared" si="73"/>
        <v>0</v>
      </c>
      <c r="Q142" s="170">
        <f>Q140+Q118</f>
        <v>-16000</v>
      </c>
      <c r="R142" s="170">
        <f>R140+R118</f>
        <v>0</v>
      </c>
      <c r="S142" s="170">
        <f>S140+S118</f>
        <v>0</v>
      </c>
      <c r="T142" s="170">
        <f>T140+T118</f>
        <v>-1679000</v>
      </c>
      <c r="U142" s="170">
        <f>U140+U118</f>
        <v>-54252000</v>
      </c>
      <c r="V142" s="170">
        <f t="shared" si="73"/>
        <v>-400000</v>
      </c>
      <c r="W142" s="170">
        <f t="shared" ref="W142:AB142" si="74">W140+W118</f>
        <v>219000</v>
      </c>
      <c r="X142" s="170">
        <f t="shared" si="74"/>
        <v>0</v>
      </c>
      <c r="Y142" s="170">
        <f t="shared" si="74"/>
        <v>0</v>
      </c>
      <c r="Z142" s="170">
        <f t="shared" si="74"/>
        <v>-51369000</v>
      </c>
      <c r="AA142" s="170">
        <f t="shared" si="74"/>
        <v>0</v>
      </c>
      <c r="AB142" s="170">
        <f t="shared" si="74"/>
        <v>0</v>
      </c>
      <c r="AC142" s="170">
        <f t="shared" si="73"/>
        <v>977000</v>
      </c>
      <c r="AD142" s="170">
        <f t="shared" si="73"/>
        <v>-97000</v>
      </c>
      <c r="AE142" s="170">
        <f t="shared" si="73"/>
        <v>341000</v>
      </c>
      <c r="AF142" s="170">
        <f t="shared" si="73"/>
        <v>1079000</v>
      </c>
      <c r="AG142" s="170">
        <f t="shared" si="73"/>
        <v>624000</v>
      </c>
      <c r="AH142" s="170">
        <f>AH140+AH118</f>
        <v>0</v>
      </c>
      <c r="AI142" s="170">
        <f t="shared" si="73"/>
        <v>67000</v>
      </c>
      <c r="AJ142" s="170">
        <f t="shared" si="73"/>
        <v>0</v>
      </c>
      <c r="AK142" s="170">
        <f t="shared" ref="AK142:AQ142" si="75">AK140+AK118</f>
        <v>0</v>
      </c>
      <c r="AL142" s="170">
        <f t="shared" si="75"/>
        <v>0</v>
      </c>
      <c r="AM142" s="170">
        <f t="shared" si="75"/>
        <v>0</v>
      </c>
      <c r="AN142" s="170">
        <f t="shared" si="75"/>
        <v>0</v>
      </c>
      <c r="AO142" s="170">
        <f t="shared" si="75"/>
        <v>-995000</v>
      </c>
      <c r="AP142" s="170">
        <f t="shared" si="75"/>
        <v>0</v>
      </c>
      <c r="AQ142" s="170">
        <f t="shared" si="75"/>
        <v>0</v>
      </c>
      <c r="AR142" s="163"/>
      <c r="AS142" s="163">
        <f>AS140+AS118</f>
        <v>-105386499</v>
      </c>
      <c r="AT142" s="163">
        <f>AT140+AT118</f>
        <v>41495501</v>
      </c>
      <c r="AU142" s="167" t="str">
        <f>IF(ROUND(SUM(F142:AQ142),0)=ROUND(AT142,0),"ok","crossfoot error")</f>
        <v>crossfoot error</v>
      </c>
      <c r="AV142" s="163">
        <f>AV140+AV118</f>
        <v>41496</v>
      </c>
      <c r="AW142" s="587">
        <f>AW32+AW55+AW94+AW102+AW109+AW116+AW140</f>
        <v>41495</v>
      </c>
      <c r="AX142" s="161">
        <f>AV142-AW142</f>
        <v>1</v>
      </c>
      <c r="AY142" s="167"/>
    </row>
    <row r="143" spans="1:51" ht="14.1" customHeight="1">
      <c r="A143" s="160">
        <v>143</v>
      </c>
      <c r="B143" s="159"/>
      <c r="C143" s="159"/>
      <c r="D143" s="159"/>
      <c r="E143" s="156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164"/>
      <c r="AT143" s="164"/>
      <c r="AU143" s="160"/>
      <c r="AV143" s="164"/>
      <c r="AW143" s="161"/>
      <c r="AX143" s="161"/>
      <c r="AY143" s="160"/>
    </row>
    <row r="144" spans="1:51" ht="14.1" customHeight="1">
      <c r="A144" s="160">
        <v>144</v>
      </c>
      <c r="B144" s="172" t="s">
        <v>66</v>
      </c>
      <c r="C144" s="159"/>
      <c r="D144" s="159"/>
      <c r="E144" s="156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6"/>
      <c r="AS144" s="164"/>
      <c r="AT144" s="164"/>
      <c r="AU144" s="160"/>
      <c r="AV144" s="164"/>
      <c r="AW144" s="161"/>
      <c r="AX144" s="161"/>
      <c r="AY144" s="160"/>
    </row>
    <row r="145" spans="1:51" ht="14.1" customHeight="1">
      <c r="A145" s="160">
        <v>145</v>
      </c>
      <c r="B145" s="159"/>
      <c r="C145" s="159" t="s">
        <v>739</v>
      </c>
      <c r="D145" s="159"/>
      <c r="E145" s="156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6"/>
      <c r="AS145" s="164"/>
      <c r="AT145" s="164"/>
      <c r="AU145" s="160"/>
      <c r="AV145" s="164"/>
      <c r="AW145" s="161"/>
      <c r="AX145" s="161"/>
      <c r="AY145" s="160"/>
    </row>
    <row r="146" spans="1:51" ht="14.1" customHeight="1">
      <c r="A146" s="160">
        <v>146</v>
      </c>
      <c r="B146" s="159"/>
      <c r="C146" s="159" t="s">
        <v>738</v>
      </c>
      <c r="D146" s="159"/>
      <c r="E146" s="156"/>
      <c r="F146" s="181">
        <v>0</v>
      </c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6"/>
      <c r="AS146" s="164">
        <f>SUM(G146:AL146)</f>
        <v>0</v>
      </c>
      <c r="AT146" s="164">
        <f>F146+AS146</f>
        <v>0</v>
      </c>
      <c r="AU146" s="160"/>
      <c r="AV146" s="164"/>
      <c r="AW146" s="161"/>
      <c r="AX146" s="161"/>
      <c r="AY146" s="160"/>
    </row>
    <row r="147" spans="1:51" ht="14.1" customHeight="1">
      <c r="A147" s="160">
        <v>147</v>
      </c>
      <c r="B147" s="159"/>
      <c r="C147" s="159" t="s">
        <v>737</v>
      </c>
      <c r="D147" s="159"/>
      <c r="E147" s="156"/>
      <c r="F147" s="181">
        <v>323000</v>
      </c>
      <c r="G147" s="157"/>
      <c r="H147" s="157"/>
      <c r="I147" s="157"/>
      <c r="J147" s="157"/>
      <c r="K147" s="157"/>
      <c r="L147" s="181">
        <v>-66000</v>
      </c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65"/>
      <c r="AA147" s="165"/>
      <c r="AB147" s="165"/>
      <c r="AC147" s="157"/>
      <c r="AD147" s="157"/>
      <c r="AE147" s="157"/>
      <c r="AF147" s="157"/>
      <c r="AG147" s="165"/>
      <c r="AH147" s="165">
        <v>35000</v>
      </c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56"/>
      <c r="AS147" s="164">
        <f>SUM(G147:AL147)</f>
        <v>-31000</v>
      </c>
      <c r="AT147" s="164">
        <f>F147+AS147</f>
        <v>292000</v>
      </c>
      <c r="AU147" s="160"/>
      <c r="AV147" s="164">
        <f>ROUND(AT147/1000,0)</f>
        <v>292</v>
      </c>
      <c r="AW147" s="162">
        <f>'[2]ADJ DETAIL INPUT'!$AU$29</f>
        <v>292</v>
      </c>
      <c r="AX147" s="161">
        <f>AV147-AW147</f>
        <v>0</v>
      </c>
      <c r="AY147" s="160"/>
    </row>
    <row r="148" spans="1:51" ht="14.1" customHeight="1">
      <c r="A148" s="160">
        <v>148</v>
      </c>
      <c r="B148" s="159"/>
      <c r="C148" s="159" t="s">
        <v>729</v>
      </c>
      <c r="D148" s="159"/>
      <c r="E148" s="156"/>
      <c r="F148" s="181">
        <v>2845000</v>
      </c>
      <c r="G148" s="157"/>
      <c r="H148" s="157"/>
      <c r="I148" s="157"/>
      <c r="J148" s="157"/>
      <c r="K148" s="181">
        <v>7000</v>
      </c>
      <c r="L148" s="181">
        <v>305000</v>
      </c>
      <c r="M148" s="157"/>
      <c r="N148" s="157"/>
      <c r="O148" s="157"/>
      <c r="P148" s="157"/>
      <c r="Q148" s="157"/>
      <c r="R148" s="157"/>
      <c r="S148" s="157"/>
      <c r="T148" s="181"/>
      <c r="U148" s="157"/>
      <c r="V148" s="157"/>
      <c r="W148" s="157"/>
      <c r="X148" s="157"/>
      <c r="Y148" s="157"/>
      <c r="Z148" s="181">
        <v>0</v>
      </c>
      <c r="AA148" s="181"/>
      <c r="AB148" s="181"/>
      <c r="AC148" s="157"/>
      <c r="AD148" s="157"/>
      <c r="AE148" s="157"/>
      <c r="AF148" s="157"/>
      <c r="AG148" s="165"/>
      <c r="AH148" s="165">
        <v>428000</v>
      </c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56"/>
      <c r="AS148" s="164">
        <f>SUM(G148:AL148)</f>
        <v>740000</v>
      </c>
      <c r="AT148" s="164">
        <f>F148+AS148</f>
        <v>3585000</v>
      </c>
      <c r="AU148" s="160"/>
      <c r="AV148" s="164">
        <f>ROUND(AT148/1000,0)</f>
        <v>3585</v>
      </c>
      <c r="AW148" s="162"/>
      <c r="AX148" s="161">
        <f>AV148-AW148</f>
        <v>3585</v>
      </c>
      <c r="AY148" s="161">
        <f>AX148+AX153</f>
        <v>0</v>
      </c>
    </row>
    <row r="149" spans="1:51" ht="14.1" customHeight="1">
      <c r="A149" s="160">
        <v>149</v>
      </c>
      <c r="B149" s="159"/>
      <c r="C149" s="159" t="s">
        <v>736</v>
      </c>
      <c r="D149" s="159"/>
      <c r="E149" s="156"/>
      <c r="F149" s="181">
        <v>0</v>
      </c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65"/>
      <c r="AH149" s="165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6"/>
      <c r="AS149" s="164">
        <f>SUM(G149:AL149)</f>
        <v>0</v>
      </c>
      <c r="AT149" s="164">
        <f>F149+AS149</f>
        <v>0</v>
      </c>
      <c r="AU149" s="160"/>
      <c r="AV149" s="164">
        <f>ROUND(AT149/1000,0)</f>
        <v>0</v>
      </c>
      <c r="AW149" s="162">
        <f>'[2]ADJ DETAIL INPUT'!$AU$46</f>
        <v>0</v>
      </c>
      <c r="AX149" s="161">
        <f>AV149-AW149</f>
        <v>0</v>
      </c>
      <c r="AY149" s="160"/>
    </row>
    <row r="150" spans="1:51" s="169" customFormat="1" ht="14.1" customHeight="1">
      <c r="A150" s="160">
        <v>150</v>
      </c>
      <c r="B150" s="172"/>
      <c r="C150" s="172" t="s">
        <v>735</v>
      </c>
      <c r="D150" s="172"/>
      <c r="E150" s="171"/>
      <c r="F150" s="174">
        <f t="shared" ref="F150:AJ150" si="76">SUM(F146:F149)</f>
        <v>3168000</v>
      </c>
      <c r="G150" s="174">
        <f t="shared" si="76"/>
        <v>0</v>
      </c>
      <c r="H150" s="174">
        <f t="shared" si="76"/>
        <v>0</v>
      </c>
      <c r="I150" s="174">
        <f t="shared" si="76"/>
        <v>0</v>
      </c>
      <c r="J150" s="174">
        <f>SUM(J146:J149)</f>
        <v>0</v>
      </c>
      <c r="K150" s="174">
        <f>SUM(K146:K149)</f>
        <v>7000</v>
      </c>
      <c r="L150" s="174">
        <f>SUM(L146:L149)</f>
        <v>239000</v>
      </c>
      <c r="M150" s="174">
        <f t="shared" si="76"/>
        <v>0</v>
      </c>
      <c r="N150" s="174">
        <f t="shared" si="76"/>
        <v>0</v>
      </c>
      <c r="O150" s="174">
        <f t="shared" si="76"/>
        <v>0</v>
      </c>
      <c r="P150" s="174">
        <f t="shared" si="76"/>
        <v>0</v>
      </c>
      <c r="Q150" s="174">
        <f>SUM(Q146:Q149)</f>
        <v>0</v>
      </c>
      <c r="R150" s="174">
        <f>SUM(R146:R149)</f>
        <v>0</v>
      </c>
      <c r="S150" s="174">
        <f>SUM(S146:S149)</f>
        <v>0</v>
      </c>
      <c r="T150" s="174">
        <f>SUM(T146:T149)</f>
        <v>0</v>
      </c>
      <c r="U150" s="174">
        <f>SUM(U146:U149)</f>
        <v>0</v>
      </c>
      <c r="V150" s="174">
        <f t="shared" si="76"/>
        <v>0</v>
      </c>
      <c r="W150" s="174">
        <f t="shared" ref="W150:AB150" si="77">SUM(W146:W149)</f>
        <v>0</v>
      </c>
      <c r="X150" s="174">
        <f t="shared" si="77"/>
        <v>0</v>
      </c>
      <c r="Y150" s="174">
        <f t="shared" si="77"/>
        <v>0</v>
      </c>
      <c r="Z150" s="174">
        <f t="shared" si="77"/>
        <v>0</v>
      </c>
      <c r="AA150" s="174">
        <f t="shared" si="77"/>
        <v>0</v>
      </c>
      <c r="AB150" s="174">
        <f t="shared" si="77"/>
        <v>0</v>
      </c>
      <c r="AC150" s="174">
        <f t="shared" si="76"/>
        <v>0</v>
      </c>
      <c r="AD150" s="174">
        <f t="shared" si="76"/>
        <v>0</v>
      </c>
      <c r="AE150" s="174">
        <f t="shared" si="76"/>
        <v>0</v>
      </c>
      <c r="AF150" s="174">
        <f t="shared" si="76"/>
        <v>0</v>
      </c>
      <c r="AG150" s="174">
        <f t="shared" si="76"/>
        <v>0</v>
      </c>
      <c r="AH150" s="174">
        <f>SUM(AH146:AH149)</f>
        <v>463000</v>
      </c>
      <c r="AI150" s="174">
        <f t="shared" si="76"/>
        <v>0</v>
      </c>
      <c r="AJ150" s="174">
        <f t="shared" si="76"/>
        <v>0</v>
      </c>
      <c r="AK150" s="174">
        <f t="shared" ref="AK150:AQ150" si="78">SUM(AK146:AK149)</f>
        <v>0</v>
      </c>
      <c r="AL150" s="174">
        <f t="shared" si="78"/>
        <v>0</v>
      </c>
      <c r="AM150" s="174">
        <f t="shared" si="78"/>
        <v>0</v>
      </c>
      <c r="AN150" s="174">
        <f t="shared" si="78"/>
        <v>0</v>
      </c>
      <c r="AO150" s="174">
        <f t="shared" si="78"/>
        <v>0</v>
      </c>
      <c r="AP150" s="174">
        <f t="shared" si="78"/>
        <v>0</v>
      </c>
      <c r="AQ150" s="174">
        <f t="shared" si="78"/>
        <v>0</v>
      </c>
      <c r="AR150" s="173"/>
      <c r="AS150" s="173">
        <f>SUM(AS146:AS149)</f>
        <v>709000</v>
      </c>
      <c r="AT150" s="173">
        <f>SUM(AT146:AT149)</f>
        <v>3877000</v>
      </c>
      <c r="AU150" s="167" t="str">
        <f>IF(ROUND(SUM(F150:AQ150),0)=ROUND(AT150,0),"ok","crossfoot error")</f>
        <v>ok</v>
      </c>
      <c r="AV150" s="173">
        <f>SUM(AV146:AV149)</f>
        <v>3877</v>
      </c>
      <c r="AW150" s="161"/>
      <c r="AX150" s="161"/>
      <c r="AY150" s="167"/>
    </row>
    <row r="151" spans="1:51" ht="14.1" customHeight="1">
      <c r="A151" s="160">
        <v>151</v>
      </c>
      <c r="B151" s="159"/>
      <c r="C151" s="159"/>
      <c r="D151" s="159"/>
      <c r="E151" s="156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6"/>
      <c r="AS151" s="164"/>
      <c r="AT151" s="164"/>
      <c r="AU151" s="160"/>
      <c r="AV151" s="164"/>
      <c r="AW151" s="161"/>
      <c r="AX151" s="161"/>
      <c r="AY151" s="160"/>
    </row>
    <row r="152" spans="1:51" ht="14.1" customHeight="1">
      <c r="A152" s="160">
        <v>152</v>
      </c>
      <c r="B152" s="159"/>
      <c r="C152" s="159" t="s">
        <v>734</v>
      </c>
      <c r="D152" s="159"/>
      <c r="E152" s="156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6"/>
      <c r="AS152" s="164"/>
      <c r="AT152" s="164"/>
      <c r="AU152" s="160"/>
      <c r="AV152" s="164"/>
      <c r="AW152" s="161"/>
      <c r="AX152" s="161"/>
      <c r="AY152" s="160"/>
    </row>
    <row r="153" spans="1:51" ht="14.1" customHeight="1">
      <c r="A153" s="160">
        <v>153</v>
      </c>
      <c r="B153" s="159"/>
      <c r="C153" s="159" t="s">
        <v>729</v>
      </c>
      <c r="D153" s="159"/>
      <c r="E153" s="156"/>
      <c r="F153" s="165">
        <v>5652000</v>
      </c>
      <c r="G153" s="157"/>
      <c r="H153" s="157"/>
      <c r="I153" s="157"/>
      <c r="J153" s="157"/>
      <c r="K153" s="165"/>
      <c r="L153" s="165"/>
      <c r="M153" s="157"/>
      <c r="N153" s="157"/>
      <c r="O153" s="157"/>
      <c r="P153" s="157"/>
      <c r="Q153" s="157"/>
      <c r="R153" s="165">
        <v>1000</v>
      </c>
      <c r="S153" s="157"/>
      <c r="T153" s="165">
        <v>-151000</v>
      </c>
      <c r="U153" s="165">
        <v>309000</v>
      </c>
      <c r="V153" s="157"/>
      <c r="W153" s="157"/>
      <c r="X153" s="157"/>
      <c r="Y153" s="157"/>
      <c r="Z153" s="181">
        <v>-1591000</v>
      </c>
      <c r="AA153" s="181"/>
      <c r="AB153" s="181"/>
      <c r="AC153" s="157"/>
      <c r="AD153" s="157"/>
      <c r="AE153" s="157"/>
      <c r="AF153" s="157"/>
      <c r="AG153" s="181"/>
      <c r="AH153" s="181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6"/>
      <c r="AS153" s="164">
        <f>SUM(G153:AR153)</f>
        <v>-1432000</v>
      </c>
      <c r="AT153" s="164">
        <f>F153+AS153</f>
        <v>4220000</v>
      </c>
      <c r="AU153" s="160"/>
      <c r="AV153" s="163">
        <f>ROUND(AT153/1000,0)</f>
        <v>4220</v>
      </c>
      <c r="AW153" s="162">
        <f>'[2]ADJ DETAIL INPUT'!$AU$35</f>
        <v>7805</v>
      </c>
      <c r="AX153" s="161">
        <f>AV153-AW153</f>
        <v>-3585</v>
      </c>
      <c r="AY153" s="161">
        <f>AX153+AX148</f>
        <v>0</v>
      </c>
    </row>
    <row r="154" spans="1:51" ht="14.1" customHeight="1">
      <c r="A154" s="160">
        <v>154</v>
      </c>
      <c r="B154" s="159"/>
      <c r="C154" s="159"/>
      <c r="D154" s="159"/>
      <c r="E154" s="156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6"/>
      <c r="AS154" s="164"/>
      <c r="AT154" s="164"/>
      <c r="AU154" s="160"/>
      <c r="AV154" s="164"/>
      <c r="AW154" s="161"/>
      <c r="AX154" s="161"/>
      <c r="AY154" s="160"/>
    </row>
    <row r="155" spans="1:51" ht="14.1" customHeight="1">
      <c r="A155" s="160">
        <v>155</v>
      </c>
      <c r="B155" s="159"/>
      <c r="C155" s="159" t="s">
        <v>733</v>
      </c>
      <c r="D155" s="159"/>
      <c r="E155" s="156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6"/>
      <c r="AS155" s="164"/>
      <c r="AT155" s="164"/>
      <c r="AU155" s="160"/>
      <c r="AV155" s="164"/>
      <c r="AW155" s="161"/>
      <c r="AX155" s="161"/>
      <c r="AY155" s="160"/>
    </row>
    <row r="156" spans="1:51" ht="14.1" customHeight="1">
      <c r="A156" s="160">
        <v>156</v>
      </c>
      <c r="B156" s="159"/>
      <c r="C156" s="159" t="s">
        <v>729</v>
      </c>
      <c r="D156" s="159"/>
      <c r="E156" s="156"/>
      <c r="F156" s="165">
        <v>5242000</v>
      </c>
      <c r="G156" s="157"/>
      <c r="H156" s="157"/>
      <c r="I156" s="157"/>
      <c r="J156" s="157"/>
      <c r="K156" s="165">
        <f>-5235000-7000</f>
        <v>-5242000</v>
      </c>
      <c r="L156" s="165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6"/>
      <c r="AS156" s="164">
        <f>SUM(G156:AQ156)</f>
        <v>-5242000</v>
      </c>
      <c r="AT156" s="164">
        <f>F156+AS156</f>
        <v>0</v>
      </c>
      <c r="AU156" s="160"/>
      <c r="AV156" s="164">
        <f>ROUND(AT156/1000,0)</f>
        <v>0</v>
      </c>
      <c r="AW156" s="161"/>
      <c r="AX156" s="161"/>
      <c r="AY156" s="160"/>
    </row>
    <row r="157" spans="1:51" ht="14.1" customHeight="1">
      <c r="A157" s="160">
        <v>157</v>
      </c>
      <c r="B157" s="159"/>
      <c r="C157" s="159" t="s">
        <v>732</v>
      </c>
      <c r="D157" s="159"/>
      <c r="E157" s="156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6"/>
      <c r="AS157" s="164">
        <f>SUM(G157:AQ157)</f>
        <v>0</v>
      </c>
      <c r="AT157" s="164">
        <f>F157+AS157</f>
        <v>0</v>
      </c>
      <c r="AU157" s="160"/>
      <c r="AV157" s="164">
        <f>ROUND(AT157/1000,0)</f>
        <v>0</v>
      </c>
      <c r="AW157" s="161"/>
      <c r="AX157" s="161"/>
      <c r="AY157" s="160"/>
    </row>
    <row r="158" spans="1:51" ht="14.1" customHeight="1">
      <c r="A158" s="160">
        <v>158</v>
      </c>
      <c r="B158" s="159"/>
      <c r="C158" s="159" t="s">
        <v>732</v>
      </c>
      <c r="D158" s="159"/>
      <c r="E158" s="156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6"/>
      <c r="AS158" s="164">
        <f>SUM(G158:AQ158)</f>
        <v>0</v>
      </c>
      <c r="AT158" s="164">
        <f>F158+AS158</f>
        <v>0</v>
      </c>
      <c r="AU158" s="160"/>
      <c r="AV158" s="164">
        <f>ROUND(AT158/1000,0)</f>
        <v>0</v>
      </c>
      <c r="AW158" s="161"/>
      <c r="AX158" s="161"/>
      <c r="AY158" s="160"/>
    </row>
    <row r="159" spans="1:51" s="169" customFormat="1" ht="14.1" customHeight="1">
      <c r="A159" s="160">
        <v>159</v>
      </c>
      <c r="B159" s="172"/>
      <c r="C159" s="172" t="s">
        <v>731</v>
      </c>
      <c r="D159" s="172"/>
      <c r="E159" s="171"/>
      <c r="F159" s="174">
        <f t="shared" ref="F159:AJ159" si="79">SUM(F156:F158)</f>
        <v>5242000</v>
      </c>
      <c r="G159" s="174">
        <f t="shared" si="79"/>
        <v>0</v>
      </c>
      <c r="H159" s="174">
        <f t="shared" si="79"/>
        <v>0</v>
      </c>
      <c r="I159" s="174">
        <f t="shared" si="79"/>
        <v>0</v>
      </c>
      <c r="J159" s="174">
        <f>SUM(J156:J158)</f>
        <v>0</v>
      </c>
      <c r="K159" s="174">
        <f>SUM(K156:K158)</f>
        <v>-5242000</v>
      </c>
      <c r="L159" s="174">
        <f>SUM(L156:L158)</f>
        <v>0</v>
      </c>
      <c r="M159" s="174">
        <f t="shared" si="79"/>
        <v>0</v>
      </c>
      <c r="N159" s="174">
        <f t="shared" si="79"/>
        <v>0</v>
      </c>
      <c r="O159" s="174">
        <f t="shared" si="79"/>
        <v>0</v>
      </c>
      <c r="P159" s="174">
        <f t="shared" si="79"/>
        <v>0</v>
      </c>
      <c r="Q159" s="174">
        <f>SUM(Q156:Q158)</f>
        <v>0</v>
      </c>
      <c r="R159" s="174">
        <f>SUM(R156:R158)</f>
        <v>0</v>
      </c>
      <c r="S159" s="174">
        <f>SUM(S156:S158)</f>
        <v>0</v>
      </c>
      <c r="T159" s="174">
        <f>SUM(T156:T158)</f>
        <v>0</v>
      </c>
      <c r="U159" s="174">
        <f>SUM(U156:U158)</f>
        <v>0</v>
      </c>
      <c r="V159" s="174">
        <f t="shared" si="79"/>
        <v>0</v>
      </c>
      <c r="W159" s="174">
        <f t="shared" ref="W159:AB159" si="80">SUM(W156:W158)</f>
        <v>0</v>
      </c>
      <c r="X159" s="174">
        <f t="shared" si="80"/>
        <v>0</v>
      </c>
      <c r="Y159" s="174">
        <f t="shared" si="80"/>
        <v>0</v>
      </c>
      <c r="Z159" s="174">
        <f t="shared" si="80"/>
        <v>0</v>
      </c>
      <c r="AA159" s="174">
        <f t="shared" si="80"/>
        <v>0</v>
      </c>
      <c r="AB159" s="174">
        <f t="shared" si="80"/>
        <v>0</v>
      </c>
      <c r="AC159" s="174">
        <f t="shared" si="79"/>
        <v>0</v>
      </c>
      <c r="AD159" s="174">
        <f t="shared" si="79"/>
        <v>0</v>
      </c>
      <c r="AE159" s="174">
        <f t="shared" si="79"/>
        <v>0</v>
      </c>
      <c r="AF159" s="174">
        <f t="shared" si="79"/>
        <v>0</v>
      </c>
      <c r="AG159" s="174">
        <f t="shared" si="79"/>
        <v>0</v>
      </c>
      <c r="AH159" s="174">
        <f>SUM(AH156:AH158)</f>
        <v>0</v>
      </c>
      <c r="AI159" s="174">
        <f t="shared" si="79"/>
        <v>0</v>
      </c>
      <c r="AJ159" s="174">
        <f t="shared" si="79"/>
        <v>0</v>
      </c>
      <c r="AK159" s="174">
        <f t="shared" ref="AK159:AQ159" si="81">SUM(AK156:AK158)</f>
        <v>0</v>
      </c>
      <c r="AL159" s="174">
        <f t="shared" si="81"/>
        <v>0</v>
      </c>
      <c r="AM159" s="174">
        <f t="shared" si="81"/>
        <v>0</v>
      </c>
      <c r="AN159" s="174">
        <f t="shared" si="81"/>
        <v>0</v>
      </c>
      <c r="AO159" s="174">
        <f t="shared" si="81"/>
        <v>0</v>
      </c>
      <c r="AP159" s="174">
        <f t="shared" si="81"/>
        <v>0</v>
      </c>
      <c r="AQ159" s="174">
        <f t="shared" si="81"/>
        <v>0</v>
      </c>
      <c r="AR159" s="173"/>
      <c r="AS159" s="173">
        <f>SUM(AS156:AS158)</f>
        <v>-5242000</v>
      </c>
      <c r="AT159" s="173">
        <f>SUM(AT156:AT158)</f>
        <v>0</v>
      </c>
      <c r="AU159" s="167" t="str">
        <f>IF(ROUND(SUM(F159:AQ159),0)=ROUND(AT159,0),"ok","crossfoot error")</f>
        <v>ok</v>
      </c>
      <c r="AV159" s="173">
        <f>SUM(AV156:AV158)</f>
        <v>0</v>
      </c>
      <c r="AW159" s="161"/>
      <c r="AX159" s="161"/>
      <c r="AY159" s="167"/>
    </row>
    <row r="160" spans="1:51" ht="14.1" customHeight="1">
      <c r="A160" s="160">
        <v>160</v>
      </c>
      <c r="B160" s="159"/>
      <c r="C160" s="159"/>
      <c r="D160" s="159"/>
      <c r="E160" s="156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6"/>
      <c r="AS160" s="164"/>
      <c r="AT160" s="164"/>
      <c r="AU160" s="160"/>
      <c r="AV160" s="164"/>
      <c r="AW160" s="161"/>
      <c r="AX160" s="161"/>
      <c r="AY160" s="160"/>
    </row>
    <row r="161" spans="1:51" ht="14.1" customHeight="1">
      <c r="A161" s="160">
        <v>161</v>
      </c>
      <c r="B161" s="159"/>
      <c r="C161" s="159" t="s">
        <v>730</v>
      </c>
      <c r="D161" s="159"/>
      <c r="E161" s="156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6"/>
      <c r="AS161" s="164"/>
      <c r="AT161" s="164"/>
      <c r="AU161" s="160"/>
      <c r="AV161" s="164"/>
      <c r="AW161" s="161"/>
      <c r="AX161" s="161"/>
      <c r="AY161" s="160"/>
    </row>
    <row r="162" spans="1:51" ht="14.1" customHeight="1">
      <c r="A162" s="160">
        <v>162</v>
      </c>
      <c r="B162" s="159"/>
      <c r="C162" s="159" t="s">
        <v>729</v>
      </c>
      <c r="D162" s="159"/>
      <c r="E162" s="156"/>
      <c r="F162" s="165">
        <v>0</v>
      </c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6"/>
      <c r="AS162" s="164">
        <f>SUM(G162:AQ162)</f>
        <v>0</v>
      </c>
      <c r="AT162" s="164">
        <f>F162+AS162</f>
        <v>0</v>
      </c>
      <c r="AU162" s="160"/>
      <c r="AV162" s="164"/>
      <c r="AW162" s="161"/>
      <c r="AX162" s="161"/>
      <c r="AY162" s="160"/>
    </row>
    <row r="163" spans="1:51" ht="14.1" customHeight="1">
      <c r="A163" s="160">
        <v>163</v>
      </c>
      <c r="B163" s="159"/>
      <c r="C163" s="159"/>
      <c r="D163" s="159"/>
      <c r="E163" s="156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6"/>
      <c r="AS163" s="164"/>
      <c r="AT163" s="164"/>
      <c r="AU163" s="160"/>
      <c r="AV163" s="164"/>
      <c r="AW163" s="161"/>
      <c r="AX163" s="161"/>
      <c r="AY163" s="160"/>
    </row>
    <row r="164" spans="1:51" s="169" customFormat="1" ht="14.1" customHeight="1">
      <c r="A164" s="160">
        <v>164</v>
      </c>
      <c r="B164" s="172"/>
      <c r="C164" s="172" t="s">
        <v>68</v>
      </c>
      <c r="D164" s="172"/>
      <c r="E164" s="171"/>
      <c r="F164" s="170">
        <f>F162+F159+F153+F150</f>
        <v>14062000</v>
      </c>
      <c r="G164" s="170">
        <f t="shared" ref="G164:AJ164" si="82">G162+G159+G153+G150</f>
        <v>0</v>
      </c>
      <c r="H164" s="170">
        <f t="shared" si="82"/>
        <v>0</v>
      </c>
      <c r="I164" s="170">
        <f t="shared" si="82"/>
        <v>0</v>
      </c>
      <c r="J164" s="170">
        <f>J162+J159+J153+J150</f>
        <v>0</v>
      </c>
      <c r="K164" s="170">
        <f>K162+K159+K153+K150</f>
        <v>-5235000</v>
      </c>
      <c r="L164" s="170">
        <f>L162+L159+L153+L150</f>
        <v>239000</v>
      </c>
      <c r="M164" s="170">
        <f t="shared" si="82"/>
        <v>0</v>
      </c>
      <c r="N164" s="170">
        <f t="shared" si="82"/>
        <v>0</v>
      </c>
      <c r="O164" s="170">
        <f t="shared" si="82"/>
        <v>0</v>
      </c>
      <c r="P164" s="170">
        <f t="shared" si="82"/>
        <v>0</v>
      </c>
      <c r="Q164" s="170">
        <f>Q162+Q159+Q153+Q150</f>
        <v>0</v>
      </c>
      <c r="R164" s="170">
        <f>R162+R159+R153+R150</f>
        <v>1000</v>
      </c>
      <c r="S164" s="170">
        <f>S162+S159+S153+S150</f>
        <v>0</v>
      </c>
      <c r="T164" s="170">
        <f>T162+T159+T153+T150</f>
        <v>-151000</v>
      </c>
      <c r="U164" s="170">
        <f>U162+U159+U153+U150</f>
        <v>309000</v>
      </c>
      <c r="V164" s="170">
        <f t="shared" si="82"/>
        <v>0</v>
      </c>
      <c r="W164" s="170">
        <f t="shared" ref="W164:AB164" si="83">W162+W159+W153+W150</f>
        <v>0</v>
      </c>
      <c r="X164" s="170">
        <f t="shared" si="83"/>
        <v>0</v>
      </c>
      <c r="Y164" s="170">
        <f t="shared" si="83"/>
        <v>0</v>
      </c>
      <c r="Z164" s="170">
        <f t="shared" si="83"/>
        <v>-1591000</v>
      </c>
      <c r="AA164" s="170">
        <f t="shared" si="83"/>
        <v>0</v>
      </c>
      <c r="AB164" s="170">
        <f t="shared" si="83"/>
        <v>0</v>
      </c>
      <c r="AC164" s="170">
        <f t="shared" si="82"/>
        <v>0</v>
      </c>
      <c r="AD164" s="170">
        <f t="shared" si="82"/>
        <v>0</v>
      </c>
      <c r="AE164" s="170">
        <f t="shared" si="82"/>
        <v>0</v>
      </c>
      <c r="AF164" s="170">
        <f t="shared" si="82"/>
        <v>0</v>
      </c>
      <c r="AG164" s="170">
        <f t="shared" si="82"/>
        <v>0</v>
      </c>
      <c r="AH164" s="170">
        <f>AH162+AH159+AH153+AH150</f>
        <v>463000</v>
      </c>
      <c r="AI164" s="170">
        <f t="shared" si="82"/>
        <v>0</v>
      </c>
      <c r="AJ164" s="170">
        <f t="shared" si="82"/>
        <v>0</v>
      </c>
      <c r="AK164" s="170">
        <f t="shared" ref="AK164:AQ164" si="84">AK162+AK159+AK153+AK150</f>
        <v>0</v>
      </c>
      <c r="AL164" s="170">
        <f t="shared" si="84"/>
        <v>0</v>
      </c>
      <c r="AM164" s="170">
        <f t="shared" si="84"/>
        <v>0</v>
      </c>
      <c r="AN164" s="170">
        <f t="shared" si="84"/>
        <v>0</v>
      </c>
      <c r="AO164" s="170">
        <f t="shared" si="84"/>
        <v>0</v>
      </c>
      <c r="AP164" s="170">
        <f t="shared" si="84"/>
        <v>0</v>
      </c>
      <c r="AQ164" s="170">
        <f t="shared" si="84"/>
        <v>0</v>
      </c>
      <c r="AR164" s="163"/>
      <c r="AS164" s="163">
        <f>AS162+AS159+AS153+AS150</f>
        <v>-5965000</v>
      </c>
      <c r="AT164" s="163">
        <f>AT162+AT159+AT153+AT150</f>
        <v>8097000</v>
      </c>
      <c r="AU164" s="167" t="str">
        <f>IF(ROUND(SUM(F164:AQ164),0)=ROUND(AT164,0),"ok","crossfoot error")</f>
        <v>ok</v>
      </c>
      <c r="AV164" s="163">
        <f>AV162+AV159+AV153+AV150</f>
        <v>8097</v>
      </c>
      <c r="AW164" s="587">
        <f>AU147+AU149+AU153</f>
        <v>0</v>
      </c>
      <c r="AX164" s="161">
        <f>AV164-AW164</f>
        <v>8097</v>
      </c>
      <c r="AY164" s="167"/>
    </row>
    <row r="165" spans="1:51" ht="14.1" customHeight="1">
      <c r="A165" s="160">
        <v>165</v>
      </c>
      <c r="B165" s="159"/>
      <c r="C165" s="159"/>
      <c r="D165" s="159"/>
      <c r="E165" s="156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6"/>
      <c r="AS165" s="164"/>
      <c r="AT165" s="164"/>
      <c r="AU165" s="160"/>
      <c r="AV165" s="164"/>
      <c r="AW165" s="161"/>
      <c r="AX165" s="161"/>
      <c r="AY165" s="160"/>
    </row>
    <row r="166" spans="1:51" ht="14.1" customHeight="1">
      <c r="A166" s="160">
        <v>166</v>
      </c>
      <c r="B166" s="172" t="s">
        <v>69</v>
      </c>
      <c r="C166" s="159"/>
      <c r="D166" s="159"/>
      <c r="E166" s="156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6"/>
      <c r="AS166" s="164"/>
      <c r="AT166" s="164"/>
      <c r="AU166" s="160"/>
      <c r="AV166" s="164"/>
      <c r="AW166" s="161"/>
      <c r="AX166" s="161"/>
      <c r="AY166" s="160"/>
    </row>
    <row r="167" spans="1:51" ht="14.1" customHeight="1">
      <c r="A167" s="160">
        <v>167</v>
      </c>
      <c r="B167" s="159"/>
      <c r="C167" s="197" t="s">
        <v>358</v>
      </c>
      <c r="D167" s="159"/>
      <c r="E167" s="156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6"/>
      <c r="AS167" s="164"/>
      <c r="AT167" s="164"/>
      <c r="AU167" s="160"/>
      <c r="AV167" s="164"/>
      <c r="AW167" s="161"/>
      <c r="AX167" s="161"/>
      <c r="AY167" s="160"/>
    </row>
    <row r="168" spans="1:51" ht="14.1" customHeight="1">
      <c r="A168" s="160">
        <v>168</v>
      </c>
      <c r="B168" s="158">
        <v>350</v>
      </c>
      <c r="C168" s="159" t="s">
        <v>359</v>
      </c>
      <c r="D168" s="159"/>
      <c r="E168" s="156"/>
      <c r="F168" s="472">
        <v>1000</v>
      </c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81">
        <f>ROUND(F168/$F$176*-164000,-3)</f>
        <v>0</v>
      </c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81"/>
      <c r="AJ168" s="188"/>
      <c r="AK168" s="181">
        <f>ROUND(F168/$F$176*19000,-3)</f>
        <v>0</v>
      </c>
      <c r="AL168" s="157"/>
      <c r="AM168" s="157"/>
      <c r="AN168" s="157"/>
      <c r="AO168" s="157"/>
      <c r="AP168" s="157"/>
      <c r="AQ168" s="157"/>
      <c r="AR168" s="156"/>
      <c r="AS168" s="164">
        <f>SUM(G168:AQ168)</f>
        <v>0</v>
      </c>
      <c r="AT168" s="164">
        <f t="shared" ref="AT168:AT175" si="85">F168+AS168</f>
        <v>1000</v>
      </c>
      <c r="AU168" s="160"/>
      <c r="AV168" s="164">
        <f t="shared" ref="AV168:AV175" si="86">ROUND(AT168/1000,0)*1000</f>
        <v>1000</v>
      </c>
      <c r="AW168" s="161"/>
      <c r="AX168" s="161"/>
      <c r="AY168" s="160"/>
    </row>
    <row r="169" spans="1:51" ht="14.1" customHeight="1">
      <c r="A169" s="160">
        <v>169</v>
      </c>
      <c r="B169" s="158">
        <v>351</v>
      </c>
      <c r="C169" s="159" t="s">
        <v>360</v>
      </c>
      <c r="D169" s="159"/>
      <c r="E169" s="156"/>
      <c r="F169" s="472">
        <v>28000</v>
      </c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81">
        <f t="shared" ref="Y169:Y175" si="87">ROUND(F169/$F$176*-164000,-3)</f>
        <v>-9000</v>
      </c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81"/>
      <c r="AJ169" s="548"/>
      <c r="AK169" s="181">
        <f t="shared" ref="AK169:AK174" si="88">ROUND(F169/$F$176*19000,-3)</f>
        <v>1000</v>
      </c>
      <c r="AL169" s="157"/>
      <c r="AM169" s="157"/>
      <c r="AN169" s="157"/>
      <c r="AO169" s="157"/>
      <c r="AP169" s="157"/>
      <c r="AQ169" s="157"/>
      <c r="AR169" s="156"/>
      <c r="AS169" s="164">
        <f t="shared" ref="AS169:AS175" si="89">SUM(G169:AQ169)</f>
        <v>-8000</v>
      </c>
      <c r="AT169" s="164">
        <f>F169+AS169</f>
        <v>20000</v>
      </c>
      <c r="AU169" s="160"/>
      <c r="AV169" s="164">
        <f>ROUND(AT169/1000,0)*1000</f>
        <v>20000</v>
      </c>
      <c r="AW169" s="161"/>
      <c r="AX169" s="161"/>
      <c r="AY169" s="160"/>
    </row>
    <row r="170" spans="1:51" ht="14.1" customHeight="1">
      <c r="A170" s="160">
        <v>170</v>
      </c>
      <c r="B170" s="158">
        <v>352</v>
      </c>
      <c r="C170" s="159" t="s">
        <v>361</v>
      </c>
      <c r="D170" s="159"/>
      <c r="E170" s="156"/>
      <c r="F170" s="472">
        <v>159000</v>
      </c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81">
        <f>ROUND(F170/$F$176*-164000,-3)-1000</f>
        <v>-54000</v>
      </c>
      <c r="Z170" s="165"/>
      <c r="AA170" s="165"/>
      <c r="AB170" s="165"/>
      <c r="AC170" s="157"/>
      <c r="AD170" s="157"/>
      <c r="AE170" s="157"/>
      <c r="AF170" s="157"/>
      <c r="AG170" s="165"/>
      <c r="AH170" s="165"/>
      <c r="AI170" s="181"/>
      <c r="AJ170" s="548"/>
      <c r="AK170" s="181">
        <f>ROUND(F170/$F$176*19000,-3)+1000</f>
        <v>7000</v>
      </c>
      <c r="AL170" s="165"/>
      <c r="AM170" s="165"/>
      <c r="AN170" s="165"/>
      <c r="AO170" s="165"/>
      <c r="AP170" s="165"/>
      <c r="AQ170" s="165"/>
      <c r="AR170" s="156"/>
      <c r="AS170" s="164">
        <f t="shared" si="89"/>
        <v>-47000</v>
      </c>
      <c r="AT170" s="164">
        <f t="shared" si="85"/>
        <v>112000</v>
      </c>
      <c r="AU170" s="160"/>
      <c r="AV170" s="188">
        <f t="shared" si="86"/>
        <v>112000</v>
      </c>
      <c r="AW170" s="161"/>
      <c r="AX170" s="161"/>
      <c r="AY170" s="160"/>
    </row>
    <row r="171" spans="1:51" ht="14.1" customHeight="1">
      <c r="A171" s="160">
        <v>171</v>
      </c>
      <c r="B171" s="158">
        <v>353</v>
      </c>
      <c r="C171" s="159" t="s">
        <v>362</v>
      </c>
      <c r="D171" s="159"/>
      <c r="E171" s="156"/>
      <c r="F171" s="472">
        <v>10000</v>
      </c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81">
        <f t="shared" si="87"/>
        <v>-3000</v>
      </c>
      <c r="Z171" s="165"/>
      <c r="AA171" s="165"/>
      <c r="AB171" s="165"/>
      <c r="AC171" s="157"/>
      <c r="AD171" s="157"/>
      <c r="AE171" s="157"/>
      <c r="AF171" s="157"/>
      <c r="AG171" s="165"/>
      <c r="AH171" s="165"/>
      <c r="AI171" s="181"/>
      <c r="AJ171" s="188"/>
      <c r="AK171" s="181">
        <f t="shared" si="88"/>
        <v>0</v>
      </c>
      <c r="AL171" s="165"/>
      <c r="AM171" s="165"/>
      <c r="AN171" s="165"/>
      <c r="AO171" s="165"/>
      <c r="AP171" s="165"/>
      <c r="AQ171" s="165"/>
      <c r="AR171" s="156"/>
      <c r="AS171" s="164">
        <f t="shared" si="89"/>
        <v>-3000</v>
      </c>
      <c r="AT171" s="164">
        <f t="shared" si="85"/>
        <v>7000</v>
      </c>
      <c r="AU171" s="160"/>
      <c r="AV171" s="164">
        <f t="shared" si="86"/>
        <v>7000</v>
      </c>
      <c r="AW171" s="161"/>
      <c r="AX171" s="161"/>
      <c r="AY171" s="160"/>
    </row>
    <row r="172" spans="1:51" ht="14.1" customHeight="1">
      <c r="A172" s="160">
        <v>172</v>
      </c>
      <c r="B172" s="158">
        <v>354</v>
      </c>
      <c r="C172" s="159" t="s">
        <v>363</v>
      </c>
      <c r="D172" s="159"/>
      <c r="E172" s="156"/>
      <c r="F172" s="472">
        <v>157000</v>
      </c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81">
        <f t="shared" si="87"/>
        <v>-52000</v>
      </c>
      <c r="Z172" s="165"/>
      <c r="AA172" s="165"/>
      <c r="AB172" s="165"/>
      <c r="AC172" s="157"/>
      <c r="AD172" s="157"/>
      <c r="AE172" s="157"/>
      <c r="AF172" s="157"/>
      <c r="AG172" s="165"/>
      <c r="AH172" s="165"/>
      <c r="AI172" s="181"/>
      <c r="AJ172" s="188"/>
      <c r="AK172" s="181">
        <f t="shared" si="88"/>
        <v>6000</v>
      </c>
      <c r="AL172" s="165"/>
      <c r="AM172" s="165"/>
      <c r="AN172" s="165"/>
      <c r="AO172" s="165"/>
      <c r="AP172" s="165"/>
      <c r="AQ172" s="165"/>
      <c r="AR172" s="156"/>
      <c r="AS172" s="164">
        <f t="shared" si="89"/>
        <v>-46000</v>
      </c>
      <c r="AT172" s="164">
        <f t="shared" si="85"/>
        <v>111000</v>
      </c>
      <c r="AU172" s="160"/>
      <c r="AV172" s="164">
        <f>ROUND(AT172/1000,0)*1000-1000</f>
        <v>110000</v>
      </c>
      <c r="AW172" s="161"/>
      <c r="AX172" s="161"/>
      <c r="AY172" s="160"/>
    </row>
    <row r="173" spans="1:51" ht="14.1" customHeight="1">
      <c r="A173" s="160">
        <v>173</v>
      </c>
      <c r="B173" s="158">
        <v>355</v>
      </c>
      <c r="C173" s="159" t="s">
        <v>364</v>
      </c>
      <c r="D173" s="159"/>
      <c r="E173" s="156"/>
      <c r="F173" s="472">
        <v>100000</v>
      </c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81">
        <f t="shared" si="87"/>
        <v>-33000</v>
      </c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81"/>
      <c r="AJ173" s="188"/>
      <c r="AK173" s="181">
        <f t="shared" si="88"/>
        <v>4000</v>
      </c>
      <c r="AL173" s="157"/>
      <c r="AM173" s="157"/>
      <c r="AN173" s="157"/>
      <c r="AO173" s="157"/>
      <c r="AP173" s="157"/>
      <c r="AQ173" s="157"/>
      <c r="AR173" s="156"/>
      <c r="AS173" s="164">
        <f t="shared" si="89"/>
        <v>-29000</v>
      </c>
      <c r="AT173" s="164">
        <f t="shared" si="85"/>
        <v>71000</v>
      </c>
      <c r="AU173" s="160"/>
      <c r="AV173" s="588">
        <f>ROUND(AT173/1000,0)*1000+1000</f>
        <v>72000</v>
      </c>
      <c r="AW173" s="161"/>
      <c r="AX173" s="161"/>
      <c r="AY173" s="160"/>
    </row>
    <row r="174" spans="1:51" ht="14.1" customHeight="1">
      <c r="A174" s="160">
        <v>174</v>
      </c>
      <c r="B174" s="158">
        <v>356</v>
      </c>
      <c r="C174" s="159" t="s">
        <v>365</v>
      </c>
      <c r="D174" s="159"/>
      <c r="E174" s="156"/>
      <c r="F174" s="472">
        <v>2000</v>
      </c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81">
        <f t="shared" si="87"/>
        <v>-1000</v>
      </c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81"/>
      <c r="AJ174" s="188"/>
      <c r="AK174" s="181">
        <f t="shared" si="88"/>
        <v>0</v>
      </c>
      <c r="AL174" s="157"/>
      <c r="AM174" s="157"/>
      <c r="AN174" s="157"/>
      <c r="AO174" s="157"/>
      <c r="AP174" s="157"/>
      <c r="AQ174" s="157"/>
      <c r="AR174" s="156"/>
      <c r="AS174" s="164">
        <f t="shared" si="89"/>
        <v>-1000</v>
      </c>
      <c r="AT174" s="164">
        <f t="shared" si="85"/>
        <v>1000</v>
      </c>
      <c r="AU174" s="160"/>
      <c r="AV174" s="164">
        <f t="shared" si="86"/>
        <v>1000</v>
      </c>
      <c r="AW174" s="161"/>
      <c r="AX174" s="161"/>
      <c r="AY174" s="160"/>
    </row>
    <row r="175" spans="1:51" ht="14.1" customHeight="1">
      <c r="A175" s="160">
        <v>175</v>
      </c>
      <c r="B175" s="158">
        <v>357</v>
      </c>
      <c r="C175" s="159" t="s">
        <v>366</v>
      </c>
      <c r="D175" s="159"/>
      <c r="E175" s="156"/>
      <c r="F175" s="472">
        <v>37000</v>
      </c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81">
        <f t="shared" si="87"/>
        <v>-12000</v>
      </c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81"/>
      <c r="AJ175" s="188"/>
      <c r="AK175" s="181">
        <f>ROUND(F175/$F$176*19000,-3)</f>
        <v>1000</v>
      </c>
      <c r="AL175" s="157"/>
      <c r="AM175" s="157"/>
      <c r="AN175" s="157"/>
      <c r="AO175" s="157"/>
      <c r="AP175" s="157"/>
      <c r="AQ175" s="157"/>
      <c r="AR175" s="156"/>
      <c r="AS175" s="164">
        <f t="shared" si="89"/>
        <v>-11000</v>
      </c>
      <c r="AT175" s="164">
        <f t="shared" si="85"/>
        <v>26000</v>
      </c>
      <c r="AU175" s="160"/>
      <c r="AV175" s="164">
        <f t="shared" si="86"/>
        <v>26000</v>
      </c>
      <c r="AW175" s="161"/>
      <c r="AX175" s="161"/>
      <c r="AY175" s="160"/>
    </row>
    <row r="176" spans="1:51" s="169" customFormat="1" ht="14.1" customHeight="1">
      <c r="A176" s="160">
        <v>176</v>
      </c>
      <c r="B176" s="180"/>
      <c r="C176" s="172" t="s">
        <v>728</v>
      </c>
      <c r="D176" s="172"/>
      <c r="E176" s="195"/>
      <c r="F176" s="194">
        <f t="shared" ref="F176:AJ176" si="90">SUM(F168:F175)</f>
        <v>494000</v>
      </c>
      <c r="G176" s="174">
        <f t="shared" si="90"/>
        <v>0</v>
      </c>
      <c r="H176" s="174">
        <f t="shared" si="90"/>
        <v>0</v>
      </c>
      <c r="I176" s="174">
        <f t="shared" si="90"/>
        <v>0</v>
      </c>
      <c r="J176" s="174">
        <f>SUM(J168:J175)</f>
        <v>0</v>
      </c>
      <c r="K176" s="174">
        <f>SUM(K168:K175)</f>
        <v>0</v>
      </c>
      <c r="L176" s="174">
        <f>SUM(L168:L175)</f>
        <v>0</v>
      </c>
      <c r="M176" s="174">
        <f t="shared" si="90"/>
        <v>0</v>
      </c>
      <c r="N176" s="174">
        <f t="shared" si="90"/>
        <v>0</v>
      </c>
      <c r="O176" s="174">
        <f t="shared" si="90"/>
        <v>0</v>
      </c>
      <c r="P176" s="174">
        <f t="shared" si="90"/>
        <v>0</v>
      </c>
      <c r="Q176" s="174">
        <f>SUM(Q168:Q175)</f>
        <v>0</v>
      </c>
      <c r="R176" s="174">
        <f>SUM(R168:R175)</f>
        <v>0</v>
      </c>
      <c r="S176" s="174">
        <f>SUM(S168:S175)</f>
        <v>0</v>
      </c>
      <c r="T176" s="174">
        <f>SUM(T168:T175)</f>
        <v>0</v>
      </c>
      <c r="U176" s="174">
        <f>SUM(U168:U175)</f>
        <v>0</v>
      </c>
      <c r="V176" s="174">
        <f t="shared" si="90"/>
        <v>0</v>
      </c>
      <c r="W176" s="174">
        <f t="shared" ref="W176:AB176" si="91">SUM(W168:W175)</f>
        <v>0</v>
      </c>
      <c r="X176" s="174">
        <f t="shared" si="91"/>
        <v>0</v>
      </c>
      <c r="Y176" s="174">
        <f>SUM(Y168:Y175)</f>
        <v>-164000</v>
      </c>
      <c r="Z176" s="174">
        <f t="shared" si="91"/>
        <v>0</v>
      </c>
      <c r="AA176" s="174">
        <f t="shared" si="91"/>
        <v>0</v>
      </c>
      <c r="AB176" s="174">
        <f t="shared" si="91"/>
        <v>0</v>
      </c>
      <c r="AC176" s="174">
        <f t="shared" si="90"/>
        <v>0</v>
      </c>
      <c r="AD176" s="174">
        <f t="shared" si="90"/>
        <v>0</v>
      </c>
      <c r="AE176" s="174">
        <f t="shared" si="90"/>
        <v>0</v>
      </c>
      <c r="AF176" s="174">
        <f t="shared" si="90"/>
        <v>0</v>
      </c>
      <c r="AG176" s="174">
        <f t="shared" si="90"/>
        <v>0</v>
      </c>
      <c r="AH176" s="174">
        <f>SUM(AH168:AH175)</f>
        <v>0</v>
      </c>
      <c r="AI176" s="174">
        <f t="shared" si="90"/>
        <v>0</v>
      </c>
      <c r="AJ176" s="174">
        <f t="shared" si="90"/>
        <v>0</v>
      </c>
      <c r="AK176" s="174">
        <f t="shared" ref="AK176:AQ176" si="92">SUM(AK168:AK175)</f>
        <v>19000</v>
      </c>
      <c r="AL176" s="174">
        <f t="shared" si="92"/>
        <v>0</v>
      </c>
      <c r="AM176" s="174">
        <f t="shared" si="92"/>
        <v>0</v>
      </c>
      <c r="AN176" s="174">
        <f t="shared" si="92"/>
        <v>0</v>
      </c>
      <c r="AO176" s="174">
        <f t="shared" si="92"/>
        <v>0</v>
      </c>
      <c r="AP176" s="174">
        <f t="shared" si="92"/>
        <v>0</v>
      </c>
      <c r="AQ176" s="174">
        <f t="shared" si="92"/>
        <v>0</v>
      </c>
      <c r="AR176" s="173"/>
      <c r="AS176" s="173">
        <f>SUM(AS168:AS175)</f>
        <v>-145000</v>
      </c>
      <c r="AT176" s="173">
        <f>SUM(AT168:AT175)</f>
        <v>349000</v>
      </c>
      <c r="AU176" s="167" t="str">
        <f>IF(ROUND(SUM(F176:AQ176),0)=ROUND(AT176,0),"ok","crossfoot error")</f>
        <v>ok</v>
      </c>
      <c r="AV176" s="173">
        <f>SUM(AV168:AV175)/1000</f>
        <v>349</v>
      </c>
      <c r="AW176" s="162">
        <f>'[2]ADJ DETAIL INPUT'!$AU$28</f>
        <v>349.37821571551359</v>
      </c>
      <c r="AX176" s="161">
        <f>AV176-AW176</f>
        <v>-0.37821571551359057</v>
      </c>
      <c r="AY176" s="167"/>
    </row>
    <row r="177" spans="1:51" ht="14.1" customHeight="1">
      <c r="A177" s="160">
        <v>177</v>
      </c>
      <c r="B177" s="158"/>
      <c r="C177" s="159"/>
      <c r="D177" s="159"/>
      <c r="E177" s="156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6"/>
      <c r="AS177" s="164"/>
      <c r="AT177" s="164"/>
      <c r="AU177" s="160"/>
      <c r="AV177" s="164"/>
      <c r="AW177" s="161"/>
      <c r="AX177" s="161"/>
      <c r="AY177" s="160"/>
    </row>
    <row r="178" spans="1:51" ht="14.1" customHeight="1">
      <c r="A178" s="160">
        <v>178</v>
      </c>
      <c r="B178" s="159" t="str">
        <f>$B$1</f>
        <v>Proforma</v>
      </c>
      <c r="C178" s="159"/>
      <c r="D178" s="159"/>
      <c r="E178" s="164"/>
      <c r="F178" s="188"/>
      <c r="G178" s="188"/>
      <c r="H178" s="188"/>
      <c r="I178" s="188" t="str">
        <f>$I$1</f>
        <v>Natural Gas Utility</v>
      </c>
      <c r="J178" s="188"/>
      <c r="K178" s="188"/>
      <c r="L178" s="188"/>
      <c r="M178" s="188"/>
      <c r="N178" s="541"/>
      <c r="P178" s="188"/>
      <c r="Q178" s="188"/>
      <c r="R178" s="188"/>
      <c r="S178" s="188"/>
      <c r="T178" s="549"/>
      <c r="U178" s="549"/>
      <c r="V178" s="188"/>
      <c r="W178" s="188"/>
      <c r="X178" s="188"/>
      <c r="Y178" s="188"/>
      <c r="Z178" s="188"/>
      <c r="AA178" s="188"/>
      <c r="AB178" s="188"/>
      <c r="AC178" s="188"/>
      <c r="AD178" s="188"/>
      <c r="AF178" s="188"/>
      <c r="AG178" s="541"/>
      <c r="AH178" s="541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64"/>
      <c r="AS178" s="164"/>
      <c r="AT178" s="192"/>
      <c r="AU178" s="160"/>
      <c r="AV178" s="192"/>
      <c r="AW178" s="161"/>
      <c r="AX178" s="161"/>
      <c r="AY178" s="160"/>
    </row>
    <row r="179" spans="1:51" ht="14.1" customHeight="1">
      <c r="A179" s="160">
        <v>179</v>
      </c>
      <c r="B179" s="159" t="str">
        <f>$B$2</f>
        <v>Pro Forma Results of Operations</v>
      </c>
      <c r="C179" s="159"/>
      <c r="D179" s="159"/>
      <c r="E179" s="164" t="s">
        <v>727</v>
      </c>
      <c r="F179" s="188"/>
      <c r="G179" s="188"/>
      <c r="H179" s="188"/>
      <c r="I179" s="188"/>
      <c r="J179" s="188"/>
      <c r="K179" s="188"/>
      <c r="L179" s="188"/>
      <c r="M179" s="188"/>
      <c r="N179" s="191"/>
      <c r="P179" s="188" t="str">
        <f>E179</f>
        <v>Depreciation Expense &amp; Income Tax</v>
      </c>
      <c r="Q179" s="188"/>
      <c r="R179" s="188"/>
      <c r="S179" s="188"/>
      <c r="T179" s="191"/>
      <c r="U179" s="191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 t="str">
        <f>E179</f>
        <v>Depreciation Expense &amp; Income Tax</v>
      </c>
      <c r="AF179" s="188"/>
      <c r="AG179" s="191"/>
      <c r="AH179" s="191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64"/>
      <c r="AS179" s="164"/>
      <c r="AT179" s="190"/>
      <c r="AU179" s="160"/>
      <c r="AV179" s="190"/>
      <c r="AW179" s="161"/>
      <c r="AX179" s="161"/>
      <c r="AY179" s="160"/>
    </row>
    <row r="180" spans="1:51" ht="14.1" customHeight="1">
      <c r="A180" s="160">
        <v>180</v>
      </c>
      <c r="B180" s="159" t="str">
        <f>$B$3</f>
        <v>Company Base Case</v>
      </c>
      <c r="C180" s="159"/>
      <c r="D180" s="159"/>
      <c r="E180" s="164"/>
      <c r="F180" s="188"/>
      <c r="G180" s="188"/>
      <c r="H180" s="188"/>
      <c r="I180" s="188"/>
      <c r="J180" s="188"/>
      <c r="K180" s="188"/>
      <c r="L180" s="188"/>
      <c r="M180" s="188"/>
      <c r="N180" s="542"/>
      <c r="P180" s="188"/>
      <c r="Q180" s="188"/>
      <c r="R180" s="188"/>
      <c r="S180" s="188"/>
      <c r="T180" s="542"/>
      <c r="U180" s="542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64"/>
      <c r="AS180" s="164"/>
      <c r="AT180" s="189"/>
      <c r="AU180" s="160"/>
      <c r="AV180" s="189"/>
      <c r="AW180" s="161"/>
      <c r="AX180" s="161"/>
      <c r="AY180" s="160"/>
    </row>
    <row r="181" spans="1:51" ht="14.1" customHeight="1">
      <c r="A181" s="160">
        <v>181</v>
      </c>
      <c r="B181" s="159"/>
      <c r="C181" s="159"/>
      <c r="D181" s="159"/>
      <c r="E181" s="164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64"/>
      <c r="AS181" s="164"/>
      <c r="AT181" s="164"/>
      <c r="AU181" s="160"/>
      <c r="AV181" s="164"/>
      <c r="AW181" s="161"/>
      <c r="AX181" s="161"/>
      <c r="AY181" s="160"/>
    </row>
    <row r="182" spans="1:51" ht="14.1" customHeight="1">
      <c r="A182" s="160">
        <v>182</v>
      </c>
      <c r="B182" s="186"/>
      <c r="C182" s="186"/>
      <c r="D182" s="186"/>
      <c r="E182" s="186"/>
      <c r="F182" s="187">
        <f t="shared" ref="F182:AJ182" si="93">F5</f>
        <v>1</v>
      </c>
      <c r="G182" s="536">
        <f t="shared" si="93"/>
        <v>1.01</v>
      </c>
      <c r="H182" s="536">
        <f t="shared" si="93"/>
        <v>1.02</v>
      </c>
      <c r="I182" s="536">
        <f t="shared" si="93"/>
        <v>1.03</v>
      </c>
      <c r="J182" s="536">
        <f>J5</f>
        <v>1.04</v>
      </c>
      <c r="K182" s="536">
        <f>K5</f>
        <v>2.0099999999999998</v>
      </c>
      <c r="L182" s="536">
        <f>L5</f>
        <v>2.02</v>
      </c>
      <c r="M182" s="536">
        <f t="shared" si="93"/>
        <v>2.0299999999999998</v>
      </c>
      <c r="N182" s="536">
        <f t="shared" si="93"/>
        <v>2.04</v>
      </c>
      <c r="O182" s="536">
        <f t="shared" si="93"/>
        <v>2.0499999999999998</v>
      </c>
      <c r="P182" s="536">
        <f t="shared" si="93"/>
        <v>2.06</v>
      </c>
      <c r="Q182" s="536">
        <f>Q5</f>
        <v>2.0699999999999998</v>
      </c>
      <c r="R182" s="536">
        <f>R5</f>
        <v>2.08</v>
      </c>
      <c r="S182" s="536">
        <f>S5</f>
        <v>2.09</v>
      </c>
      <c r="T182" s="536">
        <f>T5</f>
        <v>2.1</v>
      </c>
      <c r="U182" s="536">
        <f>U5</f>
        <v>2.11</v>
      </c>
      <c r="V182" s="536">
        <f t="shared" si="93"/>
        <v>2.12</v>
      </c>
      <c r="W182" s="536">
        <f t="shared" ref="W182:AB182" si="94">W5</f>
        <v>2.13</v>
      </c>
      <c r="X182" s="536">
        <f t="shared" si="94"/>
        <v>2.14</v>
      </c>
      <c r="Y182" s="536">
        <f t="shared" si="94"/>
        <v>2.15</v>
      </c>
      <c r="Z182" s="536">
        <f t="shared" si="94"/>
        <v>3.01</v>
      </c>
      <c r="AA182" s="536">
        <f t="shared" si="94"/>
        <v>3.02</v>
      </c>
      <c r="AB182" s="536">
        <f t="shared" si="94"/>
        <v>3.03</v>
      </c>
      <c r="AC182" s="536">
        <f t="shared" si="93"/>
        <v>3.04</v>
      </c>
      <c r="AD182" s="536">
        <f t="shared" si="93"/>
        <v>3.05</v>
      </c>
      <c r="AE182" s="536">
        <f t="shared" si="93"/>
        <v>3.0599999999999996</v>
      </c>
      <c r="AF182" s="536">
        <f t="shared" si="93"/>
        <v>3.0699999999999994</v>
      </c>
      <c r="AG182" s="536">
        <f>AG5</f>
        <v>3.08</v>
      </c>
      <c r="AH182" s="536">
        <f>AH5</f>
        <v>3.09</v>
      </c>
      <c r="AI182" s="536">
        <f t="shared" si="93"/>
        <v>3.1</v>
      </c>
      <c r="AJ182" s="536">
        <f t="shared" si="93"/>
        <v>3.11</v>
      </c>
      <c r="AK182" s="536">
        <f t="shared" ref="AK182:AQ182" si="95">AK5</f>
        <v>3.1199999999999997</v>
      </c>
      <c r="AL182" s="536">
        <f t="shared" si="95"/>
        <v>3.1299999999999994</v>
      </c>
      <c r="AM182" s="536">
        <f t="shared" si="95"/>
        <v>3.1399999999999992</v>
      </c>
      <c r="AN182" s="536">
        <f t="shared" si="95"/>
        <v>3.149999999999999</v>
      </c>
      <c r="AO182" s="536">
        <f t="shared" si="95"/>
        <v>3.1599999999999988</v>
      </c>
      <c r="AP182" s="536">
        <f t="shared" si="95"/>
        <v>3.1699999999999986</v>
      </c>
      <c r="AQ182" s="536">
        <f t="shared" si="95"/>
        <v>3.1799999999999984</v>
      </c>
      <c r="AR182" s="186"/>
      <c r="AS182" s="186" t="str">
        <f>AS$5</f>
        <v>(as)</v>
      </c>
      <c r="AT182" s="186" t="str">
        <f>AT$5</f>
        <v>(at)</v>
      </c>
      <c r="AU182" s="186" t="str">
        <f>AU$5</f>
        <v>(au)</v>
      </c>
      <c r="AV182" s="186" t="str">
        <f>AV$5</f>
        <v>(av)</v>
      </c>
      <c r="AW182" s="161"/>
      <c r="AX182" s="161"/>
      <c r="AY182" s="160"/>
    </row>
    <row r="183" spans="1:51" ht="14.1" customHeight="1">
      <c r="A183" s="160">
        <v>183</v>
      </c>
      <c r="B183" s="183" t="str">
        <f>IF(ISBLANK(B$6),"",B$6)</f>
        <v/>
      </c>
      <c r="C183" s="183" t="str">
        <f>IF(ISBLANK(C$6),"",C$6)</f>
        <v/>
      </c>
      <c r="D183" s="183" t="str">
        <f>IF(ISBLANK(D$6),"",D$6)</f>
        <v/>
      </c>
      <c r="E183" s="183" t="str">
        <f>IF(ISBLANK(E$6),"",E$6)</f>
        <v>Notes</v>
      </c>
      <c r="F183" s="183" t="s">
        <v>707</v>
      </c>
      <c r="G183" s="537" t="str">
        <f t="shared" ref="G183:AQ183" si="96">IF(ISBLANK(G$6),"",G$6)</f>
        <v>Deferred FIT</v>
      </c>
      <c r="H183" s="537" t="str">
        <f t="shared" si="96"/>
        <v>Deferred Debits</v>
      </c>
      <c r="I183" s="537" t="str">
        <f t="shared" si="96"/>
        <v xml:space="preserve">Working </v>
      </c>
      <c r="J183" s="537" t="str">
        <f t="shared" si="96"/>
        <v>Remove</v>
      </c>
      <c r="K183" s="537" t="str">
        <f t="shared" si="96"/>
        <v>Eliminate</v>
      </c>
      <c r="L183" s="537" t="str">
        <f t="shared" si="96"/>
        <v>Restate</v>
      </c>
      <c r="M183" s="537" t="str">
        <f t="shared" si="96"/>
        <v>Uncollectible</v>
      </c>
      <c r="N183" s="537" t="str">
        <f t="shared" si="96"/>
        <v>Regulatory</v>
      </c>
      <c r="O183" s="537" t="str">
        <f t="shared" si="96"/>
        <v>Injuries &amp;</v>
      </c>
      <c r="P183" s="537" t="str">
        <f t="shared" si="96"/>
        <v>FIT/DFIT</v>
      </c>
      <c r="Q183" s="537" t="str">
        <f t="shared" si="96"/>
        <v>Office Space</v>
      </c>
      <c r="R183" s="537" t="str">
        <f t="shared" si="96"/>
        <v>Restate</v>
      </c>
      <c r="S183" s="537" t="str">
        <f t="shared" si="96"/>
        <v>Net Gains/</v>
      </c>
      <c r="T183" s="537" t="str">
        <f>IF(ISBLANK(T$6),"",T$6)</f>
        <v>Weather Normalization</v>
      </c>
      <c r="U183" s="537" t="str">
        <f>IF(ISBLANK(U$6),"",U$6)</f>
        <v>Eliminate</v>
      </c>
      <c r="V183" s="537" t="str">
        <f t="shared" si="96"/>
        <v>Misc. Restating</v>
      </c>
      <c r="W183" s="537" t="str">
        <f t="shared" si="96"/>
        <v xml:space="preserve">Restating </v>
      </c>
      <c r="X183" s="537" t="str">
        <f t="shared" si="96"/>
        <v xml:space="preserve">Restate </v>
      </c>
      <c r="Y183" s="537" t="str">
        <f t="shared" si="96"/>
        <v xml:space="preserve">Restate </v>
      </c>
      <c r="Z183" s="537" t="str">
        <f t="shared" si="96"/>
        <v>Pro Forma Revenue</v>
      </c>
      <c r="AA183" s="537" t="str">
        <f t="shared" si="96"/>
        <v xml:space="preserve">Pro Forma Def. </v>
      </c>
      <c r="AB183" s="537" t="str">
        <f t="shared" si="96"/>
        <v>Pro Forma</v>
      </c>
      <c r="AC183" s="537" t="str">
        <f t="shared" si="96"/>
        <v>Pro Forma</v>
      </c>
      <c r="AD183" s="537" t="str">
        <f t="shared" si="96"/>
        <v>Pro Forma</v>
      </c>
      <c r="AE183" s="537" t="str">
        <f t="shared" si="96"/>
        <v>Pro Forma</v>
      </c>
      <c r="AF183" s="537" t="str">
        <f t="shared" si="96"/>
        <v>Pro Forma</v>
      </c>
      <c r="AG183" s="537" t="str">
        <f t="shared" si="96"/>
        <v>Pro Forma</v>
      </c>
      <c r="AH183" s="537" t="str">
        <f t="shared" si="96"/>
        <v>Pro Forma</v>
      </c>
      <c r="AI183" s="537" t="str">
        <f t="shared" si="96"/>
        <v xml:space="preserve">Pro Forma </v>
      </c>
      <c r="AJ183" s="537" t="str">
        <f t="shared" si="96"/>
        <v>Pro Forma</v>
      </c>
      <c r="AK183" s="537" t="str">
        <f t="shared" si="96"/>
        <v>Pro Forma</v>
      </c>
      <c r="AL183" s="537" t="str">
        <f t="shared" si="96"/>
        <v>Pro Forma</v>
      </c>
      <c r="AM183" s="537" t="str">
        <f t="shared" si="96"/>
        <v>Pro Forma</v>
      </c>
      <c r="AN183" s="537" t="str">
        <f t="shared" si="96"/>
        <v>Pro Forma</v>
      </c>
      <c r="AO183" s="537" t="str">
        <f t="shared" si="96"/>
        <v>Pro Forma</v>
      </c>
      <c r="AP183" s="537" t="str">
        <f t="shared" si="96"/>
        <v>Pro Forma</v>
      </c>
      <c r="AQ183" s="537" t="str">
        <f t="shared" si="96"/>
        <v>Pro Forma</v>
      </c>
      <c r="AR183" s="183"/>
      <c r="AS183" s="183" t="str">
        <f>IF(ISBLANK(AS$6),"",AS$6)</f>
        <v>Net Total</v>
      </c>
      <c r="AT183" s="183" t="str">
        <f>IF(ISBLANK(AT$6),"",AT$6)</f>
        <v>Total</v>
      </c>
      <c r="AU183" s="183" t="str">
        <f>IF(ISBLANK(AU$6),"",AU$6)</f>
        <v>check</v>
      </c>
      <c r="AV183" s="183" t="str">
        <f>IF(ISBLANK(AV$6),"",AV$6)</f>
        <v>Total</v>
      </c>
      <c r="AW183" s="161"/>
      <c r="AX183" s="161"/>
      <c r="AY183" s="160"/>
    </row>
    <row r="184" spans="1:51" ht="14.1" customHeight="1">
      <c r="A184" s="160">
        <v>184</v>
      </c>
      <c r="B184" s="185" t="str">
        <f>IF(ISBLANK(B$7),"",B$7)</f>
        <v>Account</v>
      </c>
      <c r="C184" s="184" t="str">
        <f>IF(ISBLANK(C$7),"",C$7)</f>
        <v>Description</v>
      </c>
      <c r="D184" s="183"/>
      <c r="E184" s="183" t="str">
        <f>IF(ISBLANK(E$7),"",E$7)</f>
        <v/>
      </c>
      <c r="F184" s="183" t="s">
        <v>706</v>
      </c>
      <c r="G184" s="537" t="str">
        <f t="shared" ref="G184:AQ184" si="97">IF(ISBLANK(G$7),"",G$7)</f>
        <v>Rate Base</v>
      </c>
      <c r="H184" s="537" t="str">
        <f t="shared" si="97"/>
        <v>and Credits</v>
      </c>
      <c r="I184" s="537" t="str">
        <f t="shared" si="97"/>
        <v>Capital</v>
      </c>
      <c r="J184" s="537" t="str">
        <f t="shared" si="97"/>
        <v>AMI Rate Base</v>
      </c>
      <c r="K184" s="537" t="str">
        <f t="shared" si="97"/>
        <v>B &amp; O Taxes</v>
      </c>
      <c r="L184" s="537" t="str">
        <f t="shared" si="97"/>
        <v>Property Taxes</v>
      </c>
      <c r="M184" s="537" t="str">
        <f t="shared" si="97"/>
        <v>Expense</v>
      </c>
      <c r="N184" s="537" t="str">
        <f t="shared" si="97"/>
        <v>Expense</v>
      </c>
      <c r="O184" s="537" t="str">
        <f t="shared" si="97"/>
        <v>Damages</v>
      </c>
      <c r="P184" s="537" t="str">
        <f t="shared" si="97"/>
        <v>Expense</v>
      </c>
      <c r="Q184" s="537" t="str">
        <f t="shared" si="97"/>
        <v>Charges to Subs</v>
      </c>
      <c r="R184" s="537" t="str">
        <f t="shared" si="97"/>
        <v>Excise Tax</v>
      </c>
      <c r="S184" s="537" t="str">
        <f t="shared" si="97"/>
        <v>Losses</v>
      </c>
      <c r="T184" s="537" t="str">
        <f>IF(ISBLANK(T$7),"",T$7)</f>
        <v>Gas Cost Adjust</v>
      </c>
      <c r="U184" s="537" t="str">
        <f>IF(ISBLANK(U$7),"",U$7)</f>
        <v>Adder Schedules</v>
      </c>
      <c r="V184" s="537" t="str">
        <f t="shared" si="97"/>
        <v>Adjustments</v>
      </c>
      <c r="W184" s="537" t="str">
        <f t="shared" si="97"/>
        <v>Incentives</v>
      </c>
      <c r="X184" s="537" t="str">
        <f t="shared" si="97"/>
        <v>Debt Int</v>
      </c>
      <c r="Y184" s="537" t="str">
        <f t="shared" si="97"/>
        <v>2019 Rate Base</v>
      </c>
      <c r="Z184" s="537" t="str">
        <f t="shared" si="97"/>
        <v>Normalization</v>
      </c>
      <c r="AA184" s="537" t="str">
        <f t="shared" si="97"/>
        <v>Debits &amp; Credits</v>
      </c>
      <c r="AB184" s="537" t="str">
        <f t="shared" si="97"/>
        <v>ARAM</v>
      </c>
      <c r="AC184" s="537" t="str">
        <f t="shared" si="97"/>
        <v>Non-Exec Labor</v>
      </c>
      <c r="AD184" s="537" t="str">
        <f t="shared" si="97"/>
        <v>Exec Labor</v>
      </c>
      <c r="AE184" s="537" t="str">
        <f t="shared" si="97"/>
        <v>Empl. Benefits</v>
      </c>
      <c r="AF184" s="537" t="str">
        <f t="shared" si="97"/>
        <v>Insurance Exp</v>
      </c>
      <c r="AG184" s="537" t="str">
        <f t="shared" si="97"/>
        <v>IS/IT</v>
      </c>
      <c r="AH184" s="537" t="str">
        <f t="shared" si="97"/>
        <v>Property Tax</v>
      </c>
      <c r="AI184" s="537" t="str">
        <f t="shared" si="97"/>
        <v>Fee Free Amort</v>
      </c>
      <c r="AJ184" s="537" t="str">
        <f t="shared" si="97"/>
        <v>2020 Customer AT Center</v>
      </c>
      <c r="AK184" s="537" t="str">
        <f t="shared" si="97"/>
        <v>2020 Large &amp; Distinct</v>
      </c>
      <c r="AL184" s="537" t="str">
        <f t="shared" si="97"/>
        <v>2020 Programmatic</v>
      </c>
      <c r="AM184" s="537" t="str">
        <f t="shared" si="97"/>
        <v>2020 Mandatory</v>
      </c>
      <c r="AN184" s="537" t="str">
        <f t="shared" si="97"/>
        <v>2020 Short Lived</v>
      </c>
      <c r="AO184" s="537" t="str">
        <f t="shared" si="97"/>
        <v>AMI Capital Adds</v>
      </c>
      <c r="AP184" s="537" t="str">
        <f t="shared" si="97"/>
        <v>LEAP Def. Amort</v>
      </c>
      <c r="AQ184" s="537" t="str">
        <f t="shared" si="97"/>
        <v>Tax Repairs</v>
      </c>
      <c r="AR184" s="183"/>
      <c r="AS184" s="183" t="str">
        <f>IF(ISBLANK(AS$7),"",AS$7)</f>
        <v>of All</v>
      </c>
      <c r="AT184" s="183" t="str">
        <f>IF(ISBLANK(AT$7),"",AT$7)</f>
        <v/>
      </c>
      <c r="AU184" s="183" t="str">
        <f>IF(ISBLANK(AU$7),"",AU$7)</f>
        <v/>
      </c>
      <c r="AV184" s="183" t="str">
        <f>IF(ISBLANK(AV$7),"",AV$7)</f>
        <v>$000's</v>
      </c>
      <c r="AW184" s="161"/>
      <c r="AX184" s="161"/>
      <c r="AY184" s="183"/>
    </row>
    <row r="185" spans="1:51" ht="14.1" customHeight="1">
      <c r="A185" s="160">
        <v>185</v>
      </c>
      <c r="B185" s="183" t="str">
        <f>IF(ISBLANK(B$8),"",B$8)</f>
        <v/>
      </c>
      <c r="C185" s="183" t="str">
        <f>IF(ISBLANK(C$8),"",C$8)</f>
        <v/>
      </c>
      <c r="D185" s="183" t="str">
        <f>IF(ISBLANK(D$8),"",D$8)</f>
        <v/>
      </c>
      <c r="E185" s="183" t="str">
        <f>IF(ISBLANK(E$8),"",E$8)</f>
        <v/>
      </c>
      <c r="F185" s="183"/>
      <c r="G185" s="537" t="str">
        <f t="shared" ref="G185:AQ185" si="98">IF(ISBLANK(G$8),"",G$8)</f>
        <v>G-DFIT</v>
      </c>
      <c r="H185" s="537" t="str">
        <f t="shared" si="98"/>
        <v>G-DDC</v>
      </c>
      <c r="I185" s="537" t="str">
        <f t="shared" si="98"/>
        <v>G-WC</v>
      </c>
      <c r="J185" s="537" t="str">
        <f t="shared" si="98"/>
        <v>G-AMI</v>
      </c>
      <c r="K185" s="537" t="str">
        <f t="shared" si="98"/>
        <v>G-EBO</v>
      </c>
      <c r="L185" s="537" t="str">
        <f t="shared" si="98"/>
        <v>G-RPT</v>
      </c>
      <c r="M185" s="537" t="str">
        <f t="shared" si="98"/>
        <v>G-UE</v>
      </c>
      <c r="N185" s="537" t="str">
        <f t="shared" si="98"/>
        <v>G-RE</v>
      </c>
      <c r="O185" s="537" t="str">
        <f t="shared" si="98"/>
        <v>G-ID</v>
      </c>
      <c r="P185" s="537" t="str">
        <f t="shared" si="98"/>
        <v>G-FIT</v>
      </c>
      <c r="Q185" s="537" t="str">
        <f t="shared" si="98"/>
        <v>G-OSC</v>
      </c>
      <c r="R185" s="537" t="str">
        <f t="shared" si="98"/>
        <v>G-RET</v>
      </c>
      <c r="S185" s="537" t="str">
        <f t="shared" si="98"/>
        <v>G-NGL</v>
      </c>
      <c r="T185" s="537" t="str">
        <f>IF(ISBLANK(T$8),"",T$8)</f>
        <v>G-WNGC</v>
      </c>
      <c r="U185" s="537" t="str">
        <f>IF(ISBLANK(U$8),"",U$8)</f>
        <v>G-EAS</v>
      </c>
      <c r="V185" s="537" t="str">
        <f t="shared" si="98"/>
        <v>G-MR</v>
      </c>
      <c r="W185" s="537" t="str">
        <f t="shared" si="98"/>
        <v>G-RI</v>
      </c>
      <c r="X185" s="537" t="str">
        <f t="shared" si="98"/>
        <v>G-DI</v>
      </c>
      <c r="Y185" s="537" t="str">
        <f t="shared" si="98"/>
        <v>G-EOP19</v>
      </c>
      <c r="Z185" s="537" t="str">
        <f t="shared" si="98"/>
        <v>G-PREV</v>
      </c>
      <c r="AA185" s="537" t="str">
        <f t="shared" si="98"/>
        <v>G-PRA</v>
      </c>
      <c r="AB185" s="537" t="str">
        <f t="shared" si="98"/>
        <v>G-ARAM</v>
      </c>
      <c r="AC185" s="537" t="str">
        <f t="shared" si="98"/>
        <v>G-PLN</v>
      </c>
      <c r="AD185" s="537" t="str">
        <f t="shared" si="98"/>
        <v>G-PLE</v>
      </c>
      <c r="AE185" s="537" t="str">
        <f t="shared" si="98"/>
        <v>G-PEB</v>
      </c>
      <c r="AF185" s="537" t="str">
        <f t="shared" si="98"/>
        <v>G-PINS</v>
      </c>
      <c r="AG185" s="537" t="str">
        <f t="shared" si="98"/>
        <v>G-PIT</v>
      </c>
      <c r="AH185" s="537" t="str">
        <f t="shared" si="98"/>
        <v>G-PPT</v>
      </c>
      <c r="AI185" s="537" t="str">
        <f t="shared" si="98"/>
        <v>G-PFEE</v>
      </c>
      <c r="AJ185" s="537" t="str">
        <f t="shared" si="98"/>
        <v>G-PCAP1</v>
      </c>
      <c r="AK185" s="537" t="str">
        <f t="shared" si="98"/>
        <v>G-PCAP2</v>
      </c>
      <c r="AL185" s="537" t="str">
        <f t="shared" si="98"/>
        <v>G-PCAP3</v>
      </c>
      <c r="AM185" s="537" t="str">
        <f t="shared" si="98"/>
        <v>G-PCAP4</v>
      </c>
      <c r="AN185" s="537" t="str">
        <f t="shared" si="98"/>
        <v>G-PCAP5</v>
      </c>
      <c r="AO185" s="537" t="str">
        <f t="shared" si="98"/>
        <v>G-PAMI</v>
      </c>
      <c r="AP185" s="537" t="str">
        <f t="shared" si="98"/>
        <v>G-PLEAP</v>
      </c>
      <c r="AQ185" s="537" t="str">
        <f t="shared" si="98"/>
        <v>G-PTAX</v>
      </c>
      <c r="AR185" s="183"/>
      <c r="AS185" s="183" t="str">
        <f>IF(ISBLANK(AS$8),"",AS$8)</f>
        <v>Adjustments</v>
      </c>
      <c r="AT185" s="183" t="str">
        <f>IF(ISBLANK(AT$8),"",AT$8)</f>
        <v/>
      </c>
      <c r="AU185" s="183" t="str">
        <f>IF(ISBLANK(AU$8),"",AU$8)</f>
        <v/>
      </c>
      <c r="AV185" s="183" t="str">
        <f>IF(ISBLANK(AV$8),"",AV$8)</f>
        <v>in bold</v>
      </c>
      <c r="AW185" s="161"/>
      <c r="AX185" s="161"/>
      <c r="AY185" s="183"/>
    </row>
    <row r="186" spans="1:51" ht="14.1" customHeight="1">
      <c r="A186" s="160">
        <v>186</v>
      </c>
      <c r="B186" s="158"/>
      <c r="C186" s="197" t="s">
        <v>70</v>
      </c>
      <c r="D186" s="159"/>
      <c r="E186" s="156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6"/>
      <c r="AS186" s="164"/>
      <c r="AT186" s="164"/>
      <c r="AU186" s="160"/>
      <c r="AV186" s="164"/>
      <c r="AW186" s="161"/>
      <c r="AX186" s="161"/>
      <c r="AY186" s="160"/>
    </row>
    <row r="187" spans="1:51" ht="14.1" customHeight="1">
      <c r="A187" s="160">
        <v>187</v>
      </c>
      <c r="B187" s="158">
        <v>374</v>
      </c>
      <c r="C187" s="159" t="s">
        <v>359</v>
      </c>
      <c r="D187" s="159"/>
      <c r="E187" s="157"/>
      <c r="F187" s="165">
        <v>6000</v>
      </c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81">
        <f>ROUND(F187/$F$200*-112000,-3)</f>
        <v>0</v>
      </c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81"/>
      <c r="AJ187" s="181"/>
      <c r="AK187" s="181">
        <f>ROUND(F187/$F$200*100000,-3)</f>
        <v>0</v>
      </c>
      <c r="AL187" s="181">
        <f>ROUND(F187/$F$200*83000,-3)</f>
        <v>0</v>
      </c>
      <c r="AM187" s="181">
        <f>ROUND(F187/$F$200*276000,-3)</f>
        <v>0</v>
      </c>
      <c r="AN187" s="181"/>
      <c r="AO187" s="181"/>
      <c r="AP187" s="157"/>
      <c r="AQ187" s="157"/>
      <c r="AR187" s="156"/>
      <c r="AS187" s="164">
        <f>SUM(G187:AQ187)</f>
        <v>0</v>
      </c>
      <c r="AT187" s="164">
        <f t="shared" ref="AT187:AT199" si="99">F187+AS187</f>
        <v>6000</v>
      </c>
      <c r="AU187" s="160"/>
      <c r="AV187" s="164">
        <f t="shared" ref="AV187:AV199" si="100">ROUND(AT187/1000,0)*1000</f>
        <v>6000</v>
      </c>
      <c r="AW187" s="161"/>
      <c r="AX187" s="161"/>
      <c r="AY187" s="160"/>
    </row>
    <row r="188" spans="1:51" ht="14.1" customHeight="1">
      <c r="A188" s="160">
        <v>188</v>
      </c>
      <c r="B188" s="158">
        <v>375</v>
      </c>
      <c r="C188" s="159" t="s">
        <v>360</v>
      </c>
      <c r="D188" s="159"/>
      <c r="E188" s="165"/>
      <c r="F188" s="165">
        <v>15000</v>
      </c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81"/>
      <c r="U188" s="157"/>
      <c r="V188" s="157"/>
      <c r="W188" s="157"/>
      <c r="X188" s="157"/>
      <c r="Y188" s="181">
        <f t="shared" ref="Y188:Y199" si="101">ROUND(F188/$F$200*-112000,-3)</f>
        <v>0</v>
      </c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81"/>
      <c r="AJ188" s="181"/>
      <c r="AK188" s="181">
        <f t="shared" ref="AK188:AK199" si="102">ROUND(F188/$F$200*100000,-3)</f>
        <v>0</v>
      </c>
      <c r="AL188" s="181">
        <f t="shared" ref="AL188:AL199" si="103">ROUND(F188/$F$200*83000,-3)</f>
        <v>0</v>
      </c>
      <c r="AM188" s="181">
        <f t="shared" ref="AM188:AM199" si="104">ROUND(F188/$F$200*276000,-3)</f>
        <v>0</v>
      </c>
      <c r="AN188" s="181"/>
      <c r="AO188" s="181"/>
      <c r="AP188" s="157"/>
      <c r="AQ188" s="157"/>
      <c r="AR188" s="156"/>
      <c r="AS188" s="164">
        <f t="shared" ref="AS188:AS199" si="105">SUM(G188:AQ188)</f>
        <v>0</v>
      </c>
      <c r="AT188" s="164">
        <f t="shared" si="99"/>
        <v>15000</v>
      </c>
      <c r="AU188" s="160"/>
      <c r="AV188" s="164">
        <f t="shared" si="100"/>
        <v>15000</v>
      </c>
      <c r="AW188" s="161"/>
      <c r="AX188" s="161"/>
      <c r="AY188" s="160"/>
    </row>
    <row r="189" spans="1:51" ht="14.1" customHeight="1">
      <c r="A189" s="160">
        <v>189</v>
      </c>
      <c r="B189" s="158" t="s">
        <v>1151</v>
      </c>
      <c r="C189" s="159" t="s">
        <v>367</v>
      </c>
      <c r="D189" s="159"/>
      <c r="E189" s="199">
        <f>E269</f>
        <v>1</v>
      </c>
      <c r="F189" s="181">
        <f>5612000+1000</f>
        <v>5613000</v>
      </c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81">
        <f>ROUND(F189/$F$200*-112000,-3)-2000</f>
        <v>-52000</v>
      </c>
      <c r="Z189" s="165"/>
      <c r="AA189" s="165"/>
      <c r="AB189" s="165"/>
      <c r="AC189" s="157"/>
      <c r="AD189" s="157"/>
      <c r="AE189" s="157"/>
      <c r="AF189" s="157"/>
      <c r="AG189" s="165"/>
      <c r="AH189" s="165"/>
      <c r="AI189" s="181"/>
      <c r="AJ189" s="181"/>
      <c r="AK189" s="181">
        <f t="shared" si="102"/>
        <v>45000</v>
      </c>
      <c r="AL189" s="181">
        <f>ROUND(F189/$F$200*83000,-3)+1000</f>
        <v>38000</v>
      </c>
      <c r="AM189" s="181">
        <f>ROUND(F189/$F$200*276000,-3)+1000</f>
        <v>125000</v>
      </c>
      <c r="AN189" s="181"/>
      <c r="AO189" s="181"/>
      <c r="AP189" s="165"/>
      <c r="AQ189" s="165"/>
      <c r="AR189" s="156"/>
      <c r="AS189" s="164">
        <f t="shared" si="105"/>
        <v>156000</v>
      </c>
      <c r="AT189" s="164">
        <f t="shared" si="99"/>
        <v>5769000</v>
      </c>
      <c r="AU189" s="160"/>
      <c r="AV189" s="588">
        <f>ROUND(AT189/1000,0)*1000</f>
        <v>5769000</v>
      </c>
      <c r="AW189" s="161"/>
      <c r="AX189" s="161"/>
      <c r="AY189" s="160"/>
    </row>
    <row r="190" spans="1:51" ht="14.1" customHeight="1">
      <c r="A190" s="160">
        <v>190</v>
      </c>
      <c r="B190" s="158">
        <v>376</v>
      </c>
      <c r="C190" s="159" t="s">
        <v>367</v>
      </c>
      <c r="D190" s="159"/>
      <c r="E190" s="199">
        <f>E270</f>
        <v>0</v>
      </c>
      <c r="F190" s="157">
        <f>ROUND($E$188*E190,-3)</f>
        <v>0</v>
      </c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81">
        <f t="shared" si="101"/>
        <v>0</v>
      </c>
      <c r="Z190" s="165"/>
      <c r="AA190" s="165"/>
      <c r="AB190" s="165"/>
      <c r="AC190" s="157"/>
      <c r="AD190" s="157"/>
      <c r="AE190" s="157"/>
      <c r="AF190" s="157"/>
      <c r="AG190" s="165"/>
      <c r="AH190" s="165"/>
      <c r="AI190" s="181"/>
      <c r="AJ190" s="181"/>
      <c r="AK190" s="181">
        <f t="shared" si="102"/>
        <v>0</v>
      </c>
      <c r="AL190" s="181">
        <f t="shared" si="103"/>
        <v>0</v>
      </c>
      <c r="AM190" s="181">
        <f t="shared" si="104"/>
        <v>0</v>
      </c>
      <c r="AN190" s="181"/>
      <c r="AO190" s="181"/>
      <c r="AP190" s="165"/>
      <c r="AQ190" s="165"/>
      <c r="AR190" s="156"/>
      <c r="AS190" s="164">
        <f t="shared" si="105"/>
        <v>0</v>
      </c>
      <c r="AT190" s="164">
        <f t="shared" si="99"/>
        <v>0</v>
      </c>
      <c r="AU190" s="160"/>
      <c r="AV190" s="164">
        <f t="shared" si="100"/>
        <v>0</v>
      </c>
      <c r="AW190" s="161"/>
      <c r="AX190" s="161"/>
      <c r="AY190" s="160"/>
    </row>
    <row r="191" spans="1:51" ht="14.1" customHeight="1">
      <c r="A191" s="160">
        <v>191</v>
      </c>
      <c r="B191" s="158">
        <v>378</v>
      </c>
      <c r="C191" s="159" t="s">
        <v>368</v>
      </c>
      <c r="D191" s="159"/>
      <c r="E191" s="198"/>
      <c r="F191" s="165">
        <v>140000</v>
      </c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81">
        <f t="shared" si="101"/>
        <v>-1000</v>
      </c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81"/>
      <c r="AJ191" s="181"/>
      <c r="AK191" s="181">
        <f t="shared" si="102"/>
        <v>1000</v>
      </c>
      <c r="AL191" s="181">
        <f t="shared" si="103"/>
        <v>1000</v>
      </c>
      <c r="AM191" s="181">
        <f t="shared" si="104"/>
        <v>3000</v>
      </c>
      <c r="AN191" s="181"/>
      <c r="AO191" s="181"/>
      <c r="AP191" s="157"/>
      <c r="AQ191" s="157"/>
      <c r="AR191" s="156"/>
      <c r="AS191" s="164">
        <f t="shared" si="105"/>
        <v>4000</v>
      </c>
      <c r="AT191" s="164">
        <f t="shared" si="99"/>
        <v>144000</v>
      </c>
      <c r="AU191" s="160"/>
      <c r="AV191" s="164">
        <f t="shared" si="100"/>
        <v>144000</v>
      </c>
      <c r="AW191" s="161"/>
      <c r="AX191" s="161"/>
      <c r="AY191" s="160"/>
    </row>
    <row r="192" spans="1:51" ht="14.1" customHeight="1">
      <c r="A192" s="160">
        <v>192</v>
      </c>
      <c r="B192" s="158">
        <v>379</v>
      </c>
      <c r="C192" s="159" t="s">
        <v>369</v>
      </c>
      <c r="D192" s="159"/>
      <c r="E192" s="157"/>
      <c r="F192" s="165">
        <v>50000</v>
      </c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81">
        <f t="shared" si="101"/>
        <v>0</v>
      </c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81"/>
      <c r="AJ192" s="181"/>
      <c r="AK192" s="181">
        <f t="shared" si="102"/>
        <v>0</v>
      </c>
      <c r="AL192" s="181">
        <f t="shared" si="103"/>
        <v>0</v>
      </c>
      <c r="AM192" s="181">
        <f t="shared" si="104"/>
        <v>1000</v>
      </c>
      <c r="AN192" s="181"/>
      <c r="AO192" s="181"/>
      <c r="AP192" s="157"/>
      <c r="AQ192" s="157"/>
      <c r="AR192" s="156"/>
      <c r="AS192" s="164">
        <f t="shared" si="105"/>
        <v>1000</v>
      </c>
      <c r="AT192" s="164">
        <f t="shared" si="99"/>
        <v>51000</v>
      </c>
      <c r="AU192" s="160"/>
      <c r="AV192" s="164">
        <f t="shared" si="100"/>
        <v>51000</v>
      </c>
      <c r="AW192" s="161"/>
      <c r="AX192" s="161"/>
      <c r="AY192" s="160"/>
    </row>
    <row r="193" spans="1:51" ht="14.1" customHeight="1">
      <c r="A193" s="160">
        <v>193</v>
      </c>
      <c r="B193" s="158">
        <v>380</v>
      </c>
      <c r="C193" s="159" t="s">
        <v>370</v>
      </c>
      <c r="D193" s="159"/>
      <c r="E193" s="157"/>
      <c r="F193" s="165">
        <v>4325000</v>
      </c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81">
        <f t="shared" si="101"/>
        <v>-39000</v>
      </c>
      <c r="Z193" s="157"/>
      <c r="AA193" s="157"/>
      <c r="AB193" s="157"/>
      <c r="AC193" s="157"/>
      <c r="AD193" s="157"/>
      <c r="AE193" s="157"/>
      <c r="AF193" s="157"/>
      <c r="AG193" s="181"/>
      <c r="AH193" s="181"/>
      <c r="AI193" s="181"/>
      <c r="AJ193" s="181"/>
      <c r="AK193" s="181">
        <f>ROUND(F193/$F$200*100000,-3)+1000</f>
        <v>36000</v>
      </c>
      <c r="AL193" s="181">
        <f t="shared" si="103"/>
        <v>29000</v>
      </c>
      <c r="AM193" s="181">
        <f t="shared" si="104"/>
        <v>96000</v>
      </c>
      <c r="AN193" s="181"/>
      <c r="AO193" s="181"/>
      <c r="AP193" s="157"/>
      <c r="AQ193" s="157"/>
      <c r="AR193" s="156"/>
      <c r="AS193" s="164">
        <f t="shared" si="105"/>
        <v>122000</v>
      </c>
      <c r="AT193" s="164">
        <f t="shared" si="99"/>
        <v>4447000</v>
      </c>
      <c r="AU193" s="160"/>
      <c r="AV193" s="188">
        <f>ROUND(AT193/1000,0)*1000</f>
        <v>4447000</v>
      </c>
      <c r="AW193" s="161"/>
      <c r="AX193" s="161"/>
      <c r="AY193" s="160"/>
    </row>
    <row r="194" spans="1:51" ht="14.1" customHeight="1">
      <c r="A194" s="160">
        <v>194</v>
      </c>
      <c r="B194" s="158">
        <v>381</v>
      </c>
      <c r="C194" s="159" t="s">
        <v>371</v>
      </c>
      <c r="D194" s="159"/>
      <c r="E194" s="157"/>
      <c r="F194" s="165">
        <v>2279000</v>
      </c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65"/>
      <c r="T194" s="157"/>
      <c r="U194" s="157"/>
      <c r="V194" s="157"/>
      <c r="W194" s="157"/>
      <c r="X194" s="157"/>
      <c r="Y194" s="181">
        <f t="shared" si="101"/>
        <v>-20000</v>
      </c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81"/>
      <c r="AJ194" s="181"/>
      <c r="AK194" s="181">
        <f t="shared" si="102"/>
        <v>18000</v>
      </c>
      <c r="AL194" s="181">
        <f t="shared" si="103"/>
        <v>15000</v>
      </c>
      <c r="AM194" s="181">
        <f t="shared" si="104"/>
        <v>50000</v>
      </c>
      <c r="AN194" s="181"/>
      <c r="AO194" s="181">
        <v>865000</v>
      </c>
      <c r="AP194" s="157"/>
      <c r="AQ194" s="157"/>
      <c r="AR194" s="156"/>
      <c r="AS194" s="164">
        <f t="shared" si="105"/>
        <v>928000</v>
      </c>
      <c r="AT194" s="164">
        <f t="shared" si="99"/>
        <v>3207000</v>
      </c>
      <c r="AU194" s="160"/>
      <c r="AV194" s="188">
        <f>ROUND(AT194/1000,0)*1000</f>
        <v>3207000</v>
      </c>
      <c r="AW194" s="161"/>
      <c r="AX194" s="161"/>
      <c r="AY194" s="160"/>
    </row>
    <row r="195" spans="1:51" ht="14.1" customHeight="1">
      <c r="A195" s="160">
        <v>195</v>
      </c>
      <c r="B195" s="158">
        <v>382</v>
      </c>
      <c r="C195" s="159" t="s">
        <v>372</v>
      </c>
      <c r="D195" s="159"/>
      <c r="E195" s="157"/>
      <c r="F195" s="165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81">
        <f t="shared" si="101"/>
        <v>0</v>
      </c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81"/>
      <c r="AJ195" s="181"/>
      <c r="AK195" s="181">
        <f t="shared" si="102"/>
        <v>0</v>
      </c>
      <c r="AL195" s="181">
        <f t="shared" si="103"/>
        <v>0</v>
      </c>
      <c r="AM195" s="181">
        <f t="shared" si="104"/>
        <v>0</v>
      </c>
      <c r="AN195" s="181"/>
      <c r="AO195" s="181"/>
      <c r="AP195" s="157"/>
      <c r="AQ195" s="157"/>
      <c r="AR195" s="156"/>
      <c r="AS195" s="164">
        <f t="shared" si="105"/>
        <v>0</v>
      </c>
      <c r="AT195" s="164">
        <f t="shared" si="99"/>
        <v>0</v>
      </c>
      <c r="AU195" s="160"/>
      <c r="AV195" s="164">
        <f t="shared" si="100"/>
        <v>0</v>
      </c>
      <c r="AW195" s="161"/>
      <c r="AX195" s="161"/>
      <c r="AY195" s="160"/>
    </row>
    <row r="196" spans="1:51" ht="14.1" customHeight="1">
      <c r="A196" s="160">
        <v>196</v>
      </c>
      <c r="B196" s="158">
        <v>383</v>
      </c>
      <c r="C196" s="159" t="s">
        <v>373</v>
      </c>
      <c r="D196" s="159"/>
      <c r="E196" s="157"/>
      <c r="F196" s="165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81">
        <f t="shared" si="101"/>
        <v>0</v>
      </c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81"/>
      <c r="AJ196" s="181"/>
      <c r="AK196" s="181">
        <f t="shared" si="102"/>
        <v>0</v>
      </c>
      <c r="AL196" s="181">
        <f t="shared" si="103"/>
        <v>0</v>
      </c>
      <c r="AM196" s="181">
        <f t="shared" si="104"/>
        <v>0</v>
      </c>
      <c r="AN196" s="181"/>
      <c r="AO196" s="181"/>
      <c r="AP196" s="157"/>
      <c r="AQ196" s="157"/>
      <c r="AR196" s="156"/>
      <c r="AS196" s="164">
        <f t="shared" si="105"/>
        <v>0</v>
      </c>
      <c r="AT196" s="164">
        <f t="shared" si="99"/>
        <v>0</v>
      </c>
      <c r="AU196" s="160"/>
      <c r="AV196" s="164">
        <f t="shared" si="100"/>
        <v>0</v>
      </c>
      <c r="AW196" s="161"/>
      <c r="AX196" s="161"/>
      <c r="AY196" s="160"/>
    </row>
    <row r="197" spans="1:51" ht="14.1" customHeight="1">
      <c r="A197" s="160">
        <v>197</v>
      </c>
      <c r="B197" s="158">
        <v>384</v>
      </c>
      <c r="C197" s="159" t="s">
        <v>374</v>
      </c>
      <c r="D197" s="159"/>
      <c r="E197" s="157"/>
      <c r="F197" s="165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81">
        <f t="shared" si="101"/>
        <v>0</v>
      </c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81"/>
      <c r="AJ197" s="181"/>
      <c r="AK197" s="181">
        <f t="shared" si="102"/>
        <v>0</v>
      </c>
      <c r="AL197" s="181">
        <f t="shared" si="103"/>
        <v>0</v>
      </c>
      <c r="AM197" s="181">
        <f t="shared" si="104"/>
        <v>0</v>
      </c>
      <c r="AN197" s="181"/>
      <c r="AO197" s="181"/>
      <c r="AP197" s="157"/>
      <c r="AQ197" s="157"/>
      <c r="AR197" s="156"/>
      <c r="AS197" s="164">
        <f t="shared" si="105"/>
        <v>0</v>
      </c>
      <c r="AT197" s="164">
        <f t="shared" si="99"/>
        <v>0</v>
      </c>
      <c r="AU197" s="160"/>
      <c r="AV197" s="164">
        <f t="shared" si="100"/>
        <v>0</v>
      </c>
      <c r="AW197" s="161"/>
      <c r="AX197" s="161"/>
      <c r="AY197" s="160"/>
    </row>
    <row r="198" spans="1:51" ht="14.1" customHeight="1">
      <c r="A198" s="160">
        <v>198</v>
      </c>
      <c r="B198" s="158">
        <v>385</v>
      </c>
      <c r="C198" s="159" t="s">
        <v>375</v>
      </c>
      <c r="D198" s="159"/>
      <c r="E198" s="157"/>
      <c r="F198" s="165">
        <v>41000</v>
      </c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81">
        <f t="shared" si="101"/>
        <v>0</v>
      </c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81"/>
      <c r="AJ198" s="181"/>
      <c r="AK198" s="181">
        <f t="shared" si="102"/>
        <v>0</v>
      </c>
      <c r="AL198" s="181">
        <f t="shared" si="103"/>
        <v>0</v>
      </c>
      <c r="AM198" s="181">
        <f t="shared" si="104"/>
        <v>1000</v>
      </c>
      <c r="AN198" s="181"/>
      <c r="AO198" s="181"/>
      <c r="AP198" s="157"/>
      <c r="AQ198" s="157"/>
      <c r="AR198" s="156"/>
      <c r="AS198" s="164">
        <f t="shared" si="105"/>
        <v>1000</v>
      </c>
      <c r="AT198" s="164">
        <f t="shared" si="99"/>
        <v>42000</v>
      </c>
      <c r="AU198" s="160"/>
      <c r="AV198" s="164">
        <f t="shared" si="100"/>
        <v>42000</v>
      </c>
      <c r="AW198" s="161"/>
      <c r="AX198" s="161"/>
      <c r="AY198" s="160"/>
    </row>
    <row r="199" spans="1:51" ht="14.1" customHeight="1">
      <c r="A199" s="160">
        <v>199</v>
      </c>
      <c r="B199" s="158">
        <v>387</v>
      </c>
      <c r="C199" s="159" t="s">
        <v>366</v>
      </c>
      <c r="D199" s="159"/>
      <c r="E199" s="157"/>
      <c r="F199" s="165">
        <v>0</v>
      </c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81">
        <v>-11000</v>
      </c>
      <c r="T199" s="157"/>
      <c r="U199" s="157"/>
      <c r="V199" s="157"/>
      <c r="W199" s="157"/>
      <c r="X199" s="157"/>
      <c r="Y199" s="181">
        <f t="shared" si="101"/>
        <v>0</v>
      </c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81"/>
      <c r="AJ199" s="181"/>
      <c r="AK199" s="181">
        <f t="shared" si="102"/>
        <v>0</v>
      </c>
      <c r="AL199" s="181">
        <f t="shared" si="103"/>
        <v>0</v>
      </c>
      <c r="AM199" s="181">
        <f t="shared" si="104"/>
        <v>0</v>
      </c>
      <c r="AN199" s="181"/>
      <c r="AO199" s="181"/>
      <c r="AP199" s="157"/>
      <c r="AQ199" s="157"/>
      <c r="AR199" s="156"/>
      <c r="AS199" s="164">
        <f t="shared" si="105"/>
        <v>-11000</v>
      </c>
      <c r="AT199" s="164">
        <f t="shared" si="99"/>
        <v>-11000</v>
      </c>
      <c r="AU199" s="160"/>
      <c r="AV199" s="164">
        <f t="shared" si="100"/>
        <v>-11000</v>
      </c>
      <c r="AW199" s="161"/>
      <c r="AX199" s="161"/>
      <c r="AY199" s="160"/>
    </row>
    <row r="200" spans="1:51" s="169" customFormat="1" ht="14.1" customHeight="1">
      <c r="A200" s="160">
        <v>200</v>
      </c>
      <c r="B200" s="180"/>
      <c r="C200" s="172" t="s">
        <v>726</v>
      </c>
      <c r="D200" s="172"/>
      <c r="E200" s="195"/>
      <c r="F200" s="194">
        <f t="shared" ref="F200:AJ200" si="106">SUM(F187:F199)</f>
        <v>12469000</v>
      </c>
      <c r="G200" s="174">
        <f t="shared" si="106"/>
        <v>0</v>
      </c>
      <c r="H200" s="174">
        <f t="shared" si="106"/>
        <v>0</v>
      </c>
      <c r="I200" s="174">
        <f t="shared" si="106"/>
        <v>0</v>
      </c>
      <c r="J200" s="174">
        <f>SUM(J187:J199)</f>
        <v>0</v>
      </c>
      <c r="K200" s="174">
        <f>SUM(K187:K199)</f>
        <v>0</v>
      </c>
      <c r="L200" s="174">
        <f>SUM(L187:L199)</f>
        <v>0</v>
      </c>
      <c r="M200" s="174">
        <f t="shared" si="106"/>
        <v>0</v>
      </c>
      <c r="N200" s="174">
        <f t="shared" si="106"/>
        <v>0</v>
      </c>
      <c r="O200" s="174">
        <f t="shared" si="106"/>
        <v>0</v>
      </c>
      <c r="P200" s="174">
        <f t="shared" si="106"/>
        <v>0</v>
      </c>
      <c r="Q200" s="174">
        <f>SUM(Q187:Q199)</f>
        <v>0</v>
      </c>
      <c r="R200" s="174">
        <f>SUM(R187:R199)</f>
        <v>0</v>
      </c>
      <c r="S200" s="174">
        <f>SUM(S187:S199)</f>
        <v>-11000</v>
      </c>
      <c r="T200" s="174">
        <f>SUM(T187:T199)</f>
        <v>0</v>
      </c>
      <c r="U200" s="174">
        <f>SUM(U187:U199)</f>
        <v>0</v>
      </c>
      <c r="V200" s="174">
        <f t="shared" si="106"/>
        <v>0</v>
      </c>
      <c r="W200" s="174">
        <f t="shared" ref="W200:AB200" si="107">SUM(W187:W199)</f>
        <v>0</v>
      </c>
      <c r="X200" s="174">
        <f t="shared" si="107"/>
        <v>0</v>
      </c>
      <c r="Y200" s="174">
        <f t="shared" si="107"/>
        <v>-112000</v>
      </c>
      <c r="Z200" s="174">
        <f t="shared" si="107"/>
        <v>0</v>
      </c>
      <c r="AA200" s="174">
        <f t="shared" si="107"/>
        <v>0</v>
      </c>
      <c r="AB200" s="174">
        <f t="shared" si="107"/>
        <v>0</v>
      </c>
      <c r="AC200" s="174">
        <f t="shared" si="106"/>
        <v>0</v>
      </c>
      <c r="AD200" s="174">
        <f t="shared" si="106"/>
        <v>0</v>
      </c>
      <c r="AE200" s="174">
        <f t="shared" si="106"/>
        <v>0</v>
      </c>
      <c r="AF200" s="174">
        <f t="shared" si="106"/>
        <v>0</v>
      </c>
      <c r="AG200" s="174">
        <f t="shared" si="106"/>
        <v>0</v>
      </c>
      <c r="AH200" s="174">
        <f>SUM(AH187:AH199)</f>
        <v>0</v>
      </c>
      <c r="AI200" s="174">
        <f t="shared" si="106"/>
        <v>0</v>
      </c>
      <c r="AJ200" s="174">
        <f t="shared" si="106"/>
        <v>0</v>
      </c>
      <c r="AK200" s="174">
        <f t="shared" ref="AK200:AQ200" si="108">SUM(AK187:AK199)</f>
        <v>100000</v>
      </c>
      <c r="AL200" s="174">
        <f t="shared" si="108"/>
        <v>83000</v>
      </c>
      <c r="AM200" s="174">
        <f t="shared" si="108"/>
        <v>276000</v>
      </c>
      <c r="AN200" s="174">
        <f t="shared" si="108"/>
        <v>0</v>
      </c>
      <c r="AO200" s="174">
        <f t="shared" si="108"/>
        <v>865000</v>
      </c>
      <c r="AP200" s="174">
        <f t="shared" si="108"/>
        <v>0</v>
      </c>
      <c r="AQ200" s="174">
        <f t="shared" si="108"/>
        <v>0</v>
      </c>
      <c r="AR200" s="173"/>
      <c r="AS200" s="173">
        <f>SUM(AS187:AS199)</f>
        <v>1201000</v>
      </c>
      <c r="AT200" s="173">
        <f>SUM(AT187:AT199)</f>
        <v>13670000</v>
      </c>
      <c r="AU200" s="167" t="str">
        <f>IF(ROUND(SUM(F200:AQ200),0)=ROUND(AT200,0),"ok","crossfoot error")</f>
        <v>ok</v>
      </c>
      <c r="AV200" s="173">
        <f>SUM(AV187:AV199)/1000</f>
        <v>13670</v>
      </c>
      <c r="AW200" s="162">
        <f>'[2]ADJ DETAIL INPUT'!$AU$34</f>
        <v>13670.183129663727</v>
      </c>
      <c r="AX200" s="161">
        <f>AV200-AW200</f>
        <v>-0.18312966372650408</v>
      </c>
      <c r="AY200" s="161">
        <f>AX200+AX213+AX224</f>
        <v>0.81687033627349592</v>
      </c>
    </row>
    <row r="201" spans="1:51" ht="14.1" customHeight="1">
      <c r="A201" s="160">
        <v>201</v>
      </c>
      <c r="B201" s="158"/>
      <c r="C201" s="159"/>
      <c r="D201" s="159"/>
      <c r="E201" s="156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6"/>
      <c r="AS201" s="164"/>
      <c r="AT201" s="164"/>
      <c r="AU201" s="160"/>
      <c r="AV201" s="164"/>
      <c r="AW201" s="161"/>
      <c r="AX201" s="161"/>
      <c r="AY201" s="160"/>
    </row>
    <row r="202" spans="1:51" ht="14.1" customHeight="1">
      <c r="A202" s="160">
        <v>202</v>
      </c>
      <c r="B202" s="158"/>
      <c r="C202" s="197" t="s">
        <v>71</v>
      </c>
      <c r="D202" s="159"/>
      <c r="E202" s="156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6"/>
      <c r="AS202" s="164"/>
      <c r="AT202" s="164"/>
      <c r="AU202" s="160"/>
      <c r="AV202" s="164"/>
      <c r="AW202" s="161"/>
      <c r="AX202" s="161"/>
      <c r="AY202" s="160"/>
    </row>
    <row r="203" spans="1:51" ht="14.1" customHeight="1">
      <c r="A203" s="160">
        <v>203</v>
      </c>
      <c r="B203" s="158">
        <v>389</v>
      </c>
      <c r="C203" s="159" t="s">
        <v>359</v>
      </c>
      <c r="D203" s="159"/>
      <c r="E203" s="156"/>
      <c r="F203" s="165">
        <v>5000</v>
      </c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81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81"/>
      <c r="AJ203" s="181"/>
      <c r="AK203" s="181">
        <f>ROUND(F203/$F$213*67000,-3)</f>
        <v>0</v>
      </c>
      <c r="AL203" s="181">
        <f>ROUND(F203/$F$213*146000,-3)</f>
        <v>0</v>
      </c>
      <c r="AM203" s="157"/>
      <c r="AN203" s="181">
        <f>ROUND(F203/$F$213*642000,-3)</f>
        <v>1000</v>
      </c>
      <c r="AO203" s="181"/>
      <c r="AP203" s="157"/>
      <c r="AQ203" s="157"/>
      <c r="AR203" s="156"/>
      <c r="AS203" s="164">
        <f>SUM(G203:AQ203)</f>
        <v>1000</v>
      </c>
      <c r="AT203" s="164">
        <f>F203+AS203</f>
        <v>6000</v>
      </c>
      <c r="AU203" s="160"/>
      <c r="AV203" s="164">
        <f>ROUND(AT203/1000,0)*1000</f>
        <v>6000</v>
      </c>
      <c r="AW203" s="161"/>
      <c r="AX203" s="161"/>
      <c r="AY203" s="160"/>
    </row>
    <row r="204" spans="1:51" ht="14.1" customHeight="1">
      <c r="A204" s="160">
        <v>204</v>
      </c>
      <c r="B204" s="158">
        <v>390</v>
      </c>
      <c r="C204" s="159" t="s">
        <v>360</v>
      </c>
      <c r="D204" s="159"/>
      <c r="E204" s="156"/>
      <c r="F204" s="165">
        <v>1226000</v>
      </c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81">
        <v>7000</v>
      </c>
      <c r="Z204" s="157"/>
      <c r="AA204" s="157"/>
      <c r="AB204" s="157"/>
      <c r="AC204" s="157"/>
      <c r="AD204" s="157"/>
      <c r="AE204" s="157"/>
      <c r="AF204" s="157"/>
      <c r="AG204" s="181"/>
      <c r="AH204" s="181"/>
      <c r="AI204" s="181"/>
      <c r="AJ204" s="181"/>
      <c r="AK204" s="181">
        <f t="shared" ref="AK204:AK212" si="109">ROUND(F204/$F$213*67000,-3)</f>
        <v>16000</v>
      </c>
      <c r="AL204" s="181">
        <f t="shared" ref="AL204:AL212" si="110">ROUND(F204/$F$213*146000,-3)</f>
        <v>34000</v>
      </c>
      <c r="AM204" s="157"/>
      <c r="AN204" s="181">
        <f t="shared" ref="AN204:AN212" si="111">ROUND(F204/$F$213*642000,-3)</f>
        <v>151000</v>
      </c>
      <c r="AO204" s="181"/>
      <c r="AP204" s="181"/>
      <c r="AQ204" s="157"/>
      <c r="AR204" s="156"/>
      <c r="AS204" s="164">
        <f t="shared" ref="AS204:AS212" si="112">SUM(G204:AQ204)</f>
        <v>208000</v>
      </c>
      <c r="AT204" s="164">
        <f>F204+AS204</f>
        <v>1434000</v>
      </c>
      <c r="AU204" s="160"/>
      <c r="AV204" s="164">
        <f>ROUND(AT204/1000,0)*1000</f>
        <v>1434000</v>
      </c>
      <c r="AW204" s="161"/>
      <c r="AX204" s="161"/>
      <c r="AY204" s="160"/>
    </row>
    <row r="205" spans="1:51" ht="14.1" customHeight="1">
      <c r="A205" s="160">
        <v>205</v>
      </c>
      <c r="B205" s="158">
        <v>391</v>
      </c>
      <c r="C205" s="159" t="s">
        <v>376</v>
      </c>
      <c r="D205" s="159"/>
      <c r="E205" s="156"/>
      <c r="F205" s="165">
        <v>2817000</v>
      </c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81">
        <v>5000</v>
      </c>
      <c r="Z205" s="165"/>
      <c r="AA205" s="165"/>
      <c r="AB205" s="165"/>
      <c r="AC205" s="157"/>
      <c r="AD205" s="157"/>
      <c r="AE205" s="157"/>
      <c r="AF205" s="157"/>
      <c r="AG205" s="165"/>
      <c r="AH205" s="165"/>
      <c r="AI205" s="181"/>
      <c r="AJ205" s="181"/>
      <c r="AK205" s="181">
        <f>ROUND(F205/$F$213*67000,-3)+1000</f>
        <v>37000</v>
      </c>
      <c r="AL205" s="181">
        <f t="shared" si="110"/>
        <v>79000</v>
      </c>
      <c r="AM205" s="165"/>
      <c r="AN205" s="181">
        <f>ROUND(F205/$F$213*642000,-3)+1000</f>
        <v>349000</v>
      </c>
      <c r="AO205" s="181"/>
      <c r="AP205" s="165"/>
      <c r="AQ205" s="165"/>
      <c r="AR205" s="156"/>
      <c r="AS205" s="164">
        <f t="shared" si="112"/>
        <v>470000</v>
      </c>
      <c r="AT205" s="164">
        <f t="shared" ref="AT205:AT212" si="113">F205+AS205</f>
        <v>3287000</v>
      </c>
      <c r="AU205" s="160"/>
      <c r="AV205" s="164">
        <f>ROUND(AT205/1000,0)*1000</f>
        <v>3287000</v>
      </c>
      <c r="AW205" s="161"/>
      <c r="AX205" s="161"/>
      <c r="AY205" s="160"/>
    </row>
    <row r="206" spans="1:51" ht="14.1" customHeight="1">
      <c r="A206" s="160">
        <v>206</v>
      </c>
      <c r="B206" s="158">
        <v>392</v>
      </c>
      <c r="C206" s="159" t="s">
        <v>377</v>
      </c>
      <c r="D206" s="159"/>
      <c r="E206" s="156"/>
      <c r="F206" s="165">
        <v>0</v>
      </c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81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81"/>
      <c r="AJ206" s="181"/>
      <c r="AK206" s="181">
        <f t="shared" si="109"/>
        <v>0</v>
      </c>
      <c r="AL206" s="181">
        <f t="shared" si="110"/>
        <v>0</v>
      </c>
      <c r="AM206" s="157"/>
      <c r="AN206" s="181">
        <f t="shared" si="111"/>
        <v>0</v>
      </c>
      <c r="AO206" s="181"/>
      <c r="AP206" s="157"/>
      <c r="AQ206" s="157"/>
      <c r="AR206" s="156"/>
      <c r="AS206" s="164">
        <f t="shared" si="112"/>
        <v>0</v>
      </c>
      <c r="AT206" s="164">
        <f t="shared" si="113"/>
        <v>0</v>
      </c>
      <c r="AU206" s="160"/>
      <c r="AV206" s="164">
        <f t="shared" ref="AV206:AV212" si="114">ROUND(AT206/1000,0)*1000</f>
        <v>0</v>
      </c>
      <c r="AW206" s="161"/>
      <c r="AX206" s="161"/>
      <c r="AY206" s="160"/>
    </row>
    <row r="207" spans="1:51" ht="14.1" customHeight="1">
      <c r="A207" s="160">
        <v>207</v>
      </c>
      <c r="B207" s="158">
        <v>393</v>
      </c>
      <c r="C207" s="159" t="s">
        <v>378</v>
      </c>
      <c r="D207" s="159"/>
      <c r="E207" s="156"/>
      <c r="F207" s="165">
        <v>36000</v>
      </c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81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81"/>
      <c r="AJ207" s="181"/>
      <c r="AK207" s="181">
        <f t="shared" si="109"/>
        <v>0</v>
      </c>
      <c r="AL207" s="181">
        <f t="shared" si="110"/>
        <v>1000</v>
      </c>
      <c r="AM207" s="157"/>
      <c r="AN207" s="181">
        <f t="shared" si="111"/>
        <v>4000</v>
      </c>
      <c r="AO207" s="181"/>
      <c r="AP207" s="157"/>
      <c r="AQ207" s="157"/>
      <c r="AR207" s="156"/>
      <c r="AS207" s="164">
        <f t="shared" si="112"/>
        <v>5000</v>
      </c>
      <c r="AT207" s="164">
        <f t="shared" si="113"/>
        <v>41000</v>
      </c>
      <c r="AU207" s="160"/>
      <c r="AV207" s="164">
        <f t="shared" si="114"/>
        <v>41000</v>
      </c>
      <c r="AW207" s="161"/>
      <c r="AX207" s="161"/>
      <c r="AY207" s="160"/>
    </row>
    <row r="208" spans="1:51" ht="14.1" customHeight="1">
      <c r="A208" s="160">
        <v>208</v>
      </c>
      <c r="B208" s="158">
        <v>394</v>
      </c>
      <c r="C208" s="159" t="s">
        <v>379</v>
      </c>
      <c r="D208" s="159"/>
      <c r="E208" s="156"/>
      <c r="F208" s="165">
        <v>327000</v>
      </c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81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81"/>
      <c r="AJ208" s="181"/>
      <c r="AK208" s="181">
        <f t="shared" si="109"/>
        <v>4000</v>
      </c>
      <c r="AL208" s="181">
        <f t="shared" si="110"/>
        <v>9000</v>
      </c>
      <c r="AM208" s="157"/>
      <c r="AN208" s="181">
        <f t="shared" si="111"/>
        <v>40000</v>
      </c>
      <c r="AO208" s="181"/>
      <c r="AP208" s="157"/>
      <c r="AQ208" s="157"/>
      <c r="AR208" s="156"/>
      <c r="AS208" s="164">
        <f t="shared" si="112"/>
        <v>53000</v>
      </c>
      <c r="AT208" s="164">
        <f t="shared" si="113"/>
        <v>380000</v>
      </c>
      <c r="AU208" s="160"/>
      <c r="AV208" s="164">
        <f t="shared" si="114"/>
        <v>380000</v>
      </c>
      <c r="AW208" s="161"/>
      <c r="AX208" s="161"/>
      <c r="AY208" s="160"/>
    </row>
    <row r="209" spans="1:51" ht="14.1" customHeight="1">
      <c r="A209" s="160">
        <v>209</v>
      </c>
      <c r="B209" s="158">
        <v>395</v>
      </c>
      <c r="C209" s="159" t="s">
        <v>380</v>
      </c>
      <c r="D209" s="159"/>
      <c r="E209" s="156"/>
      <c r="F209" s="165">
        <v>36000</v>
      </c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81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81"/>
      <c r="AJ209" s="181"/>
      <c r="AK209" s="181">
        <f t="shared" si="109"/>
        <v>0</v>
      </c>
      <c r="AL209" s="181">
        <f t="shared" si="110"/>
        <v>1000</v>
      </c>
      <c r="AM209" s="157"/>
      <c r="AN209" s="181">
        <f t="shared" si="111"/>
        <v>4000</v>
      </c>
      <c r="AO209" s="181"/>
      <c r="AP209" s="157"/>
      <c r="AQ209" s="157"/>
      <c r="AR209" s="156"/>
      <c r="AS209" s="164">
        <f t="shared" si="112"/>
        <v>5000</v>
      </c>
      <c r="AT209" s="164">
        <f t="shared" si="113"/>
        <v>41000</v>
      </c>
      <c r="AU209" s="160"/>
      <c r="AV209" s="164">
        <f t="shared" si="114"/>
        <v>41000</v>
      </c>
      <c r="AW209" s="161"/>
      <c r="AX209" s="161"/>
      <c r="AY209" s="160"/>
    </row>
    <row r="210" spans="1:51" ht="14.1" customHeight="1">
      <c r="A210" s="160">
        <v>210</v>
      </c>
      <c r="B210" s="158">
        <v>396</v>
      </c>
      <c r="C210" s="159" t="s">
        <v>381</v>
      </c>
      <c r="D210" s="159"/>
      <c r="E210" s="156"/>
      <c r="F210" s="165">
        <v>0</v>
      </c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81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81"/>
      <c r="AJ210" s="181"/>
      <c r="AK210" s="181">
        <f t="shared" si="109"/>
        <v>0</v>
      </c>
      <c r="AL210" s="181">
        <f t="shared" si="110"/>
        <v>0</v>
      </c>
      <c r="AM210" s="157"/>
      <c r="AN210" s="181">
        <f t="shared" si="111"/>
        <v>0</v>
      </c>
      <c r="AO210" s="181"/>
      <c r="AP210" s="157"/>
      <c r="AQ210" s="157"/>
      <c r="AR210" s="156"/>
      <c r="AS210" s="164">
        <f t="shared" si="112"/>
        <v>0</v>
      </c>
      <c r="AT210" s="164">
        <f t="shared" si="113"/>
        <v>0</v>
      </c>
      <c r="AU210" s="160"/>
      <c r="AV210" s="164">
        <f t="shared" si="114"/>
        <v>0</v>
      </c>
      <c r="AW210" s="161"/>
      <c r="AX210" s="161"/>
      <c r="AY210" s="160"/>
    </row>
    <row r="211" spans="1:51" ht="14.1" customHeight="1">
      <c r="A211" s="160">
        <v>211</v>
      </c>
      <c r="B211" s="158">
        <v>397</v>
      </c>
      <c r="C211" s="159" t="s">
        <v>382</v>
      </c>
      <c r="D211" s="159"/>
      <c r="E211" s="156"/>
      <c r="F211" s="165">
        <v>739000</v>
      </c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81">
        <v>2000</v>
      </c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81"/>
      <c r="AJ211" s="181">
        <v>577000</v>
      </c>
      <c r="AK211" s="181">
        <f t="shared" si="109"/>
        <v>10000</v>
      </c>
      <c r="AL211" s="181">
        <f t="shared" si="110"/>
        <v>21000</v>
      </c>
      <c r="AM211" s="157"/>
      <c r="AN211" s="181">
        <f t="shared" si="111"/>
        <v>91000</v>
      </c>
      <c r="AO211" s="181">
        <v>101000</v>
      </c>
      <c r="AP211" s="157"/>
      <c r="AQ211" s="157"/>
      <c r="AR211" s="156"/>
      <c r="AS211" s="164">
        <f t="shared" si="112"/>
        <v>802000</v>
      </c>
      <c r="AT211" s="164">
        <f t="shared" si="113"/>
        <v>1541000</v>
      </c>
      <c r="AU211" s="182"/>
      <c r="AV211" s="164">
        <f t="shared" si="114"/>
        <v>1541000</v>
      </c>
      <c r="AW211" s="161"/>
      <c r="AX211" s="161"/>
      <c r="AY211" s="182"/>
    </row>
    <row r="212" spans="1:51" ht="14.1" customHeight="1">
      <c r="A212" s="160">
        <v>212</v>
      </c>
      <c r="B212" s="158">
        <v>398</v>
      </c>
      <c r="C212" s="159" t="s">
        <v>383</v>
      </c>
      <c r="D212" s="209"/>
      <c r="E212" s="203"/>
      <c r="F212" s="165">
        <v>15000</v>
      </c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81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81"/>
      <c r="AJ212" s="181"/>
      <c r="AK212" s="181">
        <f t="shared" si="109"/>
        <v>0</v>
      </c>
      <c r="AL212" s="181">
        <f t="shared" si="110"/>
        <v>0</v>
      </c>
      <c r="AM212" s="157"/>
      <c r="AN212" s="181">
        <f t="shared" si="111"/>
        <v>2000</v>
      </c>
      <c r="AO212" s="181"/>
      <c r="AP212" s="157"/>
      <c r="AQ212" s="157"/>
      <c r="AR212" s="156"/>
      <c r="AS212" s="164">
        <f t="shared" si="112"/>
        <v>2000</v>
      </c>
      <c r="AT212" s="164">
        <f t="shared" si="113"/>
        <v>17000</v>
      </c>
      <c r="AU212" s="160"/>
      <c r="AV212" s="164">
        <f t="shared" si="114"/>
        <v>17000</v>
      </c>
      <c r="AW212" s="161"/>
      <c r="AX212" s="161"/>
      <c r="AY212" s="160"/>
    </row>
    <row r="213" spans="1:51" s="169" customFormat="1" ht="14.1" customHeight="1">
      <c r="A213" s="160">
        <v>213</v>
      </c>
      <c r="B213" s="210"/>
      <c r="C213" s="210" t="s">
        <v>725</v>
      </c>
      <c r="D213" s="172"/>
      <c r="E213" s="195"/>
      <c r="F213" s="174">
        <f t="shared" ref="F213:AJ213" si="115">SUM(F203:F212)</f>
        <v>5201000</v>
      </c>
      <c r="G213" s="174">
        <f t="shared" si="115"/>
        <v>0</v>
      </c>
      <c r="H213" s="174">
        <f t="shared" si="115"/>
        <v>0</v>
      </c>
      <c r="I213" s="174">
        <f t="shared" si="115"/>
        <v>0</v>
      </c>
      <c r="J213" s="174">
        <f>SUM(J203:J212)</f>
        <v>0</v>
      </c>
      <c r="K213" s="174">
        <f>SUM(K203:K212)</f>
        <v>0</v>
      </c>
      <c r="L213" s="174">
        <f>SUM(L203:L212)</f>
        <v>0</v>
      </c>
      <c r="M213" s="174">
        <f t="shared" si="115"/>
        <v>0</v>
      </c>
      <c r="N213" s="174">
        <f t="shared" si="115"/>
        <v>0</v>
      </c>
      <c r="O213" s="174">
        <f t="shared" si="115"/>
        <v>0</v>
      </c>
      <c r="P213" s="174">
        <f t="shared" si="115"/>
        <v>0</v>
      </c>
      <c r="Q213" s="174">
        <f>SUM(Q203:Q212)</f>
        <v>0</v>
      </c>
      <c r="R213" s="174">
        <f>SUM(R203:R212)</f>
        <v>0</v>
      </c>
      <c r="S213" s="174">
        <f>SUM(S203:S212)</f>
        <v>0</v>
      </c>
      <c r="T213" s="174">
        <f>SUM(T203:T212)</f>
        <v>0</v>
      </c>
      <c r="U213" s="174">
        <f>SUM(U203:U212)</f>
        <v>0</v>
      </c>
      <c r="V213" s="174">
        <f t="shared" si="115"/>
        <v>0</v>
      </c>
      <c r="W213" s="174">
        <f t="shared" ref="W213:AB213" si="116">SUM(W203:W212)</f>
        <v>0</v>
      </c>
      <c r="X213" s="174">
        <f t="shared" si="116"/>
        <v>0</v>
      </c>
      <c r="Y213" s="174">
        <f t="shared" si="116"/>
        <v>14000</v>
      </c>
      <c r="Z213" s="174">
        <f t="shared" si="116"/>
        <v>0</v>
      </c>
      <c r="AA213" s="174">
        <f t="shared" si="116"/>
        <v>0</v>
      </c>
      <c r="AB213" s="174">
        <f t="shared" si="116"/>
        <v>0</v>
      </c>
      <c r="AC213" s="174">
        <f t="shared" si="115"/>
        <v>0</v>
      </c>
      <c r="AD213" s="174">
        <f t="shared" si="115"/>
        <v>0</v>
      </c>
      <c r="AE213" s="174">
        <f t="shared" si="115"/>
        <v>0</v>
      </c>
      <c r="AF213" s="174">
        <f t="shared" si="115"/>
        <v>0</v>
      </c>
      <c r="AG213" s="174">
        <f>SUM(AG203:AG212)</f>
        <v>0</v>
      </c>
      <c r="AH213" s="174">
        <f>SUM(AH203:AH212)</f>
        <v>0</v>
      </c>
      <c r="AI213" s="174">
        <f t="shared" si="115"/>
        <v>0</v>
      </c>
      <c r="AJ213" s="174">
        <f t="shared" si="115"/>
        <v>577000</v>
      </c>
      <c r="AK213" s="174">
        <f t="shared" ref="AK213:AQ213" si="117">SUM(AK203:AK212)</f>
        <v>67000</v>
      </c>
      <c r="AL213" s="174">
        <f t="shared" si="117"/>
        <v>145000</v>
      </c>
      <c r="AM213" s="174">
        <f t="shared" si="117"/>
        <v>0</v>
      </c>
      <c r="AN213" s="174">
        <f t="shared" si="117"/>
        <v>642000</v>
      </c>
      <c r="AO213" s="174">
        <f t="shared" si="117"/>
        <v>101000</v>
      </c>
      <c r="AP213" s="174">
        <f t="shared" si="117"/>
        <v>0</v>
      </c>
      <c r="AQ213" s="174">
        <f t="shared" si="117"/>
        <v>0</v>
      </c>
      <c r="AR213" s="173"/>
      <c r="AS213" s="173">
        <f>SUM(AS203:AS212)</f>
        <v>1546000</v>
      </c>
      <c r="AT213" s="173">
        <f>SUM(AT203:AT212)</f>
        <v>6747000</v>
      </c>
      <c r="AU213" s="167" t="str">
        <f>IF(ROUND(SUM(F213:AQ213),0)=ROUND(AT213,0),"ok","crossfoot error")</f>
        <v>ok</v>
      </c>
      <c r="AV213" s="173">
        <f>SUM(AV203:AV212)/1000</f>
        <v>6747</v>
      </c>
      <c r="AW213" s="162">
        <f>'[2]ADJ DETAIL INPUT'!$AU$44</f>
        <v>12225</v>
      </c>
      <c r="AX213" s="161">
        <f>AV213-AW213</f>
        <v>-5478</v>
      </c>
      <c r="AY213" s="161">
        <f>AY200</f>
        <v>0.81687033627349592</v>
      </c>
    </row>
    <row r="214" spans="1:51" ht="14.1" customHeight="1">
      <c r="A214" s="160">
        <v>214</v>
      </c>
      <c r="B214" s="209"/>
      <c r="C214" s="209"/>
      <c r="D214" s="159"/>
      <c r="E214" s="208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6"/>
      <c r="AS214" s="206"/>
      <c r="AT214" s="206"/>
      <c r="AU214" s="160"/>
      <c r="AV214" s="206"/>
      <c r="AW214" s="161"/>
      <c r="AX214" s="161"/>
      <c r="AY214" s="160"/>
    </row>
    <row r="215" spans="1:51" s="169" customFormat="1" ht="14.1" customHeight="1">
      <c r="A215" s="160">
        <v>215</v>
      </c>
      <c r="B215" s="180"/>
      <c r="C215" s="172" t="s">
        <v>72</v>
      </c>
      <c r="D215" s="172"/>
      <c r="E215" s="171"/>
      <c r="F215" s="205">
        <f t="shared" ref="F215:V215" si="118">F213+F200+F176</f>
        <v>18164000</v>
      </c>
      <c r="G215" s="205">
        <f t="shared" si="118"/>
        <v>0</v>
      </c>
      <c r="H215" s="205">
        <f t="shared" si="118"/>
        <v>0</v>
      </c>
      <c r="I215" s="205">
        <f t="shared" si="118"/>
        <v>0</v>
      </c>
      <c r="J215" s="205">
        <f t="shared" si="118"/>
        <v>0</v>
      </c>
      <c r="K215" s="205">
        <f t="shared" si="118"/>
        <v>0</v>
      </c>
      <c r="L215" s="205">
        <f t="shared" si="118"/>
        <v>0</v>
      </c>
      <c r="M215" s="205">
        <f t="shared" si="118"/>
        <v>0</v>
      </c>
      <c r="N215" s="205">
        <f t="shared" si="118"/>
        <v>0</v>
      </c>
      <c r="O215" s="205">
        <f t="shared" si="118"/>
        <v>0</v>
      </c>
      <c r="P215" s="205">
        <f t="shared" si="118"/>
        <v>0</v>
      </c>
      <c r="Q215" s="205">
        <f t="shared" si="118"/>
        <v>0</v>
      </c>
      <c r="R215" s="205">
        <f t="shared" si="118"/>
        <v>0</v>
      </c>
      <c r="S215" s="205">
        <f t="shared" si="118"/>
        <v>-11000</v>
      </c>
      <c r="T215" s="205">
        <f t="shared" si="118"/>
        <v>0</v>
      </c>
      <c r="U215" s="205">
        <f t="shared" si="118"/>
        <v>0</v>
      </c>
      <c r="V215" s="205">
        <f t="shared" si="118"/>
        <v>0</v>
      </c>
      <c r="W215" s="205">
        <f t="shared" ref="W215:AB215" si="119">W213+W200+W176</f>
        <v>0</v>
      </c>
      <c r="X215" s="205">
        <f t="shared" si="119"/>
        <v>0</v>
      </c>
      <c r="Y215" s="205">
        <f t="shared" si="119"/>
        <v>-262000</v>
      </c>
      <c r="Z215" s="205">
        <f t="shared" si="119"/>
        <v>0</v>
      </c>
      <c r="AA215" s="205">
        <f t="shared" si="119"/>
        <v>0</v>
      </c>
      <c r="AB215" s="205">
        <f t="shared" si="119"/>
        <v>0</v>
      </c>
      <c r="AC215" s="205">
        <f t="shared" ref="AC215:AQ215" si="120">AC213+AC200+AC176</f>
        <v>0</v>
      </c>
      <c r="AD215" s="205">
        <f t="shared" si="120"/>
        <v>0</v>
      </c>
      <c r="AE215" s="205">
        <f t="shared" si="120"/>
        <v>0</v>
      </c>
      <c r="AF215" s="205">
        <f t="shared" si="120"/>
        <v>0</v>
      </c>
      <c r="AG215" s="205">
        <f t="shared" si="120"/>
        <v>0</v>
      </c>
      <c r="AH215" s="205">
        <f t="shared" si="120"/>
        <v>0</v>
      </c>
      <c r="AI215" s="205">
        <f t="shared" si="120"/>
        <v>0</v>
      </c>
      <c r="AJ215" s="205">
        <f t="shared" si="120"/>
        <v>577000</v>
      </c>
      <c r="AK215" s="205">
        <f t="shared" si="120"/>
        <v>186000</v>
      </c>
      <c r="AL215" s="205">
        <f t="shared" si="120"/>
        <v>228000</v>
      </c>
      <c r="AM215" s="205">
        <f t="shared" si="120"/>
        <v>276000</v>
      </c>
      <c r="AN215" s="205">
        <f t="shared" si="120"/>
        <v>642000</v>
      </c>
      <c r="AO215" s="205">
        <f t="shared" si="120"/>
        <v>966000</v>
      </c>
      <c r="AP215" s="205">
        <f t="shared" si="120"/>
        <v>0</v>
      </c>
      <c r="AQ215" s="205">
        <f t="shared" si="120"/>
        <v>0</v>
      </c>
      <c r="AR215" s="204"/>
      <c r="AS215" s="204">
        <f>AS213+AS200+AS176</f>
        <v>2602000</v>
      </c>
      <c r="AT215" s="204">
        <f>AT213+AT200+AT176</f>
        <v>20766000</v>
      </c>
      <c r="AU215" s="167" t="str">
        <f>IF(ROUND(SUM(F215:AQ215),0)=ROUND(AT215,0),"ok","crossfoot error")</f>
        <v>ok</v>
      </c>
      <c r="AV215" s="204">
        <f>AV213+AV200+AV176</f>
        <v>20766</v>
      </c>
      <c r="AW215" s="161"/>
      <c r="AX215" s="161"/>
      <c r="AY215" s="167"/>
    </row>
    <row r="216" spans="1:51" ht="14.1" customHeight="1">
      <c r="A216" s="160">
        <v>216</v>
      </c>
      <c r="B216" s="158"/>
      <c r="C216" s="159"/>
      <c r="D216" s="159"/>
      <c r="E216" s="156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6"/>
      <c r="AS216" s="206"/>
      <c r="AT216" s="206"/>
      <c r="AU216" s="160"/>
      <c r="AV216" s="206"/>
      <c r="AW216" s="161"/>
      <c r="AX216" s="161"/>
      <c r="AY216" s="160"/>
    </row>
    <row r="217" spans="1:51" ht="14.1" customHeight="1">
      <c r="A217" s="160">
        <v>217</v>
      </c>
      <c r="B217" s="172" t="s">
        <v>215</v>
      </c>
      <c r="C217" s="172"/>
      <c r="D217" s="159"/>
      <c r="E217" s="156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6"/>
      <c r="AS217" s="206"/>
      <c r="AT217" s="206"/>
      <c r="AU217" s="160"/>
      <c r="AV217" s="206"/>
      <c r="AW217" s="161"/>
      <c r="AX217" s="161"/>
      <c r="AY217" s="160"/>
    </row>
    <row r="218" spans="1:51" ht="14.1" customHeight="1">
      <c r="A218" s="160">
        <v>218</v>
      </c>
      <c r="B218" s="158" t="s">
        <v>1220</v>
      </c>
      <c r="C218" s="159" t="s">
        <v>1219</v>
      </c>
      <c r="D218" s="159"/>
      <c r="E218" s="156"/>
      <c r="F218" s="578">
        <f>-2239000+11000+229000+79000</f>
        <v>-1920000</v>
      </c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165"/>
      <c r="T218" s="207"/>
      <c r="U218" s="550">
        <v>1205000</v>
      </c>
      <c r="V218" s="207"/>
      <c r="W218" s="207"/>
      <c r="X218" s="207"/>
      <c r="Y218" s="207"/>
      <c r="Z218" s="207"/>
      <c r="AA218" s="550">
        <v>-230000</v>
      </c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6"/>
      <c r="AS218" s="164">
        <f t="shared" ref="AS218:AS223" si="121">SUM(G218:AQ218)</f>
        <v>975000</v>
      </c>
      <c r="AT218" s="164">
        <f t="shared" ref="AT218:AT223" si="122">F218+AS218</f>
        <v>-945000</v>
      </c>
      <c r="AU218" s="160"/>
      <c r="AV218" s="164">
        <f t="shared" ref="AV218:AV223" si="123">ROUND(AT218/1000,0)*1000</f>
        <v>-945000</v>
      </c>
      <c r="AW218" s="161"/>
      <c r="AX218" s="161"/>
      <c r="AY218" s="160"/>
    </row>
    <row r="219" spans="1:51" ht="14.1" customHeight="1">
      <c r="A219" s="160">
        <v>219</v>
      </c>
      <c r="B219" s="175">
        <v>404.2</v>
      </c>
      <c r="C219" s="159" t="s">
        <v>385</v>
      </c>
      <c r="D219" s="159"/>
      <c r="E219" s="156"/>
      <c r="F219" s="578">
        <v>124000</v>
      </c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550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6"/>
      <c r="AS219" s="164">
        <f t="shared" si="121"/>
        <v>0</v>
      </c>
      <c r="AT219" s="164">
        <f t="shared" si="122"/>
        <v>124000</v>
      </c>
      <c r="AU219" s="160"/>
      <c r="AV219" s="164">
        <f t="shared" si="123"/>
        <v>124000</v>
      </c>
      <c r="AW219" s="161"/>
      <c r="AX219" s="161"/>
      <c r="AY219" s="160"/>
    </row>
    <row r="220" spans="1:51" ht="14.1" customHeight="1">
      <c r="A220" s="160">
        <v>220</v>
      </c>
      <c r="B220" s="175">
        <v>404.3</v>
      </c>
      <c r="C220" s="159" t="s">
        <v>386</v>
      </c>
      <c r="D220" s="159"/>
      <c r="E220" s="156"/>
      <c r="F220" s="578">
        <v>5353000</v>
      </c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550"/>
      <c r="X220" s="550"/>
      <c r="Y220" s="550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550"/>
      <c r="AJ220" s="207"/>
      <c r="AK220" s="207"/>
      <c r="AL220" s="207"/>
      <c r="AM220" s="207"/>
      <c r="AN220" s="207"/>
      <c r="AO220" s="550">
        <v>3491000</v>
      </c>
      <c r="AP220" s="207"/>
      <c r="AQ220" s="207"/>
      <c r="AR220" s="206"/>
      <c r="AS220" s="164">
        <f t="shared" si="121"/>
        <v>3491000</v>
      </c>
      <c r="AT220" s="164">
        <f t="shared" si="122"/>
        <v>8844000</v>
      </c>
      <c r="AU220" s="160"/>
      <c r="AV220" s="588">
        <f>ROUND(AT220/1000,0)*1000+2000</f>
        <v>8846000</v>
      </c>
      <c r="AW220" s="161"/>
      <c r="AX220" s="161"/>
      <c r="AY220" s="160"/>
    </row>
    <row r="221" spans="1:51" ht="14.1" customHeight="1">
      <c r="A221" s="160">
        <v>221</v>
      </c>
      <c r="B221" s="158">
        <v>407.23</v>
      </c>
      <c r="C221" s="159" t="s">
        <v>1216</v>
      </c>
      <c r="D221" s="159"/>
      <c r="E221" s="156"/>
      <c r="F221" s="578">
        <v>-1205000</v>
      </c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550"/>
      <c r="U221" s="550">
        <v>0</v>
      </c>
      <c r="V221" s="207"/>
      <c r="W221" s="207"/>
      <c r="X221" s="207"/>
      <c r="Y221" s="207"/>
      <c r="Z221" s="550"/>
      <c r="AA221" s="550"/>
      <c r="AB221" s="550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6"/>
      <c r="AS221" s="164">
        <f t="shared" si="121"/>
        <v>0</v>
      </c>
      <c r="AT221" s="164">
        <f t="shared" si="122"/>
        <v>-1205000</v>
      </c>
      <c r="AU221" s="160"/>
      <c r="AV221" s="164">
        <f t="shared" si="123"/>
        <v>-1205000</v>
      </c>
      <c r="AW221" s="161"/>
      <c r="AX221" s="161"/>
      <c r="AY221" s="160"/>
    </row>
    <row r="222" spans="1:51" ht="14.1" customHeight="1">
      <c r="A222" s="160">
        <v>222</v>
      </c>
      <c r="B222" s="158">
        <v>407.30200000000002</v>
      </c>
      <c r="C222" s="159" t="s">
        <v>1217</v>
      </c>
      <c r="D222" s="159"/>
      <c r="E222" s="156"/>
      <c r="F222" s="578">
        <v>584000</v>
      </c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550"/>
      <c r="U222" s="550"/>
      <c r="V222" s="207"/>
      <c r="W222" s="207"/>
      <c r="X222" s="207"/>
      <c r="Y222" s="207"/>
      <c r="Z222" s="207"/>
      <c r="AA222" s="207"/>
      <c r="AB222" s="550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550">
        <v>1550000</v>
      </c>
      <c r="AQ222" s="207"/>
      <c r="AR222" s="206"/>
      <c r="AS222" s="164">
        <f t="shared" si="121"/>
        <v>1550000</v>
      </c>
      <c r="AT222" s="164">
        <f t="shared" si="122"/>
        <v>2134000</v>
      </c>
      <c r="AU222" s="160"/>
      <c r="AV222" s="164">
        <f t="shared" si="123"/>
        <v>2134000</v>
      </c>
      <c r="AW222" s="161"/>
      <c r="AX222" s="161"/>
      <c r="AY222" s="160"/>
    </row>
    <row r="223" spans="1:51" ht="14.1" customHeight="1">
      <c r="A223" s="160">
        <v>223</v>
      </c>
      <c r="B223" s="158">
        <v>407.41399999999999</v>
      </c>
      <c r="C223" s="159" t="s">
        <v>1218</v>
      </c>
      <c r="D223" s="159"/>
      <c r="E223" s="156"/>
      <c r="F223" s="578">
        <v>-462000</v>
      </c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550"/>
      <c r="U223" s="550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550">
        <v>805000</v>
      </c>
      <c r="AJ223" s="207"/>
      <c r="AK223" s="207"/>
      <c r="AL223" s="550"/>
      <c r="AM223" s="550"/>
      <c r="AN223" s="550"/>
      <c r="AO223" s="550"/>
      <c r="AP223" s="550"/>
      <c r="AQ223" s="550"/>
      <c r="AR223" s="206"/>
      <c r="AS223" s="164">
        <f t="shared" si="121"/>
        <v>805000</v>
      </c>
      <c r="AT223" s="164">
        <f t="shared" si="122"/>
        <v>343000</v>
      </c>
      <c r="AU223" s="160"/>
      <c r="AV223" s="164">
        <f t="shared" si="123"/>
        <v>343000</v>
      </c>
      <c r="AW223" s="161"/>
      <c r="AX223" s="161"/>
      <c r="AY223" s="160"/>
    </row>
    <row r="224" spans="1:51" s="169" customFormat="1" ht="14.1" customHeight="1">
      <c r="A224" s="160">
        <v>224</v>
      </c>
      <c r="B224" s="180"/>
      <c r="C224" s="172" t="s">
        <v>74</v>
      </c>
      <c r="D224" s="172"/>
      <c r="E224" s="171"/>
      <c r="F224" s="174">
        <f>SUM(F218:F223)</f>
        <v>2474000</v>
      </c>
      <c r="G224" s="174">
        <f>SUM(G218:G222)</f>
        <v>0</v>
      </c>
      <c r="H224" s="174">
        <f>SUM(H218:H222)</f>
        <v>0</v>
      </c>
      <c r="I224" s="174">
        <f>SUM(I218:I222)</f>
        <v>0</v>
      </c>
      <c r="J224" s="174">
        <f>SUM(J218:J222)</f>
        <v>0</v>
      </c>
      <c r="K224" s="174">
        <f>SUM(K218:K223)</f>
        <v>0</v>
      </c>
      <c r="L224" s="174">
        <f>SUM(L218:L223)</f>
        <v>0</v>
      </c>
      <c r="M224" s="174">
        <f t="shared" ref="M224:AJ224" si="124">SUM(M218:M223)</f>
        <v>0</v>
      </c>
      <c r="N224" s="174">
        <f t="shared" si="124"/>
        <v>0</v>
      </c>
      <c r="O224" s="174">
        <f t="shared" si="124"/>
        <v>0</v>
      </c>
      <c r="P224" s="174">
        <f t="shared" si="124"/>
        <v>0</v>
      </c>
      <c r="Q224" s="174">
        <f>SUM(Q218:Q223)</f>
        <v>0</v>
      </c>
      <c r="R224" s="174">
        <f>SUM(R218:R223)</f>
        <v>0</v>
      </c>
      <c r="S224" s="174">
        <f>SUM(S218:S223)</f>
        <v>0</v>
      </c>
      <c r="T224" s="174">
        <f>SUM(T218:T222)</f>
        <v>0</v>
      </c>
      <c r="U224" s="174">
        <f>SUM(U218:U222)</f>
        <v>1205000</v>
      </c>
      <c r="V224" s="174">
        <f t="shared" si="124"/>
        <v>0</v>
      </c>
      <c r="W224" s="174">
        <f t="shared" ref="W224:AB224" si="125">SUM(W218:W223)</f>
        <v>0</v>
      </c>
      <c r="X224" s="174">
        <f t="shared" si="125"/>
        <v>0</v>
      </c>
      <c r="Y224" s="174">
        <f t="shared" si="125"/>
        <v>0</v>
      </c>
      <c r="Z224" s="174">
        <f t="shared" si="125"/>
        <v>0</v>
      </c>
      <c r="AA224" s="174">
        <f t="shared" si="125"/>
        <v>-230000</v>
      </c>
      <c r="AB224" s="174">
        <f t="shared" si="125"/>
        <v>0</v>
      </c>
      <c r="AC224" s="174">
        <f t="shared" si="124"/>
        <v>0</v>
      </c>
      <c r="AD224" s="174">
        <f t="shared" si="124"/>
        <v>0</v>
      </c>
      <c r="AE224" s="174">
        <f t="shared" si="124"/>
        <v>0</v>
      </c>
      <c r="AF224" s="174">
        <f t="shared" si="124"/>
        <v>0</v>
      </c>
      <c r="AG224" s="174">
        <f t="shared" si="124"/>
        <v>0</v>
      </c>
      <c r="AH224" s="174">
        <f>SUM(AH218:AH223)</f>
        <v>0</v>
      </c>
      <c r="AI224" s="174">
        <f t="shared" si="124"/>
        <v>805000</v>
      </c>
      <c r="AJ224" s="174">
        <f t="shared" si="124"/>
        <v>0</v>
      </c>
      <c r="AK224" s="174">
        <f t="shared" ref="AK224:AQ224" si="126">SUM(AK218:AK223)</f>
        <v>0</v>
      </c>
      <c r="AL224" s="174">
        <f t="shared" si="126"/>
        <v>0</v>
      </c>
      <c r="AM224" s="174">
        <f t="shared" si="126"/>
        <v>0</v>
      </c>
      <c r="AN224" s="174">
        <f t="shared" si="126"/>
        <v>0</v>
      </c>
      <c r="AO224" s="174">
        <f t="shared" si="126"/>
        <v>3491000</v>
      </c>
      <c r="AP224" s="174">
        <f t="shared" si="126"/>
        <v>1550000</v>
      </c>
      <c r="AQ224" s="174">
        <f t="shared" si="126"/>
        <v>0</v>
      </c>
      <c r="AR224" s="173"/>
      <c r="AS224" s="173">
        <f>SUM(AS218:AS223)</f>
        <v>6821000</v>
      </c>
      <c r="AT224" s="173">
        <f>SUM(AT218:AT223)</f>
        <v>9295000</v>
      </c>
      <c r="AU224" s="167" t="str">
        <f>IF(ROUND(SUM(F224:AQ224),0)=ROUND(AT224,0),"ok","crossfoot error")</f>
        <v>ok</v>
      </c>
      <c r="AV224" s="173">
        <f>SUM(AV218:AV223)/1000</f>
        <v>9297</v>
      </c>
      <c r="AW224" s="570">
        <f>'[2]ADJ DETAIL INPUT'!$AU$45</f>
        <v>3818</v>
      </c>
      <c r="AX224" s="161">
        <f>AV224-AW224</f>
        <v>5479</v>
      </c>
      <c r="AY224" s="161">
        <f>AY213</f>
        <v>0.81687033627349592</v>
      </c>
    </row>
    <row r="225" spans="1:51" ht="14.1" customHeight="1">
      <c r="A225" s="160">
        <v>225</v>
      </c>
      <c r="B225" s="158"/>
      <c r="C225" s="159"/>
      <c r="D225" s="159"/>
      <c r="E225" s="156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07"/>
      <c r="W225" s="20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6"/>
      <c r="AS225" s="206"/>
      <c r="AT225" s="206"/>
      <c r="AU225" s="160"/>
      <c r="AV225" s="206"/>
      <c r="AW225" s="161"/>
      <c r="AX225" s="161"/>
      <c r="AY225" s="160"/>
    </row>
    <row r="226" spans="1:51" s="169" customFormat="1" ht="14.1" customHeight="1">
      <c r="A226" s="160">
        <v>226</v>
      </c>
      <c r="B226" s="180"/>
      <c r="C226" s="172" t="s">
        <v>724</v>
      </c>
      <c r="D226" s="172"/>
      <c r="E226" s="171"/>
      <c r="F226" s="205">
        <f t="shared" ref="F226:AJ226" si="127">F215+F224</f>
        <v>20638000</v>
      </c>
      <c r="G226" s="205">
        <f t="shared" si="127"/>
        <v>0</v>
      </c>
      <c r="H226" s="205">
        <f t="shared" si="127"/>
        <v>0</v>
      </c>
      <c r="I226" s="205">
        <f t="shared" si="127"/>
        <v>0</v>
      </c>
      <c r="J226" s="205">
        <f>J215+J224</f>
        <v>0</v>
      </c>
      <c r="K226" s="205">
        <f>K215+K224</f>
        <v>0</v>
      </c>
      <c r="L226" s="205">
        <f>L215+L224</f>
        <v>0</v>
      </c>
      <c r="M226" s="205">
        <f t="shared" si="127"/>
        <v>0</v>
      </c>
      <c r="N226" s="205">
        <f t="shared" si="127"/>
        <v>0</v>
      </c>
      <c r="O226" s="205">
        <f t="shared" si="127"/>
        <v>0</v>
      </c>
      <c r="P226" s="205">
        <f t="shared" si="127"/>
        <v>0</v>
      </c>
      <c r="Q226" s="205">
        <f>Q215+Q224</f>
        <v>0</v>
      </c>
      <c r="R226" s="205">
        <f>R215+R224</f>
        <v>0</v>
      </c>
      <c r="S226" s="205">
        <f>S215+S224</f>
        <v>-11000</v>
      </c>
      <c r="T226" s="205">
        <f>T215+T224</f>
        <v>0</v>
      </c>
      <c r="U226" s="205">
        <f>U215+U224</f>
        <v>1205000</v>
      </c>
      <c r="V226" s="205">
        <f t="shared" si="127"/>
        <v>0</v>
      </c>
      <c r="W226" s="205">
        <f t="shared" ref="W226:AB226" si="128">W215+W224</f>
        <v>0</v>
      </c>
      <c r="X226" s="205">
        <f t="shared" si="128"/>
        <v>0</v>
      </c>
      <c r="Y226" s="205">
        <f t="shared" si="128"/>
        <v>-262000</v>
      </c>
      <c r="Z226" s="205">
        <f t="shared" si="128"/>
        <v>0</v>
      </c>
      <c r="AA226" s="205">
        <f t="shared" si="128"/>
        <v>-230000</v>
      </c>
      <c r="AB226" s="205">
        <f t="shared" si="128"/>
        <v>0</v>
      </c>
      <c r="AC226" s="205">
        <f t="shared" si="127"/>
        <v>0</v>
      </c>
      <c r="AD226" s="205">
        <f t="shared" si="127"/>
        <v>0</v>
      </c>
      <c r="AE226" s="205">
        <f t="shared" si="127"/>
        <v>0</v>
      </c>
      <c r="AF226" s="205">
        <f t="shared" si="127"/>
        <v>0</v>
      </c>
      <c r="AG226" s="205">
        <f t="shared" si="127"/>
        <v>0</v>
      </c>
      <c r="AH226" s="205">
        <f>AH215+AH224</f>
        <v>0</v>
      </c>
      <c r="AI226" s="205">
        <f t="shared" si="127"/>
        <v>805000</v>
      </c>
      <c r="AJ226" s="205">
        <f t="shared" si="127"/>
        <v>577000</v>
      </c>
      <c r="AK226" s="205">
        <f t="shared" ref="AK226:AQ226" si="129">AK215+AK224</f>
        <v>186000</v>
      </c>
      <c r="AL226" s="205">
        <f t="shared" si="129"/>
        <v>228000</v>
      </c>
      <c r="AM226" s="205">
        <f t="shared" si="129"/>
        <v>276000</v>
      </c>
      <c r="AN226" s="205">
        <f t="shared" si="129"/>
        <v>642000</v>
      </c>
      <c r="AO226" s="205">
        <f t="shared" si="129"/>
        <v>4457000</v>
      </c>
      <c r="AP226" s="205">
        <f t="shared" si="129"/>
        <v>1550000</v>
      </c>
      <c r="AQ226" s="205">
        <f t="shared" si="129"/>
        <v>0</v>
      </c>
      <c r="AR226" s="204"/>
      <c r="AS226" s="204">
        <f>AS215+AS224</f>
        <v>9423000</v>
      </c>
      <c r="AT226" s="204">
        <f>AT215+AT224</f>
        <v>30061000</v>
      </c>
      <c r="AU226" s="167" t="str">
        <f>IF(ROUND(SUM(F226:AQ226),0)=ROUND(AT226,0),"ok","crossfoot error")</f>
        <v>ok</v>
      </c>
      <c r="AV226" s="204">
        <f>AV215+AV224</f>
        <v>30063</v>
      </c>
      <c r="AW226" s="587">
        <f>AW176+AW200+AW213+AW224</f>
        <v>30062.561345379239</v>
      </c>
      <c r="AX226" s="161">
        <f>AV226-AW226</f>
        <v>0.43865462076064432</v>
      </c>
      <c r="AY226" s="167"/>
    </row>
    <row r="227" spans="1:51" s="203" customFormat="1" ht="14.1" customHeight="1">
      <c r="A227" s="160">
        <v>227</v>
      </c>
      <c r="B227" s="159"/>
      <c r="C227" s="159"/>
      <c r="D227" s="159"/>
      <c r="E227" s="156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6"/>
      <c r="AS227" s="164"/>
      <c r="AT227" s="164"/>
      <c r="AU227" s="160"/>
      <c r="AV227" s="164"/>
      <c r="AW227" s="161"/>
      <c r="AX227" s="161"/>
      <c r="AY227" s="160"/>
    </row>
    <row r="228" spans="1:51" s="169" customFormat="1" ht="14.1" customHeight="1">
      <c r="A228" s="160">
        <v>228</v>
      </c>
      <c r="B228" s="172"/>
      <c r="C228" s="172" t="s">
        <v>723</v>
      </c>
      <c r="D228" s="172"/>
      <c r="E228" s="171"/>
      <c r="F228" s="170">
        <f t="shared" ref="F228:AJ228" si="130">F142+F164+F226</f>
        <v>181582000</v>
      </c>
      <c r="G228" s="170">
        <f t="shared" si="130"/>
        <v>0</v>
      </c>
      <c r="H228" s="170">
        <f t="shared" si="130"/>
        <v>15000</v>
      </c>
      <c r="I228" s="170">
        <f t="shared" si="130"/>
        <v>0</v>
      </c>
      <c r="J228" s="170">
        <f>J142+J164+J226</f>
        <v>0</v>
      </c>
      <c r="K228" s="170">
        <f>K142+K164+K226</f>
        <v>-5235000</v>
      </c>
      <c r="L228" s="170">
        <f>L142+L164+L226</f>
        <v>239000</v>
      </c>
      <c r="M228" s="170">
        <f t="shared" si="130"/>
        <v>166000</v>
      </c>
      <c r="N228" s="170">
        <f t="shared" si="130"/>
        <v>-58000</v>
      </c>
      <c r="O228" s="170">
        <f t="shared" si="130"/>
        <v>-9000</v>
      </c>
      <c r="P228" s="170">
        <f t="shared" si="130"/>
        <v>0</v>
      </c>
      <c r="Q228" s="170">
        <f>Q142+Q164+Q226</f>
        <v>-16000</v>
      </c>
      <c r="R228" s="170">
        <f>R142+R164+R226</f>
        <v>1000</v>
      </c>
      <c r="S228" s="170">
        <f>S142+S164+S226</f>
        <v>-11000</v>
      </c>
      <c r="T228" s="170">
        <f>T142+T164+T226</f>
        <v>-1830000</v>
      </c>
      <c r="U228" s="170">
        <f>U142+U164+U226</f>
        <v>-52738000</v>
      </c>
      <c r="V228" s="170">
        <f t="shared" si="130"/>
        <v>-400000</v>
      </c>
      <c r="W228" s="170">
        <f t="shared" ref="W228:AB228" si="131">W142+W164+W226</f>
        <v>219000</v>
      </c>
      <c r="X228" s="170">
        <f t="shared" si="131"/>
        <v>0</v>
      </c>
      <c r="Y228" s="170">
        <f t="shared" si="131"/>
        <v>-262000</v>
      </c>
      <c r="Z228" s="170">
        <f t="shared" si="131"/>
        <v>-52960000</v>
      </c>
      <c r="AA228" s="170">
        <f t="shared" si="131"/>
        <v>-230000</v>
      </c>
      <c r="AB228" s="170">
        <f t="shared" si="131"/>
        <v>0</v>
      </c>
      <c r="AC228" s="170">
        <f t="shared" si="130"/>
        <v>977000</v>
      </c>
      <c r="AD228" s="170">
        <f t="shared" si="130"/>
        <v>-97000</v>
      </c>
      <c r="AE228" s="170">
        <f t="shared" si="130"/>
        <v>341000</v>
      </c>
      <c r="AF228" s="170">
        <f t="shared" si="130"/>
        <v>1079000</v>
      </c>
      <c r="AG228" s="170">
        <f t="shared" si="130"/>
        <v>624000</v>
      </c>
      <c r="AH228" s="170">
        <f>AH142+AH164+AH226</f>
        <v>463000</v>
      </c>
      <c r="AI228" s="170">
        <f t="shared" si="130"/>
        <v>872000</v>
      </c>
      <c r="AJ228" s="170">
        <f t="shared" si="130"/>
        <v>577000</v>
      </c>
      <c r="AK228" s="170">
        <f t="shared" ref="AK228:AQ228" si="132">AK142+AK164+AK226</f>
        <v>186000</v>
      </c>
      <c r="AL228" s="170">
        <f t="shared" si="132"/>
        <v>228000</v>
      </c>
      <c r="AM228" s="170">
        <f t="shared" si="132"/>
        <v>276000</v>
      </c>
      <c r="AN228" s="170">
        <f t="shared" si="132"/>
        <v>642000</v>
      </c>
      <c r="AO228" s="170">
        <f t="shared" si="132"/>
        <v>3462000</v>
      </c>
      <c r="AP228" s="170">
        <f t="shared" si="132"/>
        <v>1550000</v>
      </c>
      <c r="AQ228" s="170">
        <f t="shared" si="132"/>
        <v>0</v>
      </c>
      <c r="AR228" s="163"/>
      <c r="AS228" s="163">
        <f>AS142+AS164+AS226</f>
        <v>-101928499</v>
      </c>
      <c r="AT228" s="163">
        <f>AT142+AT164+AT226</f>
        <v>79653501</v>
      </c>
      <c r="AU228" s="167" t="str">
        <f>IF(ROUND(SUM(F228:AQ228),0)=ROUND(AT228,0),"ok","crossfoot error")</f>
        <v>crossfoot error</v>
      </c>
      <c r="AV228" s="163">
        <f>AV142+AV164+AV226</f>
        <v>79656</v>
      </c>
      <c r="AW228" s="162">
        <f>'[2]ADJ DETAIL INPUT'!$AU$48</f>
        <v>79654.561345379247</v>
      </c>
      <c r="AX228" s="161">
        <f>AV228-AW228</f>
        <v>1.4386546207533684</v>
      </c>
      <c r="AY228" s="167"/>
    </row>
    <row r="229" spans="1:51" ht="14.1" customHeight="1">
      <c r="A229" s="160">
        <v>229</v>
      </c>
      <c r="B229" s="159"/>
      <c r="C229" s="159"/>
      <c r="D229" s="159"/>
      <c r="E229" s="156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6"/>
      <c r="AS229" s="164"/>
      <c r="AT229" s="164"/>
      <c r="AU229" s="160"/>
      <c r="AV229" s="164"/>
      <c r="AW229" s="161"/>
      <c r="AX229" s="161"/>
      <c r="AY229" s="160"/>
    </row>
    <row r="230" spans="1:51" ht="14.1" customHeight="1">
      <c r="A230" s="160">
        <v>230</v>
      </c>
      <c r="B230" s="158" t="s">
        <v>722</v>
      </c>
      <c r="C230" s="159"/>
      <c r="D230" s="159"/>
      <c r="E230" s="156"/>
      <c r="F230" s="165">
        <v>0</v>
      </c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6"/>
      <c r="AS230" s="164">
        <f>SUM(G230:AL230)</f>
        <v>0</v>
      </c>
      <c r="AT230" s="164">
        <f>F230+AS230</f>
        <v>0</v>
      </c>
      <c r="AU230" s="160"/>
      <c r="AV230" s="164"/>
      <c r="AW230" s="161"/>
      <c r="AX230" s="161"/>
      <c r="AY230" s="160"/>
    </row>
    <row r="231" spans="1:51" ht="14.1" customHeight="1">
      <c r="A231" s="160">
        <v>231</v>
      </c>
      <c r="B231" s="158" t="s">
        <v>721</v>
      </c>
      <c r="C231" s="159"/>
      <c r="D231" s="159"/>
      <c r="E231" s="156"/>
      <c r="F231" s="165">
        <v>-4720000</v>
      </c>
      <c r="G231" s="157"/>
      <c r="H231" s="165">
        <v>-3000</v>
      </c>
      <c r="I231" s="181"/>
      <c r="J231" s="181"/>
      <c r="K231" s="165">
        <v>-3000</v>
      </c>
      <c r="L231" s="165">
        <v>-50000</v>
      </c>
      <c r="M231" s="165">
        <v>-35000</v>
      </c>
      <c r="N231" s="165">
        <v>12000</v>
      </c>
      <c r="O231" s="165">
        <v>2000</v>
      </c>
      <c r="P231" s="165">
        <v>0</v>
      </c>
      <c r="Q231" s="165">
        <v>3000</v>
      </c>
      <c r="R231" s="165">
        <v>0</v>
      </c>
      <c r="S231" s="165">
        <v>2000</v>
      </c>
      <c r="T231" s="165">
        <v>-1000</v>
      </c>
      <c r="U231" s="165">
        <v>173000</v>
      </c>
      <c r="V231" s="165">
        <v>-9000</v>
      </c>
      <c r="W231" s="165">
        <v>-46000</v>
      </c>
      <c r="X231" s="165">
        <v>222000</v>
      </c>
      <c r="Y231" s="165">
        <v>55000</v>
      </c>
      <c r="Z231" s="165">
        <v>2176000</v>
      </c>
      <c r="AA231" s="165">
        <v>48000</v>
      </c>
      <c r="AB231" s="165">
        <v>0</v>
      </c>
      <c r="AC231" s="165">
        <v>-205000</v>
      </c>
      <c r="AD231" s="165">
        <v>20000</v>
      </c>
      <c r="AE231" s="165">
        <v>-72000</v>
      </c>
      <c r="AF231" s="165">
        <v>-227000</v>
      </c>
      <c r="AG231" s="165">
        <v>-131000</v>
      </c>
      <c r="AH231" s="165">
        <v>-97000</v>
      </c>
      <c r="AI231" s="165">
        <v>-183000</v>
      </c>
      <c r="AJ231" s="165">
        <v>-121000</v>
      </c>
      <c r="AK231" s="165">
        <v>-39000</v>
      </c>
      <c r="AL231" s="165">
        <f>-48000</f>
        <v>-48000</v>
      </c>
      <c r="AM231" s="165">
        <v>-58000</v>
      </c>
      <c r="AN231" s="165">
        <v>-135000</v>
      </c>
      <c r="AO231" s="165">
        <v>-727000</v>
      </c>
      <c r="AP231" s="165">
        <v>-326000</v>
      </c>
      <c r="AQ231" s="165"/>
      <c r="AR231" s="156"/>
      <c r="AS231" s="164">
        <f>SUM(G231:AQ231)</f>
        <v>197000</v>
      </c>
      <c r="AT231" s="164">
        <f>F231+AS231</f>
        <v>-4523000</v>
      </c>
      <c r="AU231" s="160"/>
      <c r="AV231" s="163">
        <f>ROUND(AT231/1000,0)</f>
        <v>-4523</v>
      </c>
      <c r="AW231" s="162">
        <f>'[2]ADJ DETAIL INPUT'!$AU$53</f>
        <v>-4521.2178825296387</v>
      </c>
      <c r="AX231" s="161">
        <f>AV231-AW231</f>
        <v>-1.7821174703612996</v>
      </c>
      <c r="AY231" s="160"/>
    </row>
    <row r="232" spans="1:51" ht="14.1" customHeight="1">
      <c r="A232" s="160">
        <v>232</v>
      </c>
      <c r="B232" s="158" t="s">
        <v>693</v>
      </c>
      <c r="C232" s="159"/>
      <c r="D232" s="159"/>
      <c r="E232" s="156"/>
      <c r="F232" s="165">
        <v>0</v>
      </c>
      <c r="G232" s="165">
        <v>5000</v>
      </c>
      <c r="H232" s="157"/>
      <c r="I232" s="680">
        <v>6000</v>
      </c>
      <c r="J232" s="181">
        <v>96000</v>
      </c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81">
        <v>-66000</v>
      </c>
      <c r="Z232" s="157"/>
      <c r="AA232" s="157"/>
      <c r="AB232" s="181">
        <v>0</v>
      </c>
      <c r="AC232" s="157"/>
      <c r="AD232" s="157"/>
      <c r="AE232" s="157"/>
      <c r="AF232" s="157"/>
      <c r="AG232" s="157"/>
      <c r="AH232" s="157"/>
      <c r="AI232" s="181"/>
      <c r="AJ232" s="181">
        <v>-15000</v>
      </c>
      <c r="AK232" s="181">
        <v>-37000</v>
      </c>
      <c r="AL232" s="181">
        <v>-37000</v>
      </c>
      <c r="AM232" s="181">
        <v>-68000</v>
      </c>
      <c r="AN232" s="181">
        <v>-18000</v>
      </c>
      <c r="AO232" s="181">
        <v>-185000</v>
      </c>
      <c r="AP232" s="181">
        <v>21000</v>
      </c>
      <c r="AQ232" s="181">
        <v>79000</v>
      </c>
      <c r="AR232" s="156"/>
      <c r="AS232" s="164">
        <f>SUM(G232:AQ232)</f>
        <v>-219000</v>
      </c>
      <c r="AT232" s="164">
        <f>F232+AS232</f>
        <v>-219000</v>
      </c>
      <c r="AU232" s="160"/>
      <c r="AV232" s="589">
        <f>ROUND(AT232/1000,0)-1</f>
        <v>-220</v>
      </c>
      <c r="AW232" s="162">
        <f>'[2]ADJ DETAIL INPUT'!$AU$54</f>
        <v>-220.15596628216448</v>
      </c>
      <c r="AX232" s="161">
        <f>AV232-AW232</f>
        <v>0.15596628216448494</v>
      </c>
      <c r="AY232" s="160"/>
    </row>
    <row r="233" spans="1:51" ht="14.1" customHeight="1">
      <c r="A233" s="160">
        <v>233</v>
      </c>
      <c r="B233" s="158" t="s">
        <v>387</v>
      </c>
      <c r="C233" s="159"/>
      <c r="D233" s="159"/>
      <c r="E233" s="156"/>
      <c r="F233" s="165">
        <v>-12000</v>
      </c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6"/>
      <c r="AS233" s="164">
        <f>SUM(G233:AQ233)</f>
        <v>0</v>
      </c>
      <c r="AT233" s="164">
        <f>F233+AS233</f>
        <v>-12000</v>
      </c>
      <c r="AU233" s="160"/>
      <c r="AV233" s="163">
        <f>ROUND(AT233/1000,0)</f>
        <v>-12</v>
      </c>
      <c r="AW233" s="162">
        <f>'[2]ADJ DETAIL INPUT'!$AU$56</f>
        <v>-12</v>
      </c>
      <c r="AX233" s="161">
        <f>AV233-AW233</f>
        <v>0</v>
      </c>
      <c r="AY233" s="160"/>
    </row>
    <row r="234" spans="1:51" ht="14.1" customHeight="1">
      <c r="A234" s="160">
        <v>234</v>
      </c>
      <c r="B234" s="158" t="s">
        <v>720</v>
      </c>
      <c r="C234" s="159"/>
      <c r="D234" s="159"/>
      <c r="E234" s="156"/>
      <c r="F234" s="165">
        <v>6501000</v>
      </c>
      <c r="G234" s="157"/>
      <c r="H234" s="157"/>
      <c r="I234" s="157"/>
      <c r="J234" s="157"/>
      <c r="K234" s="157"/>
      <c r="L234" s="157"/>
      <c r="M234" s="157"/>
      <c r="N234" s="157"/>
      <c r="O234" s="157"/>
      <c r="P234" s="165">
        <v>53000</v>
      </c>
      <c r="Q234" s="157"/>
      <c r="R234" s="157"/>
      <c r="S234" s="157"/>
      <c r="T234" s="157"/>
      <c r="U234" s="181">
        <v>651000</v>
      </c>
      <c r="V234" s="157"/>
      <c r="W234" s="157"/>
      <c r="X234" s="157"/>
      <c r="Y234" s="157"/>
      <c r="Z234" s="157"/>
      <c r="AA234" s="157"/>
      <c r="AB234" s="181">
        <v>41000</v>
      </c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6"/>
      <c r="AS234" s="164">
        <f>SUM(G234:AQ234)</f>
        <v>745000</v>
      </c>
      <c r="AT234" s="164">
        <f>F234+AS234</f>
        <v>7246000</v>
      </c>
      <c r="AU234" s="160"/>
      <c r="AV234" s="163">
        <f>ROUND(AT234/1000,0)</f>
        <v>7246</v>
      </c>
      <c r="AW234" s="162">
        <f>'[2]ADJ DETAIL INPUT'!$AU$55</f>
        <v>7246</v>
      </c>
      <c r="AX234" s="161">
        <f>AV234-AW234</f>
        <v>0</v>
      </c>
      <c r="AY234" s="160"/>
    </row>
    <row r="235" spans="1:51" ht="14.1" customHeight="1">
      <c r="A235" s="160">
        <v>235</v>
      </c>
      <c r="B235" s="159"/>
      <c r="C235" s="159"/>
      <c r="D235" s="159"/>
      <c r="E235" s="156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6"/>
      <c r="AS235" s="164"/>
      <c r="AT235" s="164"/>
      <c r="AU235" s="160"/>
      <c r="AV235" s="164"/>
      <c r="AW235" s="161"/>
      <c r="AX235" s="161"/>
      <c r="AY235" s="160"/>
    </row>
    <row r="236" spans="1:51" s="169" customFormat="1" ht="14.1" customHeight="1">
      <c r="A236" s="160">
        <v>236</v>
      </c>
      <c r="B236" s="172"/>
      <c r="C236" s="172" t="s">
        <v>719</v>
      </c>
      <c r="D236" s="172"/>
      <c r="E236" s="171"/>
      <c r="F236" s="170">
        <f t="shared" ref="F236:V236" si="133">F228+SUM(F230:F234)</f>
        <v>183351000</v>
      </c>
      <c r="G236" s="170">
        <f t="shared" si="133"/>
        <v>5000</v>
      </c>
      <c r="H236" s="170">
        <f t="shared" si="133"/>
        <v>12000</v>
      </c>
      <c r="I236" s="170">
        <f t="shared" si="133"/>
        <v>6000</v>
      </c>
      <c r="J236" s="170">
        <f t="shared" si="133"/>
        <v>96000</v>
      </c>
      <c r="K236" s="170">
        <f t="shared" si="133"/>
        <v>-5238000</v>
      </c>
      <c r="L236" s="170">
        <f t="shared" si="133"/>
        <v>189000</v>
      </c>
      <c r="M236" s="170">
        <f t="shared" si="133"/>
        <v>131000</v>
      </c>
      <c r="N236" s="170">
        <f t="shared" si="133"/>
        <v>-46000</v>
      </c>
      <c r="O236" s="170">
        <f t="shared" si="133"/>
        <v>-7000</v>
      </c>
      <c r="P236" s="170">
        <f t="shared" si="133"/>
        <v>53000</v>
      </c>
      <c r="Q236" s="170">
        <f t="shared" si="133"/>
        <v>-13000</v>
      </c>
      <c r="R236" s="170">
        <f t="shared" si="133"/>
        <v>1000</v>
      </c>
      <c r="S236" s="170">
        <f t="shared" si="133"/>
        <v>-9000</v>
      </c>
      <c r="T236" s="170">
        <f t="shared" si="133"/>
        <v>-1831000</v>
      </c>
      <c r="U236" s="170">
        <f t="shared" si="133"/>
        <v>-51914000</v>
      </c>
      <c r="V236" s="170">
        <f t="shared" si="133"/>
        <v>-409000</v>
      </c>
      <c r="W236" s="170">
        <f t="shared" ref="W236:AB236" si="134">W228+SUM(W230:W234)</f>
        <v>173000</v>
      </c>
      <c r="X236" s="170">
        <f t="shared" si="134"/>
        <v>222000</v>
      </c>
      <c r="Y236" s="170">
        <f t="shared" si="134"/>
        <v>-273000</v>
      </c>
      <c r="Z236" s="170">
        <f t="shared" si="134"/>
        <v>-50784000</v>
      </c>
      <c r="AA236" s="170">
        <f t="shared" si="134"/>
        <v>-182000</v>
      </c>
      <c r="AB236" s="170">
        <f t="shared" si="134"/>
        <v>41000</v>
      </c>
      <c r="AC236" s="170">
        <f t="shared" ref="AC236:AQ236" si="135">AC228+SUM(AC230:AC234)</f>
        <v>772000</v>
      </c>
      <c r="AD236" s="170">
        <f t="shared" si="135"/>
        <v>-77000</v>
      </c>
      <c r="AE236" s="170">
        <f t="shared" si="135"/>
        <v>269000</v>
      </c>
      <c r="AF236" s="170">
        <f t="shared" si="135"/>
        <v>852000</v>
      </c>
      <c r="AG236" s="170">
        <f t="shared" si="135"/>
        <v>493000</v>
      </c>
      <c r="AH236" s="170">
        <f t="shared" si="135"/>
        <v>366000</v>
      </c>
      <c r="AI236" s="170">
        <f t="shared" si="135"/>
        <v>689000</v>
      </c>
      <c r="AJ236" s="170">
        <f t="shared" si="135"/>
        <v>441000</v>
      </c>
      <c r="AK236" s="170">
        <f t="shared" si="135"/>
        <v>110000</v>
      </c>
      <c r="AL236" s="170">
        <f t="shared" si="135"/>
        <v>143000</v>
      </c>
      <c r="AM236" s="170">
        <f t="shared" si="135"/>
        <v>150000</v>
      </c>
      <c r="AN236" s="170">
        <f t="shared" si="135"/>
        <v>489000</v>
      </c>
      <c r="AO236" s="170">
        <f t="shared" si="135"/>
        <v>2550000</v>
      </c>
      <c r="AP236" s="170">
        <f t="shared" si="135"/>
        <v>1245000</v>
      </c>
      <c r="AQ236" s="170">
        <f t="shared" si="135"/>
        <v>79000</v>
      </c>
      <c r="AR236" s="163"/>
      <c r="AS236" s="163">
        <f>AS228+SUM(AS230:AS234)</f>
        <v>-101205499</v>
      </c>
      <c r="AT236" s="163">
        <f>AT228+SUM(AT230:AT234)</f>
        <v>82145501</v>
      </c>
      <c r="AU236" s="167" t="str">
        <f>IF(ROUND(SUM(F236:AQ236),0)=ROUND(AT236,0),"ok","crossfoot error")</f>
        <v>crossfoot error</v>
      </c>
      <c r="AV236" s="163">
        <f>AV228+SUM(AV230:AV234)</f>
        <v>82147</v>
      </c>
      <c r="AW236" s="587">
        <f>AW228+AW231+AW232+AW233+AW234</f>
        <v>82147.187496567436</v>
      </c>
      <c r="AX236" s="161">
        <f>AV236-AW236</f>
        <v>-0.18749656743602827</v>
      </c>
      <c r="AY236" s="167"/>
    </row>
    <row r="237" spans="1:51" ht="14.1" customHeight="1">
      <c r="A237" s="160">
        <v>237</v>
      </c>
      <c r="B237" s="159"/>
      <c r="C237" s="159"/>
      <c r="D237" s="159"/>
      <c r="E237" s="156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188"/>
      <c r="AK237" s="188"/>
      <c r="AL237" s="188"/>
      <c r="AM237" s="188"/>
      <c r="AN237" s="188"/>
      <c r="AO237" s="188"/>
      <c r="AP237" s="188"/>
      <c r="AQ237" s="188"/>
      <c r="AR237" s="164"/>
      <c r="AS237" s="164"/>
      <c r="AT237" s="164"/>
      <c r="AU237" s="160"/>
      <c r="AV237" s="164"/>
      <c r="AW237" s="161"/>
      <c r="AX237" s="161"/>
      <c r="AY237" s="160"/>
    </row>
    <row r="238" spans="1:51" ht="14.1" customHeight="1">
      <c r="A238" s="160">
        <v>238</v>
      </c>
      <c r="B238" s="159" t="str">
        <f>$B$1</f>
        <v>Proforma</v>
      </c>
      <c r="C238" s="159"/>
      <c r="D238" s="159"/>
      <c r="E238" s="164"/>
      <c r="F238" s="188"/>
      <c r="G238" s="188"/>
      <c r="H238" s="188"/>
      <c r="I238" s="188" t="str">
        <f>$I$1</f>
        <v>Natural Gas Utility</v>
      </c>
      <c r="J238" s="188"/>
      <c r="K238" s="188"/>
      <c r="L238" s="188"/>
      <c r="M238" s="188"/>
      <c r="N238" s="541"/>
      <c r="P238" s="188"/>
      <c r="Q238" s="188"/>
      <c r="R238" s="188"/>
      <c r="S238" s="188"/>
      <c r="T238" s="549"/>
      <c r="U238" s="549"/>
      <c r="V238" s="188"/>
      <c r="W238" s="188"/>
      <c r="X238" s="188"/>
      <c r="Y238" s="188"/>
      <c r="Z238" s="188"/>
      <c r="AA238" s="188"/>
      <c r="AB238" s="188"/>
      <c r="AC238" s="188"/>
      <c r="AD238" s="188"/>
      <c r="AF238" s="188"/>
      <c r="AG238" s="541"/>
      <c r="AH238" s="541"/>
      <c r="AI238" s="188"/>
      <c r="AJ238" s="188"/>
      <c r="AK238" s="188"/>
      <c r="AL238" s="188"/>
      <c r="AM238" s="188"/>
      <c r="AN238" s="188"/>
      <c r="AO238" s="188"/>
      <c r="AP238" s="188"/>
      <c r="AQ238" s="188"/>
      <c r="AR238" s="164"/>
      <c r="AS238" s="164"/>
      <c r="AT238" s="192"/>
      <c r="AU238" s="160"/>
      <c r="AV238" s="192"/>
      <c r="AW238" s="161"/>
      <c r="AX238" s="161"/>
      <c r="AY238" s="160"/>
    </row>
    <row r="239" spans="1:51" ht="14.1" customHeight="1">
      <c r="A239" s="160">
        <v>239</v>
      </c>
      <c r="B239" s="159" t="str">
        <f>$B$2</f>
        <v>Pro Forma Results of Operations</v>
      </c>
      <c r="C239" s="159"/>
      <c r="D239" s="159"/>
      <c r="E239" s="164" t="s">
        <v>84</v>
      </c>
      <c r="F239" s="188"/>
      <c r="G239" s="188"/>
      <c r="H239" s="188"/>
      <c r="I239" s="188"/>
      <c r="J239" s="188"/>
      <c r="K239" s="188"/>
      <c r="L239" s="188"/>
      <c r="M239" s="188"/>
      <c r="N239" s="191"/>
      <c r="P239" s="188" t="str">
        <f>E239</f>
        <v>Plant In Service</v>
      </c>
      <c r="Q239" s="188"/>
      <c r="R239" s="188"/>
      <c r="S239" s="188"/>
      <c r="T239" s="191"/>
      <c r="U239" s="191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 t="str">
        <f>E239</f>
        <v>Plant In Service</v>
      </c>
      <c r="AF239" s="188"/>
      <c r="AG239" s="191"/>
      <c r="AH239" s="191"/>
      <c r="AI239" s="188"/>
      <c r="AJ239" s="188"/>
      <c r="AK239" s="188"/>
      <c r="AL239" s="188"/>
      <c r="AM239" s="188"/>
      <c r="AN239" s="188"/>
      <c r="AO239" s="188"/>
      <c r="AP239" s="188"/>
      <c r="AQ239" s="188"/>
      <c r="AR239" s="164"/>
      <c r="AS239" s="164"/>
      <c r="AT239" s="190"/>
      <c r="AU239" s="160"/>
      <c r="AV239" s="190"/>
      <c r="AW239" s="161"/>
      <c r="AX239" s="161"/>
      <c r="AY239" s="160"/>
    </row>
    <row r="240" spans="1:51" ht="14.1" customHeight="1">
      <c r="A240" s="160">
        <v>240</v>
      </c>
      <c r="B240" s="159" t="str">
        <f>$B$3</f>
        <v>Company Base Case</v>
      </c>
      <c r="C240" s="159"/>
      <c r="D240" s="159"/>
      <c r="E240" s="164"/>
      <c r="F240" s="188"/>
      <c r="G240" s="188"/>
      <c r="H240" s="188"/>
      <c r="I240" s="188"/>
      <c r="J240" s="188"/>
      <c r="K240" s="188"/>
      <c r="L240" s="188"/>
      <c r="M240" s="188"/>
      <c r="N240" s="542"/>
      <c r="P240" s="188"/>
      <c r="Q240" s="188"/>
      <c r="R240" s="188"/>
      <c r="S240" s="188"/>
      <c r="T240" s="542"/>
      <c r="U240" s="542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64"/>
      <c r="AS240" s="164"/>
      <c r="AT240" s="189"/>
      <c r="AU240" s="160"/>
      <c r="AV240" s="189"/>
      <c r="AW240" s="161"/>
      <c r="AX240" s="161"/>
      <c r="AY240" s="160"/>
    </row>
    <row r="241" spans="1:51" ht="14.1" customHeight="1">
      <c r="A241" s="160">
        <v>241</v>
      </c>
      <c r="B241" s="159"/>
      <c r="C241" s="159"/>
      <c r="D241" s="159"/>
      <c r="E241" s="164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64"/>
      <c r="AS241" s="164"/>
      <c r="AT241" s="164"/>
      <c r="AU241" s="160"/>
      <c r="AV241" s="164"/>
      <c r="AW241" s="161"/>
      <c r="AX241" s="161"/>
      <c r="AY241" s="160"/>
    </row>
    <row r="242" spans="1:51" ht="14.1" customHeight="1">
      <c r="A242" s="160">
        <v>242</v>
      </c>
      <c r="B242" s="186"/>
      <c r="C242" s="186"/>
      <c r="D242" s="186"/>
      <c r="E242" s="186"/>
      <c r="F242" s="187">
        <f t="shared" ref="F242:AJ242" si="136">F5</f>
        <v>1</v>
      </c>
      <c r="G242" s="536">
        <f t="shared" si="136"/>
        <v>1.01</v>
      </c>
      <c r="H242" s="536">
        <f t="shared" si="136"/>
        <v>1.02</v>
      </c>
      <c r="I242" s="536">
        <f t="shared" si="136"/>
        <v>1.03</v>
      </c>
      <c r="J242" s="536">
        <f>J5</f>
        <v>1.04</v>
      </c>
      <c r="K242" s="536">
        <f t="shared" ref="K242:L245" si="137">K5</f>
        <v>2.0099999999999998</v>
      </c>
      <c r="L242" s="536">
        <f t="shared" si="137"/>
        <v>2.02</v>
      </c>
      <c r="M242" s="536">
        <f t="shared" si="136"/>
        <v>2.0299999999999998</v>
      </c>
      <c r="N242" s="536">
        <f t="shared" si="136"/>
        <v>2.04</v>
      </c>
      <c r="O242" s="536">
        <f t="shared" si="136"/>
        <v>2.0499999999999998</v>
      </c>
      <c r="P242" s="536">
        <f t="shared" si="136"/>
        <v>2.06</v>
      </c>
      <c r="Q242" s="536">
        <f t="shared" ref="Q242:S245" si="138">Q5</f>
        <v>2.0699999999999998</v>
      </c>
      <c r="R242" s="536">
        <f t="shared" si="138"/>
        <v>2.08</v>
      </c>
      <c r="S242" s="536">
        <f t="shared" si="138"/>
        <v>2.09</v>
      </c>
      <c r="T242" s="536">
        <f t="shared" ref="T242:U245" si="139">T5</f>
        <v>2.1</v>
      </c>
      <c r="U242" s="536">
        <f t="shared" si="139"/>
        <v>2.11</v>
      </c>
      <c r="V242" s="536">
        <f t="shared" si="136"/>
        <v>2.12</v>
      </c>
      <c r="W242" s="536">
        <f t="shared" ref="W242:X245" si="140">W5</f>
        <v>2.13</v>
      </c>
      <c r="X242" s="536">
        <f t="shared" si="140"/>
        <v>2.14</v>
      </c>
      <c r="Y242" s="536">
        <f t="shared" ref="Y242:AB245" si="141">Y5</f>
        <v>2.15</v>
      </c>
      <c r="Z242" s="536">
        <f t="shared" si="141"/>
        <v>3.01</v>
      </c>
      <c r="AA242" s="536">
        <f t="shared" si="141"/>
        <v>3.02</v>
      </c>
      <c r="AB242" s="536">
        <f t="shared" si="141"/>
        <v>3.03</v>
      </c>
      <c r="AC242" s="536">
        <f t="shared" si="136"/>
        <v>3.04</v>
      </c>
      <c r="AD242" s="536">
        <f t="shared" si="136"/>
        <v>3.05</v>
      </c>
      <c r="AE242" s="536">
        <f t="shared" si="136"/>
        <v>3.0599999999999996</v>
      </c>
      <c r="AF242" s="536">
        <f t="shared" si="136"/>
        <v>3.0699999999999994</v>
      </c>
      <c r="AG242" s="536">
        <f t="shared" ref="AG242:AH245" si="142">AG5</f>
        <v>3.08</v>
      </c>
      <c r="AH242" s="536">
        <f t="shared" si="142"/>
        <v>3.09</v>
      </c>
      <c r="AI242" s="536">
        <f t="shared" si="136"/>
        <v>3.1</v>
      </c>
      <c r="AJ242" s="536">
        <f t="shared" si="136"/>
        <v>3.11</v>
      </c>
      <c r="AK242" s="536">
        <f t="shared" ref="AK242:AL245" si="143">AK5</f>
        <v>3.1199999999999997</v>
      </c>
      <c r="AL242" s="536">
        <f t="shared" si="143"/>
        <v>3.1299999999999994</v>
      </c>
      <c r="AM242" s="536">
        <f t="shared" ref="AM242:AQ245" si="144">AM5</f>
        <v>3.1399999999999992</v>
      </c>
      <c r="AN242" s="536">
        <f t="shared" si="144"/>
        <v>3.149999999999999</v>
      </c>
      <c r="AO242" s="536">
        <f t="shared" si="144"/>
        <v>3.1599999999999988</v>
      </c>
      <c r="AP242" s="536">
        <f t="shared" si="144"/>
        <v>3.1699999999999986</v>
      </c>
      <c r="AQ242" s="536">
        <f t="shared" si="144"/>
        <v>3.1799999999999984</v>
      </c>
      <c r="AR242" s="186"/>
      <c r="AS242" s="186" t="str">
        <f>AS$5</f>
        <v>(as)</v>
      </c>
      <c r="AT242" s="186" t="str">
        <f>AT$5</f>
        <v>(at)</v>
      </c>
      <c r="AU242" s="186" t="str">
        <f>AU$5</f>
        <v>(au)</v>
      </c>
      <c r="AV242" s="186" t="str">
        <f>AV$5</f>
        <v>(av)</v>
      </c>
      <c r="AW242" s="161"/>
      <c r="AX242" s="161"/>
      <c r="AY242" s="201"/>
    </row>
    <row r="243" spans="1:51" ht="14.1" customHeight="1">
      <c r="A243" s="160">
        <v>243</v>
      </c>
      <c r="B243" s="183" t="str">
        <f>IF(ISBLANK(B$6),"",B$6)</f>
        <v/>
      </c>
      <c r="C243" s="183" t="str">
        <f>IF(ISBLANK(C$6),"",C$6)</f>
        <v/>
      </c>
      <c r="D243" s="183" t="str">
        <f>IF(ISBLANK(D$6),"",D$6)</f>
        <v/>
      </c>
      <c r="E243" s="183" t="str">
        <f>IF(ISBLANK(E$6),"",E$6)</f>
        <v>Notes</v>
      </c>
      <c r="F243" s="183" t="s">
        <v>707</v>
      </c>
      <c r="G243" s="537" t="str">
        <f t="shared" ref="G243:I245" si="145">G6</f>
        <v>Deferred FIT</v>
      </c>
      <c r="H243" s="537" t="str">
        <f t="shared" si="145"/>
        <v>Deferred Debits</v>
      </c>
      <c r="I243" s="537" t="str">
        <f t="shared" si="145"/>
        <v xml:space="preserve">Working </v>
      </c>
      <c r="J243" s="537" t="str">
        <f>J6</f>
        <v>Remove</v>
      </c>
      <c r="K243" s="537" t="str">
        <f t="shared" si="137"/>
        <v>Eliminate</v>
      </c>
      <c r="L243" s="537" t="str">
        <f t="shared" si="137"/>
        <v>Restate</v>
      </c>
      <c r="M243" s="537" t="str">
        <f t="shared" ref="M243:P245" si="146">M6</f>
        <v>Uncollectible</v>
      </c>
      <c r="N243" s="537" t="str">
        <f t="shared" si="146"/>
        <v>Regulatory</v>
      </c>
      <c r="O243" s="537" t="str">
        <f t="shared" si="146"/>
        <v>Injuries &amp;</v>
      </c>
      <c r="P243" s="537" t="str">
        <f t="shared" si="146"/>
        <v>FIT/DFIT</v>
      </c>
      <c r="Q243" s="537" t="str">
        <f t="shared" si="138"/>
        <v>Office Space</v>
      </c>
      <c r="R243" s="537" t="str">
        <f t="shared" si="138"/>
        <v>Restate</v>
      </c>
      <c r="S243" s="537" t="str">
        <f t="shared" si="138"/>
        <v>Net Gains/</v>
      </c>
      <c r="T243" s="537" t="str">
        <f t="shared" si="139"/>
        <v>Weather Normalization</v>
      </c>
      <c r="U243" s="537" t="str">
        <f t="shared" si="139"/>
        <v>Eliminate</v>
      </c>
      <c r="V243" s="537" t="str">
        <f>V6</f>
        <v>Misc. Restating</v>
      </c>
      <c r="W243" s="537" t="str">
        <f t="shared" si="140"/>
        <v xml:space="preserve">Restating </v>
      </c>
      <c r="X243" s="537" t="str">
        <f t="shared" si="140"/>
        <v xml:space="preserve">Restate </v>
      </c>
      <c r="Y243" s="537" t="str">
        <f t="shared" si="141"/>
        <v xml:space="preserve">Restate </v>
      </c>
      <c r="Z243" s="537" t="str">
        <f t="shared" si="141"/>
        <v>Pro Forma Revenue</v>
      </c>
      <c r="AA243" s="537" t="str">
        <f t="shared" si="141"/>
        <v xml:space="preserve">Pro Forma Def. </v>
      </c>
      <c r="AB243" s="537" t="str">
        <f t="shared" si="141"/>
        <v>Pro Forma</v>
      </c>
      <c r="AC243" s="537" t="str">
        <f t="shared" ref="AC243:AF245" si="147">AC6</f>
        <v>Pro Forma</v>
      </c>
      <c r="AD243" s="537" t="str">
        <f t="shared" si="147"/>
        <v>Pro Forma</v>
      </c>
      <c r="AE243" s="537" t="str">
        <f t="shared" si="147"/>
        <v>Pro Forma</v>
      </c>
      <c r="AF243" s="537" t="str">
        <f t="shared" si="147"/>
        <v>Pro Forma</v>
      </c>
      <c r="AG243" s="537" t="str">
        <f t="shared" si="142"/>
        <v>Pro Forma</v>
      </c>
      <c r="AH243" s="537" t="str">
        <f t="shared" si="142"/>
        <v>Pro Forma</v>
      </c>
      <c r="AI243" s="537" t="str">
        <f t="shared" ref="AI243:AJ245" si="148">AI6</f>
        <v xml:space="preserve">Pro Forma </v>
      </c>
      <c r="AJ243" s="537" t="str">
        <f t="shared" si="148"/>
        <v>Pro Forma</v>
      </c>
      <c r="AK243" s="537" t="str">
        <f t="shared" si="143"/>
        <v>Pro Forma</v>
      </c>
      <c r="AL243" s="537" t="str">
        <f t="shared" si="143"/>
        <v>Pro Forma</v>
      </c>
      <c r="AM243" s="537" t="str">
        <f t="shared" si="144"/>
        <v>Pro Forma</v>
      </c>
      <c r="AN243" s="537" t="str">
        <f t="shared" si="144"/>
        <v>Pro Forma</v>
      </c>
      <c r="AO243" s="537" t="str">
        <f t="shared" si="144"/>
        <v>Pro Forma</v>
      </c>
      <c r="AP243" s="537" t="str">
        <f t="shared" si="144"/>
        <v>Pro Forma</v>
      </c>
      <c r="AQ243" s="537" t="str">
        <f t="shared" si="144"/>
        <v>Pro Forma</v>
      </c>
      <c r="AR243" s="183"/>
      <c r="AS243" s="183" t="str">
        <f>IF(ISBLANK(AS$6),"",AS$6)</f>
        <v>Net Total</v>
      </c>
      <c r="AT243" s="183" t="str">
        <f>IF(ISBLANK(AT$6),"",AT$6)</f>
        <v>Total</v>
      </c>
      <c r="AU243" s="183" t="str">
        <f>IF(ISBLANK(AU$6),"",AU$6)</f>
        <v>check</v>
      </c>
      <c r="AV243" s="183" t="str">
        <f>IF(ISBLANK(AV$6),"",AV$6)</f>
        <v>Total</v>
      </c>
      <c r="AW243" s="161"/>
      <c r="AX243" s="161"/>
      <c r="AY243" s="183"/>
    </row>
    <row r="244" spans="1:51" ht="14.1" customHeight="1">
      <c r="A244" s="160">
        <v>244</v>
      </c>
      <c r="B244" s="185" t="str">
        <f>IF(ISBLANK(B$7),"",B$7)</f>
        <v>Account</v>
      </c>
      <c r="C244" s="184" t="str">
        <f>IF(ISBLANK(C$7),"",C$7)</f>
        <v>Description</v>
      </c>
      <c r="D244" s="183"/>
      <c r="E244" s="183" t="str">
        <f>IF(ISBLANK(E$7),"",E$7)</f>
        <v/>
      </c>
      <c r="F244" s="183" t="s">
        <v>706</v>
      </c>
      <c r="G244" s="537" t="str">
        <f t="shared" si="145"/>
        <v>Rate Base</v>
      </c>
      <c r="H244" s="537" t="str">
        <f t="shared" si="145"/>
        <v>and Credits</v>
      </c>
      <c r="I244" s="537" t="str">
        <f t="shared" si="145"/>
        <v>Capital</v>
      </c>
      <c r="J244" s="537" t="str">
        <f>J7</f>
        <v>AMI Rate Base</v>
      </c>
      <c r="K244" s="537" t="str">
        <f t="shared" si="137"/>
        <v>B &amp; O Taxes</v>
      </c>
      <c r="L244" s="537" t="str">
        <f t="shared" si="137"/>
        <v>Property Taxes</v>
      </c>
      <c r="M244" s="537" t="str">
        <f t="shared" si="146"/>
        <v>Expense</v>
      </c>
      <c r="N244" s="537" t="str">
        <f t="shared" si="146"/>
        <v>Expense</v>
      </c>
      <c r="O244" s="537" t="str">
        <f t="shared" si="146"/>
        <v>Damages</v>
      </c>
      <c r="P244" s="537" t="str">
        <f t="shared" si="146"/>
        <v>Expense</v>
      </c>
      <c r="Q244" s="537" t="str">
        <f t="shared" si="138"/>
        <v>Charges to Subs</v>
      </c>
      <c r="R244" s="537" t="str">
        <f t="shared" si="138"/>
        <v>Excise Tax</v>
      </c>
      <c r="S244" s="537" t="str">
        <f t="shared" si="138"/>
        <v>Losses</v>
      </c>
      <c r="T244" s="537" t="str">
        <f t="shared" si="139"/>
        <v>Gas Cost Adjust</v>
      </c>
      <c r="U244" s="537" t="str">
        <f t="shared" si="139"/>
        <v>Adder Schedules</v>
      </c>
      <c r="V244" s="537" t="str">
        <f>V7</f>
        <v>Adjustments</v>
      </c>
      <c r="W244" s="537" t="str">
        <f t="shared" si="140"/>
        <v>Incentives</v>
      </c>
      <c r="X244" s="537" t="str">
        <f t="shared" si="140"/>
        <v>Debt Int</v>
      </c>
      <c r="Y244" s="537" t="str">
        <f t="shared" si="141"/>
        <v>2019 Rate Base</v>
      </c>
      <c r="Z244" s="537" t="str">
        <f t="shared" si="141"/>
        <v>Normalization</v>
      </c>
      <c r="AA244" s="537" t="str">
        <f t="shared" si="141"/>
        <v>Debits &amp; Credits</v>
      </c>
      <c r="AB244" s="537" t="str">
        <f t="shared" si="141"/>
        <v>ARAM</v>
      </c>
      <c r="AC244" s="537" t="str">
        <f t="shared" si="147"/>
        <v>Non-Exec Labor</v>
      </c>
      <c r="AD244" s="537" t="str">
        <f t="shared" si="147"/>
        <v>Exec Labor</v>
      </c>
      <c r="AE244" s="537" t="str">
        <f t="shared" si="147"/>
        <v>Empl. Benefits</v>
      </c>
      <c r="AF244" s="537" t="str">
        <f t="shared" si="147"/>
        <v>Insurance Exp</v>
      </c>
      <c r="AG244" s="537" t="str">
        <f t="shared" si="142"/>
        <v>IS/IT</v>
      </c>
      <c r="AH244" s="537" t="str">
        <f t="shared" si="142"/>
        <v>Property Tax</v>
      </c>
      <c r="AI244" s="537" t="str">
        <f t="shared" si="148"/>
        <v>Fee Free Amort</v>
      </c>
      <c r="AJ244" s="537" t="str">
        <f t="shared" si="148"/>
        <v>2020 Customer AT Center</v>
      </c>
      <c r="AK244" s="537" t="str">
        <f t="shared" si="143"/>
        <v>2020 Large &amp; Distinct</v>
      </c>
      <c r="AL244" s="537" t="str">
        <f t="shared" si="143"/>
        <v>2020 Programmatic</v>
      </c>
      <c r="AM244" s="537" t="str">
        <f t="shared" si="144"/>
        <v>2020 Mandatory</v>
      </c>
      <c r="AN244" s="537" t="str">
        <f t="shared" si="144"/>
        <v>2020 Short Lived</v>
      </c>
      <c r="AO244" s="537" t="str">
        <f t="shared" si="144"/>
        <v>AMI Capital Adds</v>
      </c>
      <c r="AP244" s="537" t="str">
        <f t="shared" si="144"/>
        <v>LEAP Def. Amort</v>
      </c>
      <c r="AQ244" s="537" t="str">
        <f t="shared" si="144"/>
        <v>Tax Repairs</v>
      </c>
      <c r="AR244" s="183"/>
      <c r="AS244" s="183" t="str">
        <f>IF(ISBLANK(AS$7),"",AS$7)</f>
        <v>of All</v>
      </c>
      <c r="AT244" s="183" t="str">
        <f>IF(ISBLANK(AT$7),"",AT$7)</f>
        <v/>
      </c>
      <c r="AU244" s="183" t="str">
        <f>IF(ISBLANK(AU$7),"",AU$7)</f>
        <v/>
      </c>
      <c r="AV244" s="183" t="str">
        <f>IF(ISBLANK(AV$7),"",AV$7)</f>
        <v>$000's</v>
      </c>
      <c r="AW244" s="161"/>
      <c r="AX244" s="161"/>
      <c r="AY244" s="183"/>
    </row>
    <row r="245" spans="1:51" ht="14.1" customHeight="1">
      <c r="A245" s="160">
        <v>245</v>
      </c>
      <c r="B245" s="183" t="str">
        <f>IF(ISBLANK(B$8),"",B$8)</f>
        <v/>
      </c>
      <c r="C245" s="183" t="str">
        <f>IF(ISBLANK(C$8),"",C$8)</f>
        <v/>
      </c>
      <c r="D245" s="183" t="str">
        <f>IF(ISBLANK(D$8),"",D$8)</f>
        <v/>
      </c>
      <c r="E245" s="183" t="str">
        <f>IF(ISBLANK(E$8),"",E$8)</f>
        <v/>
      </c>
      <c r="F245" s="183"/>
      <c r="G245" s="537" t="str">
        <f t="shared" si="145"/>
        <v>G-DFIT</v>
      </c>
      <c r="H245" s="537" t="str">
        <f t="shared" si="145"/>
        <v>G-DDC</v>
      </c>
      <c r="I245" s="537" t="str">
        <f t="shared" si="145"/>
        <v>G-WC</v>
      </c>
      <c r="J245" s="537" t="str">
        <f>J8</f>
        <v>G-AMI</v>
      </c>
      <c r="K245" s="537" t="str">
        <f t="shared" si="137"/>
        <v>G-EBO</v>
      </c>
      <c r="L245" s="537" t="str">
        <f t="shared" si="137"/>
        <v>G-RPT</v>
      </c>
      <c r="M245" s="537" t="str">
        <f t="shared" si="146"/>
        <v>G-UE</v>
      </c>
      <c r="N245" s="537" t="str">
        <f t="shared" si="146"/>
        <v>G-RE</v>
      </c>
      <c r="O245" s="537" t="str">
        <f t="shared" si="146"/>
        <v>G-ID</v>
      </c>
      <c r="P245" s="537" t="str">
        <f t="shared" si="146"/>
        <v>G-FIT</v>
      </c>
      <c r="Q245" s="537" t="str">
        <f t="shared" si="138"/>
        <v>G-OSC</v>
      </c>
      <c r="R245" s="537" t="str">
        <f t="shared" si="138"/>
        <v>G-RET</v>
      </c>
      <c r="S245" s="537" t="str">
        <f t="shared" si="138"/>
        <v>G-NGL</v>
      </c>
      <c r="T245" s="537" t="str">
        <f t="shared" si="139"/>
        <v>G-WNGC</v>
      </c>
      <c r="U245" s="537" t="str">
        <f t="shared" si="139"/>
        <v>G-EAS</v>
      </c>
      <c r="V245" s="537" t="str">
        <f>V8</f>
        <v>G-MR</v>
      </c>
      <c r="W245" s="537" t="str">
        <f t="shared" si="140"/>
        <v>G-RI</v>
      </c>
      <c r="X245" s="537" t="str">
        <f t="shared" si="140"/>
        <v>G-DI</v>
      </c>
      <c r="Y245" s="537" t="str">
        <f t="shared" si="141"/>
        <v>G-EOP19</v>
      </c>
      <c r="Z245" s="537" t="str">
        <f t="shared" si="141"/>
        <v>G-PREV</v>
      </c>
      <c r="AA245" s="537" t="str">
        <f t="shared" si="141"/>
        <v>G-PRA</v>
      </c>
      <c r="AB245" s="537" t="str">
        <f t="shared" si="141"/>
        <v>G-ARAM</v>
      </c>
      <c r="AC245" s="537" t="str">
        <f t="shared" si="147"/>
        <v>G-PLN</v>
      </c>
      <c r="AD245" s="537" t="str">
        <f t="shared" si="147"/>
        <v>G-PLE</v>
      </c>
      <c r="AE245" s="537" t="str">
        <f t="shared" si="147"/>
        <v>G-PEB</v>
      </c>
      <c r="AF245" s="537" t="str">
        <f t="shared" si="147"/>
        <v>G-PINS</v>
      </c>
      <c r="AG245" s="537" t="str">
        <f t="shared" si="142"/>
        <v>G-PIT</v>
      </c>
      <c r="AH245" s="537" t="str">
        <f t="shared" si="142"/>
        <v>G-PPT</v>
      </c>
      <c r="AI245" s="537" t="str">
        <f t="shared" si="148"/>
        <v>G-PFEE</v>
      </c>
      <c r="AJ245" s="537" t="str">
        <f t="shared" si="148"/>
        <v>G-PCAP1</v>
      </c>
      <c r="AK245" s="537" t="str">
        <f t="shared" si="143"/>
        <v>G-PCAP2</v>
      </c>
      <c r="AL245" s="537" t="str">
        <f t="shared" si="143"/>
        <v>G-PCAP3</v>
      </c>
      <c r="AM245" s="537" t="str">
        <f t="shared" si="144"/>
        <v>G-PCAP4</v>
      </c>
      <c r="AN245" s="537" t="str">
        <f t="shared" si="144"/>
        <v>G-PCAP5</v>
      </c>
      <c r="AO245" s="537" t="str">
        <f t="shared" si="144"/>
        <v>G-PAMI</v>
      </c>
      <c r="AP245" s="537" t="str">
        <f t="shared" si="144"/>
        <v>G-PLEAP</v>
      </c>
      <c r="AQ245" s="537" t="str">
        <f t="shared" si="144"/>
        <v>G-PTAX</v>
      </c>
      <c r="AR245" s="183"/>
      <c r="AS245" s="183" t="str">
        <f>IF(ISBLANK(AS$8),"",AS$8)</f>
        <v>Adjustments</v>
      </c>
      <c r="AT245" s="183" t="str">
        <f>IF(ISBLANK(AT$8),"",AT$8)</f>
        <v/>
      </c>
      <c r="AU245" s="183" t="str">
        <f>IF(ISBLANK(AU$8),"",AU$8)</f>
        <v/>
      </c>
      <c r="AV245" s="183" t="str">
        <f>IF(ISBLANK(AV$8),"",AV$8)</f>
        <v>in bold</v>
      </c>
      <c r="AW245" s="161"/>
      <c r="AX245" s="161"/>
      <c r="AY245" s="183"/>
    </row>
    <row r="246" spans="1:51" ht="14.1" customHeight="1">
      <c r="A246" s="160">
        <v>246</v>
      </c>
      <c r="B246" s="159"/>
      <c r="C246" s="159"/>
      <c r="D246" s="159"/>
      <c r="E246" s="156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6"/>
      <c r="AS246" s="159"/>
      <c r="AT246" s="159"/>
      <c r="AU246" s="183">
        <f>AU$9</f>
        <v>0</v>
      </c>
      <c r="AV246" s="159"/>
      <c r="AW246" s="161"/>
      <c r="AX246" s="161"/>
      <c r="AY246" s="183"/>
    </row>
    <row r="247" spans="1:51" ht="14.1" customHeight="1">
      <c r="A247" s="160">
        <v>247</v>
      </c>
      <c r="B247" s="172" t="s">
        <v>83</v>
      </c>
      <c r="C247" s="172"/>
      <c r="D247" s="159"/>
      <c r="E247" s="156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6"/>
      <c r="AS247" s="164"/>
      <c r="AT247" s="164"/>
      <c r="AU247" s="160"/>
      <c r="AV247" s="164"/>
      <c r="AW247" s="161"/>
      <c r="AX247" s="161"/>
      <c r="AY247" s="160"/>
    </row>
    <row r="248" spans="1:51" ht="14.1" customHeight="1">
      <c r="A248" s="160">
        <v>248</v>
      </c>
      <c r="B248" s="172" t="s">
        <v>84</v>
      </c>
      <c r="C248" s="172"/>
      <c r="D248" s="159"/>
      <c r="E248" s="156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6"/>
      <c r="AS248" s="164"/>
      <c r="AT248" s="164"/>
      <c r="AU248" s="160"/>
      <c r="AV248" s="164"/>
      <c r="AW248" s="161"/>
      <c r="AX248" s="161"/>
      <c r="AY248" s="160"/>
    </row>
    <row r="249" spans="1:51" ht="14.1" customHeight="1">
      <c r="A249" s="160">
        <v>249</v>
      </c>
      <c r="B249" s="163"/>
      <c r="C249" s="163" t="s">
        <v>85</v>
      </c>
      <c r="D249" s="164"/>
      <c r="E249" s="156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6"/>
      <c r="AS249" s="164"/>
      <c r="AT249" s="164"/>
      <c r="AU249" s="160"/>
      <c r="AV249" s="164"/>
      <c r="AW249" s="161"/>
      <c r="AX249" s="161"/>
      <c r="AY249" s="160"/>
    </row>
    <row r="250" spans="1:51" ht="14.1" customHeight="1">
      <c r="A250" s="160">
        <v>250</v>
      </c>
      <c r="B250" s="202">
        <v>303</v>
      </c>
      <c r="C250" s="164" t="s">
        <v>278</v>
      </c>
      <c r="D250" s="164"/>
      <c r="E250" s="156"/>
      <c r="F250" s="165">
        <v>2522000</v>
      </c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6"/>
      <c r="AS250" s="164">
        <f>SUM(G250:AQ250)</f>
        <v>0</v>
      </c>
      <c r="AT250" s="164">
        <f>F250+AS250</f>
        <v>2522000</v>
      </c>
      <c r="AU250" s="160"/>
      <c r="AV250" s="164">
        <f>ROUND(AT250/1000,0)*1000</f>
        <v>2522000</v>
      </c>
      <c r="AW250" s="161"/>
      <c r="AX250" s="161"/>
      <c r="AY250" s="160"/>
    </row>
    <row r="251" spans="1:51" ht="14.1" customHeight="1">
      <c r="A251" s="160">
        <v>251</v>
      </c>
      <c r="B251" s="164" t="s">
        <v>712</v>
      </c>
      <c r="C251" s="164" t="s">
        <v>711</v>
      </c>
      <c r="D251" s="164"/>
      <c r="E251" s="156"/>
      <c r="F251" s="165">
        <f>39910000-F252</f>
        <v>31236313</v>
      </c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81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81"/>
      <c r="AJ251" s="181">
        <v>1387000</v>
      </c>
      <c r="AK251" s="181">
        <v>279000</v>
      </c>
      <c r="AL251" s="181">
        <v>9000</v>
      </c>
      <c r="AM251" s="157"/>
      <c r="AN251" s="181">
        <v>2231000</v>
      </c>
      <c r="AO251" s="181"/>
      <c r="AP251" s="157"/>
      <c r="AQ251" s="157"/>
      <c r="AR251" s="156"/>
      <c r="AS251" s="164">
        <f>SUM(G251:AQ251)</f>
        <v>3906000</v>
      </c>
      <c r="AT251" s="164">
        <f>F251+AS251</f>
        <v>35142313</v>
      </c>
      <c r="AU251" s="160"/>
      <c r="AV251" s="164">
        <f>ROUND(AT251/1000,0)*1000</f>
        <v>35142000</v>
      </c>
      <c r="AW251" s="161"/>
      <c r="AX251" s="161"/>
      <c r="AY251" s="160"/>
    </row>
    <row r="252" spans="1:51" ht="14.1" customHeight="1">
      <c r="A252" s="160">
        <v>252</v>
      </c>
      <c r="B252" s="164" t="s">
        <v>1462</v>
      </c>
      <c r="C252" s="164" t="s">
        <v>1463</v>
      </c>
      <c r="D252" s="164"/>
      <c r="E252" s="156"/>
      <c r="F252" s="165">
        <v>8673687</v>
      </c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81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81"/>
      <c r="AJ252" s="181"/>
      <c r="AK252" s="157"/>
      <c r="AL252" s="157"/>
      <c r="AM252" s="157"/>
      <c r="AN252" s="157"/>
      <c r="AO252" s="181">
        <v>8572608</v>
      </c>
      <c r="AP252" s="157"/>
      <c r="AQ252" s="157"/>
      <c r="AR252" s="156"/>
      <c r="AS252" s="164">
        <f>SUM(G252:AQ252)</f>
        <v>8572608</v>
      </c>
      <c r="AT252" s="164">
        <f>F252+AS252</f>
        <v>17246295</v>
      </c>
      <c r="AU252" s="160"/>
      <c r="AV252" s="164">
        <f>ROUND(AT252/1000,0)*1000</f>
        <v>17246000</v>
      </c>
      <c r="AW252" s="161"/>
      <c r="AX252" s="161"/>
      <c r="AY252" s="160"/>
    </row>
    <row r="253" spans="1:51" s="169" customFormat="1" ht="14.1" customHeight="1">
      <c r="A253" s="160">
        <v>253</v>
      </c>
      <c r="B253" s="163"/>
      <c r="C253" s="163" t="s">
        <v>87</v>
      </c>
      <c r="D253" s="163"/>
      <c r="E253" s="171"/>
      <c r="F253" s="174">
        <f>SUM(F250:F252)</f>
        <v>42432000</v>
      </c>
      <c r="G253" s="174">
        <f>SUM(G250:G252)</f>
        <v>0</v>
      </c>
      <c r="H253" s="174">
        <f t="shared" ref="H253:AQ253" si="149">SUM(H250:H252)</f>
        <v>0</v>
      </c>
      <c r="I253" s="174">
        <f t="shared" si="149"/>
        <v>0</v>
      </c>
      <c r="J253" s="174">
        <f t="shared" si="149"/>
        <v>0</v>
      </c>
      <c r="K253" s="174">
        <f t="shared" si="149"/>
        <v>0</v>
      </c>
      <c r="L253" s="174">
        <f t="shared" si="149"/>
        <v>0</v>
      </c>
      <c r="M253" s="174">
        <f t="shared" si="149"/>
        <v>0</v>
      </c>
      <c r="N253" s="174">
        <f t="shared" si="149"/>
        <v>0</v>
      </c>
      <c r="O253" s="174">
        <f t="shared" si="149"/>
        <v>0</v>
      </c>
      <c r="P253" s="174">
        <f t="shared" si="149"/>
        <v>0</v>
      </c>
      <c r="Q253" s="174">
        <f t="shared" si="149"/>
        <v>0</v>
      </c>
      <c r="R253" s="174">
        <f t="shared" si="149"/>
        <v>0</v>
      </c>
      <c r="S253" s="174">
        <f t="shared" si="149"/>
        <v>0</v>
      </c>
      <c r="T253" s="174">
        <f t="shared" si="149"/>
        <v>0</v>
      </c>
      <c r="U253" s="174">
        <f t="shared" si="149"/>
        <v>0</v>
      </c>
      <c r="V253" s="174">
        <f t="shared" si="149"/>
        <v>0</v>
      </c>
      <c r="W253" s="174">
        <f t="shared" si="149"/>
        <v>0</v>
      </c>
      <c r="X253" s="174">
        <f t="shared" si="149"/>
        <v>0</v>
      </c>
      <c r="Y253" s="174">
        <f t="shared" si="149"/>
        <v>0</v>
      </c>
      <c r="Z253" s="174">
        <f t="shared" si="149"/>
        <v>0</v>
      </c>
      <c r="AA253" s="174">
        <f t="shared" si="149"/>
        <v>0</v>
      </c>
      <c r="AB253" s="174">
        <f t="shared" si="149"/>
        <v>0</v>
      </c>
      <c r="AC253" s="174">
        <f t="shared" si="149"/>
        <v>0</v>
      </c>
      <c r="AD253" s="174">
        <f t="shared" si="149"/>
        <v>0</v>
      </c>
      <c r="AE253" s="174">
        <f t="shared" si="149"/>
        <v>0</v>
      </c>
      <c r="AF253" s="174">
        <f t="shared" si="149"/>
        <v>0</v>
      </c>
      <c r="AG253" s="174">
        <f t="shared" si="149"/>
        <v>0</v>
      </c>
      <c r="AH253" s="174">
        <f t="shared" si="149"/>
        <v>0</v>
      </c>
      <c r="AI253" s="174">
        <f t="shared" si="149"/>
        <v>0</v>
      </c>
      <c r="AJ253" s="174">
        <f t="shared" si="149"/>
        <v>1387000</v>
      </c>
      <c r="AK253" s="174">
        <f t="shared" si="149"/>
        <v>279000</v>
      </c>
      <c r="AL253" s="174">
        <f t="shared" si="149"/>
        <v>9000</v>
      </c>
      <c r="AM253" s="174">
        <f t="shared" si="149"/>
        <v>0</v>
      </c>
      <c r="AN253" s="174">
        <f t="shared" si="149"/>
        <v>2231000</v>
      </c>
      <c r="AO253" s="174">
        <f t="shared" si="149"/>
        <v>8572608</v>
      </c>
      <c r="AP253" s="174">
        <f t="shared" si="149"/>
        <v>0</v>
      </c>
      <c r="AQ253" s="174">
        <f t="shared" si="149"/>
        <v>0</v>
      </c>
      <c r="AR253" s="173"/>
      <c r="AS253" s="173">
        <f>SUM(AS250:AS252)</f>
        <v>12478608</v>
      </c>
      <c r="AT253" s="173">
        <f>SUM(AT250:AT252)</f>
        <v>54910608</v>
      </c>
      <c r="AU253" s="167" t="str">
        <f>IF(ROUND(SUM(F253:AQ253),0)=ROUND(AT253,0),"ok","crossfoot error")</f>
        <v>ok</v>
      </c>
      <c r="AV253" s="173">
        <f>SUM(AV250:AV252)/1000</f>
        <v>54910</v>
      </c>
      <c r="AW253" s="161"/>
      <c r="AX253" s="161">
        <f>AV253-AW253</f>
        <v>54910</v>
      </c>
      <c r="AY253" s="161">
        <f>AX253+AX293</f>
        <v>0</v>
      </c>
    </row>
    <row r="254" spans="1:51" ht="14.1" customHeight="1">
      <c r="A254" s="160">
        <v>254</v>
      </c>
      <c r="B254" s="159"/>
      <c r="C254" s="159"/>
      <c r="D254" s="159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6"/>
      <c r="AS254" s="164"/>
      <c r="AT254" s="164"/>
      <c r="AU254" s="160"/>
      <c r="AV254" s="164"/>
      <c r="AW254" s="161"/>
      <c r="AX254" s="161"/>
      <c r="AY254" s="160"/>
    </row>
    <row r="255" spans="1:51" ht="14.1" customHeight="1">
      <c r="A255" s="160">
        <v>255</v>
      </c>
      <c r="B255" s="175"/>
      <c r="C255" s="172" t="s">
        <v>237</v>
      </c>
      <c r="D255" s="159"/>
      <c r="E255" s="156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6"/>
      <c r="AS255" s="164"/>
      <c r="AT255" s="164"/>
      <c r="AU255" s="160"/>
      <c r="AV255" s="164"/>
      <c r="AW255" s="161"/>
      <c r="AX255" s="161"/>
      <c r="AY255" s="160"/>
    </row>
    <row r="256" spans="1:51" ht="14.1" customHeight="1">
      <c r="A256" s="160">
        <v>256</v>
      </c>
      <c r="B256" s="200">
        <v>350</v>
      </c>
      <c r="C256" s="159" t="s">
        <v>88</v>
      </c>
      <c r="D256" s="159"/>
      <c r="E256" s="156"/>
      <c r="F256" s="165">
        <v>912000</v>
      </c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81">
        <f>ROUND(F256/$F$264*700000,-3)</f>
        <v>21000</v>
      </c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81">
        <f>ROUND(F256/$F$264*1342000,-3)</f>
        <v>41000</v>
      </c>
      <c r="AL256" s="157"/>
      <c r="AM256" s="157"/>
      <c r="AN256" s="157"/>
      <c r="AO256" s="157"/>
      <c r="AP256" s="157"/>
      <c r="AQ256" s="157"/>
      <c r="AR256" s="156"/>
      <c r="AS256" s="164">
        <f>SUM(G256:AQ256)</f>
        <v>62000</v>
      </c>
      <c r="AT256" s="164">
        <f t="shared" ref="AT256:AT263" si="150">F256+AS256</f>
        <v>974000</v>
      </c>
      <c r="AU256" s="160"/>
      <c r="AV256" s="164">
        <f t="shared" ref="AV256:AV263" si="151">ROUND(AT256/1000,0)*1000</f>
        <v>974000</v>
      </c>
      <c r="AW256" s="161"/>
      <c r="AX256" s="161"/>
      <c r="AY256" s="160"/>
    </row>
    <row r="257" spans="1:51" ht="14.1" customHeight="1">
      <c r="A257" s="160">
        <v>257</v>
      </c>
      <c r="B257" s="200">
        <v>351</v>
      </c>
      <c r="C257" s="159" t="s">
        <v>89</v>
      </c>
      <c r="D257" s="159"/>
      <c r="E257" s="156"/>
      <c r="F257" s="165">
        <v>1897000</v>
      </c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81">
        <f t="shared" ref="Y257:Y263" si="152">ROUND(F257/$F$264*700000,-3)</f>
        <v>45000</v>
      </c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81">
        <f t="shared" ref="AK257:AK263" si="153">ROUND(F257/$F$264*1342000,-3)</f>
        <v>86000</v>
      </c>
      <c r="AL257" s="157"/>
      <c r="AM257" s="157"/>
      <c r="AN257" s="157"/>
      <c r="AO257" s="157"/>
      <c r="AP257" s="157"/>
      <c r="AQ257" s="157"/>
      <c r="AR257" s="156"/>
      <c r="AS257" s="164">
        <f t="shared" ref="AS257:AS263" si="154">SUM(G257:AQ257)</f>
        <v>131000</v>
      </c>
      <c r="AT257" s="164">
        <f t="shared" si="150"/>
        <v>2028000</v>
      </c>
      <c r="AU257" s="160"/>
      <c r="AV257" s="164">
        <f t="shared" si="151"/>
        <v>2028000</v>
      </c>
      <c r="AW257" s="161"/>
      <c r="AX257" s="161"/>
      <c r="AY257" s="160"/>
    </row>
    <row r="258" spans="1:51" ht="14.1" customHeight="1">
      <c r="A258" s="160">
        <v>258</v>
      </c>
      <c r="B258" s="200">
        <v>352</v>
      </c>
      <c r="C258" s="159" t="s">
        <v>238</v>
      </c>
      <c r="D258" s="159"/>
      <c r="E258" s="156"/>
      <c r="F258" s="165">
        <f>13706000-1000</f>
        <v>13705000</v>
      </c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81">
        <f t="shared" si="152"/>
        <v>323000</v>
      </c>
      <c r="Z258" s="165"/>
      <c r="AA258" s="165"/>
      <c r="AB258" s="165"/>
      <c r="AC258" s="157"/>
      <c r="AD258" s="157"/>
      <c r="AE258" s="157"/>
      <c r="AF258" s="157"/>
      <c r="AG258" s="165"/>
      <c r="AH258" s="165"/>
      <c r="AK258" s="181">
        <f t="shared" si="153"/>
        <v>619000</v>
      </c>
      <c r="AL258" s="165"/>
      <c r="AM258" s="165"/>
      <c r="AN258" s="165"/>
      <c r="AO258" s="165"/>
      <c r="AP258" s="165"/>
      <c r="AQ258" s="165"/>
      <c r="AR258" s="156"/>
      <c r="AS258" s="164">
        <f t="shared" si="154"/>
        <v>942000</v>
      </c>
      <c r="AT258" s="164">
        <f t="shared" si="150"/>
        <v>14647000</v>
      </c>
      <c r="AU258" s="160"/>
      <c r="AV258" s="164">
        <f>ROUND(AT258/1000,0)*1000</f>
        <v>14647000</v>
      </c>
      <c r="AW258" s="161"/>
      <c r="AX258" s="161"/>
      <c r="AY258" s="160"/>
    </row>
    <row r="259" spans="1:51" ht="14.1" customHeight="1">
      <c r="A259" s="160">
        <v>259</v>
      </c>
      <c r="B259" s="200">
        <v>353</v>
      </c>
      <c r="C259" s="159" t="s">
        <v>239</v>
      </c>
      <c r="D259" s="159"/>
      <c r="E259" s="156"/>
      <c r="F259" s="165">
        <v>805000</v>
      </c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81">
        <f t="shared" si="152"/>
        <v>19000</v>
      </c>
      <c r="Z259" s="165"/>
      <c r="AA259" s="165"/>
      <c r="AB259" s="165"/>
      <c r="AC259" s="157"/>
      <c r="AD259" s="157"/>
      <c r="AE259" s="157"/>
      <c r="AF259" s="157"/>
      <c r="AG259" s="165"/>
      <c r="AH259" s="165"/>
      <c r="AI259" s="157"/>
      <c r="AJ259" s="157"/>
      <c r="AK259" s="181">
        <f t="shared" si="153"/>
        <v>36000</v>
      </c>
      <c r="AL259" s="165"/>
      <c r="AM259" s="165"/>
      <c r="AN259" s="165"/>
      <c r="AO259" s="165"/>
      <c r="AP259" s="165"/>
      <c r="AQ259" s="165"/>
      <c r="AR259" s="156"/>
      <c r="AS259" s="164">
        <f t="shared" si="154"/>
        <v>55000</v>
      </c>
      <c r="AT259" s="164">
        <f t="shared" si="150"/>
        <v>860000</v>
      </c>
      <c r="AU259" s="160"/>
      <c r="AV259" s="164">
        <f t="shared" si="151"/>
        <v>860000</v>
      </c>
      <c r="AW259" s="161"/>
      <c r="AX259" s="161"/>
      <c r="AY259" s="160"/>
    </row>
    <row r="260" spans="1:51" ht="14.1" customHeight="1">
      <c r="A260" s="160">
        <v>260</v>
      </c>
      <c r="B260" s="200">
        <v>354</v>
      </c>
      <c r="C260" s="159" t="s">
        <v>240</v>
      </c>
      <c r="D260" s="159"/>
      <c r="E260" s="156"/>
      <c r="F260" s="165">
        <v>9056000</v>
      </c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81">
        <f t="shared" si="152"/>
        <v>213000</v>
      </c>
      <c r="Z260" s="165"/>
      <c r="AA260" s="165"/>
      <c r="AB260" s="165"/>
      <c r="AC260" s="157"/>
      <c r="AD260" s="157"/>
      <c r="AE260" s="157"/>
      <c r="AF260" s="157"/>
      <c r="AG260" s="165"/>
      <c r="AH260" s="165"/>
      <c r="AI260" s="157"/>
      <c r="AJ260" s="157"/>
      <c r="AK260" s="181">
        <f t="shared" si="153"/>
        <v>409000</v>
      </c>
      <c r="AL260" s="165"/>
      <c r="AM260" s="165"/>
      <c r="AN260" s="165"/>
      <c r="AO260" s="165"/>
      <c r="AP260" s="165"/>
      <c r="AQ260" s="165"/>
      <c r="AR260" s="156"/>
      <c r="AS260" s="164">
        <f t="shared" si="154"/>
        <v>622000</v>
      </c>
      <c r="AT260" s="164">
        <f t="shared" si="150"/>
        <v>9678000</v>
      </c>
      <c r="AU260" s="160"/>
      <c r="AV260" s="164">
        <f t="shared" si="151"/>
        <v>9678000</v>
      </c>
      <c r="AW260" s="161"/>
      <c r="AX260" s="161"/>
      <c r="AY260" s="160"/>
    </row>
    <row r="261" spans="1:51" ht="14.1" customHeight="1">
      <c r="A261" s="160">
        <v>261</v>
      </c>
      <c r="B261" s="200">
        <v>355</v>
      </c>
      <c r="C261" s="159" t="s">
        <v>241</v>
      </c>
      <c r="D261" s="159"/>
      <c r="E261" s="156"/>
      <c r="F261" s="165">
        <v>1098000</v>
      </c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81">
        <f t="shared" si="152"/>
        <v>26000</v>
      </c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81">
        <f t="shared" si="153"/>
        <v>50000</v>
      </c>
      <c r="AL261" s="157"/>
      <c r="AM261" s="157"/>
      <c r="AN261" s="157"/>
      <c r="AO261" s="157"/>
      <c r="AP261" s="157"/>
      <c r="AQ261" s="157"/>
      <c r="AR261" s="156"/>
      <c r="AS261" s="164">
        <f t="shared" si="154"/>
        <v>76000</v>
      </c>
      <c r="AT261" s="164">
        <f t="shared" si="150"/>
        <v>1174000</v>
      </c>
      <c r="AU261" s="160"/>
      <c r="AV261" s="164">
        <f t="shared" si="151"/>
        <v>1174000</v>
      </c>
      <c r="AW261" s="161"/>
      <c r="AX261" s="161"/>
      <c r="AY261" s="160"/>
    </row>
    <row r="262" spans="1:51" ht="14.1" customHeight="1">
      <c r="A262" s="160">
        <v>262</v>
      </c>
      <c r="B262" s="200">
        <v>356</v>
      </c>
      <c r="C262" s="159" t="s">
        <v>242</v>
      </c>
      <c r="D262" s="159"/>
      <c r="E262" s="156"/>
      <c r="F262" s="165">
        <v>289000</v>
      </c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81">
        <f t="shared" si="152"/>
        <v>7000</v>
      </c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81">
        <f t="shared" si="153"/>
        <v>13000</v>
      </c>
      <c r="AL262" s="157"/>
      <c r="AM262" s="157"/>
      <c r="AN262" s="157"/>
      <c r="AO262" s="157"/>
      <c r="AP262" s="157"/>
      <c r="AQ262" s="157"/>
      <c r="AR262" s="156"/>
      <c r="AS262" s="164">
        <f t="shared" si="154"/>
        <v>20000</v>
      </c>
      <c r="AT262" s="164">
        <f t="shared" si="150"/>
        <v>309000</v>
      </c>
      <c r="AU262" s="160"/>
      <c r="AV262" s="164">
        <f t="shared" si="151"/>
        <v>309000</v>
      </c>
      <c r="AW262" s="161"/>
      <c r="AX262" s="161"/>
      <c r="AY262" s="160"/>
    </row>
    <row r="263" spans="1:51" ht="14.1" customHeight="1">
      <c r="A263" s="160">
        <v>263</v>
      </c>
      <c r="B263" s="200">
        <v>357</v>
      </c>
      <c r="C263" s="159" t="s">
        <v>243</v>
      </c>
      <c r="D263" s="159"/>
      <c r="E263" s="156"/>
      <c r="F263" s="165">
        <v>1952000</v>
      </c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81">
        <f t="shared" si="152"/>
        <v>46000</v>
      </c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81"/>
      <c r="AJ263" s="181"/>
      <c r="AK263" s="181">
        <f t="shared" si="153"/>
        <v>88000</v>
      </c>
      <c r="AL263" s="157"/>
      <c r="AM263" s="157"/>
      <c r="AN263" s="157"/>
      <c r="AO263" s="157"/>
      <c r="AP263" s="157"/>
      <c r="AQ263" s="157"/>
      <c r="AR263" s="156"/>
      <c r="AS263" s="164">
        <f t="shared" si="154"/>
        <v>134000</v>
      </c>
      <c r="AT263" s="164">
        <f t="shared" si="150"/>
        <v>2086000</v>
      </c>
      <c r="AU263" s="160"/>
      <c r="AV263" s="164">
        <f t="shared" si="151"/>
        <v>2086000</v>
      </c>
      <c r="AW263" s="161"/>
      <c r="AX263" s="161"/>
      <c r="AY263" s="160"/>
    </row>
    <row r="264" spans="1:51" s="169" customFormat="1" ht="14.1" customHeight="1">
      <c r="A264" s="160">
        <v>264</v>
      </c>
      <c r="B264" s="172"/>
      <c r="C264" s="172" t="s">
        <v>244</v>
      </c>
      <c r="D264" s="172"/>
      <c r="E264" s="171"/>
      <c r="F264" s="174">
        <f t="shared" ref="F264:AG264" si="155">SUM(F256:F263)</f>
        <v>29714000</v>
      </c>
      <c r="G264" s="174">
        <f t="shared" si="155"/>
        <v>0</v>
      </c>
      <c r="H264" s="174">
        <f t="shared" si="155"/>
        <v>0</v>
      </c>
      <c r="I264" s="174">
        <f t="shared" si="155"/>
        <v>0</v>
      </c>
      <c r="J264" s="174">
        <f>SUM(J256:J263)</f>
        <v>0</v>
      </c>
      <c r="K264" s="174">
        <f>SUM(K256:K263)</f>
        <v>0</v>
      </c>
      <c r="L264" s="174">
        <f>SUM(L256:L263)</f>
        <v>0</v>
      </c>
      <c r="M264" s="174">
        <f t="shared" si="155"/>
        <v>0</v>
      </c>
      <c r="N264" s="174">
        <f t="shared" si="155"/>
        <v>0</v>
      </c>
      <c r="O264" s="174">
        <f t="shared" si="155"/>
        <v>0</v>
      </c>
      <c r="P264" s="174">
        <f t="shared" si="155"/>
        <v>0</v>
      </c>
      <c r="Q264" s="174">
        <f>SUM(Q256:Q263)</f>
        <v>0</v>
      </c>
      <c r="R264" s="174">
        <f>SUM(R256:R263)</f>
        <v>0</v>
      </c>
      <c r="S264" s="174">
        <f>SUM(S256:S263)</f>
        <v>0</v>
      </c>
      <c r="T264" s="174">
        <f>SUM(T256:T263)</f>
        <v>0</v>
      </c>
      <c r="U264" s="174">
        <f>SUM(U256:U263)</f>
        <v>0</v>
      </c>
      <c r="V264" s="174">
        <f t="shared" si="155"/>
        <v>0</v>
      </c>
      <c r="W264" s="174">
        <f t="shared" ref="W264:AB264" si="156">SUM(W256:W263)</f>
        <v>0</v>
      </c>
      <c r="X264" s="174">
        <f t="shared" si="156"/>
        <v>0</v>
      </c>
      <c r="Y264" s="174">
        <f t="shared" si="156"/>
        <v>700000</v>
      </c>
      <c r="Z264" s="174">
        <f t="shared" si="156"/>
        <v>0</v>
      </c>
      <c r="AA264" s="174">
        <f t="shared" si="156"/>
        <v>0</v>
      </c>
      <c r="AB264" s="174">
        <f t="shared" si="156"/>
        <v>0</v>
      </c>
      <c r="AC264" s="174">
        <f t="shared" si="155"/>
        <v>0</v>
      </c>
      <c r="AD264" s="174">
        <f t="shared" si="155"/>
        <v>0</v>
      </c>
      <c r="AE264" s="174">
        <f t="shared" si="155"/>
        <v>0</v>
      </c>
      <c r="AF264" s="174">
        <f t="shared" si="155"/>
        <v>0</v>
      </c>
      <c r="AG264" s="174">
        <f t="shared" si="155"/>
        <v>0</v>
      </c>
      <c r="AH264" s="174">
        <f>SUM(AH256:AH263)</f>
        <v>0</v>
      </c>
      <c r="AI264" s="174">
        <f t="shared" ref="AI264:AQ264" si="157">SUM(AI256:AI263)</f>
        <v>0</v>
      </c>
      <c r="AJ264" s="174">
        <f t="shared" si="157"/>
        <v>0</v>
      </c>
      <c r="AK264" s="174">
        <f t="shared" si="157"/>
        <v>1342000</v>
      </c>
      <c r="AL264" s="174">
        <f t="shared" si="157"/>
        <v>0</v>
      </c>
      <c r="AM264" s="174">
        <f t="shared" si="157"/>
        <v>0</v>
      </c>
      <c r="AN264" s="174">
        <f t="shared" si="157"/>
        <v>0</v>
      </c>
      <c r="AO264" s="174">
        <f t="shared" si="157"/>
        <v>0</v>
      </c>
      <c r="AP264" s="174">
        <f t="shared" si="157"/>
        <v>0</v>
      </c>
      <c r="AQ264" s="174">
        <f t="shared" si="157"/>
        <v>0</v>
      </c>
      <c r="AR264" s="173"/>
      <c r="AS264" s="173">
        <f>SUM(AS256:AS263)</f>
        <v>2042000</v>
      </c>
      <c r="AT264" s="173">
        <f>SUM(AT256:AT263)</f>
        <v>31756000</v>
      </c>
      <c r="AU264" s="167" t="str">
        <f>IF(ROUND(SUM(F264:AQ264),0)=ROUND(AT264,0),"ok","crossfoot error")</f>
        <v>ok</v>
      </c>
      <c r="AV264" s="173">
        <f>SUM(AV256:AV263)/1000</f>
        <v>31756</v>
      </c>
      <c r="AW264" s="162">
        <f>'[2]ADJ DETAIL INPUT'!$AU$62</f>
        <v>31756.673382965633</v>
      </c>
      <c r="AX264" s="161">
        <f>AV264-AW264</f>
        <v>-0.6733829656332091</v>
      </c>
      <c r="AY264" s="167"/>
    </row>
    <row r="265" spans="1:51" ht="14.1" customHeight="1">
      <c r="A265" s="160">
        <v>265</v>
      </c>
      <c r="B265" s="159"/>
      <c r="C265" s="159"/>
      <c r="D265" s="159"/>
      <c r="E265" s="156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6"/>
      <c r="AS265" s="164"/>
      <c r="AT265" s="164"/>
      <c r="AU265" s="160"/>
      <c r="AV265" s="164"/>
      <c r="AW265" s="161"/>
      <c r="AX265" s="161"/>
      <c r="AY265" s="160"/>
    </row>
    <row r="266" spans="1:51" ht="14.1" customHeight="1">
      <c r="A266" s="160">
        <v>266</v>
      </c>
      <c r="B266" s="159"/>
      <c r="C266" s="172" t="s">
        <v>90</v>
      </c>
      <c r="D266" s="159"/>
      <c r="E266" s="156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6"/>
      <c r="AS266" s="164"/>
      <c r="AT266" s="164"/>
      <c r="AU266" s="160"/>
      <c r="AV266" s="164"/>
      <c r="AW266" s="161"/>
      <c r="AX266" s="161"/>
      <c r="AY266" s="160"/>
    </row>
    <row r="267" spans="1:51" ht="14.1" customHeight="1">
      <c r="A267" s="160">
        <v>267</v>
      </c>
      <c r="B267" s="158">
        <v>374</v>
      </c>
      <c r="C267" s="159" t="s">
        <v>88</v>
      </c>
      <c r="D267" s="159"/>
      <c r="E267" s="156"/>
      <c r="F267" s="165">
        <v>396000</v>
      </c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81">
        <f>ROUND(F267/$F$280*4409000,-3)</f>
        <v>3000</v>
      </c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81"/>
      <c r="AJ267" s="181"/>
      <c r="AK267" s="181"/>
      <c r="AL267" s="181"/>
      <c r="AM267" s="181"/>
      <c r="AN267" s="157"/>
      <c r="AO267" s="181"/>
      <c r="AP267" s="157"/>
      <c r="AQ267" s="157"/>
      <c r="AR267" s="156"/>
      <c r="AS267" s="164">
        <f>SUM(G267:AQ267)</f>
        <v>3000</v>
      </c>
      <c r="AT267" s="164">
        <f t="shared" ref="AT267:AT279" si="158">F267+AS267</f>
        <v>399000</v>
      </c>
      <c r="AU267" s="160"/>
      <c r="AV267" s="164">
        <f t="shared" ref="AV267:AV279" si="159">ROUND(AT267/1000,0)*1000</f>
        <v>399000</v>
      </c>
      <c r="AW267" s="161"/>
      <c r="AX267" s="161"/>
      <c r="AY267" s="160"/>
    </row>
    <row r="268" spans="1:51" ht="14.1" customHeight="1">
      <c r="A268" s="160">
        <v>268</v>
      </c>
      <c r="B268" s="158">
        <v>375</v>
      </c>
      <c r="C268" s="159" t="s">
        <v>89</v>
      </c>
      <c r="D268" s="159"/>
      <c r="E268" s="165"/>
      <c r="F268" s="165">
        <v>808000</v>
      </c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81">
        <f t="shared" ref="Y268:Y279" si="160">ROUND(F268/$F$280*4409000,-3)</f>
        <v>7000</v>
      </c>
      <c r="Z268" s="157"/>
      <c r="AA268" s="157"/>
      <c r="AB268" s="157"/>
      <c r="AC268" s="157"/>
      <c r="AD268" s="157"/>
      <c r="AE268" s="157"/>
      <c r="AF268" s="157"/>
      <c r="AG268" s="157"/>
      <c r="AH268" s="157"/>
      <c r="AJ268" s="181"/>
      <c r="AK268" s="181"/>
      <c r="AL268" s="181"/>
      <c r="AM268" s="181"/>
      <c r="AN268" s="157"/>
      <c r="AO268" s="181"/>
      <c r="AP268" s="157"/>
      <c r="AQ268" s="157"/>
      <c r="AR268" s="156"/>
      <c r="AS268" s="164">
        <f t="shared" ref="AS268:AS279" si="161">SUM(G268:AQ268)</f>
        <v>7000</v>
      </c>
      <c r="AT268" s="164">
        <f t="shared" si="158"/>
        <v>815000</v>
      </c>
      <c r="AU268" s="160"/>
      <c r="AV268" s="164">
        <f>ROUND(AT268/1000,0)*1000</f>
        <v>815000</v>
      </c>
      <c r="AW268" s="161"/>
      <c r="AX268" s="161"/>
      <c r="AY268" s="160"/>
    </row>
    <row r="269" spans="1:51" ht="14.1" customHeight="1">
      <c r="A269" s="160">
        <v>269</v>
      </c>
      <c r="B269" s="158" t="s">
        <v>1151</v>
      </c>
      <c r="C269" s="159" t="s">
        <v>245</v>
      </c>
      <c r="D269" s="159"/>
      <c r="E269" s="433">
        <v>1</v>
      </c>
      <c r="F269" s="181">
        <v>248466000</v>
      </c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81">
        <f t="shared" si="160"/>
        <v>2166000</v>
      </c>
      <c r="Z269" s="165"/>
      <c r="AA269" s="165"/>
      <c r="AB269" s="165"/>
      <c r="AC269" s="157"/>
      <c r="AD269" s="157"/>
      <c r="AE269" s="157"/>
      <c r="AF269" s="157"/>
      <c r="AG269" s="165"/>
      <c r="AH269" s="165"/>
      <c r="AI269" s="181"/>
      <c r="AJ269" s="181"/>
      <c r="AK269" s="181">
        <v>4241000</v>
      </c>
      <c r="AL269" s="181">
        <v>3517000</v>
      </c>
      <c r="AM269" s="181">
        <v>11735000</v>
      </c>
      <c r="AN269" s="165"/>
      <c r="AO269" s="181"/>
      <c r="AP269" s="165"/>
      <c r="AQ269" s="165"/>
      <c r="AR269" s="156"/>
      <c r="AS269" s="164">
        <f t="shared" si="161"/>
        <v>21659000</v>
      </c>
      <c r="AT269" s="164">
        <f t="shared" si="158"/>
        <v>270125000</v>
      </c>
      <c r="AU269" s="160"/>
      <c r="AV269" s="164">
        <f t="shared" si="159"/>
        <v>270125000</v>
      </c>
      <c r="AW269" s="161"/>
      <c r="AX269" s="161"/>
      <c r="AY269" s="160"/>
    </row>
    <row r="270" spans="1:51" ht="14.1" customHeight="1">
      <c r="A270" s="160">
        <v>270</v>
      </c>
      <c r="B270" s="158">
        <v>376</v>
      </c>
      <c r="C270" s="159" t="s">
        <v>245</v>
      </c>
      <c r="D270" s="159"/>
      <c r="E270" s="199">
        <f>1-E269</f>
        <v>0</v>
      </c>
      <c r="F270" s="157">
        <f>ROUND($E$268*E270,-3)</f>
        <v>0</v>
      </c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81">
        <f t="shared" si="160"/>
        <v>0</v>
      </c>
      <c r="Z270" s="165"/>
      <c r="AA270" s="165"/>
      <c r="AB270" s="165"/>
      <c r="AC270" s="157"/>
      <c r="AD270" s="157"/>
      <c r="AE270" s="157"/>
      <c r="AF270" s="157"/>
      <c r="AG270" s="165"/>
      <c r="AH270" s="165"/>
      <c r="AI270" s="181"/>
      <c r="AJ270" s="181"/>
      <c r="AK270" s="181"/>
      <c r="AL270" s="181"/>
      <c r="AM270" s="181"/>
      <c r="AN270" s="165"/>
      <c r="AO270" s="181"/>
      <c r="AP270" s="165"/>
      <c r="AQ270" s="165"/>
      <c r="AR270" s="156"/>
      <c r="AS270" s="164">
        <f t="shared" si="161"/>
        <v>0</v>
      </c>
      <c r="AT270" s="164">
        <f t="shared" si="158"/>
        <v>0</v>
      </c>
      <c r="AU270" s="160"/>
      <c r="AV270" s="164">
        <f t="shared" si="159"/>
        <v>0</v>
      </c>
      <c r="AW270" s="161"/>
      <c r="AX270" s="161"/>
      <c r="AY270" s="160"/>
    </row>
    <row r="271" spans="1:51" ht="14.1" customHeight="1">
      <c r="A271" s="160">
        <v>271</v>
      </c>
      <c r="B271" s="158">
        <v>378</v>
      </c>
      <c r="C271" s="159" t="s">
        <v>246</v>
      </c>
      <c r="D271" s="159"/>
      <c r="E271" s="156"/>
      <c r="F271" s="165">
        <v>4122000</v>
      </c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81">
        <f t="shared" si="160"/>
        <v>36000</v>
      </c>
      <c r="Z271" s="157"/>
      <c r="AA271" s="157"/>
      <c r="AB271" s="157"/>
      <c r="AC271" s="157"/>
      <c r="AD271" s="157"/>
      <c r="AE271" s="157"/>
      <c r="AF271" s="157"/>
      <c r="AG271" s="181"/>
      <c r="AH271" s="181"/>
      <c r="AI271" s="181"/>
      <c r="AJ271" s="181"/>
      <c r="AK271" s="181"/>
      <c r="AL271" s="181"/>
      <c r="AM271" s="181"/>
      <c r="AN271" s="157"/>
      <c r="AO271" s="181"/>
      <c r="AP271" s="157"/>
      <c r="AQ271" s="157"/>
      <c r="AR271" s="156"/>
      <c r="AS271" s="164">
        <f t="shared" si="161"/>
        <v>36000</v>
      </c>
      <c r="AT271" s="164">
        <f t="shared" si="158"/>
        <v>4158000</v>
      </c>
      <c r="AU271" s="160"/>
      <c r="AV271" s="164">
        <f t="shared" si="159"/>
        <v>4158000</v>
      </c>
      <c r="AW271" s="161"/>
      <c r="AX271" s="161"/>
      <c r="AY271" s="160"/>
    </row>
    <row r="272" spans="1:51" ht="14.1" customHeight="1">
      <c r="A272" s="160">
        <v>272</v>
      </c>
      <c r="B272" s="158">
        <v>379</v>
      </c>
      <c r="C272" s="159" t="s">
        <v>247</v>
      </c>
      <c r="D272" s="159"/>
      <c r="E272" s="156"/>
      <c r="F272" s="165">
        <v>1880000</v>
      </c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81">
        <f t="shared" si="160"/>
        <v>16000</v>
      </c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81"/>
      <c r="AJ272" s="181"/>
      <c r="AK272" s="181"/>
      <c r="AL272" s="181"/>
      <c r="AM272" s="181"/>
      <c r="AN272" s="157"/>
      <c r="AO272" s="181"/>
      <c r="AP272" s="157"/>
      <c r="AQ272" s="157"/>
      <c r="AR272" s="156"/>
      <c r="AS272" s="164">
        <f t="shared" si="161"/>
        <v>16000</v>
      </c>
      <c r="AT272" s="164">
        <f t="shared" si="158"/>
        <v>1896000</v>
      </c>
      <c r="AU272" s="160"/>
      <c r="AV272" s="164">
        <f t="shared" si="159"/>
        <v>1896000</v>
      </c>
      <c r="AW272" s="161"/>
      <c r="AX272" s="161"/>
      <c r="AY272" s="160"/>
    </row>
    <row r="273" spans="1:51" ht="14.1" customHeight="1">
      <c r="A273" s="160">
        <v>273</v>
      </c>
      <c r="B273" s="158">
        <v>380</v>
      </c>
      <c r="C273" s="159" t="s">
        <v>91</v>
      </c>
      <c r="D273" s="159"/>
      <c r="E273" s="156"/>
      <c r="F273" s="165">
        <v>185716000</v>
      </c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81">
        <f t="shared" si="160"/>
        <v>1619000</v>
      </c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81"/>
      <c r="AJ273" s="181"/>
      <c r="AK273" s="181"/>
      <c r="AL273" s="181"/>
      <c r="AM273" s="181"/>
      <c r="AN273" s="157"/>
      <c r="AO273" s="181"/>
      <c r="AP273" s="157"/>
      <c r="AQ273" s="157"/>
      <c r="AR273" s="156"/>
      <c r="AS273" s="164">
        <f t="shared" si="161"/>
        <v>1619000</v>
      </c>
      <c r="AT273" s="164">
        <f t="shared" si="158"/>
        <v>187335000</v>
      </c>
      <c r="AU273" s="160"/>
      <c r="AV273" s="164">
        <f t="shared" si="159"/>
        <v>187335000</v>
      </c>
      <c r="AW273" s="161"/>
      <c r="AX273" s="161"/>
      <c r="AY273" s="160"/>
    </row>
    <row r="274" spans="1:51" ht="14.1" customHeight="1">
      <c r="A274" s="160">
        <v>274</v>
      </c>
      <c r="B274" s="158">
        <v>381</v>
      </c>
      <c r="C274" s="159" t="s">
        <v>8</v>
      </c>
      <c r="D274" s="159"/>
      <c r="E274" s="156"/>
      <c r="F274" s="165">
        <v>61627000</v>
      </c>
      <c r="G274" s="157"/>
      <c r="H274" s="157"/>
      <c r="J274" s="181">
        <v>-10036000</v>
      </c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81">
        <f t="shared" si="160"/>
        <v>537000</v>
      </c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81"/>
      <c r="AJ274" s="181"/>
      <c r="AK274" s="181"/>
      <c r="AL274" s="181"/>
      <c r="AM274" s="181"/>
      <c r="AN274" s="157"/>
      <c r="AO274" s="181">
        <v>20038000</v>
      </c>
      <c r="AP274" s="157"/>
      <c r="AQ274" s="157"/>
      <c r="AR274" s="156"/>
      <c r="AS274" s="164">
        <f t="shared" si="161"/>
        <v>10539000</v>
      </c>
      <c r="AT274" s="164">
        <f t="shared" si="158"/>
        <v>72166000</v>
      </c>
      <c r="AU274" s="160"/>
      <c r="AV274" s="164">
        <f t="shared" si="159"/>
        <v>72166000</v>
      </c>
      <c r="AW274" s="161"/>
      <c r="AX274" s="161"/>
      <c r="AY274" s="160"/>
    </row>
    <row r="275" spans="1:51" ht="14.1" customHeight="1">
      <c r="A275" s="160">
        <v>275</v>
      </c>
      <c r="B275" s="158">
        <v>382</v>
      </c>
      <c r="C275" s="159" t="s">
        <v>248</v>
      </c>
      <c r="D275" s="159"/>
      <c r="E275" s="156"/>
      <c r="F275" s="165">
        <v>0</v>
      </c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81">
        <f t="shared" si="160"/>
        <v>0</v>
      </c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81"/>
      <c r="AJ275" s="181"/>
      <c r="AK275" s="181"/>
      <c r="AL275" s="181"/>
      <c r="AM275" s="181"/>
      <c r="AN275" s="157"/>
      <c r="AO275" s="181"/>
      <c r="AP275" s="157"/>
      <c r="AQ275" s="157"/>
      <c r="AR275" s="156"/>
      <c r="AS275" s="164">
        <f t="shared" si="161"/>
        <v>0</v>
      </c>
      <c r="AT275" s="164">
        <f t="shared" si="158"/>
        <v>0</v>
      </c>
      <c r="AU275" s="160"/>
      <c r="AV275" s="164">
        <f t="shared" si="159"/>
        <v>0</v>
      </c>
      <c r="AW275" s="161"/>
      <c r="AX275" s="161"/>
      <c r="AY275" s="160"/>
    </row>
    <row r="276" spans="1:51" ht="14.1" customHeight="1">
      <c r="A276" s="160">
        <v>276</v>
      </c>
      <c r="B276" s="158">
        <v>383</v>
      </c>
      <c r="C276" s="159" t="s">
        <v>249</v>
      </c>
      <c r="D276" s="159"/>
      <c r="E276" s="156"/>
      <c r="F276" s="165">
        <v>0</v>
      </c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81">
        <f t="shared" si="160"/>
        <v>0</v>
      </c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81"/>
      <c r="AJ276" s="181"/>
      <c r="AK276" s="181"/>
      <c r="AL276" s="181"/>
      <c r="AM276" s="181"/>
      <c r="AN276" s="157"/>
      <c r="AO276" s="181"/>
      <c r="AP276" s="157"/>
      <c r="AQ276" s="157"/>
      <c r="AR276" s="156"/>
      <c r="AS276" s="164">
        <f t="shared" si="161"/>
        <v>0</v>
      </c>
      <c r="AT276" s="164">
        <f t="shared" si="158"/>
        <v>0</v>
      </c>
      <c r="AU276" s="160"/>
      <c r="AV276" s="164">
        <f t="shared" si="159"/>
        <v>0</v>
      </c>
      <c r="AW276" s="161"/>
      <c r="AX276" s="161"/>
      <c r="AY276" s="160"/>
    </row>
    <row r="277" spans="1:51" ht="14.1" customHeight="1">
      <c r="A277" s="160">
        <v>277</v>
      </c>
      <c r="B277" s="158">
        <v>384</v>
      </c>
      <c r="C277" s="159" t="s">
        <v>250</v>
      </c>
      <c r="D277" s="159"/>
      <c r="E277" s="156"/>
      <c r="F277" s="165">
        <v>0</v>
      </c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81">
        <f t="shared" si="160"/>
        <v>0</v>
      </c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81"/>
      <c r="AJ277" s="181"/>
      <c r="AK277" s="181"/>
      <c r="AL277" s="181"/>
      <c r="AM277" s="181"/>
      <c r="AN277" s="157"/>
      <c r="AO277" s="181"/>
      <c r="AP277" s="157"/>
      <c r="AQ277" s="157"/>
      <c r="AR277" s="156"/>
      <c r="AS277" s="164">
        <f t="shared" si="161"/>
        <v>0</v>
      </c>
      <c r="AT277" s="164">
        <f t="shared" si="158"/>
        <v>0</v>
      </c>
      <c r="AU277" s="160"/>
      <c r="AV277" s="164">
        <f t="shared" si="159"/>
        <v>0</v>
      </c>
      <c r="AW277" s="161"/>
      <c r="AX277" s="161"/>
      <c r="AY277" s="160"/>
    </row>
    <row r="278" spans="1:51" ht="14.1" customHeight="1">
      <c r="A278" s="160">
        <v>278</v>
      </c>
      <c r="B278" s="158">
        <v>385</v>
      </c>
      <c r="C278" s="159" t="s">
        <v>251</v>
      </c>
      <c r="D278" s="159"/>
      <c r="E278" s="156"/>
      <c r="F278" s="165">
        <v>2849000</v>
      </c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81">
        <f t="shared" si="160"/>
        <v>25000</v>
      </c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81"/>
      <c r="AJ278" s="181"/>
      <c r="AK278" s="181"/>
      <c r="AL278" s="181"/>
      <c r="AM278" s="181"/>
      <c r="AN278" s="157"/>
      <c r="AO278" s="181"/>
      <c r="AP278" s="157"/>
      <c r="AQ278" s="157"/>
      <c r="AR278" s="156"/>
      <c r="AS278" s="164">
        <f>SUM(G278:AQ278)</f>
        <v>25000</v>
      </c>
      <c r="AT278" s="164">
        <f t="shared" si="158"/>
        <v>2874000</v>
      </c>
      <c r="AU278" s="160"/>
      <c r="AV278" s="164">
        <f t="shared" si="159"/>
        <v>2874000</v>
      </c>
      <c r="AW278" s="161"/>
      <c r="AX278" s="161"/>
      <c r="AY278" s="160"/>
    </row>
    <row r="279" spans="1:51" ht="14.1" customHeight="1">
      <c r="A279" s="160">
        <v>279</v>
      </c>
      <c r="B279" s="158">
        <v>387</v>
      </c>
      <c r="C279" s="159" t="s">
        <v>243</v>
      </c>
      <c r="D279" s="159"/>
      <c r="E279" s="156"/>
      <c r="F279" s="165">
        <v>0</v>
      </c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81">
        <f t="shared" si="160"/>
        <v>0</v>
      </c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81"/>
      <c r="AJ279" s="181"/>
      <c r="AK279" s="181"/>
      <c r="AL279" s="181"/>
      <c r="AM279" s="181"/>
      <c r="AN279" s="157"/>
      <c r="AO279" s="181"/>
      <c r="AP279" s="157"/>
      <c r="AQ279" s="157"/>
      <c r="AR279" s="156"/>
      <c r="AS279" s="164">
        <f t="shared" si="161"/>
        <v>0</v>
      </c>
      <c r="AT279" s="164">
        <f t="shared" si="158"/>
        <v>0</v>
      </c>
      <c r="AU279" s="160"/>
      <c r="AV279" s="164">
        <f t="shared" si="159"/>
        <v>0</v>
      </c>
      <c r="AW279" s="161"/>
      <c r="AX279" s="161"/>
      <c r="AY279" s="160"/>
    </row>
    <row r="280" spans="1:51" s="169" customFormat="1" ht="14.1" customHeight="1">
      <c r="A280" s="160">
        <v>280</v>
      </c>
      <c r="B280" s="172"/>
      <c r="C280" s="172" t="s">
        <v>92</v>
      </c>
      <c r="D280" s="172"/>
      <c r="E280" s="171"/>
      <c r="F280" s="174">
        <f>SUM(F267:F279)</f>
        <v>505864000</v>
      </c>
      <c r="G280" s="174">
        <f t="shared" ref="G280:AG280" si="162">SUM(G267:G279)</f>
        <v>0</v>
      </c>
      <c r="H280" s="174">
        <f t="shared" si="162"/>
        <v>0</v>
      </c>
      <c r="I280" s="174">
        <f t="shared" si="162"/>
        <v>0</v>
      </c>
      <c r="J280" s="174">
        <f>SUM(J267:J279)</f>
        <v>-10036000</v>
      </c>
      <c r="K280" s="174">
        <f>SUM(K267:K279)</f>
        <v>0</v>
      </c>
      <c r="L280" s="174">
        <f>SUM(L267:L279)</f>
        <v>0</v>
      </c>
      <c r="M280" s="174">
        <f t="shared" si="162"/>
        <v>0</v>
      </c>
      <c r="N280" s="174">
        <f t="shared" si="162"/>
        <v>0</v>
      </c>
      <c r="O280" s="174">
        <f t="shared" si="162"/>
        <v>0</v>
      </c>
      <c r="P280" s="174">
        <f t="shared" si="162"/>
        <v>0</v>
      </c>
      <c r="Q280" s="174">
        <f>SUM(Q267:Q279)</f>
        <v>0</v>
      </c>
      <c r="R280" s="174">
        <f>SUM(R267:R279)</f>
        <v>0</v>
      </c>
      <c r="S280" s="174">
        <f>SUM(S267:S279)</f>
        <v>0</v>
      </c>
      <c r="T280" s="174">
        <f>SUM(T267:T279)</f>
        <v>0</v>
      </c>
      <c r="U280" s="174">
        <f>SUM(U267:U279)</f>
        <v>0</v>
      </c>
      <c r="V280" s="174">
        <f t="shared" si="162"/>
        <v>0</v>
      </c>
      <c r="W280" s="174">
        <f t="shared" ref="W280:AB280" si="163">SUM(W267:W279)</f>
        <v>0</v>
      </c>
      <c r="X280" s="174">
        <f t="shared" si="163"/>
        <v>0</v>
      </c>
      <c r="Y280" s="174">
        <f t="shared" si="163"/>
        <v>4409000</v>
      </c>
      <c r="Z280" s="174">
        <f t="shared" si="163"/>
        <v>0</v>
      </c>
      <c r="AA280" s="174">
        <f t="shared" si="163"/>
        <v>0</v>
      </c>
      <c r="AB280" s="174">
        <f t="shared" si="163"/>
        <v>0</v>
      </c>
      <c r="AC280" s="174">
        <f t="shared" si="162"/>
        <v>0</v>
      </c>
      <c r="AD280" s="174">
        <f t="shared" si="162"/>
        <v>0</v>
      </c>
      <c r="AE280" s="174">
        <f t="shared" si="162"/>
        <v>0</v>
      </c>
      <c r="AF280" s="174">
        <f t="shared" si="162"/>
        <v>0</v>
      </c>
      <c r="AG280" s="174">
        <f t="shared" si="162"/>
        <v>0</v>
      </c>
      <c r="AH280" s="174">
        <f>SUM(AH267:AH279)</f>
        <v>0</v>
      </c>
      <c r="AI280" s="174">
        <f t="shared" ref="AI280:AQ280" si="164">SUM(AI267:AI279)</f>
        <v>0</v>
      </c>
      <c r="AJ280" s="174">
        <f t="shared" si="164"/>
        <v>0</v>
      </c>
      <c r="AK280" s="174">
        <f t="shared" si="164"/>
        <v>4241000</v>
      </c>
      <c r="AL280" s="174">
        <f t="shared" si="164"/>
        <v>3517000</v>
      </c>
      <c r="AM280" s="174">
        <f t="shared" si="164"/>
        <v>11735000</v>
      </c>
      <c r="AN280" s="174">
        <f t="shared" si="164"/>
        <v>0</v>
      </c>
      <c r="AO280" s="174">
        <f t="shared" si="164"/>
        <v>20038000</v>
      </c>
      <c r="AP280" s="174">
        <f t="shared" si="164"/>
        <v>0</v>
      </c>
      <c r="AQ280" s="174">
        <f t="shared" si="164"/>
        <v>0</v>
      </c>
      <c r="AR280" s="173"/>
      <c r="AS280" s="173">
        <f>SUM(AS267:AS279)</f>
        <v>33904000</v>
      </c>
      <c r="AT280" s="173">
        <f>SUM(AT267:AT279)</f>
        <v>539768000</v>
      </c>
      <c r="AU280" s="167" t="str">
        <f>IF(ROUND(SUM(F280:AQ280),0)=ROUND(AT280,0),"ok","crossfoot error")</f>
        <v>ok</v>
      </c>
      <c r="AV280" s="173">
        <f>SUM(AV267:AV279)/1000</f>
        <v>539768</v>
      </c>
      <c r="AW280" s="162">
        <f>'[2]ADJ DETAIL INPUT'!$AU$63</f>
        <v>539767.96958838776</v>
      </c>
      <c r="AX280" s="161">
        <f>AV280-AW280</f>
        <v>3.0411612242460251E-2</v>
      </c>
      <c r="AY280" s="161">
        <f>AX280+(AV370+AV371)/1000</f>
        <v>-0.5395883877575397</v>
      </c>
    </row>
    <row r="281" spans="1:51" ht="14.1" customHeight="1">
      <c r="A281" s="160">
        <v>281</v>
      </c>
      <c r="B281" s="158"/>
      <c r="C281" s="159"/>
      <c r="D281" s="159"/>
      <c r="E281" s="156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6"/>
      <c r="AS281" s="164"/>
      <c r="AT281" s="164"/>
      <c r="AU281" s="160"/>
      <c r="AV281" s="164"/>
      <c r="AW281" s="161"/>
      <c r="AX281" s="161"/>
      <c r="AY281" s="160"/>
    </row>
    <row r="282" spans="1:51" ht="14.1" customHeight="1">
      <c r="A282" s="160">
        <v>282</v>
      </c>
      <c r="B282" s="158"/>
      <c r="C282" s="172" t="s">
        <v>93</v>
      </c>
      <c r="D282" s="159"/>
      <c r="E282" s="156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6"/>
      <c r="AS282" s="164"/>
      <c r="AT282" s="164"/>
      <c r="AU282" s="160"/>
      <c r="AV282" s="164"/>
      <c r="AW282" s="161"/>
      <c r="AX282" s="161"/>
      <c r="AY282" s="160"/>
    </row>
    <row r="283" spans="1:51" ht="14.1" customHeight="1">
      <c r="A283" s="160">
        <v>283</v>
      </c>
      <c r="B283" s="158">
        <v>389</v>
      </c>
      <c r="C283" s="159" t="s">
        <v>88</v>
      </c>
      <c r="D283" s="159"/>
      <c r="E283" s="156"/>
      <c r="F283" s="165">
        <v>4595000</v>
      </c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81">
        <f>ROUND(F283/$F$293*8492000,-3)</f>
        <v>393000</v>
      </c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81"/>
      <c r="AK283" s="181"/>
      <c r="AL283" s="181"/>
      <c r="AM283" s="157"/>
      <c r="AN283" s="181"/>
      <c r="AO283" s="181"/>
      <c r="AP283" s="157"/>
      <c r="AQ283" s="157"/>
      <c r="AR283" s="156"/>
      <c r="AS283" s="164">
        <f>SUM(G283:AQ283)</f>
        <v>393000</v>
      </c>
      <c r="AT283" s="164">
        <f t="shared" ref="AT283:AT292" si="165">F283+AS283</f>
        <v>4988000</v>
      </c>
      <c r="AU283" s="160"/>
      <c r="AV283" s="164">
        <f>ROUND(AT283/1000,0)*1000</f>
        <v>4988000</v>
      </c>
      <c r="AW283" s="161"/>
      <c r="AX283" s="161"/>
      <c r="AY283" s="160"/>
    </row>
    <row r="284" spans="1:51" ht="14.1" customHeight="1">
      <c r="A284" s="160">
        <v>284</v>
      </c>
      <c r="B284" s="158">
        <v>390</v>
      </c>
      <c r="C284" s="159" t="s">
        <v>89</v>
      </c>
      <c r="D284" s="159"/>
      <c r="E284" s="156"/>
      <c r="F284" s="165">
        <v>43153000</v>
      </c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81">
        <f>ROUND(F284/$F$293*8492000,-3)+1000</f>
        <v>3694000</v>
      </c>
      <c r="Z284" s="165"/>
      <c r="AA284" s="165"/>
      <c r="AB284" s="165"/>
      <c r="AC284" s="157"/>
      <c r="AD284" s="157"/>
      <c r="AE284" s="157"/>
      <c r="AF284" s="157"/>
      <c r="AG284" s="165"/>
      <c r="AH284" s="165"/>
      <c r="AJ284" s="181">
        <v>6000</v>
      </c>
      <c r="AK284" s="181">
        <v>455000</v>
      </c>
      <c r="AL284" s="181">
        <v>2428000</v>
      </c>
      <c r="AM284" s="165"/>
      <c r="AN284" s="181">
        <v>-379000</v>
      </c>
      <c r="AO284" s="181"/>
      <c r="AP284" s="165"/>
      <c r="AQ284" s="165"/>
      <c r="AR284" s="156"/>
      <c r="AS284" s="164">
        <f t="shared" ref="AS284:AS292" si="166">SUM(G284:AQ284)</f>
        <v>6204000</v>
      </c>
      <c r="AT284" s="164">
        <f t="shared" si="165"/>
        <v>49357000</v>
      </c>
      <c r="AU284" s="160"/>
      <c r="AV284" s="164">
        <f>ROUND(AT284/1000,0)*1000+1000</f>
        <v>49358000</v>
      </c>
      <c r="AW284" s="161"/>
      <c r="AX284" s="161"/>
      <c r="AY284" s="160"/>
    </row>
    <row r="285" spans="1:51" ht="14.1" customHeight="1">
      <c r="A285" s="160">
        <v>285</v>
      </c>
      <c r="B285" s="158">
        <v>391</v>
      </c>
      <c r="C285" s="159" t="s">
        <v>94</v>
      </c>
      <c r="D285" s="159"/>
      <c r="E285" s="156"/>
      <c r="F285" s="165">
        <v>15079000</v>
      </c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81">
        <f t="shared" ref="Y285:Y292" si="167">ROUND(F285/$F$293*8492000,-3)</f>
        <v>1290000</v>
      </c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81"/>
      <c r="AK285" s="181"/>
      <c r="AL285" s="181"/>
      <c r="AM285" s="157"/>
      <c r="AN285" s="181"/>
      <c r="AO285" s="181"/>
      <c r="AP285" s="157"/>
      <c r="AQ285" s="157"/>
      <c r="AR285" s="156"/>
      <c r="AS285" s="164">
        <f t="shared" si="166"/>
        <v>1290000</v>
      </c>
      <c r="AT285" s="164">
        <f t="shared" si="165"/>
        <v>16369000</v>
      </c>
      <c r="AU285" s="160"/>
      <c r="AV285" s="164">
        <f t="shared" ref="AV285:AV292" si="168">ROUND(AT285/1000,0)*1000</f>
        <v>16369000</v>
      </c>
      <c r="AW285" s="161"/>
      <c r="AX285" s="161"/>
      <c r="AY285" s="160"/>
    </row>
    <row r="286" spans="1:51" ht="14.1" customHeight="1">
      <c r="A286" s="160">
        <v>286</v>
      </c>
      <c r="B286" s="158">
        <v>392</v>
      </c>
      <c r="C286" s="159" t="s">
        <v>95</v>
      </c>
      <c r="D286" s="159"/>
      <c r="E286" s="156"/>
      <c r="F286" s="165">
        <v>12835000</v>
      </c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81">
        <f t="shared" si="167"/>
        <v>1098000</v>
      </c>
      <c r="Z286" s="157"/>
      <c r="AA286" s="157"/>
      <c r="AB286" s="157"/>
      <c r="AC286" s="157"/>
      <c r="AD286" s="157"/>
      <c r="AE286" s="157"/>
      <c r="AF286" s="157"/>
      <c r="AG286" s="181"/>
      <c r="AH286" s="181"/>
      <c r="AI286" s="157"/>
      <c r="AJ286" s="181"/>
      <c r="AK286" s="181"/>
      <c r="AL286" s="181"/>
      <c r="AM286" s="157"/>
      <c r="AN286" s="181"/>
      <c r="AO286" s="181"/>
      <c r="AP286" s="157"/>
      <c r="AQ286" s="157"/>
      <c r="AR286" s="156"/>
      <c r="AS286" s="164">
        <f t="shared" si="166"/>
        <v>1098000</v>
      </c>
      <c r="AT286" s="164">
        <f t="shared" si="165"/>
        <v>13933000</v>
      </c>
      <c r="AU286" s="160"/>
      <c r="AV286" s="164">
        <f>ROUND(AT286/1000,0)*1000</f>
        <v>13933000</v>
      </c>
      <c r="AW286" s="161"/>
      <c r="AX286" s="161"/>
      <c r="AY286" s="160"/>
    </row>
    <row r="287" spans="1:51" ht="14.1" customHeight="1">
      <c r="A287" s="160">
        <v>287</v>
      </c>
      <c r="B287" s="158">
        <v>393</v>
      </c>
      <c r="C287" s="159" t="s">
        <v>96</v>
      </c>
      <c r="D287" s="159"/>
      <c r="E287" s="156"/>
      <c r="F287" s="165">
        <v>875000</v>
      </c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81">
        <f t="shared" si="167"/>
        <v>75000</v>
      </c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81"/>
      <c r="AK287" s="181"/>
      <c r="AL287" s="181"/>
      <c r="AM287" s="157"/>
      <c r="AN287" s="181"/>
      <c r="AO287" s="181"/>
      <c r="AP287" s="157"/>
      <c r="AQ287" s="157"/>
      <c r="AR287" s="156"/>
      <c r="AS287" s="164">
        <f t="shared" si="166"/>
        <v>75000</v>
      </c>
      <c r="AT287" s="164">
        <f t="shared" si="165"/>
        <v>950000</v>
      </c>
      <c r="AU287" s="160"/>
      <c r="AV287" s="164">
        <f t="shared" si="168"/>
        <v>950000</v>
      </c>
      <c r="AW287" s="161"/>
      <c r="AX287" s="161"/>
      <c r="AY287" s="160"/>
    </row>
    <row r="288" spans="1:51" ht="14.1" customHeight="1">
      <c r="A288" s="160">
        <v>288</v>
      </c>
      <c r="B288" s="158">
        <v>394</v>
      </c>
      <c r="C288" s="159" t="s">
        <v>97</v>
      </c>
      <c r="D288" s="159"/>
      <c r="E288" s="156"/>
      <c r="F288" s="165">
        <v>6687000</v>
      </c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81">
        <f t="shared" si="167"/>
        <v>572000</v>
      </c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81"/>
      <c r="AK288" s="181"/>
      <c r="AL288" s="181"/>
      <c r="AM288" s="157"/>
      <c r="AN288" s="181"/>
      <c r="AO288" s="181"/>
      <c r="AP288" s="157"/>
      <c r="AQ288" s="157"/>
      <c r="AR288" s="156"/>
      <c r="AS288" s="164">
        <f t="shared" si="166"/>
        <v>572000</v>
      </c>
      <c r="AT288" s="164">
        <f t="shared" si="165"/>
        <v>7259000</v>
      </c>
      <c r="AU288" s="160"/>
      <c r="AV288" s="164">
        <f t="shared" si="168"/>
        <v>7259000</v>
      </c>
      <c r="AW288" s="161"/>
      <c r="AX288" s="161"/>
      <c r="AY288" s="160"/>
    </row>
    <row r="289" spans="1:51" ht="14.1" customHeight="1">
      <c r="A289" s="160">
        <v>289</v>
      </c>
      <c r="B289" s="158">
        <v>395</v>
      </c>
      <c r="C289" s="159" t="s">
        <v>98</v>
      </c>
      <c r="D289" s="159"/>
      <c r="E289" s="156"/>
      <c r="F289" s="165">
        <v>439000</v>
      </c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81">
        <f t="shared" si="167"/>
        <v>38000</v>
      </c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81"/>
      <c r="AK289" s="181"/>
      <c r="AL289" s="181"/>
      <c r="AM289" s="157"/>
      <c r="AN289" s="181"/>
      <c r="AO289" s="181"/>
      <c r="AP289" s="157"/>
      <c r="AQ289" s="157"/>
      <c r="AR289" s="156"/>
      <c r="AS289" s="164">
        <f t="shared" si="166"/>
        <v>38000</v>
      </c>
      <c r="AT289" s="164">
        <f t="shared" si="165"/>
        <v>477000</v>
      </c>
      <c r="AU289" s="160"/>
      <c r="AV289" s="164">
        <f t="shared" si="168"/>
        <v>477000</v>
      </c>
      <c r="AW289" s="161"/>
      <c r="AX289" s="161"/>
      <c r="AY289" s="160"/>
    </row>
    <row r="290" spans="1:51" ht="14.1" customHeight="1">
      <c r="A290" s="160">
        <v>290</v>
      </c>
      <c r="B290" s="158">
        <v>396</v>
      </c>
      <c r="C290" s="159" t="s">
        <v>99</v>
      </c>
      <c r="D290" s="159"/>
      <c r="E290" s="156"/>
      <c r="F290" s="165">
        <v>3250000</v>
      </c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81">
        <f t="shared" si="167"/>
        <v>278000</v>
      </c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81"/>
      <c r="AK290" s="181"/>
      <c r="AL290" s="181"/>
      <c r="AM290" s="157"/>
      <c r="AN290" s="181"/>
      <c r="AO290" s="181"/>
      <c r="AP290" s="157"/>
      <c r="AQ290" s="157"/>
      <c r="AR290" s="156"/>
      <c r="AS290" s="164">
        <f t="shared" si="166"/>
        <v>278000</v>
      </c>
      <c r="AT290" s="164">
        <f t="shared" si="165"/>
        <v>3528000</v>
      </c>
      <c r="AU290" s="160"/>
      <c r="AV290" s="164">
        <f t="shared" si="168"/>
        <v>3528000</v>
      </c>
      <c r="AW290" s="161"/>
      <c r="AX290" s="161"/>
      <c r="AY290" s="160"/>
    </row>
    <row r="291" spans="1:51" ht="14.1" customHeight="1">
      <c r="A291" s="160">
        <v>291</v>
      </c>
      <c r="B291" s="158">
        <v>397</v>
      </c>
      <c r="C291" s="159" t="s">
        <v>100</v>
      </c>
      <c r="D291" s="159"/>
      <c r="E291" s="156"/>
      <c r="F291" s="165">
        <v>12227000</v>
      </c>
      <c r="G291" s="157"/>
      <c r="H291" s="157"/>
      <c r="I291" s="157"/>
      <c r="J291" s="181">
        <v>-11292000</v>
      </c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81">
        <f t="shared" si="167"/>
        <v>1046000</v>
      </c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81"/>
      <c r="AK291" s="181"/>
      <c r="AL291" s="181"/>
      <c r="AM291" s="157"/>
      <c r="AN291" s="181"/>
      <c r="AO291" s="181">
        <f>13233000-8572608</f>
        <v>4660392</v>
      </c>
      <c r="AP291" s="157"/>
      <c r="AQ291" s="157"/>
      <c r="AR291" s="156"/>
      <c r="AS291" s="164">
        <f t="shared" si="166"/>
        <v>-5585608</v>
      </c>
      <c r="AT291" s="164">
        <f t="shared" si="165"/>
        <v>6641392</v>
      </c>
      <c r="AU291" s="160"/>
      <c r="AV291" s="164">
        <f t="shared" si="168"/>
        <v>6641000</v>
      </c>
      <c r="AW291" s="161"/>
      <c r="AX291" s="161"/>
      <c r="AY291" s="160"/>
    </row>
    <row r="292" spans="1:51" ht="14.1" customHeight="1">
      <c r="A292" s="160">
        <v>292</v>
      </c>
      <c r="B292" s="158">
        <v>398</v>
      </c>
      <c r="C292" s="159" t="s">
        <v>101</v>
      </c>
      <c r="D292" s="159"/>
      <c r="E292" s="156"/>
      <c r="F292" s="165">
        <v>89000</v>
      </c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81">
        <f t="shared" si="167"/>
        <v>8000</v>
      </c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81"/>
      <c r="AJ292" s="181"/>
      <c r="AK292" s="181"/>
      <c r="AL292" s="181"/>
      <c r="AM292" s="157"/>
      <c r="AN292" s="181"/>
      <c r="AO292" s="181"/>
      <c r="AP292" s="157"/>
      <c r="AQ292" s="157"/>
      <c r="AR292" s="156"/>
      <c r="AS292" s="164">
        <f t="shared" si="166"/>
        <v>8000</v>
      </c>
      <c r="AT292" s="164">
        <f t="shared" si="165"/>
        <v>97000</v>
      </c>
      <c r="AU292" s="160"/>
      <c r="AV292" s="164">
        <f t="shared" si="168"/>
        <v>97000</v>
      </c>
      <c r="AW292" s="161"/>
      <c r="AX292" s="161"/>
      <c r="AY292" s="160"/>
    </row>
    <row r="293" spans="1:51" s="169" customFormat="1" ht="14.1" customHeight="1">
      <c r="A293" s="160">
        <v>293</v>
      </c>
      <c r="B293" s="180"/>
      <c r="C293" s="172" t="s">
        <v>102</v>
      </c>
      <c r="D293" s="172"/>
      <c r="E293" s="171"/>
      <c r="F293" s="174">
        <f t="shared" ref="F293:AF293" si="169">SUM(F283:F292)</f>
        <v>99229000</v>
      </c>
      <c r="G293" s="174">
        <f t="shared" si="169"/>
        <v>0</v>
      </c>
      <c r="H293" s="174">
        <f t="shared" si="169"/>
        <v>0</v>
      </c>
      <c r="I293" s="174">
        <f t="shared" si="169"/>
        <v>0</v>
      </c>
      <c r="J293" s="174">
        <f t="shared" si="169"/>
        <v>-11292000</v>
      </c>
      <c r="K293" s="174">
        <f t="shared" si="169"/>
        <v>0</v>
      </c>
      <c r="L293" s="174">
        <f t="shared" si="169"/>
        <v>0</v>
      </c>
      <c r="M293" s="174">
        <f t="shared" si="169"/>
        <v>0</v>
      </c>
      <c r="N293" s="174">
        <f t="shared" si="169"/>
        <v>0</v>
      </c>
      <c r="O293" s="174">
        <f t="shared" si="169"/>
        <v>0</v>
      </c>
      <c r="P293" s="174">
        <f t="shared" si="169"/>
        <v>0</v>
      </c>
      <c r="Q293" s="174">
        <f t="shared" si="169"/>
        <v>0</v>
      </c>
      <c r="R293" s="174">
        <f t="shared" si="169"/>
        <v>0</v>
      </c>
      <c r="S293" s="174">
        <f t="shared" si="169"/>
        <v>0</v>
      </c>
      <c r="T293" s="174">
        <f t="shared" si="169"/>
        <v>0</v>
      </c>
      <c r="U293" s="174">
        <f t="shared" si="169"/>
        <v>0</v>
      </c>
      <c r="V293" s="174">
        <f t="shared" si="169"/>
        <v>0</v>
      </c>
      <c r="W293" s="174">
        <f t="shared" si="169"/>
        <v>0</v>
      </c>
      <c r="X293" s="174">
        <f t="shared" si="169"/>
        <v>0</v>
      </c>
      <c r="Y293" s="174">
        <f t="shared" si="169"/>
        <v>8492000</v>
      </c>
      <c r="Z293" s="174">
        <f t="shared" si="169"/>
        <v>0</v>
      </c>
      <c r="AA293" s="174">
        <f t="shared" si="169"/>
        <v>0</v>
      </c>
      <c r="AB293" s="174">
        <f t="shared" si="169"/>
        <v>0</v>
      </c>
      <c r="AC293" s="174">
        <f t="shared" si="169"/>
        <v>0</v>
      </c>
      <c r="AD293" s="174">
        <f t="shared" si="169"/>
        <v>0</v>
      </c>
      <c r="AE293" s="174">
        <f t="shared" si="169"/>
        <v>0</v>
      </c>
      <c r="AF293" s="174">
        <f t="shared" si="169"/>
        <v>0</v>
      </c>
      <c r="AG293" s="174">
        <f t="shared" ref="AG293:AQ293" si="170">SUM(AG283:AG292)</f>
        <v>0</v>
      </c>
      <c r="AH293" s="174">
        <f>SUM(AH283:AH292)</f>
        <v>0</v>
      </c>
      <c r="AI293" s="174">
        <f t="shared" si="170"/>
        <v>0</v>
      </c>
      <c r="AJ293" s="174">
        <f t="shared" si="170"/>
        <v>6000</v>
      </c>
      <c r="AK293" s="174">
        <f t="shared" si="170"/>
        <v>455000</v>
      </c>
      <c r="AL293" s="174">
        <f t="shared" si="170"/>
        <v>2428000</v>
      </c>
      <c r="AM293" s="174">
        <f t="shared" si="170"/>
        <v>0</v>
      </c>
      <c r="AN293" s="174">
        <f t="shared" si="170"/>
        <v>-379000</v>
      </c>
      <c r="AO293" s="174">
        <f t="shared" si="170"/>
        <v>4660392</v>
      </c>
      <c r="AP293" s="174">
        <f t="shared" si="170"/>
        <v>0</v>
      </c>
      <c r="AQ293" s="174">
        <f t="shared" si="170"/>
        <v>0</v>
      </c>
      <c r="AR293" s="173"/>
      <c r="AS293" s="173">
        <f>SUM(AS283:AS292)</f>
        <v>4370392</v>
      </c>
      <c r="AT293" s="173">
        <f>SUM(AT283:AT292)</f>
        <v>103599392</v>
      </c>
      <c r="AU293" s="167" t="str">
        <f>IF(ROUND(SUM(F293:AQ293),0)=ROUND(AT293,0),"ok","crossfoot error")</f>
        <v>ok</v>
      </c>
      <c r="AV293" s="173">
        <f>SUM(AV283:AV292)/1000</f>
        <v>103600</v>
      </c>
      <c r="AW293" s="162">
        <f>'[2]ADJ DETAIL INPUT'!$AU$64</f>
        <v>158510</v>
      </c>
      <c r="AX293" s="161">
        <f>AV293-AW293</f>
        <v>-54910</v>
      </c>
      <c r="AY293" s="161">
        <f>AX293+AX253</f>
        <v>0</v>
      </c>
    </row>
    <row r="294" spans="1:51" ht="14.1" customHeight="1">
      <c r="A294" s="160">
        <v>294</v>
      </c>
      <c r="B294" s="158"/>
      <c r="C294" s="159"/>
      <c r="D294" s="159"/>
      <c r="E294" s="156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6"/>
      <c r="AS294" s="164"/>
      <c r="AT294" s="164"/>
      <c r="AU294" s="160"/>
      <c r="AV294" s="164"/>
      <c r="AW294" s="161"/>
      <c r="AX294" s="161"/>
      <c r="AY294" s="160"/>
    </row>
    <row r="295" spans="1:51" s="169" customFormat="1" ht="14.1" customHeight="1">
      <c r="A295" s="160">
        <v>295</v>
      </c>
      <c r="B295" s="172"/>
      <c r="C295" s="172" t="s">
        <v>103</v>
      </c>
      <c r="D295" s="172"/>
      <c r="E295" s="171"/>
      <c r="F295" s="170">
        <f t="shared" ref="F295:AJ295" si="171">F293+F280+F264+F253</f>
        <v>677239000</v>
      </c>
      <c r="G295" s="170">
        <f t="shared" si="171"/>
        <v>0</v>
      </c>
      <c r="H295" s="170">
        <f t="shared" si="171"/>
        <v>0</v>
      </c>
      <c r="I295" s="170">
        <f t="shared" si="171"/>
        <v>0</v>
      </c>
      <c r="J295" s="170">
        <f>J293+J280+J264+J253</f>
        <v>-21328000</v>
      </c>
      <c r="K295" s="170">
        <f>K293+K280+K264+K253</f>
        <v>0</v>
      </c>
      <c r="L295" s="170">
        <f>L293+L280+L264+L253</f>
        <v>0</v>
      </c>
      <c r="M295" s="170">
        <f t="shared" si="171"/>
        <v>0</v>
      </c>
      <c r="N295" s="170">
        <f t="shared" si="171"/>
        <v>0</v>
      </c>
      <c r="O295" s="170">
        <f t="shared" si="171"/>
        <v>0</v>
      </c>
      <c r="P295" s="170">
        <f t="shared" si="171"/>
        <v>0</v>
      </c>
      <c r="Q295" s="170">
        <f>Q293+Q280+Q264+Q253</f>
        <v>0</v>
      </c>
      <c r="R295" s="170">
        <f>R293+R280+R264+R253</f>
        <v>0</v>
      </c>
      <c r="S295" s="170">
        <f>S293+S280+S264+S253</f>
        <v>0</v>
      </c>
      <c r="T295" s="170">
        <f>T293+T280+T264+T253</f>
        <v>0</v>
      </c>
      <c r="U295" s="170">
        <f>U293+U280+U264+U253</f>
        <v>0</v>
      </c>
      <c r="V295" s="170">
        <f t="shared" si="171"/>
        <v>0</v>
      </c>
      <c r="W295" s="170">
        <f t="shared" ref="W295:AB295" si="172">W293+W280+W264+W253</f>
        <v>0</v>
      </c>
      <c r="X295" s="170">
        <f t="shared" si="172"/>
        <v>0</v>
      </c>
      <c r="Y295" s="170">
        <f t="shared" si="172"/>
        <v>13601000</v>
      </c>
      <c r="Z295" s="170">
        <f t="shared" si="172"/>
        <v>0</v>
      </c>
      <c r="AA295" s="170">
        <f t="shared" si="172"/>
        <v>0</v>
      </c>
      <c r="AB295" s="170">
        <f t="shared" si="172"/>
        <v>0</v>
      </c>
      <c r="AC295" s="170">
        <f t="shared" si="171"/>
        <v>0</v>
      </c>
      <c r="AD295" s="170">
        <f t="shared" si="171"/>
        <v>0</v>
      </c>
      <c r="AE295" s="170">
        <f t="shared" si="171"/>
        <v>0</v>
      </c>
      <c r="AF295" s="170">
        <f t="shared" si="171"/>
        <v>0</v>
      </c>
      <c r="AG295" s="170">
        <f>AG293+AG280+AG264+AG253</f>
        <v>0</v>
      </c>
      <c r="AH295" s="170">
        <f>AH293+AH280+AH264+AH253</f>
        <v>0</v>
      </c>
      <c r="AI295" s="170">
        <f t="shared" si="171"/>
        <v>0</v>
      </c>
      <c r="AJ295" s="170">
        <f t="shared" si="171"/>
        <v>1393000</v>
      </c>
      <c r="AK295" s="170">
        <f t="shared" ref="AK295:AQ295" si="173">AK293+AK280+AK264+AK253</f>
        <v>6317000</v>
      </c>
      <c r="AL295" s="170">
        <f t="shared" si="173"/>
        <v>5954000</v>
      </c>
      <c r="AM295" s="170">
        <f t="shared" si="173"/>
        <v>11735000</v>
      </c>
      <c r="AN295" s="170">
        <f t="shared" si="173"/>
        <v>1852000</v>
      </c>
      <c r="AO295" s="170">
        <f t="shared" si="173"/>
        <v>33271000</v>
      </c>
      <c r="AP295" s="170">
        <f t="shared" si="173"/>
        <v>0</v>
      </c>
      <c r="AQ295" s="170">
        <f t="shared" si="173"/>
        <v>0</v>
      </c>
      <c r="AR295" s="163"/>
      <c r="AS295" s="163">
        <f>AS293+AS280+AS264+AS253</f>
        <v>52795000</v>
      </c>
      <c r="AT295" s="163">
        <f>AT293+AT280+AT264+AT253</f>
        <v>730034000</v>
      </c>
      <c r="AU295" s="167" t="str">
        <f>IF(ROUND(SUM(F295:AQ295),0)=ROUND(AT295,0),"ok","crossfoot error")</f>
        <v>ok</v>
      </c>
      <c r="AV295" s="163">
        <f>AV293+AV280+AV264+AV253</f>
        <v>730034</v>
      </c>
      <c r="AW295" s="162">
        <f>'[2]ADJ DETAIL INPUT'!$AU$65</f>
        <v>730034.64297135337</v>
      </c>
      <c r="AX295" s="161">
        <f>AV295-AW295</f>
        <v>-0.64297135337255895</v>
      </c>
      <c r="AY295" s="161">
        <f>AX295+(AV370+AV371)/1000</f>
        <v>-1.2129713533725588</v>
      </c>
    </row>
    <row r="296" spans="1:51" ht="14.1" customHeight="1">
      <c r="A296" s="160">
        <v>296</v>
      </c>
      <c r="B296" s="158"/>
      <c r="C296" s="159"/>
      <c r="D296" s="159"/>
      <c r="E296" s="156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6"/>
      <c r="AS296" s="164"/>
      <c r="AT296" s="164"/>
      <c r="AU296" s="160"/>
      <c r="AV296" s="164"/>
      <c r="AW296" s="161"/>
      <c r="AX296" s="161"/>
      <c r="AY296" s="160"/>
    </row>
    <row r="297" spans="1:51" ht="14.1" customHeight="1">
      <c r="A297" s="160">
        <v>297</v>
      </c>
      <c r="B297" s="158"/>
      <c r="C297" s="159"/>
      <c r="D297" s="159"/>
      <c r="E297" s="156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6"/>
      <c r="AS297" s="164"/>
      <c r="AT297" s="164"/>
      <c r="AU297" s="160"/>
      <c r="AV297" s="164"/>
      <c r="AW297" s="161"/>
      <c r="AX297" s="161"/>
      <c r="AY297" s="160"/>
    </row>
    <row r="298" spans="1:51" ht="14.1" customHeight="1">
      <c r="A298" s="160">
        <v>298</v>
      </c>
      <c r="B298" s="159" t="str">
        <f>$B$1</f>
        <v>Proforma</v>
      </c>
      <c r="C298" s="159"/>
      <c r="D298" s="159"/>
      <c r="E298" s="164"/>
      <c r="F298" s="188"/>
      <c r="G298" s="188"/>
      <c r="H298" s="188"/>
      <c r="I298" s="188" t="str">
        <f>$I$1</f>
        <v>Natural Gas Utility</v>
      </c>
      <c r="J298" s="188"/>
      <c r="K298" s="188"/>
      <c r="L298" s="188"/>
      <c r="M298" s="188"/>
      <c r="N298" s="541"/>
      <c r="P298" s="188"/>
      <c r="Q298" s="188"/>
      <c r="R298" s="188"/>
      <c r="S298" s="188"/>
      <c r="T298" s="549"/>
      <c r="U298" s="549"/>
      <c r="V298" s="188"/>
      <c r="W298" s="188"/>
      <c r="X298" s="188"/>
      <c r="Y298" s="188"/>
      <c r="Z298" s="188"/>
      <c r="AA298" s="188"/>
      <c r="AB298" s="188"/>
      <c r="AC298" s="188"/>
      <c r="AD298" s="188"/>
      <c r="AF298" s="188"/>
      <c r="AG298" s="541"/>
      <c r="AH298" s="541"/>
      <c r="AI298" s="188"/>
      <c r="AJ298" s="188"/>
      <c r="AK298" s="188"/>
      <c r="AL298" s="188"/>
      <c r="AM298" s="188"/>
      <c r="AN298" s="188"/>
      <c r="AO298" s="188"/>
      <c r="AP298" s="188"/>
      <c r="AQ298" s="188"/>
      <c r="AR298" s="164"/>
      <c r="AS298" s="164"/>
      <c r="AT298" s="192"/>
      <c r="AU298" s="160"/>
      <c r="AV298" s="192"/>
      <c r="AW298" s="161"/>
      <c r="AX298" s="161"/>
      <c r="AY298" s="160"/>
    </row>
    <row r="299" spans="1:51" ht="14.1" customHeight="1">
      <c r="A299" s="160">
        <v>299</v>
      </c>
      <c r="B299" s="159" t="str">
        <f>$B$2</f>
        <v>Pro Forma Results of Operations</v>
      </c>
      <c r="C299" s="159"/>
      <c r="D299" s="159"/>
      <c r="E299" s="164" t="s">
        <v>104</v>
      </c>
      <c r="F299" s="188"/>
      <c r="G299" s="188"/>
      <c r="H299" s="188"/>
      <c r="I299" s="188"/>
      <c r="J299" s="188"/>
      <c r="K299" s="188"/>
      <c r="L299" s="188"/>
      <c r="M299" s="188"/>
      <c r="N299" s="191"/>
      <c r="P299" s="188" t="str">
        <f>E299</f>
        <v>Accumulated Reserve For Depreciation</v>
      </c>
      <c r="Q299" s="188"/>
      <c r="R299" s="188"/>
      <c r="S299" s="188"/>
      <c r="T299" s="191"/>
      <c r="U299" s="191"/>
      <c r="V299" s="188"/>
      <c r="W299" s="188"/>
      <c r="X299" s="188"/>
      <c r="Y299" s="188"/>
      <c r="Z299" s="188"/>
      <c r="AA299" s="188"/>
      <c r="AB299" s="188"/>
      <c r="AC299" s="188"/>
      <c r="AD299" s="188"/>
      <c r="AE299" s="188" t="str">
        <f>E299</f>
        <v>Accumulated Reserve For Depreciation</v>
      </c>
      <c r="AF299" s="188"/>
      <c r="AG299" s="191"/>
      <c r="AH299" s="191"/>
      <c r="AI299" s="188"/>
      <c r="AJ299" s="188"/>
      <c r="AK299" s="188"/>
      <c r="AL299" s="188"/>
      <c r="AM299" s="188"/>
      <c r="AN299" s="188"/>
      <c r="AO299" s="188"/>
      <c r="AP299" s="188"/>
      <c r="AQ299" s="188"/>
      <c r="AR299" s="164"/>
      <c r="AS299" s="164"/>
      <c r="AT299" s="190"/>
      <c r="AU299" s="160"/>
      <c r="AV299" s="190"/>
      <c r="AW299" s="161"/>
      <c r="AX299" s="161"/>
      <c r="AY299" s="160"/>
    </row>
    <row r="300" spans="1:51" ht="14.1" customHeight="1">
      <c r="A300" s="160">
        <v>300</v>
      </c>
      <c r="B300" s="159" t="str">
        <f>$B$3</f>
        <v>Company Base Case</v>
      </c>
      <c r="C300" s="159"/>
      <c r="D300" s="159"/>
      <c r="E300" s="164"/>
      <c r="F300" s="188"/>
      <c r="G300" s="188"/>
      <c r="H300" s="188"/>
      <c r="I300" s="188"/>
      <c r="J300" s="188"/>
      <c r="K300" s="188"/>
      <c r="L300" s="188"/>
      <c r="M300" s="188"/>
      <c r="N300" s="542"/>
      <c r="P300" s="188"/>
      <c r="Q300" s="188"/>
      <c r="R300" s="188"/>
      <c r="S300" s="188"/>
      <c r="T300" s="542"/>
      <c r="U300" s="542"/>
      <c r="V300" s="188"/>
      <c r="W300" s="188"/>
      <c r="X300" s="188"/>
      <c r="Y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64"/>
      <c r="AS300" s="164"/>
      <c r="AT300" s="189"/>
      <c r="AU300" s="160"/>
      <c r="AV300" s="189"/>
      <c r="AW300" s="161"/>
      <c r="AX300" s="161"/>
      <c r="AY300" s="160"/>
    </row>
    <row r="301" spans="1:51" ht="14.1" customHeight="1">
      <c r="A301" s="160">
        <v>301</v>
      </c>
      <c r="B301" s="159"/>
      <c r="C301" s="159"/>
      <c r="D301" s="159"/>
      <c r="E301" s="164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  <c r="AB301" s="188"/>
      <c r="AC301" s="188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64"/>
      <c r="AS301" s="164"/>
      <c r="AT301" s="164"/>
      <c r="AU301" s="160"/>
      <c r="AV301" s="164"/>
      <c r="AW301" s="161"/>
      <c r="AX301" s="161"/>
      <c r="AY301" s="160"/>
    </row>
    <row r="302" spans="1:51" ht="14.1" customHeight="1">
      <c r="A302" s="160">
        <v>302</v>
      </c>
      <c r="B302" s="186"/>
      <c r="C302" s="186"/>
      <c r="D302" s="186"/>
      <c r="E302" s="186"/>
      <c r="F302" s="187">
        <f t="shared" ref="F302:AQ302" si="174">F$5</f>
        <v>1</v>
      </c>
      <c r="G302" s="536">
        <f t="shared" si="174"/>
        <v>1.01</v>
      </c>
      <c r="H302" s="536">
        <f t="shared" si="174"/>
        <v>1.02</v>
      </c>
      <c r="I302" s="536">
        <f t="shared" si="174"/>
        <v>1.03</v>
      </c>
      <c r="J302" s="536">
        <f t="shared" si="174"/>
        <v>1.04</v>
      </c>
      <c r="K302" s="536">
        <f t="shared" si="174"/>
        <v>2.0099999999999998</v>
      </c>
      <c r="L302" s="536">
        <f t="shared" si="174"/>
        <v>2.02</v>
      </c>
      <c r="M302" s="536">
        <f t="shared" si="174"/>
        <v>2.0299999999999998</v>
      </c>
      <c r="N302" s="536">
        <f t="shared" si="174"/>
        <v>2.04</v>
      </c>
      <c r="O302" s="536">
        <f t="shared" si="174"/>
        <v>2.0499999999999998</v>
      </c>
      <c r="P302" s="536">
        <f t="shared" si="174"/>
        <v>2.06</v>
      </c>
      <c r="Q302" s="536">
        <f t="shared" si="174"/>
        <v>2.0699999999999998</v>
      </c>
      <c r="R302" s="536">
        <f t="shared" si="174"/>
        <v>2.08</v>
      </c>
      <c r="S302" s="536">
        <f t="shared" si="174"/>
        <v>2.09</v>
      </c>
      <c r="T302" s="536">
        <f>T$5</f>
        <v>2.1</v>
      </c>
      <c r="U302" s="536">
        <f>U$5</f>
        <v>2.11</v>
      </c>
      <c r="V302" s="536">
        <f t="shared" si="174"/>
        <v>2.12</v>
      </c>
      <c r="W302" s="536">
        <f t="shared" si="174"/>
        <v>2.13</v>
      </c>
      <c r="X302" s="536">
        <f t="shared" si="174"/>
        <v>2.14</v>
      </c>
      <c r="Y302" s="536">
        <f t="shared" si="174"/>
        <v>2.15</v>
      </c>
      <c r="Z302" s="536">
        <f t="shared" si="174"/>
        <v>3.01</v>
      </c>
      <c r="AA302" s="536">
        <f t="shared" si="174"/>
        <v>3.02</v>
      </c>
      <c r="AB302" s="536">
        <f t="shared" si="174"/>
        <v>3.03</v>
      </c>
      <c r="AC302" s="536">
        <f t="shared" si="174"/>
        <v>3.04</v>
      </c>
      <c r="AD302" s="536">
        <f t="shared" si="174"/>
        <v>3.05</v>
      </c>
      <c r="AE302" s="536">
        <f t="shared" si="174"/>
        <v>3.0599999999999996</v>
      </c>
      <c r="AF302" s="536">
        <f t="shared" si="174"/>
        <v>3.0699999999999994</v>
      </c>
      <c r="AG302" s="536">
        <f t="shared" si="174"/>
        <v>3.08</v>
      </c>
      <c r="AH302" s="536">
        <f t="shared" si="174"/>
        <v>3.09</v>
      </c>
      <c r="AI302" s="536">
        <f t="shared" si="174"/>
        <v>3.1</v>
      </c>
      <c r="AJ302" s="536">
        <f t="shared" si="174"/>
        <v>3.11</v>
      </c>
      <c r="AK302" s="536">
        <f t="shared" si="174"/>
        <v>3.1199999999999997</v>
      </c>
      <c r="AL302" s="536">
        <f t="shared" si="174"/>
        <v>3.1299999999999994</v>
      </c>
      <c r="AM302" s="536">
        <f t="shared" si="174"/>
        <v>3.1399999999999992</v>
      </c>
      <c r="AN302" s="536">
        <f t="shared" si="174"/>
        <v>3.149999999999999</v>
      </c>
      <c r="AO302" s="536">
        <f t="shared" si="174"/>
        <v>3.1599999999999988</v>
      </c>
      <c r="AP302" s="536">
        <f t="shared" si="174"/>
        <v>3.1699999999999986</v>
      </c>
      <c r="AQ302" s="536">
        <f t="shared" si="174"/>
        <v>3.1799999999999984</v>
      </c>
      <c r="AR302" s="186"/>
      <c r="AS302" s="186" t="str">
        <f>AS$5</f>
        <v>(as)</v>
      </c>
      <c r="AT302" s="186" t="str">
        <f>AT$5</f>
        <v>(at)</v>
      </c>
      <c r="AU302" s="186" t="str">
        <f>AU$5</f>
        <v>(au)</v>
      </c>
      <c r="AV302" s="186" t="str">
        <f>AV$5</f>
        <v>(av)</v>
      </c>
      <c r="AW302" s="161"/>
      <c r="AX302" s="161"/>
      <c r="AY302" s="201"/>
    </row>
    <row r="303" spans="1:51" ht="14.1" customHeight="1">
      <c r="A303" s="160">
        <v>303</v>
      </c>
      <c r="B303" s="183" t="str">
        <f>IF(ISBLANK(B$6),"",B$6)</f>
        <v/>
      </c>
      <c r="C303" s="183" t="str">
        <f>IF(ISBLANK(C$6),"",C$6)</f>
        <v/>
      </c>
      <c r="D303" s="183" t="str">
        <f>IF(ISBLANK(D$6),"",D$6)</f>
        <v/>
      </c>
      <c r="E303" s="183" t="str">
        <f>IF(ISBLANK(E$6),"",E$6)</f>
        <v>Notes</v>
      </c>
      <c r="F303" s="183" t="s">
        <v>707</v>
      </c>
      <c r="G303" s="537" t="str">
        <f t="shared" ref="G303:AQ303" si="175">G6</f>
        <v>Deferred FIT</v>
      </c>
      <c r="H303" s="537" t="str">
        <f t="shared" si="175"/>
        <v>Deferred Debits</v>
      </c>
      <c r="I303" s="537" t="str">
        <f t="shared" si="175"/>
        <v xml:space="preserve">Working </v>
      </c>
      <c r="J303" s="537" t="str">
        <f t="shared" si="175"/>
        <v>Remove</v>
      </c>
      <c r="K303" s="537" t="str">
        <f t="shared" si="175"/>
        <v>Eliminate</v>
      </c>
      <c r="L303" s="537" t="str">
        <f t="shared" si="175"/>
        <v>Restate</v>
      </c>
      <c r="M303" s="537" t="str">
        <f t="shared" si="175"/>
        <v>Uncollectible</v>
      </c>
      <c r="N303" s="537" t="str">
        <f t="shared" si="175"/>
        <v>Regulatory</v>
      </c>
      <c r="O303" s="537" t="str">
        <f t="shared" si="175"/>
        <v>Injuries &amp;</v>
      </c>
      <c r="P303" s="537" t="str">
        <f t="shared" si="175"/>
        <v>FIT/DFIT</v>
      </c>
      <c r="Q303" s="537" t="str">
        <f t="shared" si="175"/>
        <v>Office Space</v>
      </c>
      <c r="R303" s="537" t="str">
        <f t="shared" si="175"/>
        <v>Restate</v>
      </c>
      <c r="S303" s="537" t="str">
        <f t="shared" si="175"/>
        <v>Net Gains/</v>
      </c>
      <c r="T303" s="537" t="str">
        <f t="shared" si="175"/>
        <v>Weather Normalization</v>
      </c>
      <c r="U303" s="537" t="str">
        <f t="shared" si="175"/>
        <v>Eliminate</v>
      </c>
      <c r="V303" s="537" t="str">
        <f t="shared" si="175"/>
        <v>Misc. Restating</v>
      </c>
      <c r="W303" s="537" t="str">
        <f t="shared" si="175"/>
        <v xml:space="preserve">Restating </v>
      </c>
      <c r="X303" s="537" t="str">
        <f t="shared" si="175"/>
        <v xml:space="preserve">Restate </v>
      </c>
      <c r="Y303" s="537" t="str">
        <f t="shared" si="175"/>
        <v xml:space="preserve">Restate </v>
      </c>
      <c r="Z303" s="537" t="str">
        <f t="shared" si="175"/>
        <v>Pro Forma Revenue</v>
      </c>
      <c r="AA303" s="537" t="str">
        <f t="shared" si="175"/>
        <v xml:space="preserve">Pro Forma Def. </v>
      </c>
      <c r="AB303" s="537" t="str">
        <f t="shared" si="175"/>
        <v>Pro Forma</v>
      </c>
      <c r="AC303" s="537" t="str">
        <f t="shared" si="175"/>
        <v>Pro Forma</v>
      </c>
      <c r="AD303" s="537" t="str">
        <f t="shared" si="175"/>
        <v>Pro Forma</v>
      </c>
      <c r="AE303" s="537" t="str">
        <f t="shared" si="175"/>
        <v>Pro Forma</v>
      </c>
      <c r="AF303" s="537" t="str">
        <f t="shared" si="175"/>
        <v>Pro Forma</v>
      </c>
      <c r="AG303" s="537" t="str">
        <f t="shared" si="175"/>
        <v>Pro Forma</v>
      </c>
      <c r="AH303" s="537" t="str">
        <f t="shared" si="175"/>
        <v>Pro Forma</v>
      </c>
      <c r="AI303" s="537" t="str">
        <f t="shared" si="175"/>
        <v xml:space="preserve">Pro Forma </v>
      </c>
      <c r="AJ303" s="537" t="str">
        <f t="shared" si="175"/>
        <v>Pro Forma</v>
      </c>
      <c r="AK303" s="537" t="str">
        <f t="shared" si="175"/>
        <v>Pro Forma</v>
      </c>
      <c r="AL303" s="537" t="str">
        <f t="shared" si="175"/>
        <v>Pro Forma</v>
      </c>
      <c r="AM303" s="537" t="str">
        <f t="shared" si="175"/>
        <v>Pro Forma</v>
      </c>
      <c r="AN303" s="537" t="str">
        <f t="shared" si="175"/>
        <v>Pro Forma</v>
      </c>
      <c r="AO303" s="537" t="str">
        <f t="shared" si="175"/>
        <v>Pro Forma</v>
      </c>
      <c r="AP303" s="537" t="str">
        <f t="shared" si="175"/>
        <v>Pro Forma</v>
      </c>
      <c r="AQ303" s="537" t="str">
        <f t="shared" si="175"/>
        <v>Pro Forma</v>
      </c>
      <c r="AR303" s="183"/>
      <c r="AS303" s="183" t="str">
        <f>IF(ISBLANK(AS$6),"",AS$6)</f>
        <v>Net Total</v>
      </c>
      <c r="AT303" s="183" t="str">
        <f>IF(ISBLANK(AT$6),"",AT$6)</f>
        <v>Total</v>
      </c>
      <c r="AU303" s="183" t="str">
        <f>IF(ISBLANK(AU$6),"",AU$6)</f>
        <v>check</v>
      </c>
      <c r="AV303" s="183" t="str">
        <f>IF(ISBLANK(AV$6),"",AV$6)</f>
        <v>Total</v>
      </c>
      <c r="AW303" s="161"/>
      <c r="AX303" s="161"/>
      <c r="AY303" s="183"/>
    </row>
    <row r="304" spans="1:51" ht="14.1" customHeight="1">
      <c r="A304" s="160">
        <v>304</v>
      </c>
      <c r="B304" s="185" t="str">
        <f>IF(ISBLANK(B$7),"",B$7)</f>
        <v>Account</v>
      </c>
      <c r="C304" s="184" t="str">
        <f>IF(ISBLANK(C$7),"",C$7)</f>
        <v>Description</v>
      </c>
      <c r="D304" s="183"/>
      <c r="E304" s="183" t="str">
        <f>IF(ISBLANK(E$7),"",E$7)</f>
        <v/>
      </c>
      <c r="F304" s="183" t="s">
        <v>706</v>
      </c>
      <c r="G304" s="537" t="str">
        <f t="shared" ref="G304:AQ304" si="176">G7</f>
        <v>Rate Base</v>
      </c>
      <c r="H304" s="537" t="str">
        <f t="shared" si="176"/>
        <v>and Credits</v>
      </c>
      <c r="I304" s="537" t="str">
        <f t="shared" si="176"/>
        <v>Capital</v>
      </c>
      <c r="J304" s="537" t="str">
        <f t="shared" si="176"/>
        <v>AMI Rate Base</v>
      </c>
      <c r="K304" s="537" t="str">
        <f t="shared" si="176"/>
        <v>B &amp; O Taxes</v>
      </c>
      <c r="L304" s="537" t="str">
        <f t="shared" si="176"/>
        <v>Property Taxes</v>
      </c>
      <c r="M304" s="537" t="str">
        <f t="shared" si="176"/>
        <v>Expense</v>
      </c>
      <c r="N304" s="537" t="str">
        <f t="shared" si="176"/>
        <v>Expense</v>
      </c>
      <c r="O304" s="537" t="str">
        <f t="shared" si="176"/>
        <v>Damages</v>
      </c>
      <c r="P304" s="537" t="str">
        <f t="shared" si="176"/>
        <v>Expense</v>
      </c>
      <c r="Q304" s="537" t="str">
        <f t="shared" si="176"/>
        <v>Charges to Subs</v>
      </c>
      <c r="R304" s="537" t="str">
        <f t="shared" si="176"/>
        <v>Excise Tax</v>
      </c>
      <c r="S304" s="537" t="str">
        <f t="shared" si="176"/>
        <v>Losses</v>
      </c>
      <c r="T304" s="537" t="str">
        <f t="shared" si="176"/>
        <v>Gas Cost Adjust</v>
      </c>
      <c r="U304" s="537" t="str">
        <f t="shared" si="176"/>
        <v>Adder Schedules</v>
      </c>
      <c r="V304" s="537" t="str">
        <f t="shared" si="176"/>
        <v>Adjustments</v>
      </c>
      <c r="W304" s="537" t="str">
        <f t="shared" si="176"/>
        <v>Incentives</v>
      </c>
      <c r="X304" s="537" t="str">
        <f t="shared" si="176"/>
        <v>Debt Int</v>
      </c>
      <c r="Y304" s="537" t="str">
        <f t="shared" si="176"/>
        <v>2019 Rate Base</v>
      </c>
      <c r="Z304" s="537" t="str">
        <f t="shared" si="176"/>
        <v>Normalization</v>
      </c>
      <c r="AA304" s="537" t="str">
        <f t="shared" si="176"/>
        <v>Debits &amp; Credits</v>
      </c>
      <c r="AB304" s="537" t="str">
        <f t="shared" si="176"/>
        <v>ARAM</v>
      </c>
      <c r="AC304" s="537" t="str">
        <f t="shared" si="176"/>
        <v>Non-Exec Labor</v>
      </c>
      <c r="AD304" s="537" t="str">
        <f t="shared" si="176"/>
        <v>Exec Labor</v>
      </c>
      <c r="AE304" s="537" t="str">
        <f t="shared" si="176"/>
        <v>Empl. Benefits</v>
      </c>
      <c r="AF304" s="537" t="str">
        <f t="shared" si="176"/>
        <v>Insurance Exp</v>
      </c>
      <c r="AG304" s="537" t="str">
        <f t="shared" si="176"/>
        <v>IS/IT</v>
      </c>
      <c r="AH304" s="537" t="str">
        <f t="shared" si="176"/>
        <v>Property Tax</v>
      </c>
      <c r="AI304" s="537" t="str">
        <f t="shared" si="176"/>
        <v>Fee Free Amort</v>
      </c>
      <c r="AJ304" s="537" t="str">
        <f t="shared" si="176"/>
        <v>2020 Customer AT Center</v>
      </c>
      <c r="AK304" s="537" t="str">
        <f t="shared" si="176"/>
        <v>2020 Large &amp; Distinct</v>
      </c>
      <c r="AL304" s="537" t="str">
        <f t="shared" si="176"/>
        <v>2020 Programmatic</v>
      </c>
      <c r="AM304" s="537" t="str">
        <f t="shared" si="176"/>
        <v>2020 Mandatory</v>
      </c>
      <c r="AN304" s="537" t="str">
        <f t="shared" si="176"/>
        <v>2020 Short Lived</v>
      </c>
      <c r="AO304" s="537" t="str">
        <f t="shared" si="176"/>
        <v>AMI Capital Adds</v>
      </c>
      <c r="AP304" s="537" t="str">
        <f t="shared" si="176"/>
        <v>LEAP Def. Amort</v>
      </c>
      <c r="AQ304" s="537" t="str">
        <f t="shared" si="176"/>
        <v>Tax Repairs</v>
      </c>
      <c r="AR304" s="183"/>
      <c r="AS304" s="183" t="str">
        <f>IF(ISBLANK(AS$7),"",AS$7)</f>
        <v>of All</v>
      </c>
      <c r="AT304" s="183" t="str">
        <f>IF(ISBLANK(AT$7),"",AT$7)</f>
        <v/>
      </c>
      <c r="AU304" s="183" t="str">
        <f>IF(ISBLANK(AU$7),"",AU$7)</f>
        <v/>
      </c>
      <c r="AV304" s="183" t="str">
        <f>IF(ISBLANK(AV$7),"",AV$7)</f>
        <v>$000's</v>
      </c>
      <c r="AW304" s="161"/>
      <c r="AX304" s="161"/>
      <c r="AY304" s="183"/>
    </row>
    <row r="305" spans="1:51" ht="14.1" customHeight="1">
      <c r="A305" s="160">
        <v>305</v>
      </c>
      <c r="B305" s="183" t="str">
        <f>IF(ISBLANK(B$8),"",B$8)</f>
        <v/>
      </c>
      <c r="C305" s="183" t="str">
        <f>IF(ISBLANK(C$8),"",C$8)</f>
        <v/>
      </c>
      <c r="D305" s="183" t="str">
        <f>IF(ISBLANK(D$8),"",D$8)</f>
        <v/>
      </c>
      <c r="E305" s="183" t="str">
        <f>IF(ISBLANK(E$8),"",E$8)</f>
        <v/>
      </c>
      <c r="F305" s="183"/>
      <c r="G305" s="537" t="str">
        <f t="shared" ref="G305:AQ305" si="177">G8</f>
        <v>G-DFIT</v>
      </c>
      <c r="H305" s="537" t="str">
        <f t="shared" si="177"/>
        <v>G-DDC</v>
      </c>
      <c r="I305" s="537" t="str">
        <f t="shared" si="177"/>
        <v>G-WC</v>
      </c>
      <c r="J305" s="537" t="str">
        <f t="shared" si="177"/>
        <v>G-AMI</v>
      </c>
      <c r="K305" s="537" t="str">
        <f t="shared" si="177"/>
        <v>G-EBO</v>
      </c>
      <c r="L305" s="537" t="str">
        <f t="shared" si="177"/>
        <v>G-RPT</v>
      </c>
      <c r="M305" s="537" t="str">
        <f t="shared" si="177"/>
        <v>G-UE</v>
      </c>
      <c r="N305" s="537" t="str">
        <f t="shared" si="177"/>
        <v>G-RE</v>
      </c>
      <c r="O305" s="537" t="str">
        <f t="shared" si="177"/>
        <v>G-ID</v>
      </c>
      <c r="P305" s="537" t="str">
        <f t="shared" si="177"/>
        <v>G-FIT</v>
      </c>
      <c r="Q305" s="537" t="str">
        <f t="shared" si="177"/>
        <v>G-OSC</v>
      </c>
      <c r="R305" s="537" t="str">
        <f t="shared" si="177"/>
        <v>G-RET</v>
      </c>
      <c r="S305" s="537" t="str">
        <f t="shared" si="177"/>
        <v>G-NGL</v>
      </c>
      <c r="T305" s="537" t="str">
        <f t="shared" si="177"/>
        <v>G-WNGC</v>
      </c>
      <c r="U305" s="537" t="str">
        <f t="shared" si="177"/>
        <v>G-EAS</v>
      </c>
      <c r="V305" s="537" t="str">
        <f t="shared" si="177"/>
        <v>G-MR</v>
      </c>
      <c r="W305" s="537" t="str">
        <f t="shared" si="177"/>
        <v>G-RI</v>
      </c>
      <c r="X305" s="537" t="str">
        <f t="shared" si="177"/>
        <v>G-DI</v>
      </c>
      <c r="Y305" s="537" t="str">
        <f t="shared" si="177"/>
        <v>G-EOP19</v>
      </c>
      <c r="Z305" s="537" t="str">
        <f t="shared" si="177"/>
        <v>G-PREV</v>
      </c>
      <c r="AA305" s="537" t="str">
        <f t="shared" si="177"/>
        <v>G-PRA</v>
      </c>
      <c r="AB305" s="537" t="str">
        <f t="shared" si="177"/>
        <v>G-ARAM</v>
      </c>
      <c r="AC305" s="537" t="str">
        <f t="shared" si="177"/>
        <v>G-PLN</v>
      </c>
      <c r="AD305" s="537" t="str">
        <f t="shared" si="177"/>
        <v>G-PLE</v>
      </c>
      <c r="AE305" s="537" t="str">
        <f t="shared" si="177"/>
        <v>G-PEB</v>
      </c>
      <c r="AF305" s="537" t="str">
        <f t="shared" si="177"/>
        <v>G-PINS</v>
      </c>
      <c r="AG305" s="537" t="str">
        <f t="shared" si="177"/>
        <v>G-PIT</v>
      </c>
      <c r="AH305" s="537" t="str">
        <f t="shared" si="177"/>
        <v>G-PPT</v>
      </c>
      <c r="AI305" s="537" t="str">
        <f t="shared" si="177"/>
        <v>G-PFEE</v>
      </c>
      <c r="AJ305" s="537" t="str">
        <f t="shared" si="177"/>
        <v>G-PCAP1</v>
      </c>
      <c r="AK305" s="537" t="str">
        <f t="shared" si="177"/>
        <v>G-PCAP2</v>
      </c>
      <c r="AL305" s="537" t="str">
        <f t="shared" si="177"/>
        <v>G-PCAP3</v>
      </c>
      <c r="AM305" s="537" t="str">
        <f t="shared" si="177"/>
        <v>G-PCAP4</v>
      </c>
      <c r="AN305" s="537" t="str">
        <f t="shared" si="177"/>
        <v>G-PCAP5</v>
      </c>
      <c r="AO305" s="537" t="str">
        <f t="shared" si="177"/>
        <v>G-PAMI</v>
      </c>
      <c r="AP305" s="537" t="str">
        <f t="shared" si="177"/>
        <v>G-PLEAP</v>
      </c>
      <c r="AQ305" s="537" t="str">
        <f t="shared" si="177"/>
        <v>G-PTAX</v>
      </c>
      <c r="AR305" s="183"/>
      <c r="AS305" s="183" t="str">
        <f>IF(ISBLANK(AS$8),"",AS$8)</f>
        <v>Adjustments</v>
      </c>
      <c r="AT305" s="183" t="str">
        <f>IF(ISBLANK(AT$8),"",AT$8)</f>
        <v/>
      </c>
      <c r="AU305" s="183" t="str">
        <f>IF(ISBLANK(AU$8),"",AU$8)</f>
        <v/>
      </c>
      <c r="AV305" s="183" t="str">
        <f>IF(ISBLANK(AV$8),"",AV$8)</f>
        <v>in bold</v>
      </c>
      <c r="AW305" s="161"/>
      <c r="AX305" s="161"/>
      <c r="AY305" s="183"/>
    </row>
    <row r="306" spans="1:51" ht="14.1" customHeight="1">
      <c r="A306" s="160">
        <v>306</v>
      </c>
      <c r="B306" s="159"/>
      <c r="C306" s="159"/>
      <c r="D306" s="159"/>
      <c r="AS306" s="159"/>
      <c r="AT306" s="159"/>
      <c r="AU306" s="183">
        <f>AU$9</f>
        <v>0</v>
      </c>
      <c r="AV306" s="159"/>
      <c r="AW306" s="161"/>
      <c r="AX306" s="161"/>
      <c r="AY306" s="183"/>
    </row>
    <row r="307" spans="1:51" ht="14.1" customHeight="1">
      <c r="A307" s="160">
        <v>307</v>
      </c>
      <c r="B307" s="172" t="s">
        <v>718</v>
      </c>
      <c r="C307" s="159"/>
      <c r="D307" s="159"/>
      <c r="E307" s="156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6"/>
      <c r="AS307" s="164"/>
      <c r="AT307" s="164"/>
      <c r="AU307" s="160"/>
      <c r="AV307" s="164"/>
      <c r="AW307" s="161"/>
      <c r="AX307" s="161"/>
      <c r="AY307" s="160"/>
    </row>
    <row r="308" spans="1:51" ht="14.1" customHeight="1">
      <c r="A308" s="160">
        <v>308</v>
      </c>
      <c r="B308" s="175"/>
      <c r="C308" s="197" t="s">
        <v>717</v>
      </c>
      <c r="D308" s="159"/>
      <c r="E308" s="156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6"/>
      <c r="AS308" s="164"/>
      <c r="AT308" s="164"/>
      <c r="AU308" s="160"/>
      <c r="AV308" s="164"/>
      <c r="AW308" s="161"/>
      <c r="AX308" s="161"/>
      <c r="AY308" s="160"/>
    </row>
    <row r="309" spans="1:51" ht="14.1" customHeight="1">
      <c r="A309" s="160">
        <v>309</v>
      </c>
      <c r="B309" s="200">
        <v>350</v>
      </c>
      <c r="C309" s="159" t="s">
        <v>253</v>
      </c>
      <c r="D309" s="159"/>
      <c r="E309" s="156"/>
      <c r="F309" s="165">
        <v>19000</v>
      </c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>
        <f>ROUND(F309/$F$317*-223000,-3)</f>
        <v>0</v>
      </c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81"/>
      <c r="AL309" s="157"/>
      <c r="AM309" s="157"/>
      <c r="AN309" s="157"/>
      <c r="AO309" s="157"/>
      <c r="AP309" s="157"/>
      <c r="AQ309" s="157"/>
      <c r="AR309" s="156"/>
      <c r="AS309" s="164">
        <f>-SUM(G309:AQ309)</f>
        <v>0</v>
      </c>
      <c r="AT309" s="164">
        <f>F309+AS309</f>
        <v>19000</v>
      </c>
      <c r="AU309" s="160"/>
      <c r="AV309" s="164">
        <f t="shared" ref="AV309:AV316" si="178">-ROUND(AT309/1000,0)*1000</f>
        <v>-19000</v>
      </c>
      <c r="AW309" s="161"/>
      <c r="AX309" s="161"/>
      <c r="AY309" s="160"/>
    </row>
    <row r="310" spans="1:51" ht="14.1" customHeight="1">
      <c r="A310" s="160">
        <v>310</v>
      </c>
      <c r="B310" s="200">
        <v>351</v>
      </c>
      <c r="C310" s="159" t="s">
        <v>254</v>
      </c>
      <c r="D310" s="159"/>
      <c r="E310" s="156"/>
      <c r="F310" s="165">
        <v>623000</v>
      </c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>
        <f t="shared" ref="Y310:Y316" si="179">ROUND(F310/$F$317*-223000,-3)</f>
        <v>-12000</v>
      </c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81">
        <v>51000</v>
      </c>
      <c r="AL310" s="157"/>
      <c r="AM310" s="157"/>
      <c r="AN310" s="157"/>
      <c r="AO310" s="157"/>
      <c r="AP310" s="157"/>
      <c r="AQ310" s="157"/>
      <c r="AR310" s="156"/>
      <c r="AS310" s="164">
        <f t="shared" ref="AS310:AS316" si="180">-SUM(G310:AQ310)</f>
        <v>-39000</v>
      </c>
      <c r="AT310" s="164">
        <f t="shared" ref="AT310:AT316" si="181">F310+AS310</f>
        <v>584000</v>
      </c>
      <c r="AU310" s="160"/>
      <c r="AV310" s="164">
        <f t="shared" si="178"/>
        <v>-584000</v>
      </c>
      <c r="AW310" s="161"/>
      <c r="AX310" s="161"/>
      <c r="AY310" s="160"/>
    </row>
    <row r="311" spans="1:51" ht="14.1" customHeight="1">
      <c r="A311" s="160">
        <v>311</v>
      </c>
      <c r="B311" s="200">
        <v>352</v>
      </c>
      <c r="C311" s="159" t="s">
        <v>255</v>
      </c>
      <c r="D311" s="159"/>
      <c r="E311" s="156"/>
      <c r="F311" s="165">
        <f>6652000</f>
        <v>6652000</v>
      </c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>
        <f>ROUND(F311/$F$317*-223000,-3)-2000</f>
        <v>-130000</v>
      </c>
      <c r="Z311" s="165"/>
      <c r="AA311" s="165"/>
      <c r="AB311" s="165"/>
      <c r="AC311" s="157"/>
      <c r="AD311" s="157"/>
      <c r="AE311" s="157"/>
      <c r="AF311" s="157"/>
      <c r="AG311" s="165"/>
      <c r="AH311" s="165"/>
      <c r="AK311" s="181"/>
      <c r="AL311" s="165"/>
      <c r="AM311" s="165"/>
      <c r="AN311" s="165"/>
      <c r="AO311" s="165"/>
      <c r="AP311" s="165"/>
      <c r="AQ311" s="165"/>
      <c r="AR311" s="156"/>
      <c r="AS311" s="164">
        <f t="shared" si="180"/>
        <v>130000</v>
      </c>
      <c r="AT311" s="164">
        <f t="shared" si="181"/>
        <v>6782000</v>
      </c>
      <c r="AU311" s="160"/>
      <c r="AV311" s="164">
        <f>-ROUND(AT311/1000,0)*1000</f>
        <v>-6782000</v>
      </c>
      <c r="AW311" s="161"/>
      <c r="AX311" s="161"/>
      <c r="AY311" s="160"/>
    </row>
    <row r="312" spans="1:51" ht="14.1" customHeight="1">
      <c r="A312" s="160">
        <v>312</v>
      </c>
      <c r="B312" s="200">
        <v>353</v>
      </c>
      <c r="C312" s="159" t="s">
        <v>256</v>
      </c>
      <c r="D312" s="159"/>
      <c r="E312" s="156"/>
      <c r="F312" s="165">
        <v>412000</v>
      </c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>
        <f t="shared" si="179"/>
        <v>-8000</v>
      </c>
      <c r="Z312" s="165"/>
      <c r="AA312" s="165"/>
      <c r="AB312" s="165"/>
      <c r="AC312" s="157"/>
      <c r="AD312" s="157"/>
      <c r="AE312" s="157"/>
      <c r="AF312" s="157"/>
      <c r="AG312" s="165"/>
      <c r="AH312" s="165"/>
      <c r="AI312" s="157"/>
      <c r="AJ312" s="157"/>
      <c r="AK312" s="181"/>
      <c r="AL312" s="165"/>
      <c r="AM312" s="165"/>
      <c r="AN312" s="165"/>
      <c r="AO312" s="165"/>
      <c r="AP312" s="165"/>
      <c r="AQ312" s="165"/>
      <c r="AR312" s="156"/>
      <c r="AS312" s="164">
        <f t="shared" si="180"/>
        <v>8000</v>
      </c>
      <c r="AT312" s="164">
        <f t="shared" si="181"/>
        <v>420000</v>
      </c>
      <c r="AU312" s="160"/>
      <c r="AV312" s="164">
        <f t="shared" si="178"/>
        <v>-420000</v>
      </c>
      <c r="AW312" s="161"/>
      <c r="AX312" s="161"/>
      <c r="AY312" s="160"/>
    </row>
    <row r="313" spans="1:51" ht="14.1" customHeight="1">
      <c r="A313" s="160">
        <v>313</v>
      </c>
      <c r="B313" s="200">
        <v>354</v>
      </c>
      <c r="C313" s="159" t="s">
        <v>257</v>
      </c>
      <c r="D313" s="159"/>
      <c r="E313" s="156"/>
      <c r="F313" s="165">
        <v>2399000</v>
      </c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>
        <f t="shared" si="179"/>
        <v>-46000</v>
      </c>
      <c r="Z313" s="165"/>
      <c r="AA313" s="165"/>
      <c r="AB313" s="165"/>
      <c r="AC313" s="157"/>
      <c r="AD313" s="157"/>
      <c r="AE313" s="157"/>
      <c r="AF313" s="157"/>
      <c r="AG313" s="165"/>
      <c r="AH313" s="165"/>
      <c r="AI313" s="157"/>
      <c r="AJ313" s="157"/>
      <c r="AK313" s="181"/>
      <c r="AL313" s="165"/>
      <c r="AM313" s="165"/>
      <c r="AN313" s="165"/>
      <c r="AO313" s="165"/>
      <c r="AP313" s="165"/>
      <c r="AQ313" s="165"/>
      <c r="AR313" s="156"/>
      <c r="AS313" s="164">
        <f t="shared" si="180"/>
        <v>46000</v>
      </c>
      <c r="AT313" s="164">
        <f t="shared" si="181"/>
        <v>2445000</v>
      </c>
      <c r="AU313" s="160"/>
      <c r="AV313" s="164">
        <f t="shared" si="178"/>
        <v>-2445000</v>
      </c>
      <c r="AW313" s="161"/>
      <c r="AX313" s="161"/>
      <c r="AY313" s="160"/>
    </row>
    <row r="314" spans="1:51" ht="14.1" customHeight="1">
      <c r="A314" s="160">
        <v>314</v>
      </c>
      <c r="B314" s="200">
        <v>355</v>
      </c>
      <c r="C314" s="159" t="s">
        <v>258</v>
      </c>
      <c r="D314" s="159"/>
      <c r="E314" s="156"/>
      <c r="F314" s="165">
        <v>543000</v>
      </c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>
        <f t="shared" si="179"/>
        <v>-10000</v>
      </c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81"/>
      <c r="AL314" s="157"/>
      <c r="AM314" s="157"/>
      <c r="AN314" s="157"/>
      <c r="AO314" s="157"/>
      <c r="AP314" s="157"/>
      <c r="AQ314" s="157"/>
      <c r="AR314" s="156"/>
      <c r="AS314" s="164">
        <f t="shared" si="180"/>
        <v>10000</v>
      </c>
      <c r="AT314" s="164">
        <f t="shared" si="181"/>
        <v>553000</v>
      </c>
      <c r="AU314" s="160"/>
      <c r="AV314" s="164">
        <f t="shared" si="178"/>
        <v>-553000</v>
      </c>
      <c r="AW314" s="161"/>
      <c r="AX314" s="161"/>
      <c r="AY314" s="160"/>
    </row>
    <row r="315" spans="1:51" ht="14.1" customHeight="1">
      <c r="A315" s="160">
        <v>315</v>
      </c>
      <c r="B315" s="200">
        <v>356</v>
      </c>
      <c r="C315" s="159" t="s">
        <v>259</v>
      </c>
      <c r="D315" s="159"/>
      <c r="E315" s="156"/>
      <c r="F315" s="165">
        <v>274000</v>
      </c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>
        <f t="shared" si="179"/>
        <v>-5000</v>
      </c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81"/>
      <c r="AL315" s="157"/>
      <c r="AM315" s="157"/>
      <c r="AN315" s="157"/>
      <c r="AO315" s="157"/>
      <c r="AP315" s="157"/>
      <c r="AQ315" s="157"/>
      <c r="AR315" s="156"/>
      <c r="AS315" s="164">
        <f t="shared" si="180"/>
        <v>5000</v>
      </c>
      <c r="AT315" s="164">
        <f t="shared" si="181"/>
        <v>279000</v>
      </c>
      <c r="AU315" s="160"/>
      <c r="AV315" s="164">
        <f t="shared" si="178"/>
        <v>-279000</v>
      </c>
      <c r="AW315" s="161"/>
      <c r="AX315" s="161"/>
      <c r="AY315" s="160"/>
    </row>
    <row r="316" spans="1:51" ht="14.1" customHeight="1">
      <c r="A316" s="160">
        <v>316</v>
      </c>
      <c r="B316" s="200">
        <v>357</v>
      </c>
      <c r="C316" s="159" t="s">
        <v>260</v>
      </c>
      <c r="D316" s="159"/>
      <c r="E316" s="156"/>
      <c r="F316" s="165">
        <v>644000</v>
      </c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>
        <f t="shared" si="179"/>
        <v>-12000</v>
      </c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81"/>
      <c r="AJ316" s="181"/>
      <c r="AK316" s="181"/>
      <c r="AL316" s="157"/>
      <c r="AM316" s="157"/>
      <c r="AN316" s="157"/>
      <c r="AO316" s="157"/>
      <c r="AP316" s="157"/>
      <c r="AQ316" s="157"/>
      <c r="AR316" s="156"/>
      <c r="AS316" s="164">
        <f t="shared" si="180"/>
        <v>12000</v>
      </c>
      <c r="AT316" s="164">
        <f t="shared" si="181"/>
        <v>656000</v>
      </c>
      <c r="AU316" s="160"/>
      <c r="AV316" s="164">
        <f t="shared" si="178"/>
        <v>-656000</v>
      </c>
      <c r="AW316" s="161"/>
      <c r="AX316" s="161"/>
      <c r="AY316" s="160"/>
    </row>
    <row r="317" spans="1:51" s="169" customFormat="1" ht="14.1" customHeight="1">
      <c r="A317" s="160">
        <v>317</v>
      </c>
      <c r="B317" s="172"/>
      <c r="C317" s="172" t="s">
        <v>716</v>
      </c>
      <c r="D317" s="172"/>
      <c r="E317" s="195"/>
      <c r="F317" s="194">
        <f t="shared" ref="F317:AG317" si="182">SUM(F309:F316)</f>
        <v>11566000</v>
      </c>
      <c r="G317" s="194">
        <f t="shared" si="182"/>
        <v>0</v>
      </c>
      <c r="H317" s="194">
        <f t="shared" si="182"/>
        <v>0</v>
      </c>
      <c r="I317" s="194">
        <f t="shared" si="182"/>
        <v>0</v>
      </c>
      <c r="J317" s="194">
        <f>SUM(J309:J316)</f>
        <v>0</v>
      </c>
      <c r="K317" s="194">
        <f>SUM(K309:K316)</f>
        <v>0</v>
      </c>
      <c r="L317" s="194">
        <f>SUM(L309:L316)</f>
        <v>0</v>
      </c>
      <c r="M317" s="194">
        <f t="shared" si="182"/>
        <v>0</v>
      </c>
      <c r="N317" s="194">
        <f t="shared" si="182"/>
        <v>0</v>
      </c>
      <c r="O317" s="194">
        <f t="shared" si="182"/>
        <v>0</v>
      </c>
      <c r="P317" s="194">
        <f t="shared" si="182"/>
        <v>0</v>
      </c>
      <c r="Q317" s="194">
        <f>SUM(Q309:Q316)</f>
        <v>0</v>
      </c>
      <c r="R317" s="194">
        <f>SUM(R309:R316)</f>
        <v>0</v>
      </c>
      <c r="S317" s="194">
        <f>SUM(S309:S316)</f>
        <v>0</v>
      </c>
      <c r="T317" s="194">
        <f>SUM(T309:T316)</f>
        <v>0</v>
      </c>
      <c r="U317" s="194">
        <f>SUM(U309:U316)</f>
        <v>0</v>
      </c>
      <c r="V317" s="194">
        <f t="shared" si="182"/>
        <v>0</v>
      </c>
      <c r="W317" s="194">
        <f t="shared" ref="W317:AB317" si="183">SUM(W309:W316)</f>
        <v>0</v>
      </c>
      <c r="X317" s="194">
        <f t="shared" si="183"/>
        <v>0</v>
      </c>
      <c r="Y317" s="194">
        <f t="shared" si="183"/>
        <v>-223000</v>
      </c>
      <c r="Z317" s="194">
        <f t="shared" si="183"/>
        <v>0</v>
      </c>
      <c r="AA317" s="194">
        <f t="shared" si="183"/>
        <v>0</v>
      </c>
      <c r="AB317" s="194">
        <f t="shared" si="183"/>
        <v>0</v>
      </c>
      <c r="AC317" s="194">
        <f t="shared" si="182"/>
        <v>0</v>
      </c>
      <c r="AD317" s="194">
        <f t="shared" si="182"/>
        <v>0</v>
      </c>
      <c r="AE317" s="194">
        <f t="shared" si="182"/>
        <v>0</v>
      </c>
      <c r="AF317" s="194">
        <f t="shared" si="182"/>
        <v>0</v>
      </c>
      <c r="AG317" s="194">
        <f t="shared" si="182"/>
        <v>0</v>
      </c>
      <c r="AH317" s="194">
        <f>SUM(AH309:AH316)</f>
        <v>0</v>
      </c>
      <c r="AI317" s="194">
        <f t="shared" ref="AI317:AQ317" si="184">SUM(AI309:AI316)</f>
        <v>0</v>
      </c>
      <c r="AJ317" s="194">
        <f t="shared" si="184"/>
        <v>0</v>
      </c>
      <c r="AK317" s="194">
        <f t="shared" si="184"/>
        <v>51000</v>
      </c>
      <c r="AL317" s="194">
        <f t="shared" si="184"/>
        <v>0</v>
      </c>
      <c r="AM317" s="194">
        <f t="shared" si="184"/>
        <v>0</v>
      </c>
      <c r="AN317" s="194">
        <f t="shared" si="184"/>
        <v>0</v>
      </c>
      <c r="AO317" s="194">
        <f t="shared" si="184"/>
        <v>0</v>
      </c>
      <c r="AP317" s="194">
        <f t="shared" si="184"/>
        <v>0</v>
      </c>
      <c r="AQ317" s="194">
        <f t="shared" si="184"/>
        <v>0</v>
      </c>
      <c r="AR317" s="173"/>
      <c r="AS317" s="173">
        <f>SUM(AS309:AS316)</f>
        <v>172000</v>
      </c>
      <c r="AT317" s="173">
        <f>SUM(AT309:AT316)</f>
        <v>11738000</v>
      </c>
      <c r="AU317" s="167" t="str">
        <f>IF(ROUND(SUM(F317:AQ317),0)=ROUND(AT317,0),"ok","crossfoot error")</f>
        <v>crossfoot error</v>
      </c>
      <c r="AV317" s="173">
        <f>-SUM(AV309:AV316)/1000</f>
        <v>11738</v>
      </c>
      <c r="AW317" s="162">
        <f>-'[2]ADJ DETAIL INPUT'!$AU$68</f>
        <v>11738.503597459958</v>
      </c>
      <c r="AX317" s="161">
        <f>AV317-AW317</f>
        <v>-0.50359745995774574</v>
      </c>
      <c r="AY317" s="167"/>
    </row>
    <row r="318" spans="1:51" ht="14.1" customHeight="1">
      <c r="A318" s="160">
        <v>318</v>
      </c>
      <c r="B318" s="159"/>
      <c r="C318" s="159"/>
      <c r="D318" s="159"/>
      <c r="E318" s="156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6"/>
      <c r="AS318" s="164"/>
      <c r="AT318" s="164"/>
      <c r="AU318" s="160"/>
      <c r="AV318" s="164"/>
      <c r="AW318" s="161"/>
      <c r="AX318" s="161"/>
      <c r="AY318" s="160"/>
    </row>
    <row r="319" spans="1:51" ht="14.1" customHeight="1">
      <c r="A319" s="160">
        <v>319</v>
      </c>
      <c r="B319" s="159"/>
      <c r="C319" s="197" t="s">
        <v>105</v>
      </c>
      <c r="D319" s="159"/>
      <c r="E319" s="156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6"/>
      <c r="AS319" s="164"/>
      <c r="AT319" s="164"/>
      <c r="AU319" s="160"/>
      <c r="AV319" s="164"/>
      <c r="AW319" s="161"/>
      <c r="AX319" s="161"/>
      <c r="AY319" s="160"/>
    </row>
    <row r="320" spans="1:51" ht="14.1" customHeight="1">
      <c r="A320" s="160">
        <v>320</v>
      </c>
      <c r="B320" s="158">
        <v>374</v>
      </c>
      <c r="C320" s="159" t="s">
        <v>253</v>
      </c>
      <c r="D320" s="159"/>
      <c r="E320" s="157"/>
      <c r="F320" s="165">
        <v>18000</v>
      </c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81">
        <f>ROUND(F320/$F$333*2029000,-3)</f>
        <v>0</v>
      </c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81"/>
      <c r="AJ320" s="181"/>
      <c r="AK320" s="181"/>
      <c r="AL320" s="181"/>
      <c r="AM320" s="181"/>
      <c r="AN320" s="157"/>
      <c r="AO320" s="181"/>
      <c r="AP320" s="157"/>
      <c r="AQ320" s="157"/>
      <c r="AR320" s="156"/>
      <c r="AS320" s="164">
        <f>-SUM(G320:AQ320)</f>
        <v>0</v>
      </c>
      <c r="AT320" s="164">
        <f>F320+AS320</f>
        <v>18000</v>
      </c>
      <c r="AU320" s="160"/>
      <c r="AV320" s="164">
        <f>-ROUND(AT320/1000,0)*1000</f>
        <v>-18000</v>
      </c>
      <c r="AW320" s="161"/>
      <c r="AX320" s="161"/>
      <c r="AY320" s="160"/>
    </row>
    <row r="321" spans="1:51" ht="14.1" customHeight="1">
      <c r="A321" s="160">
        <v>321</v>
      </c>
      <c r="B321" s="158">
        <v>375</v>
      </c>
      <c r="C321" s="159" t="s">
        <v>254</v>
      </c>
      <c r="D321" s="159"/>
      <c r="E321" s="165"/>
      <c r="F321" s="165">
        <v>155000</v>
      </c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81">
        <f t="shared" ref="Y321:Y332" si="185">ROUND(F321/$F$333*2029000,-3)</f>
        <v>2000</v>
      </c>
      <c r="Z321" s="157"/>
      <c r="AA321" s="157"/>
      <c r="AB321" s="157"/>
      <c r="AC321" s="157"/>
      <c r="AD321" s="157"/>
      <c r="AE321" s="157"/>
      <c r="AF321" s="157"/>
      <c r="AG321" s="157"/>
      <c r="AH321" s="157"/>
      <c r="AJ321" s="181"/>
      <c r="AK321" s="181">
        <v>614000</v>
      </c>
      <c r="AL321" s="181">
        <v>517000</v>
      </c>
      <c r="AM321" s="181">
        <v>1743000</v>
      </c>
      <c r="AN321" s="157"/>
      <c r="AO321" s="181"/>
      <c r="AP321" s="157"/>
      <c r="AQ321" s="157"/>
      <c r="AR321" s="156"/>
      <c r="AS321" s="164">
        <f t="shared" ref="AS321:AS332" si="186">-SUM(G321:AQ321)</f>
        <v>-2876000</v>
      </c>
      <c r="AT321" s="164">
        <f t="shared" ref="AT321:AT332" si="187">F321+AS321</f>
        <v>-2721000</v>
      </c>
      <c r="AU321" s="160"/>
      <c r="AV321" s="164">
        <f t="shared" ref="AV321:AV332" si="188">-ROUND(AT321/1000,0)*1000</f>
        <v>2721000</v>
      </c>
      <c r="AW321" s="161"/>
      <c r="AX321" s="161"/>
      <c r="AY321" s="160"/>
    </row>
    <row r="322" spans="1:51" ht="14.1" customHeight="1">
      <c r="A322" s="160">
        <v>322</v>
      </c>
      <c r="B322" s="158" t="s">
        <v>1151</v>
      </c>
      <c r="C322" s="159" t="s">
        <v>261</v>
      </c>
      <c r="D322" s="159"/>
      <c r="E322" s="199">
        <f>E269</f>
        <v>1</v>
      </c>
      <c r="F322" s="181">
        <f>73385000-1000</f>
        <v>73384000</v>
      </c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81">
        <f>ROUND(F322/$F$333*2029000,-3)-1000</f>
        <v>984000</v>
      </c>
      <c r="Z322" s="165"/>
      <c r="AA322" s="165"/>
      <c r="AB322" s="165"/>
      <c r="AC322" s="157"/>
      <c r="AD322" s="157"/>
      <c r="AE322" s="157"/>
      <c r="AF322" s="157"/>
      <c r="AG322" s="165"/>
      <c r="AH322" s="165"/>
      <c r="AI322" s="181"/>
      <c r="AJ322" s="181"/>
      <c r="AK322" s="181"/>
      <c r="AL322" s="181"/>
      <c r="AM322" s="181"/>
      <c r="AN322" s="165"/>
      <c r="AO322" s="181"/>
      <c r="AP322" s="165"/>
      <c r="AQ322" s="165"/>
      <c r="AR322" s="156"/>
      <c r="AS322" s="164">
        <f t="shared" si="186"/>
        <v>-984000</v>
      </c>
      <c r="AT322" s="164">
        <f t="shared" si="187"/>
        <v>72400000</v>
      </c>
      <c r="AU322" s="160"/>
      <c r="AV322" s="164">
        <f t="shared" si="188"/>
        <v>-72400000</v>
      </c>
      <c r="AW322" s="161"/>
      <c r="AX322" s="161"/>
      <c r="AY322" s="160"/>
    </row>
    <row r="323" spans="1:51" ht="14.1" customHeight="1">
      <c r="A323" s="160">
        <v>323</v>
      </c>
      <c r="B323" s="158">
        <v>376</v>
      </c>
      <c r="C323" s="159" t="s">
        <v>261</v>
      </c>
      <c r="D323" s="159"/>
      <c r="E323" s="199">
        <f>E270</f>
        <v>0</v>
      </c>
      <c r="F323" s="157">
        <f>ROUND($E$321*E323,-3)</f>
        <v>0</v>
      </c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81">
        <f t="shared" si="185"/>
        <v>0</v>
      </c>
      <c r="Z323" s="165"/>
      <c r="AA323" s="165"/>
      <c r="AB323" s="165"/>
      <c r="AC323" s="157"/>
      <c r="AD323" s="157"/>
      <c r="AE323" s="157"/>
      <c r="AF323" s="157"/>
      <c r="AG323" s="165"/>
      <c r="AH323" s="165"/>
      <c r="AI323" s="181"/>
      <c r="AJ323" s="181"/>
      <c r="AK323" s="181"/>
      <c r="AL323" s="181"/>
      <c r="AM323" s="181"/>
      <c r="AN323" s="165"/>
      <c r="AO323" s="181"/>
      <c r="AP323" s="165"/>
      <c r="AQ323" s="165"/>
      <c r="AR323" s="156"/>
      <c r="AS323" s="164">
        <f t="shared" si="186"/>
        <v>0</v>
      </c>
      <c r="AT323" s="164">
        <f t="shared" si="187"/>
        <v>0</v>
      </c>
      <c r="AU323" s="160"/>
      <c r="AV323" s="164">
        <f t="shared" si="188"/>
        <v>0</v>
      </c>
      <c r="AW323" s="161"/>
      <c r="AX323" s="161"/>
      <c r="AY323" s="160"/>
    </row>
    <row r="324" spans="1:51" ht="14.1" customHeight="1">
      <c r="A324" s="160">
        <v>324</v>
      </c>
      <c r="B324" s="158">
        <v>378</v>
      </c>
      <c r="C324" s="159" t="s">
        <v>262</v>
      </c>
      <c r="D324" s="159"/>
      <c r="E324" s="198"/>
      <c r="F324" s="165">
        <v>1028000</v>
      </c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81">
        <f t="shared" si="185"/>
        <v>14000</v>
      </c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81"/>
      <c r="AJ324" s="181"/>
      <c r="AK324" s="181"/>
      <c r="AL324" s="181"/>
      <c r="AM324" s="181"/>
      <c r="AN324" s="157"/>
      <c r="AO324" s="181"/>
      <c r="AP324" s="157"/>
      <c r="AQ324" s="157"/>
      <c r="AR324" s="156"/>
      <c r="AS324" s="164">
        <f t="shared" si="186"/>
        <v>-14000</v>
      </c>
      <c r="AT324" s="164">
        <f t="shared" si="187"/>
        <v>1014000</v>
      </c>
      <c r="AU324" s="160"/>
      <c r="AV324" s="164">
        <f t="shared" si="188"/>
        <v>-1014000</v>
      </c>
      <c r="AW324" s="161"/>
      <c r="AX324" s="161"/>
      <c r="AY324" s="160"/>
    </row>
    <row r="325" spans="1:51" ht="14.1" customHeight="1">
      <c r="A325" s="160">
        <v>325</v>
      </c>
      <c r="B325" s="158">
        <v>379</v>
      </c>
      <c r="C325" s="159" t="s">
        <v>263</v>
      </c>
      <c r="D325" s="159"/>
      <c r="E325" s="157"/>
      <c r="F325" s="165">
        <v>428000</v>
      </c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81">
        <f t="shared" si="185"/>
        <v>6000</v>
      </c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81"/>
      <c r="AJ325" s="181"/>
      <c r="AK325" s="181"/>
      <c r="AL325" s="181"/>
      <c r="AM325" s="181"/>
      <c r="AN325" s="157"/>
      <c r="AO325" s="181"/>
      <c r="AP325" s="157"/>
      <c r="AQ325" s="157"/>
      <c r="AR325" s="156"/>
      <c r="AS325" s="164">
        <f t="shared" si="186"/>
        <v>-6000</v>
      </c>
      <c r="AT325" s="164">
        <f t="shared" si="187"/>
        <v>422000</v>
      </c>
      <c r="AU325" s="160"/>
      <c r="AV325" s="164">
        <f t="shared" si="188"/>
        <v>-422000</v>
      </c>
      <c r="AW325" s="161"/>
      <c r="AX325" s="161"/>
      <c r="AY325" s="160"/>
    </row>
    <row r="326" spans="1:51" ht="14.1" customHeight="1">
      <c r="A326" s="160">
        <v>326</v>
      </c>
      <c r="B326" s="158">
        <v>380</v>
      </c>
      <c r="C326" s="159" t="s">
        <v>264</v>
      </c>
      <c r="D326" s="159"/>
      <c r="E326" s="157"/>
      <c r="F326" s="165">
        <v>63717000</v>
      </c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81">
        <f t="shared" si="185"/>
        <v>855000</v>
      </c>
      <c r="Z326" s="157"/>
      <c r="AA326" s="157"/>
      <c r="AB326" s="157"/>
      <c r="AC326" s="157"/>
      <c r="AD326" s="157"/>
      <c r="AE326" s="157"/>
      <c r="AF326" s="157"/>
      <c r="AG326" s="181"/>
      <c r="AH326" s="181"/>
      <c r="AI326" s="181"/>
      <c r="AJ326" s="181"/>
      <c r="AK326" s="181"/>
      <c r="AL326" s="181"/>
      <c r="AM326" s="181"/>
      <c r="AN326" s="157"/>
      <c r="AO326" s="181"/>
      <c r="AP326" s="157"/>
      <c r="AQ326" s="157"/>
      <c r="AR326" s="156"/>
      <c r="AS326" s="164">
        <f t="shared" si="186"/>
        <v>-855000</v>
      </c>
      <c r="AT326" s="164">
        <f t="shared" si="187"/>
        <v>62862000</v>
      </c>
      <c r="AU326" s="160"/>
      <c r="AV326" s="164">
        <f t="shared" si="188"/>
        <v>-62862000</v>
      </c>
      <c r="AW326" s="161"/>
      <c r="AX326" s="161"/>
      <c r="AY326" s="160"/>
    </row>
    <row r="327" spans="1:51" ht="14.1" customHeight="1">
      <c r="A327" s="160">
        <v>327</v>
      </c>
      <c r="B327" s="158">
        <v>381</v>
      </c>
      <c r="C327" s="159" t="s">
        <v>265</v>
      </c>
      <c r="D327" s="159"/>
      <c r="E327" s="157"/>
      <c r="F327" s="165">
        <v>11328000</v>
      </c>
      <c r="G327" s="157"/>
      <c r="H327" s="157"/>
      <c r="J327" s="181">
        <v>301000</v>
      </c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81">
        <f t="shared" si="185"/>
        <v>152000</v>
      </c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81"/>
      <c r="AJ327" s="181"/>
      <c r="AK327" s="181"/>
      <c r="AL327" s="181"/>
      <c r="AM327" s="181"/>
      <c r="AN327" s="157"/>
      <c r="AO327" s="181">
        <v>-3294000</v>
      </c>
      <c r="AP327" s="157"/>
      <c r="AQ327" s="157"/>
      <c r="AR327" s="156"/>
      <c r="AS327" s="164">
        <f t="shared" si="186"/>
        <v>2841000</v>
      </c>
      <c r="AT327" s="164">
        <f t="shared" si="187"/>
        <v>14169000</v>
      </c>
      <c r="AU327" s="160"/>
      <c r="AV327" s="164">
        <f t="shared" si="188"/>
        <v>-14169000</v>
      </c>
      <c r="AW327" s="161"/>
      <c r="AX327" s="161"/>
      <c r="AY327" s="160"/>
    </row>
    <row r="328" spans="1:51" ht="14.1" customHeight="1">
      <c r="A328" s="160">
        <v>328</v>
      </c>
      <c r="B328" s="158">
        <v>382</v>
      </c>
      <c r="C328" s="159" t="s">
        <v>266</v>
      </c>
      <c r="D328" s="159"/>
      <c r="E328" s="157"/>
      <c r="F328" s="165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81">
        <f t="shared" si="185"/>
        <v>0</v>
      </c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81"/>
      <c r="AJ328" s="181"/>
      <c r="AK328" s="181"/>
      <c r="AL328" s="181"/>
      <c r="AM328" s="181"/>
      <c r="AN328" s="157"/>
      <c r="AO328" s="181"/>
      <c r="AP328" s="157"/>
      <c r="AQ328" s="157"/>
      <c r="AR328" s="156"/>
      <c r="AS328" s="164">
        <f t="shared" si="186"/>
        <v>0</v>
      </c>
      <c r="AT328" s="164">
        <f t="shared" si="187"/>
        <v>0</v>
      </c>
      <c r="AU328" s="160"/>
      <c r="AV328" s="164">
        <f t="shared" si="188"/>
        <v>0</v>
      </c>
      <c r="AW328" s="161"/>
      <c r="AX328" s="161"/>
      <c r="AY328" s="160"/>
    </row>
    <row r="329" spans="1:51" ht="14.1" customHeight="1">
      <c r="A329" s="160">
        <v>329</v>
      </c>
      <c r="B329" s="158">
        <v>383</v>
      </c>
      <c r="C329" s="159" t="s">
        <v>267</v>
      </c>
      <c r="D329" s="159"/>
      <c r="E329" s="157"/>
      <c r="F329" s="165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81">
        <f t="shared" si="185"/>
        <v>0</v>
      </c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81"/>
      <c r="AJ329" s="181"/>
      <c r="AK329" s="181"/>
      <c r="AL329" s="181"/>
      <c r="AM329" s="181"/>
      <c r="AN329" s="157"/>
      <c r="AO329" s="181"/>
      <c r="AP329" s="157"/>
      <c r="AQ329" s="157"/>
      <c r="AR329" s="156"/>
      <c r="AS329" s="164">
        <f t="shared" si="186"/>
        <v>0</v>
      </c>
      <c r="AT329" s="164">
        <f t="shared" si="187"/>
        <v>0</v>
      </c>
      <c r="AU329" s="160"/>
      <c r="AV329" s="164">
        <f t="shared" si="188"/>
        <v>0</v>
      </c>
      <c r="AW329" s="161"/>
      <c r="AX329" s="161"/>
      <c r="AY329" s="160"/>
    </row>
    <row r="330" spans="1:51" ht="14.1" customHeight="1">
      <c r="A330" s="160">
        <v>330</v>
      </c>
      <c r="B330" s="158">
        <v>384</v>
      </c>
      <c r="C330" s="159" t="s">
        <v>268</v>
      </c>
      <c r="D330" s="159"/>
      <c r="E330" s="157"/>
      <c r="F330" s="165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81">
        <f t="shared" si="185"/>
        <v>0</v>
      </c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81"/>
      <c r="AJ330" s="181"/>
      <c r="AK330" s="181"/>
      <c r="AL330" s="181"/>
      <c r="AM330" s="181"/>
      <c r="AN330" s="157"/>
      <c r="AO330" s="181"/>
      <c r="AP330" s="157"/>
      <c r="AQ330" s="157"/>
      <c r="AR330" s="156"/>
      <c r="AS330" s="164">
        <f t="shared" si="186"/>
        <v>0</v>
      </c>
      <c r="AT330" s="164">
        <f t="shared" si="187"/>
        <v>0</v>
      </c>
      <c r="AU330" s="160"/>
      <c r="AV330" s="164">
        <f t="shared" si="188"/>
        <v>0</v>
      </c>
      <c r="AW330" s="161"/>
      <c r="AX330" s="161"/>
      <c r="AY330" s="160"/>
    </row>
    <row r="331" spans="1:51" ht="14.1" customHeight="1">
      <c r="A331" s="160">
        <v>331</v>
      </c>
      <c r="B331" s="158">
        <v>385</v>
      </c>
      <c r="C331" s="159" t="s">
        <v>269</v>
      </c>
      <c r="D331" s="159"/>
      <c r="E331" s="157"/>
      <c r="F331" s="165">
        <v>1182000</v>
      </c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81">
        <f t="shared" si="185"/>
        <v>16000</v>
      </c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81"/>
      <c r="AJ331" s="181"/>
      <c r="AK331" s="181"/>
      <c r="AL331" s="181"/>
      <c r="AM331" s="181"/>
      <c r="AN331" s="157"/>
      <c r="AO331" s="181"/>
      <c r="AP331" s="157"/>
      <c r="AQ331" s="157"/>
      <c r="AR331" s="156"/>
      <c r="AS331" s="164">
        <f t="shared" si="186"/>
        <v>-16000</v>
      </c>
      <c r="AT331" s="164">
        <f t="shared" si="187"/>
        <v>1166000</v>
      </c>
      <c r="AU331" s="160"/>
      <c r="AV331" s="164">
        <f t="shared" si="188"/>
        <v>-1166000</v>
      </c>
      <c r="AW331" s="161"/>
      <c r="AX331" s="161"/>
      <c r="AY331" s="160"/>
    </row>
    <row r="332" spans="1:51" ht="14.1" customHeight="1">
      <c r="A332" s="160">
        <v>332</v>
      </c>
      <c r="B332" s="158">
        <v>387</v>
      </c>
      <c r="C332" s="159" t="s">
        <v>260</v>
      </c>
      <c r="D332" s="159"/>
      <c r="E332" s="157"/>
      <c r="F332" s="165">
        <v>0</v>
      </c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81">
        <f t="shared" si="185"/>
        <v>0</v>
      </c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81"/>
      <c r="AJ332" s="181"/>
      <c r="AK332" s="181"/>
      <c r="AL332" s="181"/>
      <c r="AM332" s="181"/>
      <c r="AN332" s="157"/>
      <c r="AO332" s="181"/>
      <c r="AP332" s="157"/>
      <c r="AQ332" s="157"/>
      <c r="AR332" s="156"/>
      <c r="AS332" s="164">
        <f t="shared" si="186"/>
        <v>0</v>
      </c>
      <c r="AT332" s="164">
        <f t="shared" si="187"/>
        <v>0</v>
      </c>
      <c r="AU332" s="160"/>
      <c r="AV332" s="164">
        <f t="shared" si="188"/>
        <v>0</v>
      </c>
      <c r="AW332" s="161"/>
      <c r="AX332" s="161"/>
      <c r="AY332" s="160"/>
    </row>
    <row r="333" spans="1:51" s="169" customFormat="1" ht="14.1" customHeight="1">
      <c r="A333" s="160">
        <v>333</v>
      </c>
      <c r="B333" s="172"/>
      <c r="C333" s="172" t="s">
        <v>715</v>
      </c>
      <c r="D333" s="172"/>
      <c r="E333" s="195"/>
      <c r="F333" s="194">
        <f t="shared" ref="F333:AG333" si="189">SUM(F320:F332)</f>
        <v>151240000</v>
      </c>
      <c r="G333" s="174">
        <f t="shared" si="189"/>
        <v>0</v>
      </c>
      <c r="H333" s="174">
        <f t="shared" si="189"/>
        <v>0</v>
      </c>
      <c r="I333" s="174">
        <f t="shared" si="189"/>
        <v>0</v>
      </c>
      <c r="J333" s="174">
        <f>SUM(J320:J332)</f>
        <v>301000</v>
      </c>
      <c r="K333" s="174">
        <f>SUM(K320:K332)</f>
        <v>0</v>
      </c>
      <c r="L333" s="174">
        <f>SUM(L320:L332)</f>
        <v>0</v>
      </c>
      <c r="M333" s="174">
        <f t="shared" si="189"/>
        <v>0</v>
      </c>
      <c r="N333" s="174">
        <f t="shared" si="189"/>
        <v>0</v>
      </c>
      <c r="O333" s="174">
        <f t="shared" si="189"/>
        <v>0</v>
      </c>
      <c r="P333" s="174">
        <f t="shared" si="189"/>
        <v>0</v>
      </c>
      <c r="Q333" s="174">
        <f>SUM(Q320:Q332)</f>
        <v>0</v>
      </c>
      <c r="R333" s="174">
        <f>SUM(R320:R332)</f>
        <v>0</v>
      </c>
      <c r="S333" s="174">
        <f>SUM(S320:S332)</f>
        <v>0</v>
      </c>
      <c r="T333" s="174">
        <f>SUM(T320:T332)</f>
        <v>0</v>
      </c>
      <c r="U333" s="174">
        <f>SUM(U320:U332)</f>
        <v>0</v>
      </c>
      <c r="V333" s="174">
        <f t="shared" si="189"/>
        <v>0</v>
      </c>
      <c r="W333" s="174">
        <f t="shared" ref="W333:AB333" si="190">SUM(W320:W332)</f>
        <v>0</v>
      </c>
      <c r="X333" s="174">
        <f t="shared" si="190"/>
        <v>0</v>
      </c>
      <c r="Y333" s="174">
        <f t="shared" si="190"/>
        <v>2029000</v>
      </c>
      <c r="Z333" s="174">
        <f t="shared" si="190"/>
        <v>0</v>
      </c>
      <c r="AA333" s="174">
        <f t="shared" si="190"/>
        <v>0</v>
      </c>
      <c r="AB333" s="174">
        <f t="shared" si="190"/>
        <v>0</v>
      </c>
      <c r="AC333" s="174">
        <f t="shared" si="189"/>
        <v>0</v>
      </c>
      <c r="AD333" s="174">
        <f t="shared" si="189"/>
        <v>0</v>
      </c>
      <c r="AE333" s="174">
        <f t="shared" si="189"/>
        <v>0</v>
      </c>
      <c r="AF333" s="174">
        <f t="shared" si="189"/>
        <v>0</v>
      </c>
      <c r="AG333" s="174">
        <f t="shared" si="189"/>
        <v>0</v>
      </c>
      <c r="AH333" s="174">
        <f>SUM(AH320:AH332)</f>
        <v>0</v>
      </c>
      <c r="AI333" s="174">
        <f t="shared" ref="AI333:AQ333" si="191">SUM(AI320:AI332)</f>
        <v>0</v>
      </c>
      <c r="AJ333" s="174">
        <f t="shared" si="191"/>
        <v>0</v>
      </c>
      <c r="AK333" s="174">
        <f t="shared" si="191"/>
        <v>614000</v>
      </c>
      <c r="AL333" s="174">
        <f t="shared" si="191"/>
        <v>517000</v>
      </c>
      <c r="AM333" s="174">
        <f t="shared" si="191"/>
        <v>1743000</v>
      </c>
      <c r="AN333" s="174">
        <f t="shared" si="191"/>
        <v>0</v>
      </c>
      <c r="AO333" s="174">
        <f t="shared" si="191"/>
        <v>-3294000</v>
      </c>
      <c r="AP333" s="174">
        <f t="shared" si="191"/>
        <v>0</v>
      </c>
      <c r="AQ333" s="174">
        <f t="shared" si="191"/>
        <v>0</v>
      </c>
      <c r="AR333" s="173"/>
      <c r="AS333" s="173">
        <f>SUM(AS320:AS332)</f>
        <v>-1910000</v>
      </c>
      <c r="AT333" s="173">
        <f>SUM(AT320:AT332)</f>
        <v>149330000</v>
      </c>
      <c r="AU333" s="167" t="str">
        <f>IF(ROUND(SUM(F333:AQ333),0)=ROUND(AT333,0),"ok","crossfoot error")</f>
        <v>crossfoot error</v>
      </c>
      <c r="AV333" s="173">
        <f>-SUM(AV320:AV332)/1000</f>
        <v>149330</v>
      </c>
      <c r="AW333" s="162">
        <f>-'[2]ADJ DETAIL INPUT'!$AU$69</f>
        <v>149330.4883980554</v>
      </c>
      <c r="AX333" s="161">
        <f>AV333-AW333</f>
        <v>-0.48839805540046655</v>
      </c>
      <c r="AY333" s="167"/>
    </row>
    <row r="334" spans="1:51" ht="14.1" customHeight="1">
      <c r="A334" s="160">
        <v>334</v>
      </c>
      <c r="B334" s="158"/>
      <c r="C334" s="159"/>
      <c r="D334" s="159"/>
      <c r="E334" s="156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6"/>
      <c r="AS334" s="164"/>
      <c r="AT334" s="164"/>
      <c r="AU334" s="160"/>
      <c r="AV334" s="164"/>
      <c r="AW334" s="161"/>
      <c r="AX334" s="161"/>
      <c r="AY334" s="160"/>
    </row>
    <row r="335" spans="1:51" ht="14.1" customHeight="1">
      <c r="A335" s="160">
        <v>335</v>
      </c>
      <c r="B335" s="158"/>
      <c r="C335" s="197" t="s">
        <v>106</v>
      </c>
      <c r="D335" s="159"/>
      <c r="E335" s="156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6"/>
      <c r="AS335" s="164"/>
      <c r="AT335" s="164"/>
      <c r="AU335" s="160"/>
      <c r="AV335" s="164"/>
      <c r="AW335" s="161"/>
      <c r="AX335" s="161"/>
      <c r="AY335" s="160"/>
    </row>
    <row r="336" spans="1:51" ht="14.1" customHeight="1">
      <c r="A336" s="160">
        <v>336</v>
      </c>
      <c r="B336" s="158">
        <v>389</v>
      </c>
      <c r="C336" s="159" t="s">
        <v>253</v>
      </c>
      <c r="D336" s="159"/>
      <c r="E336" s="156"/>
      <c r="F336" s="165">
        <v>25000</v>
      </c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81">
        <f>ROUND(F336/$F$346*-2799000,-3)</f>
        <v>-3000</v>
      </c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81"/>
      <c r="AK336" s="181"/>
      <c r="AL336" s="181"/>
      <c r="AM336" s="157"/>
      <c r="AN336" s="181"/>
      <c r="AO336" s="181"/>
      <c r="AP336" s="157"/>
      <c r="AQ336" s="157"/>
      <c r="AR336" s="156"/>
      <c r="AS336" s="164">
        <f>-SUM(G336:AQ336)</f>
        <v>3000</v>
      </c>
      <c r="AT336" s="164">
        <f>F336+AS336</f>
        <v>28000</v>
      </c>
      <c r="AU336" s="160"/>
      <c r="AV336" s="164">
        <f t="shared" ref="AV336:AV345" si="192">-ROUND(AT336/1000,0)*1000</f>
        <v>-28000</v>
      </c>
      <c r="AW336" s="161"/>
      <c r="AX336" s="161"/>
      <c r="AY336" s="160"/>
    </row>
    <row r="337" spans="1:51" ht="14.1" customHeight="1">
      <c r="A337" s="160">
        <v>337</v>
      </c>
      <c r="B337" s="158">
        <v>390</v>
      </c>
      <c r="C337" s="159" t="s">
        <v>254</v>
      </c>
      <c r="D337" s="159"/>
      <c r="E337" s="156"/>
      <c r="F337" s="165">
        <v>2159000</v>
      </c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81">
        <f t="shared" ref="Y337:Y345" si="193">ROUND(F337/$F$346*-2799000,-3)</f>
        <v>-238000</v>
      </c>
      <c r="Z337" s="165"/>
      <c r="AA337" s="165"/>
      <c r="AB337" s="165"/>
      <c r="AC337" s="157"/>
      <c r="AD337" s="157"/>
      <c r="AE337" s="157"/>
      <c r="AF337" s="157"/>
      <c r="AG337" s="165"/>
      <c r="AH337" s="165"/>
      <c r="AJ337" s="181"/>
      <c r="AK337" s="181"/>
      <c r="AL337" s="181"/>
      <c r="AM337" s="165"/>
      <c r="AN337" s="181"/>
      <c r="AO337" s="181"/>
      <c r="AP337" s="165"/>
      <c r="AQ337" s="165"/>
      <c r="AR337" s="156"/>
      <c r="AS337" s="164">
        <f t="shared" ref="AS337:AS345" si="194">-SUM(G337:AQ337)</f>
        <v>238000</v>
      </c>
      <c r="AT337" s="164">
        <f t="shared" ref="AT337:AT345" si="195">F337+AS337</f>
        <v>2397000</v>
      </c>
      <c r="AU337" s="160"/>
      <c r="AV337" s="164">
        <f t="shared" si="192"/>
        <v>-2397000</v>
      </c>
      <c r="AW337" s="161"/>
      <c r="AX337" s="161"/>
      <c r="AY337" s="160"/>
    </row>
    <row r="338" spans="1:51" ht="14.1" customHeight="1">
      <c r="A338" s="160">
        <v>338</v>
      </c>
      <c r="B338" s="158">
        <v>391</v>
      </c>
      <c r="C338" s="159" t="s">
        <v>270</v>
      </c>
      <c r="D338" s="159"/>
      <c r="E338" s="156"/>
      <c r="F338" s="165">
        <v>7849000</v>
      </c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81">
        <f>ROUND(F338/$F$346*-2799000,-3)-1000</f>
        <v>-867000</v>
      </c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81"/>
      <c r="AJ338" s="181"/>
      <c r="AK338" s="181">
        <v>383000</v>
      </c>
      <c r="AL338" s="181">
        <v>940000</v>
      </c>
      <c r="AM338" s="157"/>
      <c r="AN338" s="181">
        <v>1543000</v>
      </c>
      <c r="AO338" s="181"/>
      <c r="AP338" s="157"/>
      <c r="AQ338" s="157"/>
      <c r="AR338" s="156"/>
      <c r="AS338" s="164">
        <f t="shared" si="194"/>
        <v>-1999000</v>
      </c>
      <c r="AT338" s="164">
        <f t="shared" si="195"/>
        <v>5850000</v>
      </c>
      <c r="AU338" s="196"/>
      <c r="AV338" s="164">
        <f t="shared" si="192"/>
        <v>-5850000</v>
      </c>
      <c r="AW338" s="161"/>
      <c r="AX338" s="161"/>
      <c r="AY338" s="196"/>
    </row>
    <row r="339" spans="1:51" ht="14.1" customHeight="1">
      <c r="A339" s="160">
        <v>339</v>
      </c>
      <c r="B339" s="158">
        <v>392</v>
      </c>
      <c r="C339" s="159" t="s">
        <v>271</v>
      </c>
      <c r="D339" s="159"/>
      <c r="E339" s="156"/>
      <c r="F339" s="165">
        <v>7433000</v>
      </c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81">
        <f t="shared" si="193"/>
        <v>-821000</v>
      </c>
      <c r="Z339" s="157"/>
      <c r="AA339" s="157"/>
      <c r="AB339" s="157"/>
      <c r="AC339" s="157"/>
      <c r="AD339" s="157"/>
      <c r="AE339" s="157"/>
      <c r="AF339" s="157"/>
      <c r="AG339" s="181"/>
      <c r="AH339" s="181"/>
      <c r="AI339" s="157"/>
      <c r="AJ339" s="181"/>
      <c r="AK339" s="181"/>
      <c r="AL339" s="181"/>
      <c r="AM339" s="157"/>
      <c r="AN339" s="181"/>
      <c r="AO339" s="181"/>
      <c r="AP339" s="157"/>
      <c r="AQ339" s="157"/>
      <c r="AR339" s="156"/>
      <c r="AS339" s="164">
        <f t="shared" si="194"/>
        <v>821000</v>
      </c>
      <c r="AT339" s="164">
        <f t="shared" si="195"/>
        <v>8254000</v>
      </c>
      <c r="AU339" s="160"/>
      <c r="AV339" s="164">
        <f>-ROUND(AT339/1000,0)*1000</f>
        <v>-8254000</v>
      </c>
      <c r="AW339" s="161"/>
      <c r="AX339" s="161"/>
      <c r="AY339" s="160"/>
    </row>
    <row r="340" spans="1:51" ht="14.1" customHeight="1">
      <c r="A340" s="160">
        <v>340</v>
      </c>
      <c r="B340" s="158">
        <v>393</v>
      </c>
      <c r="C340" s="159" t="s">
        <v>272</v>
      </c>
      <c r="D340" s="159"/>
      <c r="E340" s="156"/>
      <c r="F340" s="165">
        <v>242000</v>
      </c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81">
        <f t="shared" si="193"/>
        <v>-27000</v>
      </c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81"/>
      <c r="AK340" s="181"/>
      <c r="AL340" s="181"/>
      <c r="AM340" s="157"/>
      <c r="AN340" s="181"/>
      <c r="AO340" s="181"/>
      <c r="AP340" s="157"/>
      <c r="AQ340" s="157"/>
      <c r="AR340" s="156"/>
      <c r="AS340" s="164">
        <f t="shared" si="194"/>
        <v>27000</v>
      </c>
      <c r="AT340" s="164">
        <f t="shared" si="195"/>
        <v>269000</v>
      </c>
      <c r="AU340" s="160"/>
      <c r="AV340" s="164">
        <f t="shared" si="192"/>
        <v>-269000</v>
      </c>
      <c r="AW340" s="161"/>
      <c r="AX340" s="161"/>
      <c r="AY340" s="160"/>
    </row>
    <row r="341" spans="1:51" ht="14.1" customHeight="1">
      <c r="A341" s="160">
        <v>341</v>
      </c>
      <c r="B341" s="158">
        <v>394</v>
      </c>
      <c r="C341" s="159" t="s">
        <v>273</v>
      </c>
      <c r="D341" s="159"/>
      <c r="E341" s="156"/>
      <c r="F341" s="165">
        <v>2196000</v>
      </c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81">
        <f t="shared" si="193"/>
        <v>-242000</v>
      </c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81"/>
      <c r="AK341" s="181"/>
      <c r="AL341" s="181"/>
      <c r="AM341" s="157"/>
      <c r="AN341" s="181"/>
      <c r="AO341" s="181"/>
      <c r="AP341" s="157"/>
      <c r="AQ341" s="157"/>
      <c r="AR341" s="156"/>
      <c r="AS341" s="164">
        <f t="shared" si="194"/>
        <v>242000</v>
      </c>
      <c r="AT341" s="164">
        <f t="shared" si="195"/>
        <v>2438000</v>
      </c>
      <c r="AU341" s="160"/>
      <c r="AV341" s="164">
        <f t="shared" si="192"/>
        <v>-2438000</v>
      </c>
      <c r="AW341" s="161"/>
      <c r="AX341" s="161"/>
      <c r="AY341" s="160"/>
    </row>
    <row r="342" spans="1:51" ht="14.1" customHeight="1">
      <c r="A342" s="160">
        <v>342</v>
      </c>
      <c r="B342" s="158">
        <v>395</v>
      </c>
      <c r="C342" s="159" t="s">
        <v>274</v>
      </c>
      <c r="D342" s="159"/>
      <c r="E342" s="156"/>
      <c r="F342" s="165">
        <v>166000</v>
      </c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81">
        <f t="shared" si="193"/>
        <v>-18000</v>
      </c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81"/>
      <c r="AK342" s="181"/>
      <c r="AL342" s="181"/>
      <c r="AM342" s="157"/>
      <c r="AN342" s="181"/>
      <c r="AO342" s="181"/>
      <c r="AP342" s="157"/>
      <c r="AQ342" s="157"/>
      <c r="AR342" s="156"/>
      <c r="AS342" s="164">
        <f t="shared" si="194"/>
        <v>18000</v>
      </c>
      <c r="AT342" s="164">
        <f t="shared" si="195"/>
        <v>184000</v>
      </c>
      <c r="AU342" s="160"/>
      <c r="AV342" s="164">
        <f t="shared" si="192"/>
        <v>-184000</v>
      </c>
      <c r="AW342" s="161"/>
      <c r="AX342" s="161"/>
      <c r="AY342" s="160"/>
    </row>
    <row r="343" spans="1:51" ht="14.1" customHeight="1">
      <c r="A343" s="160">
        <v>343</v>
      </c>
      <c r="B343" s="158">
        <v>396</v>
      </c>
      <c r="C343" s="159" t="s">
        <v>275</v>
      </c>
      <c r="D343" s="159"/>
      <c r="E343" s="156"/>
      <c r="F343" s="165">
        <v>2038000</v>
      </c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81">
        <f t="shared" si="193"/>
        <v>-225000</v>
      </c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81"/>
      <c r="AK343" s="181"/>
      <c r="AL343" s="181"/>
      <c r="AM343" s="157"/>
      <c r="AN343" s="181"/>
      <c r="AO343" s="181"/>
      <c r="AP343" s="157"/>
      <c r="AQ343" s="157"/>
      <c r="AR343" s="156"/>
      <c r="AS343" s="164">
        <f t="shared" si="194"/>
        <v>225000</v>
      </c>
      <c r="AT343" s="164">
        <f t="shared" si="195"/>
        <v>2263000</v>
      </c>
      <c r="AU343" s="160"/>
      <c r="AV343" s="164">
        <f t="shared" si="192"/>
        <v>-2263000</v>
      </c>
      <c r="AW343" s="161"/>
      <c r="AX343" s="161"/>
      <c r="AY343" s="160"/>
    </row>
    <row r="344" spans="1:51" ht="14.1" customHeight="1">
      <c r="A344" s="160">
        <v>344</v>
      </c>
      <c r="B344" s="158">
        <v>397</v>
      </c>
      <c r="C344" s="159" t="s">
        <v>276</v>
      </c>
      <c r="D344" s="159"/>
      <c r="E344" s="156"/>
      <c r="F344" s="165">
        <v>3164000</v>
      </c>
      <c r="G344" s="157"/>
      <c r="H344" s="157"/>
      <c r="I344" s="157"/>
      <c r="J344" s="181">
        <v>1658000</v>
      </c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81">
        <f t="shared" si="193"/>
        <v>-349000</v>
      </c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81"/>
      <c r="AK344" s="181"/>
      <c r="AL344" s="181"/>
      <c r="AM344" s="157"/>
      <c r="AN344" s="181"/>
      <c r="AO344" s="181">
        <f>-5972000+4603249</f>
        <v>-1368751</v>
      </c>
      <c r="AP344" s="157"/>
      <c r="AQ344" s="157"/>
      <c r="AR344" s="156"/>
      <c r="AS344" s="164">
        <f t="shared" si="194"/>
        <v>59751</v>
      </c>
      <c r="AT344" s="164">
        <f t="shared" si="195"/>
        <v>3223751</v>
      </c>
      <c r="AU344" s="160"/>
      <c r="AV344" s="164">
        <f t="shared" si="192"/>
        <v>-3224000</v>
      </c>
      <c r="AW344" s="161"/>
      <c r="AX344" s="161"/>
      <c r="AY344" s="160"/>
    </row>
    <row r="345" spans="1:51" ht="14.1" customHeight="1">
      <c r="A345" s="160">
        <v>345</v>
      </c>
      <c r="B345" s="158">
        <v>398</v>
      </c>
      <c r="C345" s="159" t="s">
        <v>277</v>
      </c>
      <c r="D345" s="159"/>
      <c r="E345" s="156"/>
      <c r="F345" s="165">
        <v>83000</v>
      </c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81">
        <f t="shared" si="193"/>
        <v>-9000</v>
      </c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81"/>
      <c r="AJ345" s="181"/>
      <c r="AK345" s="181"/>
      <c r="AL345" s="181"/>
      <c r="AM345" s="157"/>
      <c r="AN345" s="181"/>
      <c r="AO345" s="181"/>
      <c r="AP345" s="157"/>
      <c r="AQ345" s="157"/>
      <c r="AR345" s="156"/>
      <c r="AS345" s="164">
        <f t="shared" si="194"/>
        <v>9000</v>
      </c>
      <c r="AT345" s="164">
        <f t="shared" si="195"/>
        <v>92000</v>
      </c>
      <c r="AU345" s="160"/>
      <c r="AV345" s="164">
        <f t="shared" si="192"/>
        <v>-92000</v>
      </c>
      <c r="AW345" s="161"/>
      <c r="AX345" s="161"/>
      <c r="AY345" s="160"/>
    </row>
    <row r="346" spans="1:51" s="169" customFormat="1" ht="14.1" customHeight="1">
      <c r="A346" s="160">
        <v>346</v>
      </c>
      <c r="B346" s="180"/>
      <c r="C346" s="172" t="s">
        <v>714</v>
      </c>
      <c r="D346" s="172"/>
      <c r="E346" s="195"/>
      <c r="F346" s="194">
        <f t="shared" ref="F346:AF346" si="196">SUM(F336:F345)</f>
        <v>25355000</v>
      </c>
      <c r="G346" s="174">
        <f t="shared" si="196"/>
        <v>0</v>
      </c>
      <c r="H346" s="174">
        <f t="shared" si="196"/>
        <v>0</v>
      </c>
      <c r="I346" s="174">
        <f t="shared" si="196"/>
        <v>0</v>
      </c>
      <c r="J346" s="174">
        <f t="shared" si="196"/>
        <v>1658000</v>
      </c>
      <c r="K346" s="174">
        <f t="shared" si="196"/>
        <v>0</v>
      </c>
      <c r="L346" s="174">
        <f t="shared" si="196"/>
        <v>0</v>
      </c>
      <c r="M346" s="174">
        <f t="shared" si="196"/>
        <v>0</v>
      </c>
      <c r="N346" s="174">
        <f t="shared" si="196"/>
        <v>0</v>
      </c>
      <c r="O346" s="174">
        <f t="shared" si="196"/>
        <v>0</v>
      </c>
      <c r="P346" s="174">
        <f t="shared" si="196"/>
        <v>0</v>
      </c>
      <c r="Q346" s="174">
        <f t="shared" si="196"/>
        <v>0</v>
      </c>
      <c r="R346" s="174">
        <f t="shared" si="196"/>
        <v>0</v>
      </c>
      <c r="S346" s="174">
        <f t="shared" si="196"/>
        <v>0</v>
      </c>
      <c r="T346" s="174">
        <f t="shared" si="196"/>
        <v>0</v>
      </c>
      <c r="U346" s="174">
        <f t="shared" si="196"/>
        <v>0</v>
      </c>
      <c r="V346" s="174">
        <f t="shared" si="196"/>
        <v>0</v>
      </c>
      <c r="W346" s="174">
        <f t="shared" si="196"/>
        <v>0</v>
      </c>
      <c r="X346" s="174">
        <f t="shared" si="196"/>
        <v>0</v>
      </c>
      <c r="Y346" s="174">
        <f t="shared" si="196"/>
        <v>-2799000</v>
      </c>
      <c r="Z346" s="174">
        <f t="shared" si="196"/>
        <v>0</v>
      </c>
      <c r="AA346" s="174">
        <f t="shared" si="196"/>
        <v>0</v>
      </c>
      <c r="AB346" s="174">
        <f t="shared" si="196"/>
        <v>0</v>
      </c>
      <c r="AC346" s="174">
        <f t="shared" si="196"/>
        <v>0</v>
      </c>
      <c r="AD346" s="174">
        <f t="shared" si="196"/>
        <v>0</v>
      </c>
      <c r="AE346" s="174">
        <f t="shared" si="196"/>
        <v>0</v>
      </c>
      <c r="AF346" s="174">
        <f t="shared" si="196"/>
        <v>0</v>
      </c>
      <c r="AG346" s="174">
        <f t="shared" ref="AG346:AQ346" si="197">SUM(AG336:AG345)</f>
        <v>0</v>
      </c>
      <c r="AH346" s="174">
        <f t="shared" si="197"/>
        <v>0</v>
      </c>
      <c r="AI346" s="174">
        <f t="shared" si="197"/>
        <v>0</v>
      </c>
      <c r="AJ346" s="174">
        <f t="shared" si="197"/>
        <v>0</v>
      </c>
      <c r="AK346" s="174">
        <f t="shared" si="197"/>
        <v>383000</v>
      </c>
      <c r="AL346" s="174">
        <f t="shared" si="197"/>
        <v>940000</v>
      </c>
      <c r="AM346" s="174">
        <f t="shared" si="197"/>
        <v>0</v>
      </c>
      <c r="AN346" s="174">
        <f t="shared" si="197"/>
        <v>1543000</v>
      </c>
      <c r="AO346" s="174">
        <f t="shared" si="197"/>
        <v>-1368751</v>
      </c>
      <c r="AP346" s="174">
        <f t="shared" si="197"/>
        <v>0</v>
      </c>
      <c r="AQ346" s="174">
        <f t="shared" si="197"/>
        <v>0</v>
      </c>
      <c r="AR346" s="173"/>
      <c r="AS346" s="173">
        <f>SUM(AS336:AS345)</f>
        <v>-356249</v>
      </c>
      <c r="AT346" s="173">
        <f>SUM(AT336:AT345)</f>
        <v>24998751</v>
      </c>
      <c r="AU346" s="167" t="str">
        <f>IF(ROUND(SUM(F346:AQ346),0)=ROUND(AT346,0),"ok","crossfoot error")</f>
        <v>crossfoot error</v>
      </c>
      <c r="AV346" s="173">
        <f>-SUM(AV336:AV345)/1000</f>
        <v>24999</v>
      </c>
      <c r="AW346" s="162">
        <f>-'[2]ADJ DETAIL INPUT'!$AU$70</f>
        <v>41111</v>
      </c>
      <c r="AX346" s="161">
        <f>(AV346+AV354)-AW346</f>
        <v>-5434</v>
      </c>
      <c r="AY346" s="161">
        <f>AX346+AX354</f>
        <v>-5434</v>
      </c>
    </row>
    <row r="347" spans="1:51" ht="14.1" customHeight="1">
      <c r="A347" s="160">
        <v>347</v>
      </c>
      <c r="B347" s="158"/>
      <c r="C347" s="159"/>
      <c r="D347" s="159"/>
      <c r="E347" s="156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6"/>
      <c r="AS347" s="164"/>
      <c r="AT347" s="164"/>
      <c r="AU347" s="160"/>
      <c r="AV347" s="164"/>
      <c r="AW347" s="161"/>
      <c r="AX347" s="161"/>
      <c r="AY347" s="160"/>
    </row>
    <row r="348" spans="1:51" s="169" customFormat="1" ht="14.1" customHeight="1">
      <c r="A348" s="160">
        <v>348</v>
      </c>
      <c r="B348" s="172"/>
      <c r="C348" s="172" t="s">
        <v>174</v>
      </c>
      <c r="D348" s="172"/>
      <c r="E348" s="171"/>
      <c r="F348" s="170">
        <f t="shared" ref="F348:V348" si="198">F346+F333+F317</f>
        <v>188161000</v>
      </c>
      <c r="G348" s="170">
        <f t="shared" si="198"/>
        <v>0</v>
      </c>
      <c r="H348" s="170">
        <f t="shared" si="198"/>
        <v>0</v>
      </c>
      <c r="I348" s="170">
        <f t="shared" si="198"/>
        <v>0</v>
      </c>
      <c r="J348" s="170">
        <f t="shared" si="198"/>
        <v>1959000</v>
      </c>
      <c r="K348" s="170">
        <f t="shared" si="198"/>
        <v>0</v>
      </c>
      <c r="L348" s="170">
        <f t="shared" si="198"/>
        <v>0</v>
      </c>
      <c r="M348" s="170">
        <f t="shared" si="198"/>
        <v>0</v>
      </c>
      <c r="N348" s="170">
        <f t="shared" si="198"/>
        <v>0</v>
      </c>
      <c r="O348" s="170">
        <f t="shared" si="198"/>
        <v>0</v>
      </c>
      <c r="P348" s="170">
        <f t="shared" si="198"/>
        <v>0</v>
      </c>
      <c r="Q348" s="170">
        <f t="shared" si="198"/>
        <v>0</v>
      </c>
      <c r="R348" s="170">
        <f t="shared" si="198"/>
        <v>0</v>
      </c>
      <c r="S348" s="170">
        <f t="shared" si="198"/>
        <v>0</v>
      </c>
      <c r="T348" s="170">
        <f t="shared" si="198"/>
        <v>0</v>
      </c>
      <c r="U348" s="170">
        <f t="shared" si="198"/>
        <v>0</v>
      </c>
      <c r="V348" s="170">
        <f t="shared" si="198"/>
        <v>0</v>
      </c>
      <c r="W348" s="170">
        <f t="shared" ref="W348:AB348" si="199">W346+W333+W317</f>
        <v>0</v>
      </c>
      <c r="X348" s="170">
        <f t="shared" si="199"/>
        <v>0</v>
      </c>
      <c r="Y348" s="170">
        <f>Y346+Y333+Y317</f>
        <v>-993000</v>
      </c>
      <c r="Z348" s="170">
        <f t="shared" si="199"/>
        <v>0</v>
      </c>
      <c r="AA348" s="170">
        <f t="shared" si="199"/>
        <v>0</v>
      </c>
      <c r="AB348" s="170">
        <f t="shared" si="199"/>
        <v>0</v>
      </c>
      <c r="AC348" s="170">
        <f t="shared" ref="AC348:AQ348" si="200">AC346+AC333+AC317</f>
        <v>0</v>
      </c>
      <c r="AD348" s="170">
        <f t="shared" si="200"/>
        <v>0</v>
      </c>
      <c r="AE348" s="170">
        <f t="shared" si="200"/>
        <v>0</v>
      </c>
      <c r="AF348" s="170">
        <f t="shared" si="200"/>
        <v>0</v>
      </c>
      <c r="AG348" s="170">
        <f t="shared" si="200"/>
        <v>0</v>
      </c>
      <c r="AH348" s="170">
        <f t="shared" si="200"/>
        <v>0</v>
      </c>
      <c r="AI348" s="170">
        <f t="shared" si="200"/>
        <v>0</v>
      </c>
      <c r="AJ348" s="170">
        <f t="shared" si="200"/>
        <v>0</v>
      </c>
      <c r="AK348" s="170">
        <f t="shared" si="200"/>
        <v>1048000</v>
      </c>
      <c r="AL348" s="170">
        <f t="shared" si="200"/>
        <v>1457000</v>
      </c>
      <c r="AM348" s="170">
        <f t="shared" si="200"/>
        <v>1743000</v>
      </c>
      <c r="AN348" s="170">
        <f t="shared" si="200"/>
        <v>1543000</v>
      </c>
      <c r="AO348" s="170">
        <f t="shared" si="200"/>
        <v>-4662751</v>
      </c>
      <c r="AP348" s="170">
        <f t="shared" si="200"/>
        <v>0</v>
      </c>
      <c r="AQ348" s="170">
        <f t="shared" si="200"/>
        <v>0</v>
      </c>
      <c r="AR348" s="163"/>
      <c r="AS348" s="163">
        <f>AS346+AS333+AS317</f>
        <v>-2094249</v>
      </c>
      <c r="AT348" s="163">
        <f>AT346+AT333+AT317</f>
        <v>186066751</v>
      </c>
      <c r="AU348" s="167" t="str">
        <f>IF(ROUND(SUM(F348:AQ348),0)=ROUND(AT348,0),"ok","crossfoot error")</f>
        <v>crossfoot error</v>
      </c>
      <c r="AV348" s="163">
        <f>AV346+AV333+AV317+AV354</f>
        <v>196745</v>
      </c>
      <c r="AW348" s="162">
        <f>-'[2]ADJ DETAIL INPUT'!$AU$71</f>
        <v>202179.99199551536</v>
      </c>
      <c r="AX348" s="161">
        <f>AV348-AW348</f>
        <v>-5434.99199551536</v>
      </c>
      <c r="AY348" s="161">
        <f>AX348+AX354</f>
        <v>-5434.99199551536</v>
      </c>
    </row>
    <row r="349" spans="1:51" ht="14.1" customHeight="1">
      <c r="A349" s="160">
        <v>349</v>
      </c>
      <c r="B349" s="159"/>
      <c r="C349" s="159"/>
      <c r="D349" s="159"/>
      <c r="E349" s="156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88"/>
      <c r="AB349" s="188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64"/>
      <c r="AS349" s="164"/>
      <c r="AT349" s="164"/>
      <c r="AU349" s="160"/>
      <c r="AV349" s="164"/>
      <c r="AW349" s="161"/>
      <c r="AX349" s="161"/>
      <c r="AY349" s="160"/>
    </row>
    <row r="350" spans="1:51" ht="14.1" customHeight="1">
      <c r="A350" s="160">
        <v>350</v>
      </c>
      <c r="B350" s="172" t="s">
        <v>713</v>
      </c>
      <c r="C350" s="159"/>
      <c r="D350" s="159"/>
      <c r="E350" s="156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64"/>
      <c r="AS350" s="164"/>
      <c r="AT350" s="164"/>
      <c r="AU350" s="160"/>
      <c r="AV350" s="164"/>
      <c r="AW350" s="161"/>
      <c r="AX350" s="161"/>
      <c r="AY350" s="160"/>
    </row>
    <row r="351" spans="1:51" ht="14.1" customHeight="1">
      <c r="A351" s="160">
        <v>351</v>
      </c>
      <c r="B351" s="164" t="s">
        <v>712</v>
      </c>
      <c r="C351" s="164" t="s">
        <v>711</v>
      </c>
      <c r="D351" s="159"/>
      <c r="E351" s="156"/>
      <c r="F351" s="472">
        <f>12627000-F352</f>
        <v>10739752</v>
      </c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548"/>
      <c r="Z351" s="188"/>
      <c r="AA351" s="188"/>
      <c r="AB351" s="188"/>
      <c r="AC351" s="188"/>
      <c r="AD351" s="188"/>
      <c r="AE351" s="188"/>
      <c r="AF351" s="188"/>
      <c r="AG351" s="188"/>
      <c r="AH351" s="188"/>
      <c r="AI351" s="188"/>
      <c r="AJ351" s="548">
        <v>1707000</v>
      </c>
      <c r="AK351" s="188"/>
      <c r="AL351" s="188"/>
      <c r="AM351" s="188"/>
      <c r="AN351" s="548">
        <v>179000</v>
      </c>
      <c r="AO351" s="188"/>
      <c r="AP351" s="188"/>
      <c r="AQ351" s="188"/>
      <c r="AR351" s="164"/>
      <c r="AS351" s="164">
        <f>SUM(G351:AQ351)</f>
        <v>1886000</v>
      </c>
      <c r="AT351" s="164">
        <f>F351+AS351</f>
        <v>12625752</v>
      </c>
      <c r="AU351" s="160"/>
      <c r="AV351" s="164">
        <f>-ROUND(AT351/1000,0)*1000</f>
        <v>-12626000</v>
      </c>
      <c r="AW351" s="161"/>
      <c r="AX351" s="161"/>
      <c r="AY351" s="160"/>
    </row>
    <row r="352" spans="1:51" ht="14.1" customHeight="1">
      <c r="A352" s="160">
        <v>352</v>
      </c>
      <c r="B352" s="164" t="s">
        <v>1462</v>
      </c>
      <c r="C352" s="164" t="s">
        <v>1463</v>
      </c>
      <c r="D352" s="159"/>
      <c r="E352" s="156"/>
      <c r="F352" s="472">
        <v>1887248</v>
      </c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548"/>
      <c r="Z352" s="188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  <c r="AO352" s="548">
        <v>-4603249</v>
      </c>
      <c r="AP352" s="188"/>
      <c r="AQ352" s="188"/>
      <c r="AR352" s="164"/>
      <c r="AS352" s="164">
        <f>SUM(G352:AQ352)</f>
        <v>-4603249</v>
      </c>
      <c r="AT352" s="164">
        <f>F352+AS352</f>
        <v>-2716001</v>
      </c>
      <c r="AU352" s="160"/>
      <c r="AV352" s="164">
        <f>-ROUND(AT352/1000,0)*1000</f>
        <v>2716000</v>
      </c>
      <c r="AW352" s="161"/>
      <c r="AX352" s="161"/>
      <c r="AY352" s="160"/>
    </row>
    <row r="353" spans="1:51" ht="14.1" customHeight="1">
      <c r="A353" s="160">
        <v>353</v>
      </c>
      <c r="B353" s="473">
        <v>303</v>
      </c>
      <c r="C353" s="211" t="s">
        <v>279</v>
      </c>
      <c r="D353" s="211"/>
      <c r="E353" s="156"/>
      <c r="F353" s="472">
        <v>768000</v>
      </c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  <c r="AB353" s="188"/>
      <c r="AC353" s="188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  <c r="AR353" s="164"/>
      <c r="AS353" s="164">
        <f>SUM(G353:AQ353)</f>
        <v>0</v>
      </c>
      <c r="AT353" s="164">
        <f>F353+AS353</f>
        <v>768000</v>
      </c>
      <c r="AU353" s="160"/>
      <c r="AV353" s="164">
        <f>-ROUND(AT353/1000,0)*1000</f>
        <v>-768000</v>
      </c>
      <c r="AW353" s="161"/>
      <c r="AX353" s="161"/>
      <c r="AY353" s="160"/>
    </row>
    <row r="354" spans="1:51" s="169" customFormat="1" ht="14.1" customHeight="1">
      <c r="A354" s="160">
        <v>354</v>
      </c>
      <c r="B354" s="193"/>
      <c r="C354" s="172" t="s">
        <v>710</v>
      </c>
      <c r="D354" s="172"/>
      <c r="E354" s="171"/>
      <c r="F354" s="174">
        <f t="shared" ref="F354:V354" si="201">SUM(F351:F353)</f>
        <v>13395000</v>
      </c>
      <c r="G354" s="174">
        <f>SUM(G351:G353)</f>
        <v>0</v>
      </c>
      <c r="H354" s="174">
        <f t="shared" si="201"/>
        <v>0</v>
      </c>
      <c r="I354" s="174">
        <f t="shared" si="201"/>
        <v>0</v>
      </c>
      <c r="J354" s="174">
        <f t="shared" si="201"/>
        <v>0</v>
      </c>
      <c r="K354" s="174">
        <f t="shared" si="201"/>
        <v>0</v>
      </c>
      <c r="L354" s="174">
        <f t="shared" si="201"/>
        <v>0</v>
      </c>
      <c r="M354" s="174">
        <f t="shared" si="201"/>
        <v>0</v>
      </c>
      <c r="N354" s="174">
        <f t="shared" si="201"/>
        <v>0</v>
      </c>
      <c r="O354" s="174">
        <f t="shared" si="201"/>
        <v>0</v>
      </c>
      <c r="P354" s="174">
        <f t="shared" si="201"/>
        <v>0</v>
      </c>
      <c r="Q354" s="174">
        <f t="shared" si="201"/>
        <v>0</v>
      </c>
      <c r="R354" s="174">
        <f t="shared" si="201"/>
        <v>0</v>
      </c>
      <c r="S354" s="174">
        <f t="shared" si="201"/>
        <v>0</v>
      </c>
      <c r="T354" s="174">
        <f t="shared" si="201"/>
        <v>0</v>
      </c>
      <c r="U354" s="174">
        <f t="shared" si="201"/>
        <v>0</v>
      </c>
      <c r="V354" s="174">
        <f t="shared" si="201"/>
        <v>0</v>
      </c>
      <c r="W354" s="174">
        <f t="shared" ref="W354:AB354" si="202">SUM(W351:W353)</f>
        <v>0</v>
      </c>
      <c r="X354" s="174">
        <f t="shared" si="202"/>
        <v>0</v>
      </c>
      <c r="Y354" s="174">
        <f t="shared" si="202"/>
        <v>0</v>
      </c>
      <c r="Z354" s="174">
        <f t="shared" si="202"/>
        <v>0</v>
      </c>
      <c r="AA354" s="174">
        <f t="shared" si="202"/>
        <v>0</v>
      </c>
      <c r="AB354" s="174">
        <f t="shared" si="202"/>
        <v>0</v>
      </c>
      <c r="AC354" s="174">
        <f t="shared" ref="AC354:AQ354" si="203">SUM(AC351:AC353)</f>
        <v>0</v>
      </c>
      <c r="AD354" s="174">
        <f t="shared" si="203"/>
        <v>0</v>
      </c>
      <c r="AE354" s="174">
        <f t="shared" si="203"/>
        <v>0</v>
      </c>
      <c r="AF354" s="174">
        <f t="shared" si="203"/>
        <v>0</v>
      </c>
      <c r="AG354" s="174">
        <f t="shared" si="203"/>
        <v>0</v>
      </c>
      <c r="AH354" s="174">
        <f t="shared" si="203"/>
        <v>0</v>
      </c>
      <c r="AI354" s="174">
        <f t="shared" si="203"/>
        <v>0</v>
      </c>
      <c r="AJ354" s="174">
        <f t="shared" si="203"/>
        <v>1707000</v>
      </c>
      <c r="AK354" s="174">
        <f t="shared" si="203"/>
        <v>0</v>
      </c>
      <c r="AL354" s="174">
        <f t="shared" si="203"/>
        <v>0</v>
      </c>
      <c r="AM354" s="174">
        <f t="shared" si="203"/>
        <v>0</v>
      </c>
      <c r="AN354" s="174">
        <f t="shared" si="203"/>
        <v>179000</v>
      </c>
      <c r="AO354" s="174">
        <f t="shared" si="203"/>
        <v>-4603249</v>
      </c>
      <c r="AP354" s="174">
        <f t="shared" si="203"/>
        <v>0</v>
      </c>
      <c r="AQ354" s="174">
        <f t="shared" si="203"/>
        <v>0</v>
      </c>
      <c r="AR354" s="173"/>
      <c r="AS354" s="173">
        <f>SUM(AS351:AS353)</f>
        <v>-2717249</v>
      </c>
      <c r="AT354" s="173">
        <f>SUM(AT351:AT353)</f>
        <v>10677751</v>
      </c>
      <c r="AU354" s="167" t="str">
        <f>IF(ROUND(SUM(F354:AQ354),0)=ROUND(AT354,0),"ok","crossfoot error")</f>
        <v>ok</v>
      </c>
      <c r="AV354" s="173">
        <f>-SUM(AV351:AV353)/1000</f>
        <v>10678</v>
      </c>
      <c r="AW354" s="161"/>
      <c r="AX354" s="161"/>
      <c r="AY354" s="161"/>
    </row>
    <row r="355" spans="1:51" ht="14.1" customHeight="1">
      <c r="A355" s="160">
        <v>355</v>
      </c>
      <c r="B355" s="159"/>
      <c r="C355" s="159"/>
      <c r="D355" s="159"/>
      <c r="E355" s="156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6"/>
      <c r="AS355" s="164"/>
      <c r="AT355" s="164"/>
      <c r="AU355" s="160"/>
      <c r="AV355" s="164"/>
      <c r="AW355" s="161"/>
      <c r="AX355" s="161"/>
      <c r="AY355" s="160"/>
    </row>
    <row r="356" spans="1:51" s="169" customFormat="1" ht="14.1" customHeight="1">
      <c r="A356" s="160">
        <v>356</v>
      </c>
      <c r="B356" s="172"/>
      <c r="C356" s="172" t="s">
        <v>138</v>
      </c>
      <c r="D356" s="172"/>
      <c r="E356" s="171"/>
      <c r="F356" s="170">
        <f>F295-F348-F354</f>
        <v>475683000</v>
      </c>
      <c r="G356" s="170">
        <f>G295-G348-G354</f>
        <v>0</v>
      </c>
      <c r="H356" s="170">
        <f>H295-H348-H354</f>
        <v>0</v>
      </c>
      <c r="I356" s="170">
        <f>I295-I348-I354</f>
        <v>0</v>
      </c>
      <c r="J356" s="170">
        <f>J295+J348+J354</f>
        <v>-19369000</v>
      </c>
      <c r="K356" s="170">
        <f t="shared" ref="K356:V356" si="204">K295-K348-K354</f>
        <v>0</v>
      </c>
      <c r="L356" s="170">
        <f t="shared" si="204"/>
        <v>0</v>
      </c>
      <c r="M356" s="170">
        <f t="shared" si="204"/>
        <v>0</v>
      </c>
      <c r="N356" s="170">
        <f t="shared" si="204"/>
        <v>0</v>
      </c>
      <c r="O356" s="170">
        <f t="shared" si="204"/>
        <v>0</v>
      </c>
      <c r="P356" s="170">
        <f t="shared" si="204"/>
        <v>0</v>
      </c>
      <c r="Q356" s="170">
        <f t="shared" si="204"/>
        <v>0</v>
      </c>
      <c r="R356" s="170">
        <f t="shared" si="204"/>
        <v>0</v>
      </c>
      <c r="S356" s="170">
        <f t="shared" si="204"/>
        <v>0</v>
      </c>
      <c r="T356" s="170">
        <f t="shared" si="204"/>
        <v>0</v>
      </c>
      <c r="U356" s="170">
        <f t="shared" si="204"/>
        <v>0</v>
      </c>
      <c r="V356" s="170">
        <f t="shared" si="204"/>
        <v>0</v>
      </c>
      <c r="W356" s="170">
        <f t="shared" ref="W356:AB356" si="205">W295-W348-W354</f>
        <v>0</v>
      </c>
      <c r="X356" s="170">
        <f t="shared" si="205"/>
        <v>0</v>
      </c>
      <c r="Y356" s="170">
        <f>Y295+Y348+Y354</f>
        <v>12608000</v>
      </c>
      <c r="Z356" s="170">
        <f t="shared" si="205"/>
        <v>0</v>
      </c>
      <c r="AA356" s="170">
        <f t="shared" si="205"/>
        <v>0</v>
      </c>
      <c r="AB356" s="170">
        <f t="shared" si="205"/>
        <v>0</v>
      </c>
      <c r="AC356" s="170">
        <f t="shared" ref="AC356:AI356" si="206">AC295-AC348-AC354</f>
        <v>0</v>
      </c>
      <c r="AD356" s="170">
        <f t="shared" si="206"/>
        <v>0</v>
      </c>
      <c r="AE356" s="170">
        <f t="shared" si="206"/>
        <v>0</v>
      </c>
      <c r="AF356" s="170">
        <f t="shared" si="206"/>
        <v>0</v>
      </c>
      <c r="AG356" s="170">
        <f t="shared" si="206"/>
        <v>0</v>
      </c>
      <c r="AH356" s="170">
        <f t="shared" si="206"/>
        <v>0</v>
      </c>
      <c r="AI356" s="170">
        <f t="shared" si="206"/>
        <v>0</v>
      </c>
      <c r="AJ356" s="170">
        <f t="shared" ref="AJ356:AN356" si="207">AJ295+AJ348+AJ354</f>
        <v>3100000</v>
      </c>
      <c r="AK356" s="170">
        <f t="shared" si="207"/>
        <v>7365000</v>
      </c>
      <c r="AL356" s="170">
        <f t="shared" si="207"/>
        <v>7411000</v>
      </c>
      <c r="AM356" s="170">
        <f t="shared" si="207"/>
        <v>13478000</v>
      </c>
      <c r="AN356" s="170">
        <f t="shared" si="207"/>
        <v>3574000</v>
      </c>
      <c r="AO356" s="170">
        <f>AO295+AO348+AO354</f>
        <v>24005000</v>
      </c>
      <c r="AP356" s="170">
        <f>AP295-AP348-AP354</f>
        <v>0</v>
      </c>
      <c r="AQ356" s="170">
        <f>AQ295-AQ348-AQ354</f>
        <v>0</v>
      </c>
      <c r="AR356" s="163"/>
      <c r="AS356" s="163">
        <f>AS295-AS348-AS354</f>
        <v>57606498</v>
      </c>
      <c r="AT356" s="163">
        <f>AT295-AT348-AT354</f>
        <v>533289498</v>
      </c>
      <c r="AU356" s="167" t="str">
        <f>IF(ROUND(SUM(F356:AQ356),0)=ROUND(AT356,0),"ok","crossfoot error")</f>
        <v>crossfoot error</v>
      </c>
      <c r="AV356" s="163">
        <f>AV295-AV348</f>
        <v>533289</v>
      </c>
      <c r="AW356" s="162">
        <f>'[2]ADJ DETAIL INPUT'!$AU$72</f>
        <v>527854.65097583807</v>
      </c>
      <c r="AX356" s="161">
        <f>AV356-AW356</f>
        <v>5434.3490241619293</v>
      </c>
      <c r="AY356" s="161">
        <f>AX356+(AV374)/1000</f>
        <v>5442.4830241619293</v>
      </c>
    </row>
    <row r="357" spans="1:51" ht="14.1" customHeight="1">
      <c r="A357" s="160">
        <v>357</v>
      </c>
      <c r="B357" s="159"/>
      <c r="C357" s="159"/>
      <c r="D357" s="159"/>
      <c r="E357" s="156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  <c r="AA357" s="188"/>
      <c r="AB357" s="188"/>
      <c r="AC357" s="188"/>
      <c r="AD357" s="188"/>
      <c r="AE357" s="188"/>
      <c r="AF357" s="188"/>
      <c r="AG357" s="188"/>
      <c r="AH357" s="188"/>
      <c r="AI357" s="188"/>
      <c r="AJ357" s="188"/>
      <c r="AK357" s="188"/>
      <c r="AL357" s="188"/>
      <c r="AM357" s="188"/>
      <c r="AN357" s="188"/>
      <c r="AO357" s="188"/>
      <c r="AP357" s="188"/>
      <c r="AQ357" s="188"/>
      <c r="AR357" s="164"/>
      <c r="AS357" s="164"/>
      <c r="AT357" s="164"/>
      <c r="AU357" s="160"/>
      <c r="AV357" s="164"/>
      <c r="AW357" s="161"/>
      <c r="AX357" s="161"/>
      <c r="AY357" s="160"/>
    </row>
    <row r="358" spans="1:51" ht="14.1" customHeight="1">
      <c r="A358" s="160">
        <v>358</v>
      </c>
      <c r="B358" s="159" t="str">
        <f>$B$1</f>
        <v>Proforma</v>
      </c>
      <c r="C358" s="159"/>
      <c r="D358" s="159"/>
      <c r="E358" s="164"/>
      <c r="F358" s="188"/>
      <c r="G358" s="188"/>
      <c r="H358" s="188"/>
      <c r="I358" s="188"/>
      <c r="J358" s="188"/>
      <c r="K358" s="188"/>
      <c r="L358" s="188"/>
      <c r="M358" s="188"/>
      <c r="N358" s="541"/>
      <c r="P358" s="188"/>
      <c r="Q358" s="188"/>
      <c r="R358" s="188"/>
      <c r="S358" s="188"/>
      <c r="T358" s="549"/>
      <c r="U358" s="549"/>
      <c r="V358" s="188"/>
      <c r="W358" s="188"/>
      <c r="X358" s="188"/>
      <c r="Y358" s="188"/>
      <c r="Z358" s="188"/>
      <c r="AA358" s="188"/>
      <c r="AB358" s="188"/>
      <c r="AC358" s="188"/>
      <c r="AD358" s="188"/>
      <c r="AF358" s="188"/>
      <c r="AG358" s="541"/>
      <c r="AH358" s="541"/>
      <c r="AI358" s="188"/>
      <c r="AJ358" s="188"/>
      <c r="AK358" s="188"/>
      <c r="AL358" s="188"/>
      <c r="AM358" s="188"/>
      <c r="AN358" s="188"/>
      <c r="AO358" s="188"/>
      <c r="AP358" s="188"/>
      <c r="AQ358" s="188"/>
      <c r="AR358" s="164"/>
      <c r="AS358" s="164"/>
      <c r="AT358" s="192"/>
      <c r="AU358" s="160"/>
      <c r="AV358" s="192"/>
      <c r="AW358" s="161"/>
      <c r="AX358" s="161"/>
      <c r="AY358" s="160"/>
    </row>
    <row r="359" spans="1:51" ht="14.1" customHeight="1">
      <c r="A359" s="160">
        <v>359</v>
      </c>
      <c r="B359" s="159" t="str">
        <f>$B$2</f>
        <v>Pro Forma Results of Operations</v>
      </c>
      <c r="C359" s="159"/>
      <c r="D359" s="159"/>
      <c r="E359" s="164" t="s">
        <v>708</v>
      </c>
      <c r="F359" s="188"/>
      <c r="G359" s="188"/>
      <c r="H359" s="188"/>
      <c r="I359" s="188"/>
      <c r="J359" s="188"/>
      <c r="K359" s="188"/>
      <c r="L359" s="188"/>
      <c r="M359" s="188"/>
      <c r="N359" s="191"/>
      <c r="P359" s="188" t="str">
        <f>E359</f>
        <v>Miscellaneous Rate Base Items and Revenues</v>
      </c>
      <c r="Q359" s="188"/>
      <c r="R359" s="188"/>
      <c r="S359" s="188"/>
      <c r="T359" s="191"/>
      <c r="U359" s="191"/>
      <c r="V359" s="188"/>
      <c r="W359" s="188"/>
      <c r="X359" s="188"/>
      <c r="Y359" s="188"/>
      <c r="Z359" s="188"/>
      <c r="AA359" s="188"/>
      <c r="AB359" s="188"/>
      <c r="AC359" s="188"/>
      <c r="AD359" s="188"/>
      <c r="AE359" s="188" t="str">
        <f>E359</f>
        <v>Miscellaneous Rate Base Items and Revenues</v>
      </c>
      <c r="AF359" s="188"/>
      <c r="AG359" s="191"/>
      <c r="AH359" s="191"/>
      <c r="AI359" s="188"/>
      <c r="AJ359" s="188"/>
      <c r="AK359" s="188"/>
      <c r="AL359" s="188"/>
      <c r="AM359" s="188"/>
      <c r="AN359" s="188"/>
      <c r="AO359" s="188"/>
      <c r="AP359" s="188"/>
      <c r="AQ359" s="188"/>
      <c r="AR359" s="164"/>
      <c r="AS359" s="164"/>
      <c r="AT359" s="190"/>
      <c r="AU359" s="160"/>
      <c r="AV359" s="190"/>
      <c r="AW359" s="161"/>
      <c r="AX359" s="161"/>
      <c r="AY359" s="160"/>
    </row>
    <row r="360" spans="1:51" ht="14.1" customHeight="1">
      <c r="A360" s="160">
        <v>360</v>
      </c>
      <c r="B360" s="159" t="str">
        <f>$B$3</f>
        <v>Company Base Case</v>
      </c>
      <c r="C360" s="159"/>
      <c r="D360" s="159"/>
      <c r="E360" s="164"/>
      <c r="F360" s="188"/>
      <c r="G360" s="188"/>
      <c r="H360" s="188"/>
      <c r="I360" s="188"/>
      <c r="J360" s="188"/>
      <c r="K360" s="188"/>
      <c r="L360" s="188"/>
      <c r="M360" s="188"/>
      <c r="N360" s="542"/>
      <c r="P360" s="188"/>
      <c r="Q360" s="188"/>
      <c r="R360" s="188"/>
      <c r="S360" s="188"/>
      <c r="T360" s="542"/>
      <c r="U360" s="542"/>
      <c r="V360" s="188"/>
      <c r="W360" s="188"/>
      <c r="X360" s="188"/>
      <c r="Y360" s="188"/>
      <c r="Z360" s="188"/>
      <c r="AA360" s="188"/>
      <c r="AB360" s="188"/>
      <c r="AC360" s="188"/>
      <c r="AD360" s="188"/>
      <c r="AE360" s="188"/>
      <c r="AF360" s="188"/>
      <c r="AG360" s="188"/>
      <c r="AH360" s="188"/>
      <c r="AI360" s="188"/>
      <c r="AJ360" s="188"/>
      <c r="AK360" s="188"/>
      <c r="AL360" s="188"/>
      <c r="AM360" s="188"/>
      <c r="AN360" s="188"/>
      <c r="AO360" s="188"/>
      <c r="AP360" s="188"/>
      <c r="AQ360" s="188"/>
      <c r="AR360" s="164"/>
      <c r="AS360" s="164"/>
      <c r="AT360" s="189"/>
      <c r="AU360" s="160"/>
      <c r="AV360" s="189"/>
      <c r="AW360" s="161"/>
      <c r="AX360" s="161"/>
      <c r="AY360" s="160"/>
    </row>
    <row r="361" spans="1:51" ht="14.1" customHeight="1">
      <c r="A361" s="160">
        <v>361</v>
      </c>
      <c r="B361" s="159"/>
      <c r="C361" s="159"/>
      <c r="D361" s="159"/>
      <c r="E361" s="164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8"/>
      <c r="AB361" s="188"/>
      <c r="AC361" s="188"/>
      <c r="AD361" s="188"/>
      <c r="AE361" s="188"/>
      <c r="AF361" s="188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  <c r="AR361" s="164"/>
      <c r="AS361" s="164"/>
      <c r="AT361" s="164"/>
      <c r="AU361" s="160"/>
      <c r="AV361" s="164"/>
      <c r="AW361" s="161"/>
      <c r="AX361" s="161"/>
      <c r="AY361" s="160"/>
    </row>
    <row r="362" spans="1:51" ht="14.1" customHeight="1">
      <c r="A362" s="160">
        <v>362</v>
      </c>
      <c r="B362" s="186"/>
      <c r="C362" s="186"/>
      <c r="D362" s="186"/>
      <c r="E362" s="186"/>
      <c r="F362" s="187">
        <f t="shared" ref="F362:AJ362" si="208">F5</f>
        <v>1</v>
      </c>
      <c r="G362" s="536">
        <f t="shared" si="208"/>
        <v>1.01</v>
      </c>
      <c r="H362" s="536">
        <f t="shared" si="208"/>
        <v>1.02</v>
      </c>
      <c r="I362" s="536">
        <f t="shared" si="208"/>
        <v>1.03</v>
      </c>
      <c r="J362" s="536">
        <f t="shared" ref="J362:L365" si="209">J5</f>
        <v>1.04</v>
      </c>
      <c r="K362" s="536">
        <f t="shared" si="209"/>
        <v>2.0099999999999998</v>
      </c>
      <c r="L362" s="536">
        <f t="shared" si="209"/>
        <v>2.02</v>
      </c>
      <c r="M362" s="536">
        <f t="shared" si="208"/>
        <v>2.0299999999999998</v>
      </c>
      <c r="N362" s="536">
        <f t="shared" si="208"/>
        <v>2.04</v>
      </c>
      <c r="O362" s="536">
        <f t="shared" si="208"/>
        <v>2.0499999999999998</v>
      </c>
      <c r="P362" s="536">
        <f t="shared" si="208"/>
        <v>2.06</v>
      </c>
      <c r="Q362" s="536">
        <f t="shared" ref="Q362:U365" si="210">Q5</f>
        <v>2.0699999999999998</v>
      </c>
      <c r="R362" s="536">
        <f t="shared" si="210"/>
        <v>2.08</v>
      </c>
      <c r="S362" s="536">
        <f t="shared" si="210"/>
        <v>2.09</v>
      </c>
      <c r="T362" s="536">
        <f t="shared" si="210"/>
        <v>2.1</v>
      </c>
      <c r="U362" s="536">
        <f t="shared" si="210"/>
        <v>2.11</v>
      </c>
      <c r="V362" s="536">
        <f t="shared" si="208"/>
        <v>2.12</v>
      </c>
      <c r="W362" s="536">
        <f t="shared" ref="W362:AB365" si="211">W5</f>
        <v>2.13</v>
      </c>
      <c r="X362" s="536">
        <f t="shared" si="211"/>
        <v>2.14</v>
      </c>
      <c r="Y362" s="536">
        <f t="shared" si="211"/>
        <v>2.15</v>
      </c>
      <c r="Z362" s="536">
        <f t="shared" si="211"/>
        <v>3.01</v>
      </c>
      <c r="AA362" s="536">
        <f t="shared" si="211"/>
        <v>3.02</v>
      </c>
      <c r="AB362" s="536">
        <f t="shared" si="211"/>
        <v>3.03</v>
      </c>
      <c r="AC362" s="536">
        <f t="shared" si="208"/>
        <v>3.04</v>
      </c>
      <c r="AD362" s="536">
        <f t="shared" si="208"/>
        <v>3.05</v>
      </c>
      <c r="AE362" s="536">
        <f t="shared" si="208"/>
        <v>3.0599999999999996</v>
      </c>
      <c r="AF362" s="536">
        <f t="shared" si="208"/>
        <v>3.0699999999999994</v>
      </c>
      <c r="AG362" s="536">
        <f t="shared" ref="AG362:AH365" si="212">AG5</f>
        <v>3.08</v>
      </c>
      <c r="AH362" s="536">
        <f t="shared" si="212"/>
        <v>3.09</v>
      </c>
      <c r="AI362" s="536">
        <f t="shared" si="208"/>
        <v>3.1</v>
      </c>
      <c r="AJ362" s="536">
        <f t="shared" si="208"/>
        <v>3.11</v>
      </c>
      <c r="AK362" s="536">
        <f t="shared" ref="AK362:AQ365" si="213">AK5</f>
        <v>3.1199999999999997</v>
      </c>
      <c r="AL362" s="536">
        <f t="shared" si="213"/>
        <v>3.1299999999999994</v>
      </c>
      <c r="AM362" s="536">
        <f t="shared" si="213"/>
        <v>3.1399999999999992</v>
      </c>
      <c r="AN362" s="536">
        <f t="shared" si="213"/>
        <v>3.149999999999999</v>
      </c>
      <c r="AO362" s="536">
        <f t="shared" si="213"/>
        <v>3.1599999999999988</v>
      </c>
      <c r="AP362" s="536">
        <f t="shared" si="213"/>
        <v>3.1699999999999986</v>
      </c>
      <c r="AQ362" s="536">
        <f t="shared" si="213"/>
        <v>3.1799999999999984</v>
      </c>
      <c r="AR362" s="186"/>
      <c r="AS362" s="186" t="str">
        <f>AS$5</f>
        <v>(as)</v>
      </c>
      <c r="AT362" s="186" t="str">
        <f>AT$5</f>
        <v>(at)</v>
      </c>
      <c r="AU362" s="186" t="str">
        <f>AU$5</f>
        <v>(au)</v>
      </c>
      <c r="AV362" s="186" t="str">
        <f>AV$5</f>
        <v>(av)</v>
      </c>
      <c r="AW362" s="161"/>
      <c r="AX362" s="161"/>
      <c r="AY362" s="160"/>
    </row>
    <row r="363" spans="1:51" ht="14.1" customHeight="1">
      <c r="A363" s="160">
        <v>363</v>
      </c>
      <c r="B363" s="183" t="str">
        <f>IF(ISBLANK(B$6),"",B$6)</f>
        <v/>
      </c>
      <c r="C363" s="183" t="str">
        <f>IF(ISBLANK(C$6),"",C$6)</f>
        <v/>
      </c>
      <c r="D363" s="183" t="str">
        <f>IF(ISBLANK(D$6),"",D$6)</f>
        <v/>
      </c>
      <c r="E363" s="183" t="str">
        <f>IF(ISBLANK(E$6),"",E$6)</f>
        <v>Notes</v>
      </c>
      <c r="F363" s="183" t="s">
        <v>707</v>
      </c>
      <c r="G363" s="537" t="str">
        <f t="shared" ref="G363:I365" si="214">G6</f>
        <v>Deferred FIT</v>
      </c>
      <c r="H363" s="537" t="str">
        <f t="shared" si="214"/>
        <v>Deferred Debits</v>
      </c>
      <c r="I363" s="537" t="str">
        <f t="shared" si="214"/>
        <v xml:space="preserve">Working </v>
      </c>
      <c r="J363" s="537" t="str">
        <f t="shared" si="209"/>
        <v>Remove</v>
      </c>
      <c r="K363" s="537" t="str">
        <f t="shared" si="209"/>
        <v>Eliminate</v>
      </c>
      <c r="L363" s="537" t="str">
        <f t="shared" si="209"/>
        <v>Restate</v>
      </c>
      <c r="M363" s="537" t="str">
        <f t="shared" ref="M363:P365" si="215">M6</f>
        <v>Uncollectible</v>
      </c>
      <c r="N363" s="537" t="str">
        <f t="shared" si="215"/>
        <v>Regulatory</v>
      </c>
      <c r="O363" s="537" t="str">
        <f t="shared" si="215"/>
        <v>Injuries &amp;</v>
      </c>
      <c r="P363" s="537" t="str">
        <f t="shared" si="215"/>
        <v>FIT/DFIT</v>
      </c>
      <c r="Q363" s="537" t="str">
        <f t="shared" si="210"/>
        <v>Office Space</v>
      </c>
      <c r="R363" s="537" t="str">
        <f t="shared" si="210"/>
        <v>Restate</v>
      </c>
      <c r="S363" s="537" t="str">
        <f t="shared" si="210"/>
        <v>Net Gains/</v>
      </c>
      <c r="T363" s="537" t="str">
        <f t="shared" si="210"/>
        <v>Weather Normalization</v>
      </c>
      <c r="U363" s="537" t="str">
        <f t="shared" si="210"/>
        <v>Eliminate</v>
      </c>
      <c r="V363" s="537" t="str">
        <f>V6</f>
        <v>Misc. Restating</v>
      </c>
      <c r="W363" s="537" t="str">
        <f t="shared" si="211"/>
        <v xml:space="preserve">Restating </v>
      </c>
      <c r="X363" s="537" t="str">
        <f t="shared" si="211"/>
        <v xml:space="preserve">Restate </v>
      </c>
      <c r="Y363" s="537" t="str">
        <f t="shared" si="211"/>
        <v xml:space="preserve">Restate </v>
      </c>
      <c r="Z363" s="537" t="str">
        <f t="shared" si="211"/>
        <v>Pro Forma Revenue</v>
      </c>
      <c r="AA363" s="537" t="str">
        <f t="shared" si="211"/>
        <v xml:space="preserve">Pro Forma Def. </v>
      </c>
      <c r="AB363" s="537" t="str">
        <f t="shared" si="211"/>
        <v>Pro Forma</v>
      </c>
      <c r="AC363" s="537" t="str">
        <f t="shared" ref="AC363:AF365" si="216">AC6</f>
        <v>Pro Forma</v>
      </c>
      <c r="AD363" s="537" t="str">
        <f t="shared" si="216"/>
        <v>Pro Forma</v>
      </c>
      <c r="AE363" s="537" t="str">
        <f t="shared" si="216"/>
        <v>Pro Forma</v>
      </c>
      <c r="AF363" s="537" t="str">
        <f t="shared" si="216"/>
        <v>Pro Forma</v>
      </c>
      <c r="AG363" s="537" t="str">
        <f t="shared" si="212"/>
        <v>Pro Forma</v>
      </c>
      <c r="AH363" s="537" t="str">
        <f t="shared" si="212"/>
        <v>Pro Forma</v>
      </c>
      <c r="AI363" s="537" t="str">
        <f t="shared" ref="AI363:AJ365" si="217">AI6</f>
        <v xml:space="preserve">Pro Forma </v>
      </c>
      <c r="AJ363" s="537" t="str">
        <f t="shared" si="217"/>
        <v>Pro Forma</v>
      </c>
      <c r="AK363" s="537" t="str">
        <f t="shared" si="213"/>
        <v>Pro Forma</v>
      </c>
      <c r="AL363" s="537" t="str">
        <f t="shared" si="213"/>
        <v>Pro Forma</v>
      </c>
      <c r="AM363" s="537" t="str">
        <f t="shared" si="213"/>
        <v>Pro Forma</v>
      </c>
      <c r="AN363" s="537" t="str">
        <f t="shared" si="213"/>
        <v>Pro Forma</v>
      </c>
      <c r="AO363" s="537" t="str">
        <f t="shared" si="213"/>
        <v>Pro Forma</v>
      </c>
      <c r="AP363" s="537" t="str">
        <f t="shared" si="213"/>
        <v>Pro Forma</v>
      </c>
      <c r="AQ363" s="537" t="str">
        <f t="shared" si="213"/>
        <v>Pro Forma</v>
      </c>
      <c r="AR363" s="183"/>
      <c r="AS363" s="183" t="str">
        <f>IF(ISBLANK(AS$6),"",AS$6)</f>
        <v>Net Total</v>
      </c>
      <c r="AT363" s="183" t="str">
        <f>IF(ISBLANK(AT$6),"",AT$6)</f>
        <v>Total</v>
      </c>
      <c r="AU363" s="183" t="str">
        <f>IF(ISBLANK(AU$6),"",AU$6)</f>
        <v>check</v>
      </c>
      <c r="AV363" s="183" t="str">
        <f>IF(ISBLANK(AV$6),"",AV$6)</f>
        <v>Total</v>
      </c>
      <c r="AW363" s="161"/>
      <c r="AX363" s="161"/>
      <c r="AY363" s="160"/>
    </row>
    <row r="364" spans="1:51" ht="14.1" customHeight="1">
      <c r="A364" s="160">
        <v>364</v>
      </c>
      <c r="B364" s="185" t="str">
        <f>IF(ISBLANK(B$7),"",B$7)</f>
        <v>Account</v>
      </c>
      <c r="C364" s="184" t="str">
        <f>IF(ISBLANK(C$7),"",C$7)</f>
        <v>Description</v>
      </c>
      <c r="D364" s="183"/>
      <c r="E364" s="183" t="str">
        <f>IF(ISBLANK(E$7),"",E$7)</f>
        <v/>
      </c>
      <c r="F364" s="183" t="s">
        <v>706</v>
      </c>
      <c r="G364" s="537" t="str">
        <f t="shared" si="214"/>
        <v>Rate Base</v>
      </c>
      <c r="H364" s="537" t="str">
        <f t="shared" si="214"/>
        <v>and Credits</v>
      </c>
      <c r="I364" s="537" t="str">
        <f t="shared" si="214"/>
        <v>Capital</v>
      </c>
      <c r="J364" s="537" t="str">
        <f t="shared" si="209"/>
        <v>AMI Rate Base</v>
      </c>
      <c r="K364" s="537" t="str">
        <f t="shared" si="209"/>
        <v>B &amp; O Taxes</v>
      </c>
      <c r="L364" s="537" t="str">
        <f t="shared" si="209"/>
        <v>Property Taxes</v>
      </c>
      <c r="M364" s="537" t="str">
        <f t="shared" si="215"/>
        <v>Expense</v>
      </c>
      <c r="N364" s="537" t="str">
        <f t="shared" si="215"/>
        <v>Expense</v>
      </c>
      <c r="O364" s="537" t="str">
        <f t="shared" si="215"/>
        <v>Damages</v>
      </c>
      <c r="P364" s="537" t="str">
        <f t="shared" si="215"/>
        <v>Expense</v>
      </c>
      <c r="Q364" s="537" t="str">
        <f t="shared" si="210"/>
        <v>Charges to Subs</v>
      </c>
      <c r="R364" s="537" t="str">
        <f t="shared" si="210"/>
        <v>Excise Tax</v>
      </c>
      <c r="S364" s="537" t="str">
        <f t="shared" si="210"/>
        <v>Losses</v>
      </c>
      <c r="T364" s="537" t="str">
        <f t="shared" si="210"/>
        <v>Gas Cost Adjust</v>
      </c>
      <c r="U364" s="537" t="str">
        <f t="shared" si="210"/>
        <v>Adder Schedules</v>
      </c>
      <c r="V364" s="537" t="str">
        <f>V7</f>
        <v>Adjustments</v>
      </c>
      <c r="W364" s="537" t="str">
        <f t="shared" si="211"/>
        <v>Incentives</v>
      </c>
      <c r="X364" s="537" t="str">
        <f t="shared" si="211"/>
        <v>Debt Int</v>
      </c>
      <c r="Y364" s="537" t="str">
        <f t="shared" si="211"/>
        <v>2019 Rate Base</v>
      </c>
      <c r="Z364" s="537" t="str">
        <f t="shared" si="211"/>
        <v>Normalization</v>
      </c>
      <c r="AA364" s="537" t="str">
        <f t="shared" si="211"/>
        <v>Debits &amp; Credits</v>
      </c>
      <c r="AB364" s="537" t="str">
        <f t="shared" si="211"/>
        <v>ARAM</v>
      </c>
      <c r="AC364" s="537" t="str">
        <f t="shared" si="216"/>
        <v>Non-Exec Labor</v>
      </c>
      <c r="AD364" s="537" t="str">
        <f t="shared" si="216"/>
        <v>Exec Labor</v>
      </c>
      <c r="AE364" s="537" t="str">
        <f t="shared" si="216"/>
        <v>Empl. Benefits</v>
      </c>
      <c r="AF364" s="537" t="str">
        <f t="shared" si="216"/>
        <v>Insurance Exp</v>
      </c>
      <c r="AG364" s="537" t="str">
        <f t="shared" si="212"/>
        <v>IS/IT</v>
      </c>
      <c r="AH364" s="537" t="str">
        <f t="shared" si="212"/>
        <v>Property Tax</v>
      </c>
      <c r="AI364" s="537" t="str">
        <f t="shared" si="217"/>
        <v>Fee Free Amort</v>
      </c>
      <c r="AJ364" s="537" t="str">
        <f t="shared" si="217"/>
        <v>2020 Customer AT Center</v>
      </c>
      <c r="AK364" s="537" t="str">
        <f t="shared" si="213"/>
        <v>2020 Large &amp; Distinct</v>
      </c>
      <c r="AL364" s="537" t="str">
        <f t="shared" si="213"/>
        <v>2020 Programmatic</v>
      </c>
      <c r="AM364" s="537" t="str">
        <f t="shared" si="213"/>
        <v>2020 Mandatory</v>
      </c>
      <c r="AN364" s="537" t="str">
        <f t="shared" si="213"/>
        <v>2020 Short Lived</v>
      </c>
      <c r="AO364" s="537" t="str">
        <f t="shared" si="213"/>
        <v>AMI Capital Adds</v>
      </c>
      <c r="AP364" s="537" t="str">
        <f t="shared" si="213"/>
        <v>LEAP Def. Amort</v>
      </c>
      <c r="AQ364" s="537" t="str">
        <f t="shared" si="213"/>
        <v>Tax Repairs</v>
      </c>
      <c r="AR364" s="183"/>
      <c r="AS364" s="183" t="str">
        <f>IF(ISBLANK(AS$7),"",AS$7)</f>
        <v>of All</v>
      </c>
      <c r="AT364" s="183" t="str">
        <f>IF(ISBLANK(AT$7),"",AT$7)</f>
        <v/>
      </c>
      <c r="AU364" s="183" t="str">
        <f>IF(ISBLANK(AU$7),"",AU$7)</f>
        <v/>
      </c>
      <c r="AV364" s="183" t="str">
        <f>IF(ISBLANK(AV$7),"",AV$7)</f>
        <v>$000's</v>
      </c>
      <c r="AW364" s="161"/>
      <c r="AX364" s="161"/>
      <c r="AY364" s="183"/>
    </row>
    <row r="365" spans="1:51" ht="14.1" customHeight="1">
      <c r="A365" s="160">
        <v>365</v>
      </c>
      <c r="B365" s="183" t="str">
        <f>IF(ISBLANK(B$8),"",B$8)</f>
        <v/>
      </c>
      <c r="C365" s="183" t="str">
        <f>IF(ISBLANK(C$8),"",C$8)</f>
        <v/>
      </c>
      <c r="D365" s="183" t="str">
        <f>IF(ISBLANK(D$8),"",D$8)</f>
        <v/>
      </c>
      <c r="E365" s="183" t="str">
        <f>IF(ISBLANK(E$8),"",E$8)</f>
        <v/>
      </c>
      <c r="F365" s="183"/>
      <c r="G365" s="537" t="str">
        <f t="shared" si="214"/>
        <v>G-DFIT</v>
      </c>
      <c r="H365" s="537" t="str">
        <f t="shared" si="214"/>
        <v>G-DDC</v>
      </c>
      <c r="I365" s="537" t="str">
        <f t="shared" si="214"/>
        <v>G-WC</v>
      </c>
      <c r="J365" s="537" t="str">
        <f t="shared" si="209"/>
        <v>G-AMI</v>
      </c>
      <c r="K365" s="537" t="str">
        <f t="shared" si="209"/>
        <v>G-EBO</v>
      </c>
      <c r="L365" s="537" t="str">
        <f t="shared" si="209"/>
        <v>G-RPT</v>
      </c>
      <c r="M365" s="537" t="str">
        <f t="shared" si="215"/>
        <v>G-UE</v>
      </c>
      <c r="N365" s="537" t="str">
        <f t="shared" si="215"/>
        <v>G-RE</v>
      </c>
      <c r="O365" s="537" t="str">
        <f t="shared" si="215"/>
        <v>G-ID</v>
      </c>
      <c r="P365" s="537" t="str">
        <f t="shared" si="215"/>
        <v>G-FIT</v>
      </c>
      <c r="Q365" s="537" t="str">
        <f t="shared" si="210"/>
        <v>G-OSC</v>
      </c>
      <c r="R365" s="537" t="str">
        <f t="shared" si="210"/>
        <v>G-RET</v>
      </c>
      <c r="S365" s="537" t="str">
        <f t="shared" si="210"/>
        <v>G-NGL</v>
      </c>
      <c r="T365" s="537" t="str">
        <f t="shared" si="210"/>
        <v>G-WNGC</v>
      </c>
      <c r="U365" s="537" t="str">
        <f t="shared" si="210"/>
        <v>G-EAS</v>
      </c>
      <c r="V365" s="537" t="str">
        <f>V8</f>
        <v>G-MR</v>
      </c>
      <c r="W365" s="537" t="str">
        <f t="shared" si="211"/>
        <v>G-RI</v>
      </c>
      <c r="X365" s="537" t="str">
        <f t="shared" si="211"/>
        <v>G-DI</v>
      </c>
      <c r="Y365" s="537" t="str">
        <f t="shared" si="211"/>
        <v>G-EOP19</v>
      </c>
      <c r="Z365" s="537" t="str">
        <f t="shared" si="211"/>
        <v>G-PREV</v>
      </c>
      <c r="AA365" s="537" t="str">
        <f t="shared" si="211"/>
        <v>G-PRA</v>
      </c>
      <c r="AB365" s="537" t="str">
        <f t="shared" si="211"/>
        <v>G-ARAM</v>
      </c>
      <c r="AC365" s="537" t="str">
        <f t="shared" si="216"/>
        <v>G-PLN</v>
      </c>
      <c r="AD365" s="537" t="str">
        <f t="shared" si="216"/>
        <v>G-PLE</v>
      </c>
      <c r="AE365" s="537" t="str">
        <f t="shared" si="216"/>
        <v>G-PEB</v>
      </c>
      <c r="AF365" s="537" t="str">
        <f t="shared" si="216"/>
        <v>G-PINS</v>
      </c>
      <c r="AG365" s="537" t="str">
        <f t="shared" si="212"/>
        <v>G-PIT</v>
      </c>
      <c r="AH365" s="537" t="str">
        <f t="shared" si="212"/>
        <v>G-PPT</v>
      </c>
      <c r="AI365" s="537" t="str">
        <f t="shared" si="217"/>
        <v>G-PFEE</v>
      </c>
      <c r="AJ365" s="537" t="str">
        <f t="shared" si="217"/>
        <v>G-PCAP1</v>
      </c>
      <c r="AK365" s="537" t="str">
        <f t="shared" si="213"/>
        <v>G-PCAP2</v>
      </c>
      <c r="AL365" s="537" t="str">
        <f t="shared" si="213"/>
        <v>G-PCAP3</v>
      </c>
      <c r="AM365" s="537" t="str">
        <f t="shared" si="213"/>
        <v>G-PCAP4</v>
      </c>
      <c r="AN365" s="537" t="str">
        <f t="shared" si="213"/>
        <v>G-PCAP5</v>
      </c>
      <c r="AO365" s="537" t="str">
        <f t="shared" si="213"/>
        <v>G-PAMI</v>
      </c>
      <c r="AP365" s="537" t="str">
        <f t="shared" si="213"/>
        <v>G-PLEAP</v>
      </c>
      <c r="AQ365" s="537" t="str">
        <f t="shared" si="213"/>
        <v>G-PTAX</v>
      </c>
      <c r="AR365" s="183"/>
      <c r="AS365" s="183" t="str">
        <f>IF(ISBLANK(AS$8),"",AS$8)</f>
        <v>Adjustments</v>
      </c>
      <c r="AT365" s="183" t="str">
        <f>IF(ISBLANK(AT$8),"",AT$8)</f>
        <v/>
      </c>
      <c r="AU365" s="183" t="str">
        <f>IF(ISBLANK(AU$8),"",AU$8)</f>
        <v/>
      </c>
      <c r="AV365" s="183" t="str">
        <f>IF(ISBLANK(AV$8),"",AV$8)</f>
        <v>in bold</v>
      </c>
      <c r="AW365" s="161"/>
      <c r="AX365" s="161"/>
      <c r="AY365" s="183"/>
    </row>
    <row r="366" spans="1:51" ht="14.1" customHeight="1">
      <c r="A366" s="160">
        <v>366</v>
      </c>
      <c r="B366" s="159"/>
      <c r="C366" s="159"/>
      <c r="D366" s="159"/>
      <c r="AS366" s="159"/>
      <c r="AT366" s="159"/>
      <c r="AU366" s="183">
        <f>AU$9</f>
        <v>0</v>
      </c>
      <c r="AV366" s="159"/>
      <c r="AW366" s="161"/>
      <c r="AX366" s="161"/>
      <c r="AY366" s="183"/>
    </row>
    <row r="367" spans="1:51" ht="14.1" customHeight="1">
      <c r="A367" s="160">
        <v>367</v>
      </c>
      <c r="B367" s="159" t="s">
        <v>396</v>
      </c>
      <c r="C367" s="159"/>
      <c r="D367" s="159"/>
      <c r="E367" s="156"/>
      <c r="F367" s="181">
        <v>91014000</v>
      </c>
      <c r="G367" s="165">
        <v>-994000</v>
      </c>
      <c r="H367" s="165"/>
      <c r="I367" s="157"/>
      <c r="J367" s="181">
        <v>1019000</v>
      </c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81">
        <v>123000</v>
      </c>
      <c r="Z367" s="165"/>
      <c r="AA367" s="165"/>
      <c r="AB367" s="165"/>
      <c r="AC367" s="157"/>
      <c r="AD367" s="157"/>
      <c r="AE367" s="157"/>
      <c r="AF367" s="157"/>
      <c r="AG367" s="165"/>
      <c r="AH367" s="165"/>
      <c r="AI367" s="165"/>
      <c r="AJ367" s="165">
        <v>-177000</v>
      </c>
      <c r="AK367" s="165">
        <v>-174000</v>
      </c>
      <c r="AL367" s="165">
        <v>-217000</v>
      </c>
      <c r="AM367" s="165">
        <v>-355000</v>
      </c>
      <c r="AN367" s="165">
        <v>-166000</v>
      </c>
      <c r="AO367" s="165">
        <v>-4241000</v>
      </c>
      <c r="AP367" s="165"/>
      <c r="AQ367" s="165">
        <v>-15228000</v>
      </c>
      <c r="AR367" s="156"/>
      <c r="AS367" s="164">
        <f>-SUM(G367:AQ367)</f>
        <v>20410000</v>
      </c>
      <c r="AT367" s="164">
        <f>-(F367+AS367)</f>
        <v>-111424000</v>
      </c>
      <c r="AU367" s="167" t="str">
        <f>IF(ROUND(SUM(F367:AQ367),0)=ROUND(AT367,0),"ok","crossfoot error")</f>
        <v>crossfoot error</v>
      </c>
      <c r="AV367" s="163">
        <f>ROUND(AT367/1000,0)</f>
        <v>-111424</v>
      </c>
      <c r="AW367" s="162">
        <f>'[2]ADJ DETAIL INPUT'!$AU$73</f>
        <v>-111424</v>
      </c>
      <c r="AX367" s="161">
        <f>AV367-AW367</f>
        <v>0</v>
      </c>
      <c r="AY367" s="160"/>
    </row>
    <row r="368" spans="1:51" ht="14.1" customHeight="1">
      <c r="A368" s="160">
        <v>368</v>
      </c>
      <c r="B368" s="158"/>
      <c r="C368" s="159"/>
      <c r="D368" s="159"/>
      <c r="E368" s="156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6"/>
      <c r="AS368" s="164"/>
      <c r="AT368" s="164"/>
      <c r="AU368" s="160"/>
      <c r="AV368" s="164"/>
      <c r="AW368" s="161"/>
      <c r="AX368" s="161"/>
      <c r="AY368" s="160"/>
    </row>
    <row r="369" spans="1:51" ht="14.1" customHeight="1">
      <c r="A369" s="160">
        <v>369</v>
      </c>
      <c r="B369" s="180" t="s">
        <v>280</v>
      </c>
      <c r="C369" s="159"/>
      <c r="D369" s="159"/>
      <c r="E369" s="156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6"/>
      <c r="AS369" s="164"/>
      <c r="AT369" s="164"/>
      <c r="AU369" s="160"/>
      <c r="AV369" s="164"/>
      <c r="AW369" s="161"/>
      <c r="AX369" s="161"/>
      <c r="AY369" s="160"/>
    </row>
    <row r="370" spans="1:51" ht="14.1" customHeight="1">
      <c r="A370" s="160">
        <v>370</v>
      </c>
      <c r="B370" s="158"/>
      <c r="C370" s="159" t="s">
        <v>705</v>
      </c>
      <c r="D370" s="159"/>
      <c r="E370" s="156"/>
      <c r="F370" s="181">
        <v>-2000</v>
      </c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6"/>
      <c r="AS370" s="164">
        <f t="shared" ref="AS370:AS375" si="218">SUM(G370:AQ370)</f>
        <v>0</v>
      </c>
      <c r="AT370" s="164">
        <f t="shared" ref="AT370:AT375" si="219">F370+AS370</f>
        <v>-2000</v>
      </c>
      <c r="AU370" s="160"/>
      <c r="AV370" s="163">
        <f t="shared" ref="AV370:AV375" si="220">ROUND(AT370/1000,0)</f>
        <v>-2</v>
      </c>
      <c r="AW370" s="161"/>
      <c r="AX370" s="161"/>
      <c r="AY370" s="160"/>
    </row>
    <row r="371" spans="1:51" ht="14.1" customHeight="1">
      <c r="A371" s="160">
        <v>371</v>
      </c>
      <c r="B371" s="158"/>
      <c r="C371" s="159" t="s">
        <v>704</v>
      </c>
      <c r="D371" s="159"/>
      <c r="E371" s="156"/>
      <c r="F371" s="181">
        <v>-568000</v>
      </c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6"/>
      <c r="AS371" s="164">
        <f t="shared" si="218"/>
        <v>0</v>
      </c>
      <c r="AT371" s="164">
        <f t="shared" si="219"/>
        <v>-568000</v>
      </c>
      <c r="AU371" s="160"/>
      <c r="AV371" s="163">
        <f t="shared" si="220"/>
        <v>-568</v>
      </c>
      <c r="AX371" s="161"/>
      <c r="AY371" s="182"/>
    </row>
    <row r="372" spans="1:51" ht="14.1" customHeight="1">
      <c r="A372" s="160">
        <v>372</v>
      </c>
      <c r="B372" s="158"/>
      <c r="C372" s="159" t="s">
        <v>281</v>
      </c>
      <c r="D372" s="159"/>
      <c r="E372" s="156"/>
      <c r="F372" s="181">
        <f>6476000+3936000</f>
        <v>10412000</v>
      </c>
      <c r="G372" s="157"/>
      <c r="H372" s="157"/>
      <c r="I372" s="165"/>
      <c r="J372" s="165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65"/>
      <c r="AA372" s="165"/>
      <c r="AB372" s="165"/>
      <c r="AC372" s="157"/>
      <c r="AD372" s="157"/>
      <c r="AE372" s="157"/>
      <c r="AF372" s="157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56"/>
      <c r="AS372" s="164">
        <f t="shared" si="218"/>
        <v>0</v>
      </c>
      <c r="AT372" s="164">
        <f t="shared" si="219"/>
        <v>10412000</v>
      </c>
      <c r="AU372" s="160"/>
      <c r="AV372" s="163">
        <f t="shared" si="220"/>
        <v>10412</v>
      </c>
      <c r="AW372" s="162">
        <f>'[3]ADJ DETAIL INPUT'!$AU$75</f>
        <v>10411</v>
      </c>
      <c r="AX372" s="161">
        <f>AV372-AW372</f>
        <v>1</v>
      </c>
      <c r="AY372" s="160"/>
    </row>
    <row r="373" spans="1:51" ht="14.1" customHeight="1">
      <c r="A373" s="160">
        <v>373</v>
      </c>
      <c r="B373" s="158"/>
      <c r="C373" s="159" t="s">
        <v>703</v>
      </c>
      <c r="D373" s="159"/>
      <c r="E373" s="156"/>
      <c r="F373" s="181">
        <f>3494000-1000</f>
        <v>3493000</v>
      </c>
      <c r="G373" s="157"/>
      <c r="H373" s="157"/>
      <c r="I373" s="165">
        <v>-1144000</v>
      </c>
      <c r="J373" s="165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65"/>
      <c r="AA373" s="165"/>
      <c r="AB373" s="165"/>
      <c r="AC373" s="157"/>
      <c r="AD373" s="157"/>
      <c r="AE373" s="157"/>
      <c r="AF373" s="157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56"/>
      <c r="AS373" s="164">
        <f t="shared" si="218"/>
        <v>-1144000</v>
      </c>
      <c r="AT373" s="164">
        <f t="shared" si="219"/>
        <v>2349000</v>
      </c>
      <c r="AU373" s="160"/>
      <c r="AV373" s="163">
        <f>ROUND(AT373/1000,0)</f>
        <v>2349</v>
      </c>
      <c r="AW373" s="162">
        <f>'[3]ADJ DETAIL INPUT'!$AU$78</f>
        <v>2350</v>
      </c>
      <c r="AX373" s="161">
        <f>AV373-AW373</f>
        <v>-1</v>
      </c>
      <c r="AY373" s="160"/>
    </row>
    <row r="374" spans="1:51" ht="14.1" customHeight="1">
      <c r="A374" s="160">
        <v>374</v>
      </c>
      <c r="B374" s="158"/>
      <c r="C374" s="159" t="s">
        <v>1215</v>
      </c>
      <c r="D374" s="159"/>
      <c r="E374" s="156"/>
      <c r="F374" s="181">
        <f>10296000-2162000</f>
        <v>8134000</v>
      </c>
      <c r="G374" s="157"/>
      <c r="H374" s="165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81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  <c r="AR374" s="156"/>
      <c r="AS374" s="164">
        <f t="shared" si="218"/>
        <v>0</v>
      </c>
      <c r="AT374" s="164">
        <f t="shared" si="219"/>
        <v>8134000</v>
      </c>
      <c r="AU374" s="160"/>
      <c r="AV374" s="163">
        <f t="shared" si="220"/>
        <v>8134</v>
      </c>
      <c r="AW374" s="162"/>
      <c r="AX374" s="161"/>
      <c r="AY374" s="160"/>
    </row>
    <row r="375" spans="1:51" ht="14.1" customHeight="1">
      <c r="A375" s="160">
        <v>375</v>
      </c>
      <c r="B375" s="158"/>
      <c r="C375" s="801" t="s">
        <v>1470</v>
      </c>
      <c r="D375" s="159"/>
      <c r="E375" s="156"/>
      <c r="F375" s="181">
        <f>348000-530000-23000</f>
        <v>-205000</v>
      </c>
      <c r="G375" s="157"/>
      <c r="H375" s="165">
        <v>-1000</v>
      </c>
      <c r="I375" s="157"/>
      <c r="J375" s="181">
        <v>-53000</v>
      </c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81">
        <v>15668000</v>
      </c>
      <c r="AP375" s="181">
        <v>-3959000</v>
      </c>
      <c r="AQ375" s="157"/>
      <c r="AR375" s="156"/>
      <c r="AS375" s="164">
        <f t="shared" si="218"/>
        <v>11655000</v>
      </c>
      <c r="AT375" s="164">
        <f t="shared" si="219"/>
        <v>11450000</v>
      </c>
      <c r="AU375" s="160"/>
      <c r="AV375" s="163">
        <f t="shared" si="220"/>
        <v>11450</v>
      </c>
      <c r="AW375" s="162">
        <f>'[3]ADJ DETAIL INPUT'!$AU$77</f>
        <v>19014</v>
      </c>
      <c r="AX375" s="161">
        <f>(AV370+AV371+AV374+AV375)-AW375</f>
        <v>0</v>
      </c>
      <c r="AY375" s="182"/>
    </row>
    <row r="376" spans="1:51" s="169" customFormat="1" ht="14.1" customHeight="1">
      <c r="A376" s="160">
        <v>376</v>
      </c>
      <c r="B376" s="180"/>
      <c r="C376" s="172" t="s">
        <v>702</v>
      </c>
      <c r="D376" s="172"/>
      <c r="E376" s="171"/>
      <c r="F376" s="174">
        <f t="shared" ref="F376:V376" si="221">SUM(F370:F375)</f>
        <v>21264000</v>
      </c>
      <c r="G376" s="174">
        <f t="shared" si="221"/>
        <v>0</v>
      </c>
      <c r="H376" s="174">
        <f t="shared" si="221"/>
        <v>-1000</v>
      </c>
      <c r="I376" s="174">
        <f t="shared" si="221"/>
        <v>-1144000</v>
      </c>
      <c r="J376" s="174">
        <f t="shared" si="221"/>
        <v>-53000</v>
      </c>
      <c r="K376" s="174">
        <f t="shared" si="221"/>
        <v>0</v>
      </c>
      <c r="L376" s="174">
        <f t="shared" si="221"/>
        <v>0</v>
      </c>
      <c r="M376" s="174">
        <f t="shared" si="221"/>
        <v>0</v>
      </c>
      <c r="N376" s="174">
        <f t="shared" si="221"/>
        <v>0</v>
      </c>
      <c r="O376" s="174">
        <f t="shared" si="221"/>
        <v>0</v>
      </c>
      <c r="P376" s="174">
        <f t="shared" si="221"/>
        <v>0</v>
      </c>
      <c r="Q376" s="174">
        <f t="shared" si="221"/>
        <v>0</v>
      </c>
      <c r="R376" s="174">
        <f t="shared" si="221"/>
        <v>0</v>
      </c>
      <c r="S376" s="174">
        <f t="shared" si="221"/>
        <v>0</v>
      </c>
      <c r="T376" s="174">
        <f t="shared" si="221"/>
        <v>0</v>
      </c>
      <c r="U376" s="174">
        <f t="shared" si="221"/>
        <v>0</v>
      </c>
      <c r="V376" s="174">
        <f t="shared" si="221"/>
        <v>0</v>
      </c>
      <c r="W376" s="174">
        <f t="shared" ref="W376:AB376" si="222">SUM(W370:W375)</f>
        <v>0</v>
      </c>
      <c r="X376" s="174">
        <f t="shared" si="222"/>
        <v>0</v>
      </c>
      <c r="Y376" s="174">
        <f t="shared" si="222"/>
        <v>0</v>
      </c>
      <c r="Z376" s="174">
        <f t="shared" si="222"/>
        <v>0</v>
      </c>
      <c r="AA376" s="174">
        <f t="shared" si="222"/>
        <v>0</v>
      </c>
      <c r="AB376" s="174">
        <f t="shared" si="222"/>
        <v>0</v>
      </c>
      <c r="AC376" s="174">
        <f t="shared" ref="AC376:AQ376" si="223">SUM(AC370:AC375)</f>
        <v>0</v>
      </c>
      <c r="AD376" s="174">
        <f t="shared" si="223"/>
        <v>0</v>
      </c>
      <c r="AE376" s="174">
        <f t="shared" si="223"/>
        <v>0</v>
      </c>
      <c r="AF376" s="174">
        <f t="shared" si="223"/>
        <v>0</v>
      </c>
      <c r="AG376" s="174">
        <f t="shared" si="223"/>
        <v>0</v>
      </c>
      <c r="AH376" s="174">
        <f t="shared" si="223"/>
        <v>0</v>
      </c>
      <c r="AI376" s="174">
        <f t="shared" si="223"/>
        <v>0</v>
      </c>
      <c r="AJ376" s="174">
        <f t="shared" si="223"/>
        <v>0</v>
      </c>
      <c r="AK376" s="174">
        <f t="shared" si="223"/>
        <v>0</v>
      </c>
      <c r="AL376" s="174">
        <f t="shared" si="223"/>
        <v>0</v>
      </c>
      <c r="AM376" s="174">
        <f t="shared" si="223"/>
        <v>0</v>
      </c>
      <c r="AN376" s="174">
        <f t="shared" si="223"/>
        <v>0</v>
      </c>
      <c r="AO376" s="174">
        <f t="shared" si="223"/>
        <v>15668000</v>
      </c>
      <c r="AP376" s="174">
        <f t="shared" si="223"/>
        <v>-3959000</v>
      </c>
      <c r="AQ376" s="174">
        <f t="shared" si="223"/>
        <v>0</v>
      </c>
      <c r="AR376" s="173"/>
      <c r="AS376" s="173">
        <f>SUM(AS370:AS375)</f>
        <v>10511000</v>
      </c>
      <c r="AT376" s="173">
        <f>SUM(AT370:AT375)</f>
        <v>31775000</v>
      </c>
      <c r="AU376" s="167" t="str">
        <f>IF(ROUND(SUM(F376:AQ376),0)=ROUND(AT376,0),"ok","crossfoot error")</f>
        <v>ok</v>
      </c>
      <c r="AV376" s="173">
        <f>SUM(AV370:AV375)</f>
        <v>31775</v>
      </c>
      <c r="AW376" s="161"/>
      <c r="AX376" s="161"/>
      <c r="AY376" s="167"/>
    </row>
    <row r="377" spans="1:51" ht="14.1" customHeight="1">
      <c r="A377" s="160">
        <v>377</v>
      </c>
      <c r="B377" s="158"/>
      <c r="C377" s="159"/>
      <c r="D377" s="159"/>
      <c r="E377" s="156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6"/>
      <c r="AS377" s="164"/>
      <c r="AT377" s="164"/>
      <c r="AU377" s="160"/>
      <c r="AV377" s="164"/>
      <c r="AW377" s="161"/>
      <c r="AX377" s="161"/>
      <c r="AY377" s="160"/>
    </row>
    <row r="378" spans="1:51" s="169" customFormat="1" ht="14.1" customHeight="1">
      <c r="A378" s="160">
        <v>378</v>
      </c>
      <c r="B378" s="172"/>
      <c r="C378" s="172" t="s">
        <v>110</v>
      </c>
      <c r="D378" s="172"/>
      <c r="E378" s="171"/>
      <c r="F378" s="170">
        <f>F356-F367+F376</f>
        <v>405933000</v>
      </c>
      <c r="G378" s="170">
        <f t="shared" ref="G378:V378" si="224">G356+G367+G376</f>
        <v>-994000</v>
      </c>
      <c r="H378" s="170">
        <f t="shared" si="224"/>
        <v>-1000</v>
      </c>
      <c r="I378" s="170">
        <f t="shared" si="224"/>
        <v>-1144000</v>
      </c>
      <c r="J378" s="170">
        <f t="shared" si="224"/>
        <v>-18403000</v>
      </c>
      <c r="K378" s="170">
        <f t="shared" si="224"/>
        <v>0</v>
      </c>
      <c r="L378" s="170">
        <f t="shared" si="224"/>
        <v>0</v>
      </c>
      <c r="M378" s="170">
        <f t="shared" si="224"/>
        <v>0</v>
      </c>
      <c r="N378" s="170">
        <f t="shared" si="224"/>
        <v>0</v>
      </c>
      <c r="O378" s="170">
        <f t="shared" si="224"/>
        <v>0</v>
      </c>
      <c r="P378" s="170">
        <f t="shared" si="224"/>
        <v>0</v>
      </c>
      <c r="Q378" s="170">
        <f t="shared" si="224"/>
        <v>0</v>
      </c>
      <c r="R378" s="170">
        <f t="shared" si="224"/>
        <v>0</v>
      </c>
      <c r="S378" s="170">
        <f t="shared" si="224"/>
        <v>0</v>
      </c>
      <c r="T378" s="170">
        <f t="shared" si="224"/>
        <v>0</v>
      </c>
      <c r="U378" s="170">
        <f t="shared" si="224"/>
        <v>0</v>
      </c>
      <c r="V378" s="170">
        <f t="shared" si="224"/>
        <v>0</v>
      </c>
      <c r="W378" s="170">
        <f t="shared" ref="W378:AB378" si="225">W356+W367+W376</f>
        <v>0</v>
      </c>
      <c r="X378" s="170">
        <f t="shared" si="225"/>
        <v>0</v>
      </c>
      <c r="Y378" s="170">
        <f t="shared" si="225"/>
        <v>12731000</v>
      </c>
      <c r="Z378" s="170">
        <f t="shared" si="225"/>
        <v>0</v>
      </c>
      <c r="AA378" s="170">
        <f t="shared" si="225"/>
        <v>0</v>
      </c>
      <c r="AB378" s="170">
        <f t="shared" si="225"/>
        <v>0</v>
      </c>
      <c r="AC378" s="170">
        <f t="shared" ref="AC378:AQ378" si="226">AC356+AC367+AC376</f>
        <v>0</v>
      </c>
      <c r="AD378" s="170">
        <f t="shared" si="226"/>
        <v>0</v>
      </c>
      <c r="AE378" s="170">
        <f t="shared" si="226"/>
        <v>0</v>
      </c>
      <c r="AF378" s="170">
        <f t="shared" si="226"/>
        <v>0</v>
      </c>
      <c r="AG378" s="170">
        <f t="shared" si="226"/>
        <v>0</v>
      </c>
      <c r="AH378" s="170">
        <f t="shared" si="226"/>
        <v>0</v>
      </c>
      <c r="AI378" s="170">
        <f t="shared" si="226"/>
        <v>0</v>
      </c>
      <c r="AJ378" s="170">
        <f t="shared" si="226"/>
        <v>2923000</v>
      </c>
      <c r="AK378" s="170">
        <f t="shared" si="226"/>
        <v>7191000</v>
      </c>
      <c r="AL378" s="170">
        <f t="shared" si="226"/>
        <v>7194000</v>
      </c>
      <c r="AM378" s="170">
        <f t="shared" si="226"/>
        <v>13123000</v>
      </c>
      <c r="AN378" s="170">
        <f t="shared" si="226"/>
        <v>3408000</v>
      </c>
      <c r="AO378" s="170">
        <f>AO356+AO367+AO376</f>
        <v>35432000</v>
      </c>
      <c r="AP378" s="170">
        <f t="shared" si="226"/>
        <v>-3959000</v>
      </c>
      <c r="AQ378" s="170">
        <f t="shared" si="226"/>
        <v>-15228000</v>
      </c>
      <c r="AR378" s="163"/>
      <c r="AS378" s="163">
        <f>AS356+AS367+AS376</f>
        <v>88527498</v>
      </c>
      <c r="AT378" s="163">
        <f>AT356+AT367+AT376</f>
        <v>453640498</v>
      </c>
      <c r="AU378" s="167" t="str">
        <f>IF(ROUND(SUM(F378:AQ378),0)=ROUND(AT378,0),"ok","crossfoot error")</f>
        <v>crossfoot error</v>
      </c>
      <c r="AV378" s="163">
        <f>AV356+AV367+AV376</f>
        <v>453640</v>
      </c>
      <c r="AW378" s="162">
        <f>'[3]ADJ DETAIL INPUT'!$AU$81</f>
        <v>448205.65097583807</v>
      </c>
      <c r="AX378" s="161">
        <f>AV378-AW378</f>
        <v>5434.3490241619293</v>
      </c>
      <c r="AY378" s="167"/>
    </row>
    <row r="379" spans="1:51" s="169" customFormat="1" ht="14.1" customHeight="1">
      <c r="A379" s="160">
        <v>379</v>
      </c>
      <c r="B379" s="172"/>
      <c r="C379" s="159" t="s">
        <v>698</v>
      </c>
      <c r="D379" s="172"/>
      <c r="E379" s="171"/>
      <c r="F379" s="168">
        <f>'[3]ADJ DETAIL INPUT'!$E$81</f>
        <v>405933</v>
      </c>
      <c r="G379" s="168">
        <f>'[3]ADJ DETAIL INPUT'!$F$81</f>
        <v>-994</v>
      </c>
      <c r="H379" s="168">
        <f>'[3]ADJ DETAIL INPUT'!$G$81</f>
        <v>-1</v>
      </c>
      <c r="I379" s="168">
        <f>'[3]ADJ DETAIL INPUT'!$H$81</f>
        <v>-1144</v>
      </c>
      <c r="J379" s="168">
        <f>'[3]ADJ DETAIL INPUT'!$I$81</f>
        <v>-18403</v>
      </c>
      <c r="K379" s="168">
        <f>'[3]ADJ DETAIL INPUT'!$J$81</f>
        <v>0</v>
      </c>
      <c r="L379" s="168">
        <f>'[3]ADJ DETAIL INPUT'!$K$81</f>
        <v>0</v>
      </c>
      <c r="M379" s="168">
        <f>'[3]ADJ DETAIL INPUT'!$L$81</f>
        <v>0</v>
      </c>
      <c r="N379" s="168">
        <f>'[3]ADJ DETAIL INPUT'!$M$81</f>
        <v>0</v>
      </c>
      <c r="O379" s="168">
        <f>'[3]ADJ DETAIL INPUT'!$N$81</f>
        <v>0</v>
      </c>
      <c r="P379" s="168">
        <f>'[3]ADJ DETAIL INPUT'!$O$81</f>
        <v>0</v>
      </c>
      <c r="Q379" s="168">
        <f>'[3]ADJ DETAIL INPUT'!$P$81</f>
        <v>0</v>
      </c>
      <c r="R379" s="168">
        <f>'[3]ADJ DETAIL INPUT'!$Q$81</f>
        <v>0</v>
      </c>
      <c r="S379" s="168">
        <f>'[3]ADJ DETAIL INPUT'!$R$81</f>
        <v>0</v>
      </c>
      <c r="T379" s="168">
        <f>'[3]ADJ DETAIL INPUT'!$S$81</f>
        <v>0</v>
      </c>
      <c r="U379" s="168">
        <f>'[3]ADJ DETAIL INPUT'!$T$81</f>
        <v>0</v>
      </c>
      <c r="V379" s="168">
        <f>'[3]ADJ DETAIL INPUT'!$U$81</f>
        <v>0</v>
      </c>
      <c r="W379" s="168">
        <f>'[3]ADJ DETAIL INPUT'!$V$81</f>
        <v>0</v>
      </c>
      <c r="X379" s="168">
        <f>'[3]ADJ DETAIL INPUT'!$W$81</f>
        <v>0</v>
      </c>
      <c r="Y379" s="168">
        <f>'[3]ADJ DETAIL INPUT'!$X$81</f>
        <v>12730.523269813853</v>
      </c>
      <c r="Z379" s="168">
        <f>'[3]ADJ DETAIL INPUT'!$AA$81</f>
        <v>0</v>
      </c>
      <c r="AA379" s="168">
        <f>'[3]ADJ DETAIL INPUT'!$AB$81</f>
        <v>0</v>
      </c>
      <c r="AB379" s="168">
        <f>'[3]ADJ DETAIL INPUT'!$AC$81</f>
        <v>0</v>
      </c>
      <c r="AC379" s="168">
        <f>'[3]ADJ DETAIL INPUT'!$AD$81</f>
        <v>0</v>
      </c>
      <c r="AD379" s="168">
        <f>'[3]ADJ DETAIL INPUT'!$AE$81</f>
        <v>0</v>
      </c>
      <c r="AE379" s="168">
        <f>'[3]ADJ DETAIL INPUT'!$AF$81</f>
        <v>0</v>
      </c>
      <c r="AF379" s="168">
        <f>'[3]ADJ DETAIL INPUT'!$AG$81</f>
        <v>0</v>
      </c>
      <c r="AG379" s="168">
        <f>'[3]ADJ DETAIL INPUT'!$AH$81</f>
        <v>0</v>
      </c>
      <c r="AH379" s="168">
        <f>'[3]ADJ DETAIL INPUT'!$AI$81</f>
        <v>0</v>
      </c>
      <c r="AI379" s="168">
        <f>'[3]ADJ DETAIL INPUT'!$AJ$81</f>
        <v>0</v>
      </c>
      <c r="AJ379" s="168">
        <f>'[3]ADJ DETAIL INPUT'!$AK$81</f>
        <v>2923</v>
      </c>
      <c r="AK379" s="168">
        <f>'[3]ADJ DETAIL INPUT'!$AL$81</f>
        <v>7190.9119529181771</v>
      </c>
      <c r="AL379" s="168">
        <f>'[3]ADJ DETAIL INPUT'!$AM$81</f>
        <v>7194.2062362378601</v>
      </c>
      <c r="AM379" s="168">
        <f>'[3]ADJ DETAIL INPUT'!$AN$81</f>
        <v>13123.009516868151</v>
      </c>
      <c r="AN379" s="168">
        <f>'[3]ADJ DETAIL INPUT'!$AO$81</f>
        <v>3408</v>
      </c>
      <c r="AO379" s="168">
        <f>'[3]ADJ DETAIL INPUT'!$AP$81</f>
        <v>35432</v>
      </c>
      <c r="AP379" s="168">
        <f>'[3]ADJ DETAIL INPUT'!$AQ$81</f>
        <v>-3959</v>
      </c>
      <c r="AQ379" s="168">
        <f>'[3]ADJ DETAIL INPUT'!$AR$81</f>
        <v>-15228</v>
      </c>
      <c r="AR379" s="168"/>
      <c r="AS379" s="168">
        <f>'[3]ADJ DETAIL INPUT'!$AU$81</f>
        <v>448205.65097583807</v>
      </c>
      <c r="AT379" s="164" t="str">
        <f>IF(ROUND(SUM(F379:AK379)-AS379,0)&lt;&gt;0,"error","")</f>
        <v>error</v>
      </c>
      <c r="AU379" s="167"/>
      <c r="AV379" s="164">
        <f>ROUND(AS379,0)</f>
        <v>448206</v>
      </c>
      <c r="AW379" s="161"/>
      <c r="AX379" s="161"/>
      <c r="AY379" s="167"/>
    </row>
    <row r="380" spans="1:51" ht="14.1" customHeight="1">
      <c r="A380" s="160">
        <v>380</v>
      </c>
      <c r="B380" s="159"/>
      <c r="C380" s="159" t="s">
        <v>697</v>
      </c>
      <c r="D380" s="159"/>
      <c r="E380" s="156"/>
      <c r="F380" s="157">
        <f>ROUND(F378/1000,0)-F379</f>
        <v>0</v>
      </c>
      <c r="G380" s="157">
        <f t="shared" ref="G380:AJ380" si="227">ROUND(G378/1000,0)-G379</f>
        <v>0</v>
      </c>
      <c r="H380" s="157">
        <f t="shared" si="227"/>
        <v>0</v>
      </c>
      <c r="I380" s="157">
        <f t="shared" si="227"/>
        <v>0</v>
      </c>
      <c r="J380" s="157">
        <f>ROUND(J378/1000,0)-J379</f>
        <v>0</v>
      </c>
      <c r="K380" s="157">
        <f>ROUND(K378/1000,0)-K379</f>
        <v>0</v>
      </c>
      <c r="L380" s="157">
        <f>ROUND(L378/1000,0)-L379</f>
        <v>0</v>
      </c>
      <c r="M380" s="157">
        <f t="shared" si="227"/>
        <v>0</v>
      </c>
      <c r="N380" s="157">
        <f t="shared" si="227"/>
        <v>0</v>
      </c>
      <c r="O380" s="157">
        <f t="shared" si="227"/>
        <v>0</v>
      </c>
      <c r="P380" s="157">
        <f t="shared" si="227"/>
        <v>0</v>
      </c>
      <c r="Q380" s="157">
        <f>ROUND(Q378/1000,0)-Q379</f>
        <v>0</v>
      </c>
      <c r="R380" s="157">
        <f>ROUND(R378/1000,0)-R379</f>
        <v>0</v>
      </c>
      <c r="S380" s="157">
        <f>ROUND(S378/1000,0)-S379</f>
        <v>0</v>
      </c>
      <c r="T380" s="157">
        <f>ROUND(T378/1000,0)-T379</f>
        <v>0</v>
      </c>
      <c r="U380" s="157">
        <f>ROUND(U378/1000,0)-U379</f>
        <v>0</v>
      </c>
      <c r="V380" s="157">
        <f t="shared" si="227"/>
        <v>0</v>
      </c>
      <c r="W380" s="157">
        <f t="shared" ref="W380:AB380" si="228">ROUND(W378/1000,0)-W379</f>
        <v>0</v>
      </c>
      <c r="X380" s="157">
        <f t="shared" si="228"/>
        <v>0</v>
      </c>
      <c r="Y380" s="157">
        <f t="shared" si="228"/>
        <v>0.47673018614659668</v>
      </c>
      <c r="Z380" s="157">
        <f t="shared" si="228"/>
        <v>0</v>
      </c>
      <c r="AA380" s="157">
        <f t="shared" si="228"/>
        <v>0</v>
      </c>
      <c r="AB380" s="157">
        <f t="shared" si="228"/>
        <v>0</v>
      </c>
      <c r="AC380" s="157">
        <f t="shared" si="227"/>
        <v>0</v>
      </c>
      <c r="AD380" s="157">
        <f t="shared" si="227"/>
        <v>0</v>
      </c>
      <c r="AE380" s="157">
        <f t="shared" si="227"/>
        <v>0</v>
      </c>
      <c r="AF380" s="157">
        <f t="shared" si="227"/>
        <v>0</v>
      </c>
      <c r="AG380" s="157">
        <f t="shared" si="227"/>
        <v>0</v>
      </c>
      <c r="AH380" s="157">
        <f>ROUND(AH378/1000,0)-AH379</f>
        <v>0</v>
      </c>
      <c r="AI380" s="157">
        <f t="shared" si="227"/>
        <v>0</v>
      </c>
      <c r="AJ380" s="157">
        <f t="shared" si="227"/>
        <v>0</v>
      </c>
      <c r="AK380" s="157">
        <f t="shared" ref="AK380:AQ380" si="229">ROUND(AK378/1000,0)-AK379</f>
        <v>8.8047081822878681E-2</v>
      </c>
      <c r="AL380" s="157">
        <f t="shared" si="229"/>
        <v>-0.20623623786013923</v>
      </c>
      <c r="AM380" s="157">
        <f t="shared" si="229"/>
        <v>-9.5168681509676389E-3</v>
      </c>
      <c r="AN380" s="157">
        <f t="shared" si="229"/>
        <v>0</v>
      </c>
      <c r="AO380" s="157">
        <f>ROUND(AO378/1000,0)-AO379</f>
        <v>0</v>
      </c>
      <c r="AP380" s="157">
        <f t="shared" si="229"/>
        <v>0</v>
      </c>
      <c r="AQ380" s="157">
        <f t="shared" si="229"/>
        <v>0</v>
      </c>
      <c r="AR380" s="157"/>
      <c r="AS380" s="164">
        <f>SUM(F380:AQ380)</f>
        <v>0.3490241619583685</v>
      </c>
      <c r="AT380" s="164"/>
      <c r="AU380" s="160"/>
      <c r="AV380" s="164"/>
      <c r="AW380" s="161"/>
      <c r="AX380" s="161"/>
      <c r="AY380" s="160"/>
    </row>
    <row r="381" spans="1:51" ht="14.1" customHeight="1">
      <c r="A381" s="160">
        <v>381</v>
      </c>
      <c r="B381" s="172" t="s">
        <v>78</v>
      </c>
      <c r="C381" s="159"/>
      <c r="D381" s="159"/>
      <c r="E381" s="156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  <c r="AR381" s="156"/>
      <c r="AS381" s="164"/>
      <c r="AT381" s="164"/>
      <c r="AU381" s="160"/>
      <c r="AV381" s="164"/>
      <c r="AW381" s="161"/>
      <c r="AX381" s="161"/>
      <c r="AY381" s="160"/>
    </row>
    <row r="382" spans="1:51" ht="14.1" customHeight="1">
      <c r="A382" s="160">
        <v>382</v>
      </c>
      <c r="B382" s="158">
        <v>480</v>
      </c>
      <c r="C382" s="159" t="s">
        <v>1336</v>
      </c>
      <c r="D382" s="159"/>
      <c r="E382" s="156"/>
      <c r="F382" s="165">
        <v>97151000</v>
      </c>
      <c r="G382" s="157"/>
      <c r="H382" s="157"/>
      <c r="I382" s="157"/>
      <c r="J382" s="157"/>
      <c r="K382" s="165">
        <v>-5116000</v>
      </c>
      <c r="L382" s="165">
        <v>0</v>
      </c>
      <c r="M382" s="157"/>
      <c r="N382" s="157"/>
      <c r="O382" s="157"/>
      <c r="P382" s="157"/>
      <c r="Q382" s="157"/>
      <c r="R382" s="157"/>
      <c r="S382" s="157"/>
      <c r="T382" s="165">
        <v>-3931000</v>
      </c>
      <c r="U382" s="165">
        <v>8060000</v>
      </c>
      <c r="V382" s="157"/>
      <c r="W382" s="157"/>
      <c r="X382" s="157"/>
      <c r="Y382" s="157"/>
      <c r="Z382" s="181">
        <v>-41734000</v>
      </c>
      <c r="AA382" s="181"/>
      <c r="AB382" s="181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  <c r="AR382" s="156"/>
      <c r="AS382" s="164">
        <f t="shared" ref="AS382:AS388" si="230">SUM(G382:AQ382)</f>
        <v>-42721000</v>
      </c>
      <c r="AT382" s="164">
        <f t="shared" ref="AT382:AT388" si="231">F382+AS382</f>
        <v>54430000</v>
      </c>
      <c r="AU382" s="160"/>
      <c r="AV382" s="163">
        <f>ROUND(AT382/1000,0)</f>
        <v>54430</v>
      </c>
      <c r="AW382" s="162">
        <f>'[3]ADJ DETAIL INPUT'!$AU$14</f>
        <v>99831</v>
      </c>
      <c r="AX382" s="161">
        <f>AV382-AW382</f>
        <v>-45401</v>
      </c>
      <c r="AY382" s="160"/>
    </row>
    <row r="383" spans="1:51" ht="14.1" customHeight="1">
      <c r="A383" s="160">
        <v>383</v>
      </c>
      <c r="B383" s="158">
        <v>481</v>
      </c>
      <c r="C383" s="159" t="s">
        <v>1337</v>
      </c>
      <c r="D383" s="159"/>
      <c r="E383" s="156"/>
      <c r="F383" s="165">
        <v>47979000</v>
      </c>
      <c r="G383" s="157"/>
      <c r="H383" s="157"/>
      <c r="I383" s="157"/>
      <c r="J383" s="157"/>
      <c r="K383" s="165"/>
      <c r="L383" s="165"/>
      <c r="M383" s="157"/>
      <c r="N383" s="157"/>
      <c r="O383" s="157"/>
      <c r="P383" s="157"/>
      <c r="Q383" s="157"/>
      <c r="R383" s="157"/>
      <c r="S383" s="157"/>
      <c r="T383" s="165"/>
      <c r="U383" s="165"/>
      <c r="V383" s="157"/>
      <c r="W383" s="157"/>
      <c r="X383" s="157"/>
      <c r="Y383" s="157"/>
      <c r="Z383" s="181"/>
      <c r="AA383" s="181"/>
      <c r="AB383" s="181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6"/>
      <c r="AS383" s="164">
        <f t="shared" si="230"/>
        <v>0</v>
      </c>
      <c r="AT383" s="164">
        <f t="shared" si="231"/>
        <v>47979000</v>
      </c>
      <c r="AU383" s="160"/>
      <c r="AV383" s="163">
        <f>ROUND(AT383/1000,0)</f>
        <v>47979</v>
      </c>
      <c r="AW383" s="162"/>
      <c r="AX383" s="161">
        <f>AV383-AW383</f>
        <v>47979</v>
      </c>
      <c r="AY383" s="160"/>
    </row>
    <row r="384" spans="1:51" ht="14.1" customHeight="1">
      <c r="A384" s="160">
        <v>384</v>
      </c>
      <c r="B384" s="158">
        <v>484</v>
      </c>
      <c r="C384" s="159" t="s">
        <v>1338</v>
      </c>
      <c r="D384" s="159"/>
      <c r="E384" s="156"/>
      <c r="F384" s="165">
        <v>210000</v>
      </c>
      <c r="G384" s="157"/>
      <c r="H384" s="157"/>
      <c r="I384" s="157"/>
      <c r="J384" s="157"/>
      <c r="K384" s="165"/>
      <c r="L384" s="165"/>
      <c r="M384" s="157"/>
      <c r="N384" s="157"/>
      <c r="O384" s="157"/>
      <c r="P384" s="157"/>
      <c r="Q384" s="157"/>
      <c r="R384" s="157"/>
      <c r="S384" s="157"/>
      <c r="T384" s="165"/>
      <c r="U384" s="165"/>
      <c r="V384" s="157"/>
      <c r="W384" s="157"/>
      <c r="X384" s="157"/>
      <c r="Y384" s="157"/>
      <c r="Z384" s="181"/>
      <c r="AA384" s="181"/>
      <c r="AB384" s="181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  <c r="AR384" s="156"/>
      <c r="AS384" s="164">
        <f t="shared" si="230"/>
        <v>0</v>
      </c>
      <c r="AT384" s="164">
        <f t="shared" si="231"/>
        <v>210000</v>
      </c>
      <c r="AU384" s="160"/>
      <c r="AV384" s="163">
        <f>ROUND(AT384/1000,0)</f>
        <v>210</v>
      </c>
      <c r="AW384" s="162"/>
      <c r="AX384" s="161">
        <f>AV384-AW384</f>
        <v>210</v>
      </c>
      <c r="AY384" s="182">
        <f>SUM(AX382:AX385)</f>
        <v>0</v>
      </c>
    </row>
    <row r="385" spans="1:51" ht="14.1" customHeight="1">
      <c r="A385" s="160">
        <v>385</v>
      </c>
      <c r="B385" s="158">
        <v>499</v>
      </c>
      <c r="C385" s="159" t="s">
        <v>1339</v>
      </c>
      <c r="D385" s="159"/>
      <c r="E385" s="156"/>
      <c r="F385" s="165">
        <v>-2788000</v>
      </c>
      <c r="G385" s="157"/>
      <c r="H385" s="157"/>
      <c r="I385" s="157"/>
      <c r="J385" s="157"/>
      <c r="K385" s="165"/>
      <c r="L385" s="165"/>
      <c r="M385" s="157"/>
      <c r="N385" s="157"/>
      <c r="O385" s="157"/>
      <c r="P385" s="157"/>
      <c r="Q385" s="157"/>
      <c r="R385" s="157"/>
      <c r="S385" s="157"/>
      <c r="T385" s="165"/>
      <c r="U385" s="165"/>
      <c r="V385" s="157"/>
      <c r="W385" s="157"/>
      <c r="X385" s="157"/>
      <c r="Y385" s="157"/>
      <c r="Z385" s="181"/>
      <c r="AA385" s="181"/>
      <c r="AB385" s="181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6"/>
      <c r="AS385" s="164">
        <f t="shared" si="230"/>
        <v>0</v>
      </c>
      <c r="AT385" s="164">
        <f t="shared" si="231"/>
        <v>-2788000</v>
      </c>
      <c r="AU385" s="160"/>
      <c r="AV385" s="163">
        <f>ROUND(AT385/1000,0)</f>
        <v>-2788</v>
      </c>
      <c r="AW385" s="162"/>
      <c r="AX385" s="161">
        <f>AV385-AW385</f>
        <v>-2788</v>
      </c>
      <c r="AY385" s="160"/>
    </row>
    <row r="386" spans="1:51" ht="14.1" customHeight="1">
      <c r="A386" s="160">
        <v>386</v>
      </c>
      <c r="B386" s="158" t="s">
        <v>701</v>
      </c>
      <c r="C386" s="159" t="s">
        <v>700</v>
      </c>
      <c r="D386" s="159"/>
      <c r="E386" s="156"/>
      <c r="F386" s="165">
        <v>5183000</v>
      </c>
      <c r="G386" s="157"/>
      <c r="H386" s="157"/>
      <c r="I386" s="157"/>
      <c r="J386" s="157"/>
      <c r="K386" s="165">
        <v>-131000</v>
      </c>
      <c r="L386" s="165">
        <v>0</v>
      </c>
      <c r="M386" s="157"/>
      <c r="N386" s="157"/>
      <c r="O386" s="157"/>
      <c r="P386" s="157"/>
      <c r="Q386" s="157"/>
      <c r="R386" s="157"/>
      <c r="S386" s="157"/>
      <c r="T386" s="165">
        <v>0</v>
      </c>
      <c r="U386" s="165">
        <v>0</v>
      </c>
      <c r="V386" s="157"/>
      <c r="W386" s="157"/>
      <c r="X386" s="157"/>
      <c r="Y386" s="157"/>
      <c r="Z386" s="181">
        <f>290000-1761000</f>
        <v>-1471000</v>
      </c>
      <c r="AA386" s="181"/>
      <c r="AB386" s="181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  <c r="AR386" s="156"/>
      <c r="AS386" s="164">
        <f t="shared" si="230"/>
        <v>-1602000</v>
      </c>
      <c r="AT386" s="164">
        <f t="shared" si="231"/>
        <v>3581000</v>
      </c>
      <c r="AU386" s="160"/>
      <c r="AV386" s="163">
        <f>ROUND(AT386/1000,0)</f>
        <v>3581</v>
      </c>
      <c r="AW386" s="162">
        <f>'[3]ADJ DETAIL INPUT'!$AU$15</f>
        <v>5342</v>
      </c>
      <c r="AX386" s="161">
        <f>AV386-AW386</f>
        <v>-1761</v>
      </c>
      <c r="AY386" s="160"/>
    </row>
    <row r="387" spans="1:51" ht="14.1" customHeight="1">
      <c r="A387" s="160">
        <v>387</v>
      </c>
      <c r="B387" s="158"/>
      <c r="C387" s="159" t="s">
        <v>282</v>
      </c>
      <c r="D387" s="159"/>
      <c r="E387" s="156"/>
      <c r="F387" s="165">
        <v>0</v>
      </c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  <c r="AR387" s="156"/>
      <c r="AS387" s="164">
        <f t="shared" si="230"/>
        <v>0</v>
      </c>
      <c r="AT387" s="164">
        <f t="shared" si="231"/>
        <v>0</v>
      </c>
      <c r="AU387" s="160"/>
      <c r="AV387" s="164"/>
      <c r="AW387" s="161"/>
      <c r="AX387" s="161"/>
      <c r="AY387" s="160"/>
    </row>
    <row r="388" spans="1:51" ht="14.1" customHeight="1">
      <c r="A388" s="160">
        <v>388</v>
      </c>
      <c r="B388" s="158"/>
      <c r="C388" s="159" t="s">
        <v>282</v>
      </c>
      <c r="D388" s="159"/>
      <c r="E388" s="156"/>
      <c r="F388" s="165">
        <v>0</v>
      </c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6"/>
      <c r="AS388" s="164">
        <f t="shared" si="230"/>
        <v>0</v>
      </c>
      <c r="AT388" s="164">
        <f t="shared" si="231"/>
        <v>0</v>
      </c>
      <c r="AU388" s="160"/>
      <c r="AV388" s="164"/>
      <c r="AW388" s="161"/>
      <c r="AX388" s="161"/>
      <c r="AY388" s="160"/>
    </row>
    <row r="389" spans="1:51" ht="14.1" customHeight="1">
      <c r="A389" s="160">
        <v>389</v>
      </c>
      <c r="B389" s="159"/>
      <c r="C389" s="159"/>
      <c r="D389" s="159"/>
      <c r="E389" s="156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612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612"/>
      <c r="AN389" s="612"/>
      <c r="AO389" s="612"/>
      <c r="AP389" s="612"/>
      <c r="AQ389" s="612"/>
      <c r="AR389" s="178"/>
      <c r="AS389" s="177"/>
      <c r="AT389" s="177"/>
      <c r="AU389" s="160"/>
      <c r="AV389" s="177"/>
      <c r="AW389" s="161"/>
      <c r="AX389" s="161"/>
      <c r="AY389" s="160"/>
    </row>
    <row r="390" spans="1:51" s="169" customFormat="1" ht="14.1" customHeight="1">
      <c r="A390" s="160">
        <v>390</v>
      </c>
      <c r="B390" s="172"/>
      <c r="C390" s="172" t="s">
        <v>389</v>
      </c>
      <c r="D390" s="172"/>
      <c r="E390" s="171"/>
      <c r="F390" s="170">
        <f>SUM(F382:F388)</f>
        <v>147735000</v>
      </c>
      <c r="G390" s="170">
        <f>SUM(G382:G388)</f>
        <v>0</v>
      </c>
      <c r="H390" s="170">
        <f t="shared" ref="H390:AJ390" si="232">SUM(H382:H388)</f>
        <v>0</v>
      </c>
      <c r="I390" s="170">
        <f t="shared" si="232"/>
        <v>0</v>
      </c>
      <c r="J390" s="170">
        <f>SUM(J382:J388)</f>
        <v>0</v>
      </c>
      <c r="K390" s="170">
        <f>SUM(K382:K388)</f>
        <v>-5247000</v>
      </c>
      <c r="L390" s="170">
        <f>SUM(L382:L388)</f>
        <v>0</v>
      </c>
      <c r="M390" s="170">
        <f t="shared" si="232"/>
        <v>0</v>
      </c>
      <c r="N390" s="170">
        <f t="shared" si="232"/>
        <v>0</v>
      </c>
      <c r="O390" s="170">
        <f t="shared" si="232"/>
        <v>0</v>
      </c>
      <c r="P390" s="170">
        <f t="shared" si="232"/>
        <v>0</v>
      </c>
      <c r="Q390" s="170">
        <f>SUM(Q382:Q388)</f>
        <v>0</v>
      </c>
      <c r="R390" s="170">
        <f>SUM(R382:R388)</f>
        <v>0</v>
      </c>
      <c r="S390" s="170">
        <f>SUM(S382:S388)</f>
        <v>0</v>
      </c>
      <c r="T390" s="170">
        <f>SUM(T382:T388)</f>
        <v>-3931000</v>
      </c>
      <c r="U390" s="170">
        <f>SUM(U382:U388)</f>
        <v>8060000</v>
      </c>
      <c r="V390" s="170">
        <f t="shared" si="232"/>
        <v>0</v>
      </c>
      <c r="W390" s="170">
        <f t="shared" ref="W390:AB390" si="233">SUM(W382:W388)</f>
        <v>0</v>
      </c>
      <c r="X390" s="170">
        <f t="shared" si="233"/>
        <v>0</v>
      </c>
      <c r="Y390" s="170">
        <f t="shared" si="233"/>
        <v>0</v>
      </c>
      <c r="Z390" s="170">
        <f t="shared" si="233"/>
        <v>-43205000</v>
      </c>
      <c r="AA390" s="170">
        <f t="shared" si="233"/>
        <v>0</v>
      </c>
      <c r="AB390" s="170">
        <f t="shared" si="233"/>
        <v>0</v>
      </c>
      <c r="AC390" s="170">
        <f t="shared" si="232"/>
        <v>0</v>
      </c>
      <c r="AD390" s="170">
        <f t="shared" si="232"/>
        <v>0</v>
      </c>
      <c r="AE390" s="170">
        <f t="shared" si="232"/>
        <v>0</v>
      </c>
      <c r="AF390" s="170">
        <f t="shared" si="232"/>
        <v>0</v>
      </c>
      <c r="AG390" s="170">
        <f t="shared" si="232"/>
        <v>0</v>
      </c>
      <c r="AH390" s="170">
        <f>SUM(AH382:AH388)</f>
        <v>0</v>
      </c>
      <c r="AI390" s="170">
        <f t="shared" si="232"/>
        <v>0</v>
      </c>
      <c r="AJ390" s="170">
        <f t="shared" si="232"/>
        <v>0</v>
      </c>
      <c r="AK390" s="170">
        <f t="shared" ref="AK390:AQ390" si="234">SUM(AK382:AK388)</f>
        <v>0</v>
      </c>
      <c r="AL390" s="170">
        <f t="shared" si="234"/>
        <v>0</v>
      </c>
      <c r="AM390" s="170">
        <f t="shared" si="234"/>
        <v>0</v>
      </c>
      <c r="AN390" s="170">
        <f t="shared" si="234"/>
        <v>0</v>
      </c>
      <c r="AO390" s="170">
        <f t="shared" si="234"/>
        <v>0</v>
      </c>
      <c r="AP390" s="170">
        <f t="shared" si="234"/>
        <v>0</v>
      </c>
      <c r="AQ390" s="170">
        <f t="shared" si="234"/>
        <v>0</v>
      </c>
      <c r="AR390" s="163"/>
      <c r="AS390" s="163">
        <f>SUM(AS382:AS388)</f>
        <v>-44323000</v>
      </c>
      <c r="AT390" s="163">
        <f>SUM(AT382:AT388)</f>
        <v>103412000</v>
      </c>
      <c r="AU390" s="167" t="str">
        <f>IF(ROUND(SUM(F390:AQ390),0)=ROUND(AT390,0),"ok","crossfoot error")</f>
        <v>ok</v>
      </c>
      <c r="AV390" s="163">
        <f>SUM(AV382:AV388)</f>
        <v>103412</v>
      </c>
      <c r="AW390" s="161"/>
      <c r="AX390" s="161"/>
      <c r="AY390" s="167"/>
    </row>
    <row r="391" spans="1:51" ht="14.1" customHeight="1">
      <c r="A391" s="160">
        <v>391</v>
      </c>
      <c r="B391" s="159"/>
      <c r="C391" s="159"/>
      <c r="D391" s="159"/>
      <c r="E391" s="156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6"/>
      <c r="AS391" s="164"/>
      <c r="AT391" s="164"/>
      <c r="AU391" s="160"/>
      <c r="AV391" s="164"/>
      <c r="AW391" s="161"/>
      <c r="AX391" s="161"/>
      <c r="AY391" s="160"/>
    </row>
    <row r="392" spans="1:51" ht="14.1" customHeight="1">
      <c r="A392" s="160">
        <v>392</v>
      </c>
      <c r="B392" s="159"/>
      <c r="C392" s="159" t="s">
        <v>79</v>
      </c>
      <c r="D392" s="159"/>
      <c r="E392" s="156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81"/>
      <c r="AA392" s="181"/>
      <c r="AB392" s="181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  <c r="AR392" s="156"/>
      <c r="AS392" s="164"/>
      <c r="AT392" s="164"/>
      <c r="AU392" s="160"/>
      <c r="AV392" s="164"/>
      <c r="AW392" s="161"/>
      <c r="AX392" s="161"/>
      <c r="AY392" s="160"/>
    </row>
    <row r="393" spans="1:51" ht="14.1" customHeight="1">
      <c r="A393" s="160">
        <v>393</v>
      </c>
      <c r="B393" s="176" t="s">
        <v>394</v>
      </c>
      <c r="C393" s="159" t="s">
        <v>390</v>
      </c>
      <c r="D393" s="159"/>
      <c r="F393" s="165">
        <f>55068000-1000</f>
        <v>55067000</v>
      </c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81">
        <f>-59974000+4907000</f>
        <v>-55067000</v>
      </c>
      <c r="V393" s="157"/>
      <c r="W393" s="157"/>
      <c r="X393" s="157"/>
      <c r="Y393" s="157"/>
      <c r="Z393" s="181"/>
      <c r="AA393" s="181"/>
      <c r="AB393" s="181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  <c r="AR393" s="156"/>
      <c r="AS393" s="164">
        <f t="shared" ref="AS393:AS398" si="235">SUM(G393:AQ393)</f>
        <v>-55067000</v>
      </c>
      <c r="AT393" s="164">
        <f t="shared" ref="AT393:AT398" si="236">F393+AS393</f>
        <v>0</v>
      </c>
      <c r="AU393" s="160"/>
      <c r="AV393" s="164">
        <f t="shared" ref="AV393:AV398" si="237">-ROUND(AT393/1000,0)*1000</f>
        <v>0</v>
      </c>
      <c r="AW393" s="161"/>
      <c r="AX393" s="161"/>
      <c r="AY393" s="160"/>
    </row>
    <row r="394" spans="1:51" ht="14.1" customHeight="1">
      <c r="A394" s="160">
        <v>394</v>
      </c>
      <c r="B394" s="158">
        <v>488</v>
      </c>
      <c r="C394" s="159" t="s">
        <v>80</v>
      </c>
      <c r="D394" s="159"/>
      <c r="E394" s="156"/>
      <c r="F394" s="165">
        <v>7000</v>
      </c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81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  <c r="AR394" s="156"/>
      <c r="AS394" s="164">
        <f t="shared" si="235"/>
        <v>0</v>
      </c>
      <c r="AT394" s="164">
        <f t="shared" si="236"/>
        <v>7000</v>
      </c>
      <c r="AU394" s="160"/>
      <c r="AV394" s="164">
        <f t="shared" si="237"/>
        <v>-7000</v>
      </c>
      <c r="AW394" s="161"/>
      <c r="AX394" s="161"/>
      <c r="AY394" s="160"/>
    </row>
    <row r="395" spans="1:51" ht="14.1" customHeight="1">
      <c r="A395" s="160">
        <v>395</v>
      </c>
      <c r="B395" s="158">
        <v>489.3</v>
      </c>
      <c r="C395" s="159" t="s">
        <v>1340</v>
      </c>
      <c r="D395" s="159"/>
      <c r="E395" s="156"/>
      <c r="F395" s="165">
        <v>0</v>
      </c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81"/>
      <c r="W395" s="157"/>
      <c r="X395" s="157"/>
      <c r="Y395" s="157"/>
      <c r="Z395" s="181">
        <v>-1153000</v>
      </c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  <c r="AR395" s="156"/>
      <c r="AS395" s="164">
        <f t="shared" si="235"/>
        <v>-1153000</v>
      </c>
      <c r="AT395" s="164">
        <f t="shared" si="236"/>
        <v>-1153000</v>
      </c>
      <c r="AU395" s="160"/>
      <c r="AV395" s="164">
        <f t="shared" si="237"/>
        <v>1153000</v>
      </c>
      <c r="AW395" s="161"/>
      <c r="AX395" s="161"/>
      <c r="AY395" s="160"/>
    </row>
    <row r="396" spans="1:51" ht="14.1" customHeight="1">
      <c r="A396" s="160">
        <v>396</v>
      </c>
      <c r="B396" s="158">
        <v>493</v>
      </c>
      <c r="C396" s="159" t="s">
        <v>391</v>
      </c>
      <c r="D396" s="159"/>
      <c r="E396" s="156"/>
      <c r="F396" s="165">
        <v>3000</v>
      </c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  <c r="AR396" s="156"/>
      <c r="AS396" s="164">
        <f t="shared" si="235"/>
        <v>0</v>
      </c>
      <c r="AT396" s="164">
        <f t="shared" si="236"/>
        <v>3000</v>
      </c>
      <c r="AU396" s="160"/>
      <c r="AV396" s="164">
        <f t="shared" si="237"/>
        <v>-3000</v>
      </c>
      <c r="AW396" s="161"/>
      <c r="AX396" s="161"/>
      <c r="AY396" s="160"/>
    </row>
    <row r="397" spans="1:51" ht="14.1" customHeight="1">
      <c r="A397" s="160">
        <v>397</v>
      </c>
      <c r="B397" s="200">
        <v>495</v>
      </c>
      <c r="C397" s="159" t="s">
        <v>1341</v>
      </c>
      <c r="D397" s="159"/>
      <c r="E397" s="156"/>
      <c r="F397" s="165">
        <v>4604000</v>
      </c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81">
        <v>2095000</v>
      </c>
      <c r="U397" s="181">
        <v>-4907000</v>
      </c>
      <c r="V397" s="157"/>
      <c r="W397" s="157"/>
      <c r="X397" s="157"/>
      <c r="Y397" s="157"/>
      <c r="Z397" s="181">
        <f>1761000</f>
        <v>1761000</v>
      </c>
      <c r="AA397" s="157"/>
      <c r="AB397" s="157"/>
      <c r="AC397" s="157"/>
      <c r="AD397" s="157"/>
      <c r="AE397" s="157"/>
      <c r="AF397" s="157"/>
      <c r="AG397" s="165"/>
      <c r="AH397" s="165"/>
      <c r="AI397" s="157"/>
      <c r="AJ397" s="157"/>
      <c r="AK397" s="157"/>
      <c r="AL397" s="157"/>
      <c r="AM397" s="157"/>
      <c r="AN397" s="157"/>
      <c r="AO397" s="157"/>
      <c r="AP397" s="157"/>
      <c r="AQ397" s="157"/>
      <c r="AR397" s="156"/>
      <c r="AS397" s="164">
        <f t="shared" si="235"/>
        <v>-1051000</v>
      </c>
      <c r="AT397" s="164">
        <f t="shared" si="236"/>
        <v>3553000</v>
      </c>
      <c r="AU397" s="160"/>
      <c r="AV397" s="164">
        <f t="shared" si="237"/>
        <v>-3553000</v>
      </c>
      <c r="AW397" s="161"/>
      <c r="AX397" s="161"/>
      <c r="AY397" s="160"/>
    </row>
    <row r="398" spans="1:51" ht="14.1" customHeight="1">
      <c r="A398" s="160">
        <v>398</v>
      </c>
      <c r="B398" s="158" t="s">
        <v>1225</v>
      </c>
      <c r="C398" s="159" t="s">
        <v>1226</v>
      </c>
      <c r="D398" s="159"/>
      <c r="E398" s="156"/>
      <c r="F398" s="165">
        <v>409000</v>
      </c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65"/>
      <c r="U398" s="165"/>
      <c r="V398" s="181">
        <v>-444000</v>
      </c>
      <c r="W398" s="157"/>
      <c r="X398" s="157"/>
      <c r="Y398" s="157"/>
      <c r="Z398" s="165"/>
      <c r="AA398" s="165"/>
      <c r="AB398" s="165"/>
      <c r="AC398" s="157"/>
      <c r="AD398" s="157"/>
      <c r="AE398" s="157"/>
      <c r="AF398" s="157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56"/>
      <c r="AS398" s="164">
        <f t="shared" si="235"/>
        <v>-444000</v>
      </c>
      <c r="AT398" s="164">
        <f t="shared" si="236"/>
        <v>-35000</v>
      </c>
      <c r="AU398" s="160"/>
      <c r="AV398" s="164">
        <f t="shared" si="237"/>
        <v>35000</v>
      </c>
      <c r="AW398" s="161"/>
      <c r="AX398" s="161"/>
      <c r="AY398" s="160"/>
    </row>
    <row r="399" spans="1:51" s="169" customFormat="1" ht="14.1" customHeight="1">
      <c r="A399" s="160">
        <v>399</v>
      </c>
      <c r="B399" s="172"/>
      <c r="C399" s="172" t="s">
        <v>81</v>
      </c>
      <c r="D399" s="172"/>
      <c r="E399" s="171"/>
      <c r="F399" s="174">
        <f t="shared" ref="F399:AA399" si="238">SUM(F393:F398)</f>
        <v>60090000</v>
      </c>
      <c r="G399" s="174">
        <f t="shared" si="238"/>
        <v>0</v>
      </c>
      <c r="H399" s="174">
        <f t="shared" si="238"/>
        <v>0</v>
      </c>
      <c r="I399" s="174">
        <f t="shared" si="238"/>
        <v>0</v>
      </c>
      <c r="J399" s="174">
        <f t="shared" si="238"/>
        <v>0</v>
      </c>
      <c r="K399" s="174">
        <f t="shared" si="238"/>
        <v>0</v>
      </c>
      <c r="L399" s="174">
        <f t="shared" si="238"/>
        <v>0</v>
      </c>
      <c r="M399" s="174">
        <f t="shared" si="238"/>
        <v>0</v>
      </c>
      <c r="N399" s="174">
        <f t="shared" si="238"/>
        <v>0</v>
      </c>
      <c r="O399" s="174">
        <f t="shared" si="238"/>
        <v>0</v>
      </c>
      <c r="P399" s="174">
        <f t="shared" si="238"/>
        <v>0</v>
      </c>
      <c r="Q399" s="174">
        <f t="shared" si="238"/>
        <v>0</v>
      </c>
      <c r="R399" s="174">
        <f t="shared" si="238"/>
        <v>0</v>
      </c>
      <c r="S399" s="174">
        <f t="shared" si="238"/>
        <v>0</v>
      </c>
      <c r="T399" s="174">
        <f t="shared" si="238"/>
        <v>2095000</v>
      </c>
      <c r="U399" s="174">
        <f>SUM(U393:U398)</f>
        <v>-59974000</v>
      </c>
      <c r="V399" s="174">
        <f t="shared" si="238"/>
        <v>-444000</v>
      </c>
      <c r="W399" s="174">
        <f t="shared" si="238"/>
        <v>0</v>
      </c>
      <c r="X399" s="174">
        <f t="shared" si="238"/>
        <v>0</v>
      </c>
      <c r="Y399" s="174">
        <f t="shared" si="238"/>
        <v>0</v>
      </c>
      <c r="Z399" s="174">
        <f t="shared" si="238"/>
        <v>608000</v>
      </c>
      <c r="AA399" s="174">
        <f t="shared" si="238"/>
        <v>0</v>
      </c>
      <c r="AB399" s="174">
        <f t="shared" ref="AB399:AQ399" si="239">SUM(AB393:AB398)</f>
        <v>0</v>
      </c>
      <c r="AC399" s="174">
        <f t="shared" si="239"/>
        <v>0</v>
      </c>
      <c r="AD399" s="174">
        <f t="shared" si="239"/>
        <v>0</v>
      </c>
      <c r="AE399" s="174">
        <f t="shared" si="239"/>
        <v>0</v>
      </c>
      <c r="AF399" s="174">
        <f t="shared" si="239"/>
        <v>0</v>
      </c>
      <c r="AG399" s="174">
        <f t="shared" si="239"/>
        <v>0</v>
      </c>
      <c r="AH399" s="174">
        <f t="shared" si="239"/>
        <v>0</v>
      </c>
      <c r="AI399" s="174">
        <f t="shared" si="239"/>
        <v>0</v>
      </c>
      <c r="AJ399" s="174">
        <f t="shared" si="239"/>
        <v>0</v>
      </c>
      <c r="AK399" s="174">
        <f t="shared" si="239"/>
        <v>0</v>
      </c>
      <c r="AL399" s="174">
        <f t="shared" si="239"/>
        <v>0</v>
      </c>
      <c r="AM399" s="174">
        <f t="shared" si="239"/>
        <v>0</v>
      </c>
      <c r="AN399" s="174">
        <f t="shared" si="239"/>
        <v>0</v>
      </c>
      <c r="AO399" s="174">
        <f t="shared" si="239"/>
        <v>0</v>
      </c>
      <c r="AP399" s="174">
        <f t="shared" si="239"/>
        <v>0</v>
      </c>
      <c r="AQ399" s="174">
        <f t="shared" si="239"/>
        <v>0</v>
      </c>
      <c r="AR399" s="173"/>
      <c r="AS399" s="173">
        <f>SUM(AS393:AS398)</f>
        <v>-57715000</v>
      </c>
      <c r="AT399" s="173">
        <f>SUM(AT393:AT398)</f>
        <v>2375000</v>
      </c>
      <c r="AU399" s="167" t="str">
        <f>IF(ROUND(SUM(F399:AQ399),0)=ROUND(AT399,0),"ok","crossfoot error")</f>
        <v>ok</v>
      </c>
      <c r="AV399" s="173">
        <f>-SUM(AV393:AV398)/1000</f>
        <v>2375</v>
      </c>
      <c r="AW399" s="162">
        <f>'[3]ADJ DETAIL INPUT'!$AU$16</f>
        <v>614</v>
      </c>
      <c r="AX399" s="161">
        <f>AV399-AW399</f>
        <v>1761</v>
      </c>
      <c r="AY399" s="167"/>
    </row>
    <row r="400" spans="1:51" ht="14.1" customHeight="1">
      <c r="A400" s="160">
        <v>400</v>
      </c>
      <c r="B400" s="159"/>
      <c r="C400" s="159"/>
      <c r="D400" s="159"/>
      <c r="E400" s="156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  <c r="AR400" s="156"/>
      <c r="AS400" s="164"/>
      <c r="AT400" s="164"/>
      <c r="AU400" s="160"/>
      <c r="AV400" s="164"/>
      <c r="AW400" s="161"/>
      <c r="AX400" s="161"/>
      <c r="AY400" s="160"/>
    </row>
    <row r="401" spans="1:51" s="169" customFormat="1" ht="14.1" customHeight="1">
      <c r="A401" s="160">
        <v>401</v>
      </c>
      <c r="B401" s="172"/>
      <c r="C401" s="172" t="s">
        <v>175</v>
      </c>
      <c r="D401" s="172"/>
      <c r="E401" s="171"/>
      <c r="F401" s="170">
        <f t="shared" ref="F401:AA401" si="240">F399+F390</f>
        <v>207825000</v>
      </c>
      <c r="G401" s="170">
        <f t="shared" si="240"/>
        <v>0</v>
      </c>
      <c r="H401" s="170">
        <f t="shared" si="240"/>
        <v>0</v>
      </c>
      <c r="I401" s="170">
        <f t="shared" si="240"/>
        <v>0</v>
      </c>
      <c r="J401" s="170">
        <f t="shared" si="240"/>
        <v>0</v>
      </c>
      <c r="K401" s="170">
        <f t="shared" si="240"/>
        <v>-5247000</v>
      </c>
      <c r="L401" s="170">
        <f t="shared" si="240"/>
        <v>0</v>
      </c>
      <c r="M401" s="170">
        <f t="shared" si="240"/>
        <v>0</v>
      </c>
      <c r="N401" s="170">
        <f t="shared" si="240"/>
        <v>0</v>
      </c>
      <c r="O401" s="170">
        <f t="shared" si="240"/>
        <v>0</v>
      </c>
      <c r="P401" s="170">
        <f t="shared" si="240"/>
        <v>0</v>
      </c>
      <c r="Q401" s="170">
        <f t="shared" si="240"/>
        <v>0</v>
      </c>
      <c r="R401" s="170">
        <f t="shared" si="240"/>
        <v>0</v>
      </c>
      <c r="S401" s="170">
        <f t="shared" si="240"/>
        <v>0</v>
      </c>
      <c r="T401" s="170">
        <f t="shared" si="240"/>
        <v>-1836000</v>
      </c>
      <c r="U401" s="170">
        <f t="shared" si="240"/>
        <v>-51914000</v>
      </c>
      <c r="V401" s="170">
        <f t="shared" si="240"/>
        <v>-444000</v>
      </c>
      <c r="W401" s="170">
        <f t="shared" si="240"/>
        <v>0</v>
      </c>
      <c r="X401" s="170">
        <f t="shared" si="240"/>
        <v>0</v>
      </c>
      <c r="Y401" s="170">
        <f t="shared" si="240"/>
        <v>0</v>
      </c>
      <c r="Z401" s="170">
        <f>Z399+Z390</f>
        <v>-42597000</v>
      </c>
      <c r="AA401" s="170">
        <f t="shared" si="240"/>
        <v>0</v>
      </c>
      <c r="AB401" s="170">
        <f t="shared" ref="AB401:AQ401" si="241">AB399+AB390</f>
        <v>0</v>
      </c>
      <c r="AC401" s="170">
        <f t="shared" si="241"/>
        <v>0</v>
      </c>
      <c r="AD401" s="170">
        <f t="shared" si="241"/>
        <v>0</v>
      </c>
      <c r="AE401" s="170">
        <f t="shared" si="241"/>
        <v>0</v>
      </c>
      <c r="AF401" s="170">
        <f t="shared" si="241"/>
        <v>0</v>
      </c>
      <c r="AG401" s="170">
        <f t="shared" si="241"/>
        <v>0</v>
      </c>
      <c r="AH401" s="170">
        <f t="shared" si="241"/>
        <v>0</v>
      </c>
      <c r="AI401" s="170">
        <f t="shared" si="241"/>
        <v>0</v>
      </c>
      <c r="AJ401" s="170">
        <f t="shared" si="241"/>
        <v>0</v>
      </c>
      <c r="AK401" s="170">
        <f t="shared" si="241"/>
        <v>0</v>
      </c>
      <c r="AL401" s="170">
        <f t="shared" si="241"/>
        <v>0</v>
      </c>
      <c r="AM401" s="170">
        <f t="shared" si="241"/>
        <v>0</v>
      </c>
      <c r="AN401" s="170">
        <f t="shared" si="241"/>
        <v>0</v>
      </c>
      <c r="AO401" s="170">
        <f t="shared" si="241"/>
        <v>0</v>
      </c>
      <c r="AP401" s="170">
        <f t="shared" si="241"/>
        <v>0</v>
      </c>
      <c r="AQ401" s="170">
        <f t="shared" si="241"/>
        <v>0</v>
      </c>
      <c r="AR401" s="163"/>
      <c r="AS401" s="163">
        <f>AS399+AS390</f>
        <v>-102038000</v>
      </c>
      <c r="AT401" s="163">
        <f>AT399+AT390</f>
        <v>105787000</v>
      </c>
      <c r="AU401" s="167" t="str">
        <f>IF(ROUND(SUM(F401:AQ401),0)=ROUND(AT401,0),"ok","crossfoot error")</f>
        <v>ok</v>
      </c>
      <c r="AV401" s="163">
        <f>AV399+AV390</f>
        <v>105787</v>
      </c>
      <c r="AW401" s="162">
        <f>'[3]ADJ DETAIL INPUT'!$AU$17</f>
        <v>105787</v>
      </c>
      <c r="AX401" s="161">
        <f>AV401-AW401</f>
        <v>0</v>
      </c>
      <c r="AY401" s="167"/>
    </row>
    <row r="402" spans="1:51" ht="14.1" customHeight="1">
      <c r="A402" s="160">
        <v>402</v>
      </c>
      <c r="B402" s="159"/>
      <c r="C402" s="159"/>
      <c r="D402" s="159"/>
      <c r="E402" s="156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6"/>
      <c r="AS402" s="164"/>
      <c r="AT402" s="164"/>
      <c r="AU402" s="160"/>
      <c r="AV402" s="164"/>
      <c r="AW402" s="161"/>
      <c r="AX402" s="161"/>
      <c r="AY402" s="160"/>
    </row>
    <row r="403" spans="1:51" s="169" customFormat="1" ht="14.1" customHeight="1">
      <c r="A403" s="160">
        <v>403</v>
      </c>
      <c r="B403" s="172"/>
      <c r="C403" s="172" t="s">
        <v>699</v>
      </c>
      <c r="D403" s="172"/>
      <c r="E403" s="171"/>
      <c r="F403" s="170">
        <f>F401-F236</f>
        <v>24474000</v>
      </c>
      <c r="G403" s="170">
        <f t="shared" ref="G403:AA403" si="242">G401-G236</f>
        <v>-5000</v>
      </c>
      <c r="H403" s="170">
        <f t="shared" si="242"/>
        <v>-12000</v>
      </c>
      <c r="I403" s="170">
        <f t="shared" si="242"/>
        <v>-6000</v>
      </c>
      <c r="J403" s="170">
        <f t="shared" si="242"/>
        <v>-96000</v>
      </c>
      <c r="K403" s="170">
        <f t="shared" si="242"/>
        <v>-9000</v>
      </c>
      <c r="L403" s="170">
        <f t="shared" si="242"/>
        <v>-189000</v>
      </c>
      <c r="M403" s="170">
        <f t="shared" si="242"/>
        <v>-131000</v>
      </c>
      <c r="N403" s="170">
        <f t="shared" si="242"/>
        <v>46000</v>
      </c>
      <c r="O403" s="170">
        <f t="shared" si="242"/>
        <v>7000</v>
      </c>
      <c r="P403" s="170">
        <f t="shared" si="242"/>
        <v>-53000</v>
      </c>
      <c r="Q403" s="170">
        <f t="shared" si="242"/>
        <v>13000</v>
      </c>
      <c r="R403" s="170">
        <f t="shared" si="242"/>
        <v>-1000</v>
      </c>
      <c r="S403" s="170">
        <f t="shared" si="242"/>
        <v>9000</v>
      </c>
      <c r="T403" s="170">
        <f t="shared" si="242"/>
        <v>-5000</v>
      </c>
      <c r="U403" s="170">
        <f t="shared" si="242"/>
        <v>0</v>
      </c>
      <c r="V403" s="170">
        <f t="shared" si="242"/>
        <v>-35000</v>
      </c>
      <c r="W403" s="170">
        <f t="shared" si="242"/>
        <v>-173000</v>
      </c>
      <c r="X403" s="170">
        <f t="shared" si="242"/>
        <v>-222000</v>
      </c>
      <c r="Y403" s="170">
        <f t="shared" si="242"/>
        <v>273000</v>
      </c>
      <c r="Z403" s="170">
        <f>Z401-Z236</f>
        <v>8187000</v>
      </c>
      <c r="AA403" s="170">
        <f t="shared" si="242"/>
        <v>182000</v>
      </c>
      <c r="AB403" s="170">
        <f t="shared" ref="AB403:AQ403" si="243">AB401-AB236</f>
        <v>-41000</v>
      </c>
      <c r="AC403" s="170">
        <f t="shared" si="243"/>
        <v>-772000</v>
      </c>
      <c r="AD403" s="170">
        <f t="shared" si="243"/>
        <v>77000</v>
      </c>
      <c r="AE403" s="170">
        <f t="shared" si="243"/>
        <v>-269000</v>
      </c>
      <c r="AF403" s="170">
        <f t="shared" si="243"/>
        <v>-852000</v>
      </c>
      <c r="AG403" s="170">
        <f t="shared" si="243"/>
        <v>-493000</v>
      </c>
      <c r="AH403" s="170">
        <f t="shared" si="243"/>
        <v>-366000</v>
      </c>
      <c r="AI403" s="170">
        <f t="shared" si="243"/>
        <v>-689000</v>
      </c>
      <c r="AJ403" s="170">
        <f t="shared" si="243"/>
        <v>-441000</v>
      </c>
      <c r="AK403" s="170">
        <f t="shared" si="243"/>
        <v>-110000</v>
      </c>
      <c r="AL403" s="170">
        <f t="shared" si="243"/>
        <v>-143000</v>
      </c>
      <c r="AM403" s="170">
        <f t="shared" si="243"/>
        <v>-150000</v>
      </c>
      <c r="AN403" s="170">
        <f>AN401-AN236</f>
        <v>-489000</v>
      </c>
      <c r="AO403" s="170">
        <f t="shared" si="243"/>
        <v>-2550000</v>
      </c>
      <c r="AP403" s="170">
        <f t="shared" si="243"/>
        <v>-1245000</v>
      </c>
      <c r="AQ403" s="170">
        <f t="shared" si="243"/>
        <v>-79000</v>
      </c>
      <c r="AR403" s="163"/>
      <c r="AS403" s="163">
        <f>AS401-AS236</f>
        <v>-832501</v>
      </c>
      <c r="AT403" s="163">
        <f>AT401-AT236</f>
        <v>23641499</v>
      </c>
      <c r="AU403" s="167" t="str">
        <f>IF(ROUND(SUM(F403:AQ403),0)=ROUND(AT403,0),"ok","crossfoot error")</f>
        <v>crossfoot error</v>
      </c>
      <c r="AV403" s="163">
        <f>AV401-AV236</f>
        <v>23640</v>
      </c>
      <c r="AW403" s="162">
        <f>'[3]ADJ DETAIL INPUT'!$AU$58</f>
        <v>23639.812503432557</v>
      </c>
      <c r="AX403" s="161">
        <f>AV403-AW403</f>
        <v>0.18749656744330423</v>
      </c>
      <c r="AY403" s="167"/>
    </row>
    <row r="404" spans="1:51" ht="14.1" customHeight="1">
      <c r="A404" s="160">
        <v>404</v>
      </c>
      <c r="B404" s="159"/>
      <c r="C404" s="159"/>
      <c r="D404" s="159"/>
      <c r="E404" s="156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6"/>
      <c r="AS404" s="164"/>
      <c r="AT404" s="164"/>
      <c r="AU404" s="167"/>
      <c r="AV404" s="164"/>
      <c r="AW404" s="161"/>
      <c r="AX404" s="161"/>
    </row>
    <row r="405" spans="1:51" ht="14.1" customHeight="1">
      <c r="A405" s="160">
        <v>405</v>
      </c>
      <c r="B405" s="159"/>
      <c r="C405" s="159" t="s">
        <v>698</v>
      </c>
      <c r="D405" s="159"/>
      <c r="E405" s="156"/>
      <c r="F405" s="168">
        <f>'[3]ADJ DETAIL INPUT'!$E$58</f>
        <v>24474</v>
      </c>
      <c r="G405" s="168">
        <f>'[3]ADJ DETAIL INPUT'!$F$58</f>
        <v>-5.1767519999999996</v>
      </c>
      <c r="H405" s="168">
        <f>'[3]ADJ DETAIL INPUT'!$G$58</f>
        <v>-11.855208000000001</v>
      </c>
      <c r="I405" s="168">
        <f>'[3]ADJ DETAIL INPUT'!$H$58</f>
        <v>-5.9579519999999997</v>
      </c>
      <c r="J405" s="168">
        <f>'[3]ADJ DETAIL INPUT'!$I$58</f>
        <v>-95.842823999999993</v>
      </c>
      <c r="K405" s="168">
        <f>'[3]ADJ DETAIL INPUT'!$J$58</f>
        <v>-9.48</v>
      </c>
      <c r="L405" s="168">
        <f>'[3]ADJ DETAIL INPUT'!$K$58</f>
        <v>-188.81</v>
      </c>
      <c r="M405" s="168">
        <f>'[3]ADJ DETAIL INPUT'!$L$58</f>
        <v>-131.13999999999999</v>
      </c>
      <c r="N405" s="168">
        <f>'[3]ADJ DETAIL INPUT'!$M$58</f>
        <v>45.82</v>
      </c>
      <c r="O405" s="168">
        <f>'[3]ADJ DETAIL INPUT'!$N$58</f>
        <v>7.11</v>
      </c>
      <c r="P405" s="168">
        <f>'[3]ADJ DETAIL INPUT'!$O$58</f>
        <v>-53</v>
      </c>
      <c r="Q405" s="168">
        <f>'[3]ADJ DETAIL INPUT'!$P$58</f>
        <v>12.64</v>
      </c>
      <c r="R405" s="168">
        <f>'[3]ADJ DETAIL INPUT'!$Q$58</f>
        <v>-0.79</v>
      </c>
      <c r="S405" s="168">
        <f>'[3]ADJ DETAIL INPUT'!$R$58</f>
        <v>8.69</v>
      </c>
      <c r="T405" s="168">
        <f>'[3]ADJ DETAIL INPUT'!$S$58</f>
        <v>-4.74</v>
      </c>
      <c r="U405" s="168">
        <f>'[3]ADJ DETAIL INPUT'!$T$58</f>
        <v>-3.999999999996362E-2</v>
      </c>
      <c r="V405" s="168">
        <f>'[3]ADJ DETAIL INPUT'!$U$58</f>
        <v>-34.76</v>
      </c>
      <c r="W405" s="168">
        <f>'[3]ADJ DETAIL INPUT'!$V$58</f>
        <v>-173.01</v>
      </c>
      <c r="X405" s="168">
        <f>'[3]ADJ DETAIL INPUT'!$W$58</f>
        <v>-222</v>
      </c>
      <c r="Y405" s="168">
        <f>'[3]ADJ DETAIL INPUT'!$X$58</f>
        <v>273.28056518919055</v>
      </c>
      <c r="Z405" s="168">
        <f>'[3]ADJ DETAIL INPUT'!$AA$58</f>
        <v>8186.77</v>
      </c>
      <c r="AA405" s="168">
        <f>'[3]ADJ DETAIL INPUT'!$AB$58</f>
        <v>181.7</v>
      </c>
      <c r="AB405" s="168">
        <f>'[3]ADJ DETAIL INPUT'!$AC$58</f>
        <v>-41</v>
      </c>
      <c r="AC405" s="168">
        <f>'[3]ADJ DETAIL INPUT'!$AD$58</f>
        <v>-771.83</v>
      </c>
      <c r="AD405" s="168">
        <f>'[3]ADJ DETAIL INPUT'!$AE$58</f>
        <v>76.63</v>
      </c>
      <c r="AE405" s="168">
        <f>'[3]ADJ DETAIL INPUT'!$AF$58</f>
        <v>-269.39</v>
      </c>
      <c r="AF405" s="168">
        <f>'[3]ADJ DETAIL INPUT'!$AG$58</f>
        <v>-852.41</v>
      </c>
      <c r="AG405" s="168">
        <f>'[3]ADJ DETAIL INPUT'!$AH$58</f>
        <v>-492.96000000000004</v>
      </c>
      <c r="AH405" s="168">
        <f>'[3]ADJ DETAIL INPUT'!$AI$58</f>
        <v>-365.77</v>
      </c>
      <c r="AI405" s="168">
        <f>'[3]ADJ DETAIL INPUT'!$AJ$58</f>
        <v>-688.88</v>
      </c>
      <c r="AJ405" s="168">
        <f>'[3]ADJ DETAIL INPUT'!$AK$58</f>
        <v>-440.60701599999999</v>
      </c>
      <c r="AK405" s="168">
        <f>'[3]ADJ DETAIL INPUT'!$AL$58</f>
        <v>-109.84345845262962</v>
      </c>
      <c r="AL405" s="168">
        <f>'[3]ADJ DETAIL INPUT'!$AM$58</f>
        <v>-143.41002744296398</v>
      </c>
      <c r="AM405" s="168">
        <f>'[3]ADJ DETAIL INPUT'!$AN$58</f>
        <v>-149.81764786103145</v>
      </c>
      <c r="AN405" s="168">
        <f>'[3]ADJ DETAIL INPUT'!$AO$58</f>
        <v>-489.43113600000004</v>
      </c>
      <c r="AO405" s="168">
        <f>'[3]ADJ DETAIL INPUT'!$AP$58</f>
        <v>-2550.4501439999999</v>
      </c>
      <c r="AP405" s="168">
        <f>'[3]ADJ DETAIL INPUT'!$AQ$58</f>
        <v>-1245.1184720000001</v>
      </c>
      <c r="AQ405" s="168">
        <f>'[3]ADJ DETAIL INPUT'!$AR$58</f>
        <v>-79.307423999999997</v>
      </c>
      <c r="AR405" s="168"/>
      <c r="AS405" s="168">
        <f>'[3]ADJ DETAIL INPUT'!$AU$58</f>
        <v>23639.812503432557</v>
      </c>
      <c r="AT405" s="164" t="str">
        <f>IF(ROUND(SUM(F405:AQ405)-AS405,0)&lt;&gt;0,"error","")</f>
        <v/>
      </c>
      <c r="AU405" s="167"/>
      <c r="AV405" s="164">
        <f>ROUND(AS405,0)</f>
        <v>23640</v>
      </c>
      <c r="AW405" s="161"/>
      <c r="AX405" s="161"/>
    </row>
    <row r="406" spans="1:51" ht="14.1" customHeight="1">
      <c r="A406" s="160">
        <v>406</v>
      </c>
      <c r="B406" s="159"/>
      <c r="C406" s="159" t="s">
        <v>697</v>
      </c>
      <c r="D406" s="159"/>
      <c r="E406" s="156"/>
      <c r="F406" s="465">
        <f>ROUND(F403/1000,0)-F405</f>
        <v>0</v>
      </c>
      <c r="G406" s="538">
        <f t="shared" ref="G406:AQ406" si="244">ROUND(G403/1000,0)-G405</f>
        <v>0.17675199999999958</v>
      </c>
      <c r="H406" s="538">
        <f t="shared" si="244"/>
        <v>-0.14479199999999892</v>
      </c>
      <c r="I406" s="538">
        <f t="shared" si="244"/>
        <v>-4.2048000000000307E-2</v>
      </c>
      <c r="J406" s="538">
        <f>ROUND(J403/1000,0)-J405</f>
        <v>-0.15717600000000687</v>
      </c>
      <c r="K406" s="538">
        <f t="shared" si="244"/>
        <v>0.48000000000000043</v>
      </c>
      <c r="L406" s="538">
        <f t="shared" si="244"/>
        <v>-0.18999999999999773</v>
      </c>
      <c r="M406" s="538">
        <f t="shared" si="244"/>
        <v>0.13999999999998636</v>
      </c>
      <c r="N406" s="538">
        <f t="shared" si="244"/>
        <v>0.17999999999999972</v>
      </c>
      <c r="O406" s="538">
        <f t="shared" si="244"/>
        <v>-0.11000000000000032</v>
      </c>
      <c r="P406" s="538">
        <f t="shared" si="244"/>
        <v>0</v>
      </c>
      <c r="Q406" s="538">
        <f t="shared" si="244"/>
        <v>0.35999999999999943</v>
      </c>
      <c r="R406" s="538">
        <f t="shared" si="244"/>
        <v>-0.20999999999999996</v>
      </c>
      <c r="S406" s="538">
        <f t="shared" si="244"/>
        <v>0.3100000000000005</v>
      </c>
      <c r="T406" s="538">
        <f t="shared" si="244"/>
        <v>-0.25999999999999979</v>
      </c>
      <c r="U406" s="538">
        <f t="shared" si="244"/>
        <v>3.999999999996362E-2</v>
      </c>
      <c r="V406" s="538">
        <f t="shared" si="244"/>
        <v>-0.24000000000000199</v>
      </c>
      <c r="W406" s="538">
        <f t="shared" si="244"/>
        <v>9.9999999999909051E-3</v>
      </c>
      <c r="X406" s="538">
        <f t="shared" si="244"/>
        <v>0</v>
      </c>
      <c r="Y406" s="538">
        <f>ROUND(Y403/1000,0)-Y405</f>
        <v>-0.28056518919055407</v>
      </c>
      <c r="Z406" s="538">
        <f>ROUND(Z403/1000,0)-Z405</f>
        <v>0.22999999999956344</v>
      </c>
      <c r="AA406" s="538">
        <f>ROUND(AA403/1000,0)-AA405</f>
        <v>0.30000000000001137</v>
      </c>
      <c r="AB406" s="538">
        <f>ROUND(AB403/1000,0)-AB405</f>
        <v>0</v>
      </c>
      <c r="AC406" s="538">
        <f t="shared" si="244"/>
        <v>-0.16999999999995907</v>
      </c>
      <c r="AD406" s="538">
        <f t="shared" si="244"/>
        <v>0.37000000000000455</v>
      </c>
      <c r="AE406" s="538">
        <f t="shared" si="244"/>
        <v>0.38999999999998636</v>
      </c>
      <c r="AF406" s="538">
        <f t="shared" si="244"/>
        <v>0.40999999999996817</v>
      </c>
      <c r="AG406" s="538">
        <f t="shared" si="244"/>
        <v>-3.999999999996362E-2</v>
      </c>
      <c r="AH406" s="538">
        <f>ROUND(AH403/1000,0)-AH405</f>
        <v>-0.23000000000001819</v>
      </c>
      <c r="AI406" s="538">
        <f t="shared" si="244"/>
        <v>-0.12000000000000455</v>
      </c>
      <c r="AJ406" s="538">
        <f t="shared" si="244"/>
        <v>-0.39298400000001266</v>
      </c>
      <c r="AK406" s="538">
        <f t="shared" si="244"/>
        <v>-0.15654154737038084</v>
      </c>
      <c r="AL406" s="538">
        <f t="shared" si="244"/>
        <v>0.41002744296397964</v>
      </c>
      <c r="AM406" s="538">
        <f t="shared" si="244"/>
        <v>-0.18235213896855385</v>
      </c>
      <c r="AN406" s="538">
        <f>ROUND(AN403/1000,0)-AN405</f>
        <v>0.43113600000003771</v>
      </c>
      <c r="AO406" s="538">
        <f t="shared" si="244"/>
        <v>0.45014399999990928</v>
      </c>
      <c r="AP406" s="538">
        <f t="shared" si="244"/>
        <v>0.11847200000011071</v>
      </c>
      <c r="AQ406" s="538">
        <f t="shared" si="244"/>
        <v>0.30742399999999748</v>
      </c>
      <c r="AR406" s="157"/>
      <c r="AS406" s="164">
        <f>SUM(K406:AQ406)</f>
        <v>2.354760567434063</v>
      </c>
      <c r="AT406" s="164"/>
      <c r="AV406" s="164"/>
      <c r="AW406" s="161"/>
      <c r="AX406" s="153"/>
    </row>
    <row r="407" spans="1:51" ht="14.1" customHeight="1">
      <c r="A407" s="160">
        <v>407</v>
      </c>
      <c r="B407" s="159"/>
      <c r="C407" s="159"/>
      <c r="D407" s="159"/>
      <c r="E407" s="156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  <c r="AR407" s="156"/>
      <c r="AS407" s="164"/>
      <c r="AT407" s="164"/>
      <c r="AV407" s="164"/>
      <c r="AW407" s="161"/>
      <c r="AX407" s="161"/>
    </row>
    <row r="408" spans="1:51" ht="14.1" customHeight="1">
      <c r="A408" s="160">
        <v>408</v>
      </c>
      <c r="B408" s="159"/>
      <c r="C408" s="159"/>
      <c r="D408" s="159"/>
      <c r="E408" s="156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  <c r="AR408" s="156"/>
      <c r="AS408" s="164"/>
      <c r="AT408" s="164"/>
      <c r="AV408" s="164"/>
      <c r="AW408" s="161"/>
      <c r="AX408" s="161"/>
    </row>
    <row r="409" spans="1:51" ht="14.1" customHeight="1">
      <c r="A409" s="160">
        <v>409</v>
      </c>
      <c r="B409" s="159"/>
      <c r="C409" s="159" t="s">
        <v>696</v>
      </c>
      <c r="D409" s="159"/>
      <c r="E409" s="156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6"/>
      <c r="AS409" s="164"/>
      <c r="AT409" s="164"/>
      <c r="AV409" s="164"/>
      <c r="AW409" s="161"/>
      <c r="AX409" s="161"/>
    </row>
    <row r="410" spans="1:51" ht="14.1" customHeight="1">
      <c r="A410" s="160">
        <v>410</v>
      </c>
      <c r="B410" s="159"/>
      <c r="C410" s="159" t="s">
        <v>695</v>
      </c>
      <c r="D410" s="159"/>
      <c r="E410" s="166"/>
      <c r="F410" s="165">
        <v>11123000</v>
      </c>
      <c r="G410" s="157"/>
      <c r="H410" s="157"/>
      <c r="I410" s="157"/>
      <c r="J410" s="157"/>
      <c r="K410" s="157"/>
      <c r="L410" s="157"/>
      <c r="M410" s="157"/>
      <c r="N410" s="157"/>
      <c r="O410" s="157"/>
      <c r="P410" s="165"/>
      <c r="Q410" s="165"/>
      <c r="R410" s="165"/>
      <c r="S410" s="165"/>
      <c r="T410" s="157"/>
      <c r="U410" s="157"/>
      <c r="V410" s="165"/>
      <c r="W410" s="165"/>
      <c r="X410" s="165"/>
      <c r="Y410" s="165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6"/>
      <c r="AS410" s="164">
        <f>SUM(L410:AQ410)</f>
        <v>0</v>
      </c>
      <c r="AT410" s="164">
        <f>F410+AS410</f>
        <v>11123000</v>
      </c>
      <c r="AU410" s="160" t="str">
        <f>IF(ROUND(SUM(F410:AL410),0)=ROUND(AT410,0),"ok","crossfoot error")</f>
        <v>ok</v>
      </c>
      <c r="AV410" s="163">
        <f>ROUND(AT410/1000,0)</f>
        <v>11123</v>
      </c>
      <c r="AW410" s="162"/>
      <c r="AX410" s="161"/>
      <c r="AY410" s="160"/>
    </row>
    <row r="411" spans="1:51" ht="14.1" customHeight="1">
      <c r="A411" s="160">
        <v>411</v>
      </c>
      <c r="B411" s="159"/>
      <c r="C411" s="159"/>
      <c r="D411" s="159"/>
      <c r="E411" s="156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6"/>
      <c r="AS411" s="156"/>
      <c r="AT411" s="156"/>
      <c r="AW411" s="161"/>
      <c r="AX411" s="161"/>
    </row>
    <row r="412" spans="1:51" ht="14.1" customHeight="1">
      <c r="A412" s="160">
        <v>412</v>
      </c>
      <c r="B412" s="159"/>
      <c r="C412" s="159"/>
      <c r="D412" s="159"/>
      <c r="E412" s="156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6"/>
      <c r="AS412" s="156"/>
      <c r="AT412" s="156"/>
      <c r="AW412" s="161"/>
      <c r="AX412" s="161"/>
    </row>
    <row r="413" spans="1:51" ht="14.1" customHeight="1">
      <c r="A413" s="160">
        <v>413</v>
      </c>
      <c r="B413" s="159"/>
      <c r="C413" s="159"/>
      <c r="D413" s="159"/>
      <c r="E413" s="156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6"/>
      <c r="AS413" s="156"/>
      <c r="AT413" s="156"/>
      <c r="AW413" s="161"/>
      <c r="AX413" s="161"/>
    </row>
    <row r="414" spans="1:51" ht="14.1" customHeight="1">
      <c r="A414" s="160">
        <v>414</v>
      </c>
      <c r="B414" s="159"/>
      <c r="C414" s="159"/>
      <c r="D414" s="159"/>
      <c r="E414" s="156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  <c r="AR414" s="156"/>
      <c r="AS414" s="156"/>
      <c r="AT414" s="156"/>
      <c r="AW414" s="161"/>
      <c r="AX414" s="161"/>
    </row>
    <row r="415" spans="1:51" ht="14.1" customHeight="1">
      <c r="A415" s="160">
        <v>415</v>
      </c>
      <c r="B415" s="159"/>
      <c r="C415" s="159"/>
      <c r="D415" s="159"/>
      <c r="E415" s="156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  <c r="AR415" s="156"/>
      <c r="AS415" s="156"/>
      <c r="AT415" s="156"/>
      <c r="AW415" s="161"/>
      <c r="AX415" s="161"/>
    </row>
    <row r="416" spans="1:51" ht="14.1" customHeight="1">
      <c r="A416" s="160">
        <v>416</v>
      </c>
      <c r="B416" s="159"/>
      <c r="C416" s="159"/>
      <c r="D416" s="159"/>
      <c r="E416" s="158" t="s">
        <v>694</v>
      </c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6"/>
      <c r="AS416" s="156"/>
      <c r="AT416" s="156"/>
      <c r="AW416" s="161"/>
      <c r="AX416" s="161"/>
    </row>
    <row r="417" spans="1:50" ht="14.1" customHeight="1">
      <c r="A417" s="160">
        <v>417</v>
      </c>
      <c r="B417" s="159"/>
      <c r="C417" s="159"/>
      <c r="D417" s="159"/>
      <c r="E417" s="158" t="b">
        <f>OR(EXACT("crossfoot error",check))</f>
        <v>0</v>
      </c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  <c r="AR417" s="156"/>
      <c r="AS417" s="156"/>
      <c r="AT417" s="156"/>
      <c r="AW417" s="161"/>
      <c r="AX417" s="161"/>
    </row>
    <row r="418" spans="1:50" ht="14.1" customHeight="1">
      <c r="A418" s="160">
        <v>418</v>
      </c>
      <c r="B418" s="159"/>
      <c r="C418" s="159"/>
      <c r="D418" s="159"/>
      <c r="E418" s="158" t="str">
        <f>IF(E417=TRUE,"Error found at line #" &amp;TEXT(MATCH("crossfoot error",check,0),"0"),"no errors found")</f>
        <v>no errors found</v>
      </c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6"/>
      <c r="AS418" s="156"/>
      <c r="AT418" s="156"/>
      <c r="AW418" s="155"/>
    </row>
  </sheetData>
  <phoneticPr fontId="8" type="noConversion"/>
  <pageMargins left="0.25" right="0.25" top="0.54" bottom="0.5" header="0.17" footer="0.25"/>
  <pageSetup scale="63" fitToWidth="3" fitToHeight="7" pageOrder="overThenDown" orientation="landscape" cellComments="asDisplayed" useFirstPageNumber="1" r:id="rId1"/>
  <headerFooter alignWithMargins="0">
    <oddHeader>&amp;CAVISTA UTILITIES - Washington Jurisdiction
Operations and Maintenance Expenses
for 12-Months Ended December 31, 2018</oddHeader>
    <oddFooter>&amp;LWA 2019 Gas Case\&amp;F&amp;RPage &amp;P of &amp;N</oddFooter>
  </headerFooter>
  <rowBreaks count="6" manualBreakCount="6">
    <brk id="60" max="43" man="1"/>
    <brk id="119" max="43" man="1"/>
    <brk id="178" max="43" man="1"/>
    <brk id="238" max="43" man="1"/>
    <brk id="298" max="43" man="1"/>
    <brk id="358" max="4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theme="5" tint="0.39997558519241921"/>
  </sheetPr>
  <dimension ref="A1:B42"/>
  <sheetViews>
    <sheetView zoomScale="85" zoomScaleNormal="85" workbookViewId="0">
      <selection activeCell="Q38" sqref="Q38"/>
    </sheetView>
  </sheetViews>
  <sheetFormatPr defaultColWidth="9.21875" defaultRowHeight="13.2"/>
  <cols>
    <col min="1" max="1" width="3.77734375" style="220" customWidth="1"/>
    <col min="2" max="16384" width="9.21875" style="218"/>
  </cols>
  <sheetData>
    <row r="1" spans="1:2">
      <c r="A1" s="284" t="s">
        <v>980</v>
      </c>
    </row>
    <row r="2" spans="1:2">
      <c r="A2" s="283" t="s">
        <v>968</v>
      </c>
      <c r="B2" s="218" t="s">
        <v>1130</v>
      </c>
    </row>
    <row r="3" spans="1:2">
      <c r="B3" s="218" t="s">
        <v>992</v>
      </c>
    </row>
    <row r="4" spans="1:2">
      <c r="B4" s="218" t="s">
        <v>991</v>
      </c>
    </row>
    <row r="5" spans="1:2">
      <c r="B5" s="218" t="s">
        <v>990</v>
      </c>
    </row>
    <row r="7" spans="1:2">
      <c r="A7" s="283" t="s">
        <v>968</v>
      </c>
      <c r="B7" s="218" t="s">
        <v>1131</v>
      </c>
    </row>
    <row r="8" spans="1:2">
      <c r="A8" s="283"/>
    </row>
    <row r="9" spans="1:2">
      <c r="A9" s="283" t="s">
        <v>968</v>
      </c>
      <c r="B9" s="218" t="s">
        <v>1132</v>
      </c>
    </row>
    <row r="10" spans="1:2">
      <c r="A10" s="283"/>
    </row>
    <row r="11" spans="1:2">
      <c r="A11" s="283" t="s">
        <v>968</v>
      </c>
      <c r="B11" s="218" t="s">
        <v>989</v>
      </c>
    </row>
    <row r="12" spans="1:2">
      <c r="B12" s="218" t="s">
        <v>988</v>
      </c>
    </row>
    <row r="13" spans="1:2">
      <c r="A13" s="284" t="s">
        <v>987</v>
      </c>
    </row>
    <row r="14" spans="1:2">
      <c r="A14" s="283" t="s">
        <v>968</v>
      </c>
      <c r="B14" s="218" t="s">
        <v>986</v>
      </c>
    </row>
    <row r="15" spans="1:2">
      <c r="A15" s="283"/>
      <c r="B15" s="218" t="s">
        <v>985</v>
      </c>
    </row>
    <row r="16" spans="1:2">
      <c r="A16" s="283"/>
      <c r="B16" s="218" t="s">
        <v>984</v>
      </c>
    </row>
    <row r="17" spans="1:2">
      <c r="A17" s="283"/>
      <c r="B17" s="218" t="s">
        <v>983</v>
      </c>
    </row>
    <row r="18" spans="1:2">
      <c r="A18" s="283"/>
      <c r="B18" s="218" t="s">
        <v>982</v>
      </c>
    </row>
    <row r="19" spans="1:2">
      <c r="A19" s="283"/>
      <c r="B19" s="218" t="s">
        <v>981</v>
      </c>
    </row>
    <row r="20" spans="1:2">
      <c r="A20" s="284" t="s">
        <v>980</v>
      </c>
    </row>
    <row r="21" spans="1:2">
      <c r="A21" s="283" t="s">
        <v>968</v>
      </c>
      <c r="B21" s="218" t="s">
        <v>1133</v>
      </c>
    </row>
    <row r="22" spans="1:2">
      <c r="A22" s="284"/>
      <c r="B22" s="218" t="s">
        <v>979</v>
      </c>
    </row>
    <row r="23" spans="1:2">
      <c r="A23" s="284"/>
      <c r="B23" s="218" t="s">
        <v>1134</v>
      </c>
    </row>
    <row r="24" spans="1:2">
      <c r="A24" s="284"/>
    </row>
    <row r="25" spans="1:2">
      <c r="A25" s="283" t="s">
        <v>968</v>
      </c>
      <c r="B25" s="218" t="str">
        <f>"Once all of this is complete, the pro-forma Firm Peak Day usage is available for each state (row "&amp;ROW('Demand - Firm Peak'!A23)&amp;" and row "&amp;ROW('Demand - Firm Peak'!82:82)&amp;" of the"</f>
        <v>Once all of this is complete, the pro-forma Firm Peak Day usage is available for each state (row 23 and row 82 of the</v>
      </c>
    </row>
    <row r="26" spans="1:2">
      <c r="A26" s="284"/>
      <c r="B26" s="285" t="s">
        <v>978</v>
      </c>
    </row>
    <row r="27" spans="1:2">
      <c r="A27" s="284" t="s">
        <v>977</v>
      </c>
    </row>
    <row r="28" spans="1:2">
      <c r="A28" s="283" t="s">
        <v>968</v>
      </c>
      <c r="B28" s="218" t="s">
        <v>976</v>
      </c>
    </row>
    <row r="29" spans="1:2">
      <c r="B29" s="218" t="s">
        <v>975</v>
      </c>
    </row>
    <row r="30" spans="1:2">
      <c r="B30" s="218" t="s">
        <v>974</v>
      </c>
    </row>
    <row r="32" spans="1:2">
      <c r="A32" s="283" t="s">
        <v>968</v>
      </c>
      <c r="B32" s="218" t="s">
        <v>973</v>
      </c>
    </row>
    <row r="33" spans="1:2">
      <c r="B33" s="218" t="s">
        <v>972</v>
      </c>
    </row>
    <row r="34" spans="1:2">
      <c r="B34" s="218" t="s">
        <v>971</v>
      </c>
    </row>
    <row r="36" spans="1:2">
      <c r="A36" s="283" t="s">
        <v>968</v>
      </c>
      <c r="B36" s="218" t="s">
        <v>970</v>
      </c>
    </row>
    <row r="37" spans="1:2">
      <c r="A37" s="284" t="s">
        <v>969</v>
      </c>
    </row>
    <row r="38" spans="1:2">
      <c r="A38" s="283" t="s">
        <v>968</v>
      </c>
      <c r="B38" s="218" t="s">
        <v>967</v>
      </c>
    </row>
    <row r="39" spans="1:2">
      <c r="B39" s="218" t="s">
        <v>966</v>
      </c>
    </row>
    <row r="40" spans="1:2">
      <c r="B40" s="218" t="s">
        <v>965</v>
      </c>
    </row>
    <row r="41" spans="1:2">
      <c r="B41" s="218" t="s">
        <v>964</v>
      </c>
    </row>
    <row r="42" spans="1:2">
      <c r="B42" s="218" t="s">
        <v>963</v>
      </c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theme="5" tint="0.39997558519241921"/>
  </sheetPr>
  <dimension ref="A1:BH322"/>
  <sheetViews>
    <sheetView zoomScale="75" zoomScaleNormal="75" workbookViewId="0">
      <pane ySplit="1" topLeftCell="A2" activePane="bottomLeft" state="frozen"/>
      <selection activeCell="N53" sqref="N53"/>
      <selection pane="bottomLeft" activeCell="AI16" sqref="AI16"/>
    </sheetView>
  </sheetViews>
  <sheetFormatPr defaultColWidth="9.21875" defaultRowHeight="13.2"/>
  <cols>
    <col min="1" max="1" width="15" style="218" customWidth="1"/>
    <col min="2" max="2" width="14.5546875" style="218" customWidth="1"/>
    <col min="3" max="3" width="15.77734375" style="218" customWidth="1"/>
    <col min="4" max="4" width="9.21875" style="218"/>
    <col min="5" max="5" width="7.77734375" style="218" customWidth="1"/>
    <col min="6" max="6" width="10.21875" style="218" customWidth="1"/>
    <col min="7" max="9" width="9.21875" style="218" hidden="1" customWidth="1"/>
    <col min="10" max="10" width="8.5546875" style="218" hidden="1" customWidth="1"/>
    <col min="11" max="11" width="11.21875" style="218" hidden="1" customWidth="1"/>
    <col min="12" max="14" width="9.21875" style="218" hidden="1" customWidth="1"/>
    <col min="15" max="16" width="13.77734375" style="218" hidden="1" customWidth="1"/>
    <col min="17" max="19" width="0" style="218" hidden="1" customWidth="1"/>
    <col min="20" max="21" width="13.77734375" style="218" hidden="1" customWidth="1"/>
    <col min="22" max="30" width="13.77734375" style="218" customWidth="1"/>
    <col min="31" max="34" width="13.77734375" style="222" customWidth="1"/>
    <col min="35" max="35" width="13.77734375" style="218" customWidth="1"/>
    <col min="36" max="36" width="7.5546875" style="222" bestFit="1" customWidth="1"/>
    <col min="37" max="40" width="13.77734375" style="222" customWidth="1"/>
    <col min="41" max="41" width="9.21875" style="218"/>
    <col min="42" max="42" width="12.77734375" style="218" customWidth="1"/>
    <col min="43" max="43" width="11" style="218" customWidth="1"/>
    <col min="44" max="44" width="10.77734375" style="218" customWidth="1"/>
    <col min="45" max="45" width="11.21875" style="218" customWidth="1"/>
    <col min="46" max="49" width="9.21875" style="218"/>
    <col min="50" max="50" width="9.77734375" style="218" customWidth="1"/>
    <col min="51" max="55" width="9.21875" style="218"/>
    <col min="56" max="56" width="12" style="218" bestFit="1" customWidth="1"/>
    <col min="57" max="57" width="9.21875" style="218"/>
    <col min="58" max="58" width="14.77734375" style="218" bestFit="1" customWidth="1"/>
    <col min="59" max="16384" width="9.21875" style="218"/>
  </cols>
  <sheetData>
    <row r="1" spans="1:60" ht="13.8">
      <c r="A1" s="288" t="s">
        <v>1008</v>
      </c>
    </row>
    <row r="2" spans="1:60" ht="13.8">
      <c r="A2" s="288"/>
    </row>
    <row r="3" spans="1:60" ht="13.8">
      <c r="A3" s="288" t="s">
        <v>1007</v>
      </c>
      <c r="BG3" s="222"/>
      <c r="BH3" s="286"/>
    </row>
    <row r="4" spans="1:60" ht="13.8" thickBot="1">
      <c r="BG4" s="222"/>
      <c r="BH4" s="286"/>
    </row>
    <row r="5" spans="1:60">
      <c r="A5" s="313" t="s">
        <v>1004</v>
      </c>
      <c r="B5" s="312" t="s">
        <v>1003</v>
      </c>
      <c r="C5" s="311" t="s">
        <v>1002</v>
      </c>
      <c r="BG5" s="222"/>
      <c r="BH5" s="286"/>
    </row>
    <row r="6" spans="1:60">
      <c r="A6" s="308">
        <v>41671</v>
      </c>
      <c r="B6" s="511">
        <v>53414</v>
      </c>
      <c r="C6" s="307">
        <f>B6/H16</f>
        <v>1907.6428571428571</v>
      </c>
      <c r="BG6" s="222"/>
      <c r="BH6" s="286"/>
    </row>
    <row r="7" spans="1:60">
      <c r="A7" s="308">
        <v>42005</v>
      </c>
      <c r="B7" s="511">
        <v>52243</v>
      </c>
      <c r="C7" s="307">
        <f>B7/M16</f>
        <v>1685.258064516129</v>
      </c>
      <c r="BG7" s="222"/>
      <c r="BH7" s="286"/>
    </row>
    <row r="8" spans="1:60" ht="13.8" thickBot="1">
      <c r="A8" s="306">
        <v>42370</v>
      </c>
      <c r="B8" s="512">
        <v>46172</v>
      </c>
      <c r="C8" s="305">
        <f>B8/R16</f>
        <v>1489.4193548387098</v>
      </c>
      <c r="BG8" s="222"/>
      <c r="BH8" s="286"/>
    </row>
    <row r="9" spans="1:60">
      <c r="A9" s="223"/>
      <c r="B9" s="223"/>
      <c r="C9" s="223"/>
      <c r="BG9" s="222"/>
      <c r="BH9" s="286"/>
    </row>
    <row r="10" spans="1:60">
      <c r="BG10" s="222"/>
      <c r="BH10" s="286"/>
    </row>
    <row r="11" spans="1:60">
      <c r="BG11" s="222"/>
      <c r="BH11" s="286"/>
    </row>
    <row r="12" spans="1:60" ht="13.8">
      <c r="A12" s="288" t="s">
        <v>1006</v>
      </c>
      <c r="F12" s="224"/>
      <c r="K12" s="224"/>
      <c r="AV12" s="299"/>
      <c r="AW12" s="299"/>
      <c r="AX12" s="299"/>
      <c r="AY12" s="299">
        <f>RSQ(AN15:AN52,AO15:AO52)</f>
        <v>0.95237343123772344</v>
      </c>
    </row>
    <row r="13" spans="1:60">
      <c r="A13" s="298" t="s">
        <v>1005</v>
      </c>
      <c r="F13" s="224"/>
      <c r="K13" s="224"/>
      <c r="AW13" s="298" t="s">
        <v>1005</v>
      </c>
      <c r="AY13" s="218">
        <f>CORREL(AN15:AN52,AO15:AO52)</f>
        <v>0.97589621950170657</v>
      </c>
    </row>
    <row r="14" spans="1:60">
      <c r="A14" s="284"/>
      <c r="B14" s="304" t="s">
        <v>1124</v>
      </c>
      <c r="C14" s="284"/>
      <c r="D14" s="284"/>
      <c r="E14" s="284"/>
      <c r="F14" s="513"/>
      <c r="G14" s="304" t="s">
        <v>1172</v>
      </c>
      <c r="H14" s="284"/>
      <c r="I14" s="284"/>
      <c r="J14" s="284"/>
      <c r="L14" s="304" t="s">
        <v>1180</v>
      </c>
      <c r="M14" s="284"/>
      <c r="N14" s="284"/>
      <c r="O14" s="284"/>
      <c r="P14" s="284"/>
      <c r="Q14" s="304" t="s">
        <v>1199</v>
      </c>
      <c r="R14" s="284"/>
      <c r="S14" s="284"/>
      <c r="T14" s="284"/>
      <c r="U14" s="284"/>
      <c r="V14" s="304" t="s">
        <v>1209</v>
      </c>
      <c r="W14" s="284"/>
      <c r="X14" s="284"/>
      <c r="Y14" s="284"/>
      <c r="Z14" s="284"/>
      <c r="AA14" s="304" t="s">
        <v>1210</v>
      </c>
      <c r="AB14" s="284"/>
      <c r="AC14" s="284"/>
      <c r="AD14" s="284"/>
      <c r="AE14" s="513"/>
      <c r="AF14" s="304" t="s">
        <v>1343</v>
      </c>
      <c r="AG14" s="284"/>
      <c r="AH14" s="284"/>
      <c r="AI14" s="284"/>
      <c r="AJ14" s="218"/>
      <c r="AK14" s="218"/>
      <c r="AL14" s="218"/>
      <c r="AM14" s="296" t="s">
        <v>995</v>
      </c>
      <c r="AN14" s="295" t="s">
        <v>994</v>
      </c>
      <c r="AO14" s="295" t="s">
        <v>993</v>
      </c>
    </row>
    <row r="15" spans="1:60">
      <c r="A15" s="302"/>
      <c r="B15" s="302" t="s">
        <v>1001</v>
      </c>
      <c r="C15" s="302" t="s">
        <v>1000</v>
      </c>
      <c r="D15" s="302" t="s">
        <v>999</v>
      </c>
      <c r="E15" s="302" t="s">
        <v>993</v>
      </c>
      <c r="F15" s="514"/>
      <c r="G15" s="302" t="s">
        <v>1001</v>
      </c>
      <c r="H15" s="302" t="s">
        <v>1000</v>
      </c>
      <c r="I15" s="302" t="s">
        <v>999</v>
      </c>
      <c r="J15" s="302" t="s">
        <v>993</v>
      </c>
      <c r="L15" s="302" t="s">
        <v>1001</v>
      </c>
      <c r="M15" s="302" t="s">
        <v>1000</v>
      </c>
      <c r="N15" s="302" t="s">
        <v>999</v>
      </c>
      <c r="O15" s="302" t="s">
        <v>993</v>
      </c>
      <c r="P15" s="302"/>
      <c r="Q15" s="302" t="s">
        <v>1001</v>
      </c>
      <c r="R15" s="302" t="s">
        <v>1000</v>
      </c>
      <c r="S15" s="302" t="s">
        <v>999</v>
      </c>
      <c r="T15" s="302" t="s">
        <v>993</v>
      </c>
      <c r="U15" s="302"/>
      <c r="V15" s="302" t="s">
        <v>1001</v>
      </c>
      <c r="W15" s="302" t="s">
        <v>1000</v>
      </c>
      <c r="X15" s="302" t="s">
        <v>999</v>
      </c>
      <c r="Y15" s="302" t="s">
        <v>993</v>
      </c>
      <c r="Z15" s="302"/>
      <c r="AA15" s="302" t="s">
        <v>1001</v>
      </c>
      <c r="AB15" s="302" t="s">
        <v>1000</v>
      </c>
      <c r="AC15" s="302" t="s">
        <v>999</v>
      </c>
      <c r="AD15" s="302" t="s">
        <v>993</v>
      </c>
      <c r="AE15" s="514"/>
      <c r="AF15" s="302" t="s">
        <v>1001</v>
      </c>
      <c r="AG15" s="302" t="s">
        <v>1000</v>
      </c>
      <c r="AH15" s="302" t="s">
        <v>999</v>
      </c>
      <c r="AI15" s="302" t="s">
        <v>993</v>
      </c>
      <c r="AJ15" s="218"/>
      <c r="AK15" s="218"/>
      <c r="AL15" s="218"/>
      <c r="AM15" s="287"/>
      <c r="AN15" s="222">
        <v>1015</v>
      </c>
      <c r="AO15" s="286">
        <v>44438</v>
      </c>
    </row>
    <row r="16" spans="1:60">
      <c r="A16" s="144"/>
      <c r="B16" s="301">
        <v>41305</v>
      </c>
      <c r="C16" s="144">
        <v>31</v>
      </c>
      <c r="D16" s="300">
        <v>1243</v>
      </c>
      <c r="E16" s="144">
        <v>63853</v>
      </c>
      <c r="F16" s="144"/>
      <c r="G16" s="301">
        <v>41698</v>
      </c>
      <c r="H16" s="144">
        <v>28</v>
      </c>
      <c r="I16" s="300">
        <v>1085</v>
      </c>
      <c r="J16" s="144">
        <v>53414</v>
      </c>
      <c r="L16" s="301">
        <v>42038</v>
      </c>
      <c r="M16" s="144">
        <v>31</v>
      </c>
      <c r="N16" s="300">
        <v>1049</v>
      </c>
      <c r="O16" s="144">
        <v>52243</v>
      </c>
      <c r="P16" s="144"/>
      <c r="Q16" s="301">
        <v>42400</v>
      </c>
      <c r="R16" s="144">
        <v>31</v>
      </c>
      <c r="S16" s="300">
        <v>1080</v>
      </c>
      <c r="T16" s="144">
        <v>46172</v>
      </c>
      <c r="U16" s="144"/>
      <c r="V16" s="301">
        <v>42766</v>
      </c>
      <c r="W16" s="144">
        <v>31</v>
      </c>
      <c r="X16" s="300">
        <v>1379</v>
      </c>
      <c r="Y16" s="300">
        <v>57753</v>
      </c>
      <c r="Z16" s="300"/>
      <c r="AA16" s="301">
        <v>43159</v>
      </c>
      <c r="AB16" s="144">
        <v>28</v>
      </c>
      <c r="AC16" s="300">
        <v>968</v>
      </c>
      <c r="AD16" s="300">
        <v>52612</v>
      </c>
      <c r="AE16" s="300"/>
      <c r="AF16" s="301">
        <v>43524</v>
      </c>
      <c r="AG16" s="144">
        <v>28</v>
      </c>
      <c r="AH16" s="300">
        <v>1218</v>
      </c>
      <c r="AI16" s="300">
        <v>55183</v>
      </c>
      <c r="AJ16" s="218"/>
      <c r="AK16" s="218"/>
      <c r="AL16" s="218"/>
      <c r="AM16" s="218"/>
      <c r="AN16" s="222">
        <v>1059</v>
      </c>
      <c r="AO16" s="286">
        <v>47815</v>
      </c>
    </row>
    <row r="17" spans="1:41">
      <c r="A17" s="287"/>
      <c r="C17" s="287"/>
      <c r="D17" s="297"/>
      <c r="E17" s="287">
        <f>E16/C16</f>
        <v>2059.7741935483873</v>
      </c>
      <c r="F17" s="286"/>
      <c r="H17" s="287"/>
      <c r="I17" s="297"/>
      <c r="J17" s="287">
        <f>J16/H16</f>
        <v>1907.6428571428571</v>
      </c>
      <c r="M17" s="287"/>
      <c r="N17" s="297"/>
      <c r="O17" s="287">
        <f>O16/M16</f>
        <v>1685.258064516129</v>
      </c>
      <c r="P17" s="287"/>
      <c r="R17" s="287"/>
      <c r="S17" s="297"/>
      <c r="T17" s="287">
        <f>T16/R16</f>
        <v>1489.4193548387098</v>
      </c>
      <c r="U17" s="287"/>
      <c r="W17" s="287"/>
      <c r="X17" s="297"/>
      <c r="Y17" s="287">
        <f>Y16/W16</f>
        <v>1863</v>
      </c>
      <c r="Z17" s="287"/>
      <c r="AB17" s="287"/>
      <c r="AC17" s="297"/>
      <c r="AD17" s="287">
        <f>AD16/AB16</f>
        <v>1879</v>
      </c>
      <c r="AE17" s="286"/>
      <c r="AF17" s="218"/>
      <c r="AG17" s="287"/>
      <c r="AH17" s="297"/>
      <c r="AI17" s="287">
        <f>AI16/AG16</f>
        <v>1970.8214285714287</v>
      </c>
      <c r="AJ17" s="218"/>
      <c r="AK17" s="218"/>
      <c r="AL17" s="218"/>
      <c r="AM17" s="218"/>
      <c r="AN17" s="222">
        <v>953</v>
      </c>
      <c r="AO17" s="286">
        <v>46644</v>
      </c>
    </row>
    <row r="18" spans="1:41">
      <c r="A18" s="287"/>
      <c r="C18" s="287"/>
      <c r="D18" s="297"/>
      <c r="E18" s="287">
        <f>E17*5</f>
        <v>10298.870967741936</v>
      </c>
      <c r="F18" s="286"/>
      <c r="H18" s="287"/>
      <c r="I18" s="297"/>
      <c r="J18" s="287">
        <f>J17*5</f>
        <v>9538.2142857142862</v>
      </c>
      <c r="M18" s="287"/>
      <c r="N18" s="297"/>
      <c r="O18" s="287">
        <f>O17*5</f>
        <v>8426.2903225806458</v>
      </c>
      <c r="P18" s="287"/>
      <c r="R18" s="287"/>
      <c r="S18" s="297"/>
      <c r="T18" s="287">
        <f>T17*5</f>
        <v>7447.0967741935492</v>
      </c>
      <c r="U18" s="287"/>
      <c r="W18" s="287"/>
      <c r="X18" s="297"/>
      <c r="Y18" s="287">
        <f>Y17*5</f>
        <v>9315</v>
      </c>
      <c r="Z18" s="287"/>
      <c r="AB18" s="287"/>
      <c r="AC18" s="297"/>
      <c r="AD18" s="287">
        <f>AD17*5</f>
        <v>9395</v>
      </c>
      <c r="AE18" s="286"/>
      <c r="AF18" s="218"/>
      <c r="AG18" s="287"/>
      <c r="AH18" s="297"/>
      <c r="AI18" s="287">
        <f>AI17*5</f>
        <v>9854.1071428571431</v>
      </c>
      <c r="AJ18" s="218"/>
      <c r="AK18" s="218"/>
      <c r="AL18" s="218"/>
      <c r="AM18" s="218"/>
      <c r="AN18" s="222">
        <v>445</v>
      </c>
      <c r="AO18" s="286">
        <v>20801</v>
      </c>
    </row>
    <row r="19" spans="1:41">
      <c r="A19" s="290"/>
      <c r="B19" s="292"/>
      <c r="C19" s="291"/>
      <c r="D19" s="294"/>
      <c r="E19" s="290"/>
      <c r="F19" s="290"/>
      <c r="G19" s="292"/>
      <c r="H19" s="291"/>
      <c r="I19" s="294"/>
      <c r="J19" s="290"/>
      <c r="L19" s="292"/>
      <c r="M19" s="291"/>
      <c r="N19" s="294"/>
      <c r="O19" s="290"/>
      <c r="P19" s="290"/>
      <c r="Q19" s="292"/>
      <c r="R19" s="291"/>
      <c r="S19" s="294"/>
      <c r="T19" s="290"/>
      <c r="U19" s="290"/>
      <c r="V19" s="292"/>
      <c r="W19" s="291"/>
      <c r="X19" s="294"/>
      <c r="Y19" s="290"/>
      <c r="Z19" s="290"/>
      <c r="AA19" s="292"/>
      <c r="AB19" s="291"/>
      <c r="AC19" s="294"/>
      <c r="AD19" s="290"/>
      <c r="AE19" s="290"/>
      <c r="AF19" s="292"/>
      <c r="AG19" s="291"/>
      <c r="AH19" s="294"/>
      <c r="AI19" s="290"/>
      <c r="AJ19" s="218"/>
      <c r="AK19" s="218"/>
      <c r="AL19" s="218"/>
      <c r="AM19" s="218"/>
      <c r="AN19" s="222">
        <v>84</v>
      </c>
      <c r="AO19" s="286">
        <v>7845</v>
      </c>
    </row>
    <row r="20" spans="1:41">
      <c r="A20" s="287"/>
      <c r="B20" s="310"/>
      <c r="C20" s="303"/>
      <c r="D20" s="297"/>
      <c r="E20" s="287"/>
      <c r="F20" s="286"/>
      <c r="G20" s="310"/>
      <c r="H20" s="303"/>
      <c r="I20" s="297"/>
      <c r="J20" s="287"/>
      <c r="L20" s="310"/>
      <c r="M20" s="303"/>
      <c r="N20" s="297"/>
      <c r="O20" s="287"/>
      <c r="P20" s="287"/>
      <c r="Q20" s="310"/>
      <c r="R20" s="303"/>
      <c r="S20" s="297"/>
      <c r="T20" s="287"/>
      <c r="U20" s="287"/>
      <c r="V20" s="310"/>
      <c r="W20" s="303"/>
      <c r="X20" s="297"/>
      <c r="Y20" s="287"/>
      <c r="Z20" s="287"/>
      <c r="AA20" s="310"/>
      <c r="AB20" s="303"/>
      <c r="AC20" s="297"/>
      <c r="AD20" s="287"/>
      <c r="AE20" s="286"/>
      <c r="AF20" s="310"/>
      <c r="AG20" s="303"/>
      <c r="AH20" s="297"/>
      <c r="AI20" s="287"/>
      <c r="AJ20" s="218"/>
      <c r="AK20" s="218"/>
      <c r="AL20" s="218"/>
      <c r="AM20" s="287"/>
      <c r="AN20" s="222">
        <v>3</v>
      </c>
      <c r="AO20" s="286">
        <v>4826</v>
      </c>
    </row>
    <row r="21" spans="1:41">
      <c r="A21" s="287"/>
      <c r="B21" s="310"/>
      <c r="C21" s="303"/>
      <c r="D21" s="297"/>
      <c r="E21" s="287"/>
      <c r="F21" s="286"/>
      <c r="G21" s="310"/>
      <c r="H21" s="303"/>
      <c r="I21" s="297"/>
      <c r="J21" s="287"/>
      <c r="L21" s="310"/>
      <c r="M21" s="303"/>
      <c r="N21" s="297"/>
      <c r="O21" s="287"/>
      <c r="P21" s="287"/>
      <c r="Q21" s="310"/>
      <c r="R21" s="303"/>
      <c r="S21" s="297"/>
      <c r="T21" s="287"/>
      <c r="U21" s="287"/>
      <c r="V21" s="310"/>
      <c r="W21" s="303"/>
      <c r="X21" s="297"/>
      <c r="Y21" s="287"/>
      <c r="Z21" s="287"/>
      <c r="AA21" s="310"/>
      <c r="AB21" s="303"/>
      <c r="AC21" s="297"/>
      <c r="AD21" s="287"/>
      <c r="AE21" s="286"/>
      <c r="AF21" s="310"/>
      <c r="AG21" s="303"/>
      <c r="AH21" s="297"/>
      <c r="AI21" s="287"/>
      <c r="AJ21" s="218"/>
      <c r="AK21" s="218"/>
      <c r="AL21" s="218"/>
      <c r="AM21" s="287"/>
      <c r="AN21" s="222">
        <v>59</v>
      </c>
      <c r="AO21" s="286">
        <v>6921</v>
      </c>
    </row>
    <row r="22" spans="1:41">
      <c r="A22" s="287"/>
      <c r="B22" s="310"/>
      <c r="C22" s="303"/>
      <c r="D22" s="297"/>
      <c r="E22" s="287"/>
      <c r="F22" s="286"/>
      <c r="G22" s="310"/>
      <c r="H22" s="303"/>
      <c r="I22" s="297"/>
      <c r="J22" s="287"/>
      <c r="L22" s="310"/>
      <c r="M22" s="303"/>
      <c r="N22" s="297"/>
      <c r="O22" s="287"/>
      <c r="P22" s="287"/>
      <c r="Q22" s="310"/>
      <c r="R22" s="303"/>
      <c r="S22" s="297"/>
      <c r="T22" s="287"/>
      <c r="U22" s="287"/>
      <c r="V22" s="310"/>
      <c r="W22" s="303"/>
      <c r="X22" s="297"/>
      <c r="Y22" s="287"/>
      <c r="Z22" s="287"/>
      <c r="AA22" s="310"/>
      <c r="AB22" s="303"/>
      <c r="AC22" s="297"/>
      <c r="AD22" s="287"/>
      <c r="AE22" s="286"/>
      <c r="AF22" s="310"/>
      <c r="AG22" s="303"/>
      <c r="AH22" s="297"/>
      <c r="AI22" s="287"/>
      <c r="AJ22" s="218"/>
      <c r="AK22" s="218"/>
      <c r="AL22" s="218"/>
      <c r="AM22" s="287"/>
      <c r="AN22" s="222">
        <v>277</v>
      </c>
      <c r="AO22" s="286">
        <v>18373</v>
      </c>
    </row>
    <row r="23" spans="1:41">
      <c r="A23" s="287"/>
      <c r="B23" s="310"/>
      <c r="C23" s="303"/>
      <c r="D23" s="297"/>
      <c r="E23" s="287"/>
      <c r="F23" s="286"/>
      <c r="G23" s="310"/>
      <c r="H23" s="303"/>
      <c r="I23" s="297"/>
      <c r="J23" s="287"/>
      <c r="L23" s="310"/>
      <c r="M23" s="303"/>
      <c r="N23" s="297"/>
      <c r="O23" s="287"/>
      <c r="P23" s="287"/>
      <c r="Q23" s="310"/>
      <c r="R23" s="303"/>
      <c r="S23" s="297"/>
      <c r="T23" s="287"/>
      <c r="U23" s="287"/>
      <c r="V23" s="310"/>
      <c r="W23" s="303"/>
      <c r="X23" s="297"/>
      <c r="Y23" s="287"/>
      <c r="Z23" s="287"/>
      <c r="AA23" s="310"/>
      <c r="AB23" s="303"/>
      <c r="AC23" s="297"/>
      <c r="AD23" s="287"/>
      <c r="AE23" s="286"/>
      <c r="AF23" s="310"/>
      <c r="AG23" s="303"/>
      <c r="AH23" s="297"/>
      <c r="AI23" s="287"/>
      <c r="AJ23" s="218"/>
      <c r="AK23" s="218"/>
      <c r="AL23" s="218"/>
      <c r="AM23" s="287"/>
      <c r="AN23" s="222">
        <v>456</v>
      </c>
      <c r="AO23" s="286">
        <v>17594</v>
      </c>
    </row>
    <row r="24" spans="1:41">
      <c r="A24" s="287"/>
      <c r="B24" s="310"/>
      <c r="C24" s="303"/>
      <c r="D24" s="297"/>
      <c r="E24" s="287"/>
      <c r="F24" s="286"/>
      <c r="G24" s="310"/>
      <c r="H24" s="303"/>
      <c r="I24" s="297"/>
      <c r="J24" s="287"/>
      <c r="L24" s="310"/>
      <c r="M24" s="303"/>
      <c r="N24" s="297"/>
      <c r="O24" s="287"/>
      <c r="P24" s="287"/>
      <c r="Q24" s="310"/>
      <c r="R24" s="303"/>
      <c r="S24" s="297"/>
      <c r="T24" s="287"/>
      <c r="U24" s="287"/>
      <c r="V24" s="310"/>
      <c r="W24" s="303"/>
      <c r="X24" s="297"/>
      <c r="Y24" s="287"/>
      <c r="Z24" s="287"/>
      <c r="AA24" s="310"/>
      <c r="AB24" s="303"/>
      <c r="AC24" s="297"/>
      <c r="AD24" s="287"/>
      <c r="AE24" s="286"/>
      <c r="AF24" s="310"/>
      <c r="AG24" s="303"/>
      <c r="AH24" s="297"/>
      <c r="AI24" s="287"/>
      <c r="AJ24" s="218"/>
      <c r="AK24" s="218"/>
      <c r="AL24" s="218"/>
      <c r="AM24" s="287"/>
      <c r="AN24" s="222">
        <v>680</v>
      </c>
      <c r="AO24" s="286">
        <v>33627</v>
      </c>
    </row>
    <row r="25" spans="1:41">
      <c r="A25" s="287"/>
      <c r="B25" s="446"/>
      <c r="C25" s="303"/>
      <c r="D25" s="297"/>
      <c r="E25" s="287"/>
      <c r="F25" s="286"/>
      <c r="G25" s="446"/>
      <c r="H25" s="303"/>
      <c r="I25" s="297"/>
      <c r="J25" s="287"/>
      <c r="L25" s="446"/>
      <c r="M25" s="303"/>
      <c r="N25" s="297"/>
      <c r="O25" s="287"/>
      <c r="P25" s="287"/>
      <c r="Q25" s="310"/>
      <c r="R25" s="303"/>
      <c r="S25" s="297"/>
      <c r="T25" s="287"/>
      <c r="U25" s="287"/>
      <c r="V25" s="310"/>
      <c r="W25" s="303"/>
      <c r="X25" s="297"/>
      <c r="Y25" s="287"/>
      <c r="Z25" s="287"/>
      <c r="AA25" s="310"/>
      <c r="AB25" s="303"/>
      <c r="AC25" s="297"/>
      <c r="AD25" s="287"/>
      <c r="AE25" s="286"/>
      <c r="AF25" s="310"/>
      <c r="AG25" s="303"/>
      <c r="AH25" s="297"/>
      <c r="AI25" s="287"/>
      <c r="AJ25" s="218"/>
      <c r="AK25" s="218"/>
      <c r="AL25" s="218"/>
      <c r="AM25" s="287"/>
      <c r="AN25" s="222">
        <v>830</v>
      </c>
      <c r="AO25" s="286">
        <v>46867</v>
      </c>
    </row>
    <row r="26" spans="1:41">
      <c r="A26" s="287"/>
      <c r="B26" s="446">
        <v>41275</v>
      </c>
      <c r="C26" s="303">
        <v>48</v>
      </c>
      <c r="D26" s="297"/>
      <c r="E26" s="287"/>
      <c r="F26" s="286"/>
      <c r="G26" s="446">
        <v>41671</v>
      </c>
      <c r="H26" s="303">
        <v>52</v>
      </c>
      <c r="I26" s="297"/>
      <c r="J26" s="287"/>
      <c r="L26" s="447">
        <v>42005</v>
      </c>
      <c r="M26" s="303">
        <v>51</v>
      </c>
      <c r="N26" s="451">
        <f>M26/$N$16</f>
        <v>4.8617731172545281E-2</v>
      </c>
      <c r="O26" s="583">
        <f>N26*$O$16</f>
        <v>2539.936129647283</v>
      </c>
      <c r="P26" s="452"/>
      <c r="Q26" s="573">
        <v>42368</v>
      </c>
      <c r="R26" s="144">
        <v>45</v>
      </c>
      <c r="S26" s="451">
        <f>R26/$S$16</f>
        <v>4.1666666666666664E-2</v>
      </c>
      <c r="T26" s="583">
        <f>S26*$O$16</f>
        <v>2176.7916666666665</v>
      </c>
      <c r="U26" s="452"/>
      <c r="V26" s="582">
        <v>42736</v>
      </c>
      <c r="W26" s="144">
        <v>42</v>
      </c>
      <c r="AA26" s="582">
        <v>43132</v>
      </c>
      <c r="AB26" s="144">
        <v>30</v>
      </c>
      <c r="AF26" s="582">
        <v>43132</v>
      </c>
      <c r="AG26" s="144">
        <v>33</v>
      </c>
      <c r="AH26" s="218"/>
      <c r="AJ26" s="218"/>
      <c r="AK26" s="218"/>
      <c r="AL26" s="218"/>
      <c r="AM26" s="287"/>
      <c r="AN26" s="222">
        <v>973</v>
      </c>
      <c r="AO26" s="286">
        <v>52249</v>
      </c>
    </row>
    <row r="27" spans="1:41">
      <c r="A27" s="222"/>
      <c r="B27" s="446">
        <v>41276</v>
      </c>
      <c r="C27" s="144">
        <v>47</v>
      </c>
      <c r="D27" s="286"/>
      <c r="E27" s="222"/>
      <c r="F27" s="222"/>
      <c r="G27" s="446">
        <v>41672</v>
      </c>
      <c r="H27" s="144">
        <v>40</v>
      </c>
      <c r="I27" s="286"/>
      <c r="J27" s="222"/>
      <c r="L27" s="448">
        <v>42006</v>
      </c>
      <c r="M27" s="144">
        <v>44</v>
      </c>
      <c r="N27" s="451">
        <f>M27/$N$16</f>
        <v>4.1944709246901808E-2</v>
      </c>
      <c r="O27" s="583">
        <f>N27*$O$16</f>
        <v>2191.3174451858913</v>
      </c>
      <c r="P27" s="452"/>
      <c r="Q27" s="574">
        <v>42369</v>
      </c>
      <c r="R27" s="144">
        <v>52</v>
      </c>
      <c r="S27" s="451">
        <f>R27/$S$16</f>
        <v>4.8148148148148148E-2</v>
      </c>
      <c r="T27" s="583">
        <f>S27*$O$16</f>
        <v>2515.4037037037037</v>
      </c>
      <c r="U27" s="452"/>
      <c r="V27" s="582">
        <v>42737</v>
      </c>
      <c r="W27" s="144">
        <v>49</v>
      </c>
      <c r="AA27" s="582">
        <v>43133</v>
      </c>
      <c r="AB27" s="144">
        <v>27</v>
      </c>
      <c r="AF27" s="582">
        <v>43133</v>
      </c>
      <c r="AG27" s="144">
        <v>27</v>
      </c>
      <c r="AH27" s="218"/>
      <c r="AJ27" s="218"/>
      <c r="AK27" s="218"/>
      <c r="AL27" s="218"/>
      <c r="AM27" s="287"/>
      <c r="AN27" s="222">
        <v>1123</v>
      </c>
      <c r="AO27" s="286">
        <v>61375</v>
      </c>
    </row>
    <row r="28" spans="1:41">
      <c r="A28" s="222"/>
      <c r="B28" s="446">
        <v>41277</v>
      </c>
      <c r="C28" s="144">
        <v>50</v>
      </c>
      <c r="D28" s="286"/>
      <c r="E28" s="222"/>
      <c r="F28" s="222"/>
      <c r="G28" s="447">
        <v>41673</v>
      </c>
      <c r="H28" s="144">
        <v>49</v>
      </c>
      <c r="I28" s="451">
        <f>H28/$I$16</f>
        <v>4.5161290322580643E-2</v>
      </c>
      <c r="J28" s="583">
        <f>I28*$J$16</f>
        <v>2412.2451612903224</v>
      </c>
      <c r="L28" s="448">
        <v>42007</v>
      </c>
      <c r="M28" s="144">
        <v>48</v>
      </c>
      <c r="N28" s="451">
        <f>M28/$N$16</f>
        <v>4.5757864632983793E-2</v>
      </c>
      <c r="O28" s="583">
        <f>N28*$O$16</f>
        <v>2390.5281220209722</v>
      </c>
      <c r="P28" s="452"/>
      <c r="Q28" s="574">
        <v>42370</v>
      </c>
      <c r="R28" s="144">
        <v>54</v>
      </c>
      <c r="S28" s="451">
        <f>R28/$S$16</f>
        <v>0.05</v>
      </c>
      <c r="T28" s="583">
        <f>S28*$O$16</f>
        <v>2612.15</v>
      </c>
      <c r="U28" s="452"/>
      <c r="V28" s="573">
        <v>42738</v>
      </c>
      <c r="W28" s="144">
        <v>54</v>
      </c>
      <c r="X28" s="451">
        <f>W26/$X$16</f>
        <v>3.0456852791878174E-2</v>
      </c>
      <c r="Y28" s="583">
        <f>X28*$Y$16</f>
        <v>1758.9746192893401</v>
      </c>
      <c r="Z28" s="452"/>
      <c r="AA28" s="582">
        <v>43134</v>
      </c>
      <c r="AB28" s="144">
        <v>19</v>
      </c>
      <c r="AF28" s="582">
        <v>43134</v>
      </c>
      <c r="AG28" s="144">
        <v>35</v>
      </c>
      <c r="AH28" s="218"/>
      <c r="AJ28" s="218"/>
      <c r="AK28" s="218"/>
      <c r="AL28" s="218"/>
      <c r="AM28" s="287"/>
      <c r="AN28" s="222">
        <v>1075</v>
      </c>
      <c r="AO28" s="286">
        <v>58731</v>
      </c>
    </row>
    <row r="29" spans="1:41">
      <c r="A29" s="286"/>
      <c r="B29" s="446">
        <v>41278</v>
      </c>
      <c r="C29" s="144">
        <v>43</v>
      </c>
      <c r="D29" s="450"/>
      <c r="E29" s="286"/>
      <c r="F29" s="286"/>
      <c r="G29" s="448">
        <v>41674</v>
      </c>
      <c r="H29" s="144">
        <v>57</v>
      </c>
      <c r="I29" s="451">
        <f>H29/$I$16</f>
        <v>5.2534562211981564E-2</v>
      </c>
      <c r="J29" s="583">
        <f>I29*$J$16</f>
        <v>2806.0811059907833</v>
      </c>
      <c r="L29" s="448">
        <v>42008</v>
      </c>
      <c r="M29" s="144">
        <v>35</v>
      </c>
      <c r="N29" s="451">
        <f>M29/$N$16</f>
        <v>3.336510962821735E-2</v>
      </c>
      <c r="O29" s="583">
        <f>N29*$O$16</f>
        <v>1743.0934223069589</v>
      </c>
      <c r="P29" s="452"/>
      <c r="Q29" s="574">
        <v>42371</v>
      </c>
      <c r="R29" s="144">
        <v>55</v>
      </c>
      <c r="S29" s="451">
        <f>R29/$S$16</f>
        <v>5.0925925925925923E-2</v>
      </c>
      <c r="T29" s="583">
        <f>S29*$O$16</f>
        <v>2660.5231481481478</v>
      </c>
      <c r="U29" s="452"/>
      <c r="V29" s="574">
        <v>42739</v>
      </c>
      <c r="W29" s="144">
        <v>57</v>
      </c>
      <c r="X29" s="451">
        <f>W27/$X$16</f>
        <v>3.553299492385787E-2</v>
      </c>
      <c r="Y29" s="583">
        <f>X29*$Y$16</f>
        <v>2052.1370558375634</v>
      </c>
      <c r="Z29" s="452"/>
      <c r="AA29" s="582">
        <v>43135</v>
      </c>
      <c r="AB29" s="144">
        <v>18</v>
      </c>
      <c r="AF29" s="582">
        <v>43135</v>
      </c>
      <c r="AG29" s="144">
        <v>43</v>
      </c>
      <c r="AH29" s="218"/>
      <c r="AJ29" s="218"/>
      <c r="AK29" s="218"/>
      <c r="AL29" s="218"/>
      <c r="AM29" s="287"/>
      <c r="AN29" s="222">
        <v>877</v>
      </c>
      <c r="AO29" s="286">
        <v>42884</v>
      </c>
    </row>
    <row r="30" spans="1:41">
      <c r="A30" s="286"/>
      <c r="B30" s="446">
        <v>41279</v>
      </c>
      <c r="C30" s="144">
        <v>37</v>
      </c>
      <c r="D30" s="450"/>
      <c r="E30" s="286"/>
      <c r="F30" s="286"/>
      <c r="G30" s="448">
        <v>41675</v>
      </c>
      <c r="H30" s="144">
        <v>60</v>
      </c>
      <c r="I30" s="451">
        <f>H30/$I$16</f>
        <v>5.5299539170506916E-2</v>
      </c>
      <c r="J30" s="583">
        <f>I30*$J$16</f>
        <v>2953.7695852534566</v>
      </c>
      <c r="L30" s="449">
        <v>42009</v>
      </c>
      <c r="M30" s="144">
        <v>27</v>
      </c>
      <c r="N30" s="451">
        <f>M30/$N$16</f>
        <v>2.5738798856053385E-2</v>
      </c>
      <c r="O30" s="583">
        <f>N30*$O$16</f>
        <v>1344.6720686367969</v>
      </c>
      <c r="P30" s="452"/>
      <c r="Q30" s="575">
        <v>42372</v>
      </c>
      <c r="R30" s="144">
        <v>49</v>
      </c>
      <c r="S30" s="451">
        <f>R30/$S$16</f>
        <v>4.5370370370370373E-2</v>
      </c>
      <c r="T30" s="583">
        <f>S30*$O$16</f>
        <v>2370.2842592592592</v>
      </c>
      <c r="U30" s="452"/>
      <c r="V30" s="574">
        <v>42740</v>
      </c>
      <c r="W30" s="144">
        <v>59</v>
      </c>
      <c r="X30" s="451">
        <f>W28/$X$16</f>
        <v>3.9158810732414791E-2</v>
      </c>
      <c r="Y30" s="583">
        <f>X30*$Y$16</f>
        <v>2261.5387962291516</v>
      </c>
      <c r="Z30" s="452"/>
      <c r="AA30" s="582">
        <v>43136</v>
      </c>
      <c r="AB30" s="144">
        <v>22</v>
      </c>
      <c r="AF30" s="582">
        <v>43136</v>
      </c>
      <c r="AG30" s="144">
        <v>44</v>
      </c>
      <c r="AH30" s="218"/>
      <c r="AJ30" s="218"/>
      <c r="AK30" s="218"/>
      <c r="AL30" s="218"/>
      <c r="AM30" s="287"/>
      <c r="AN30" s="222">
        <v>386</v>
      </c>
      <c r="AO30" s="286">
        <v>15829</v>
      </c>
    </row>
    <row r="31" spans="1:41">
      <c r="A31" s="286"/>
      <c r="B31" s="446">
        <v>41280</v>
      </c>
      <c r="C31" s="144">
        <v>37</v>
      </c>
      <c r="D31" s="450"/>
      <c r="E31" s="286"/>
      <c r="F31" s="286"/>
      <c r="G31" s="448">
        <v>41676</v>
      </c>
      <c r="H31" s="144">
        <v>60</v>
      </c>
      <c r="I31" s="451">
        <f>H31/$I$16</f>
        <v>5.5299539170506916E-2</v>
      </c>
      <c r="J31" s="583">
        <f>I31*$J$16</f>
        <v>2953.7695852534566</v>
      </c>
      <c r="L31" s="446">
        <v>42010</v>
      </c>
      <c r="M31" s="144">
        <v>27</v>
      </c>
      <c r="O31" s="452"/>
      <c r="P31" s="452"/>
      <c r="Q31" s="310">
        <v>42373</v>
      </c>
      <c r="R31" s="144">
        <v>38</v>
      </c>
      <c r="T31" s="452"/>
      <c r="U31" s="452"/>
      <c r="V31" s="574">
        <v>42741</v>
      </c>
      <c r="W31" s="144">
        <v>56</v>
      </c>
      <c r="X31" s="451">
        <f>W29/$X$16</f>
        <v>4.1334300217548949E-2</v>
      </c>
      <c r="Y31" s="583">
        <f>X31*$Y$16</f>
        <v>2387.1798404641045</v>
      </c>
      <c r="Z31" s="452"/>
      <c r="AA31" s="582">
        <v>43137</v>
      </c>
      <c r="AB31" s="144">
        <v>25</v>
      </c>
      <c r="AF31" s="582">
        <v>43137</v>
      </c>
      <c r="AG31" s="144">
        <v>50</v>
      </c>
      <c r="AH31" s="451">
        <f>AG31/$AH$16</f>
        <v>4.1050903119868636E-2</v>
      </c>
      <c r="AI31" s="583">
        <f>AH31*$AI$16</f>
        <v>2265.3119868637109</v>
      </c>
      <c r="AJ31" s="218"/>
      <c r="AK31" s="218"/>
      <c r="AL31" s="218"/>
      <c r="AM31" s="287"/>
      <c r="AN31" s="222">
        <v>196</v>
      </c>
      <c r="AO31" s="286">
        <v>6121</v>
      </c>
    </row>
    <row r="32" spans="1:41">
      <c r="A32" s="286"/>
      <c r="B32" s="446">
        <v>41281</v>
      </c>
      <c r="C32" s="144">
        <v>31</v>
      </c>
      <c r="D32" s="450"/>
      <c r="E32" s="286"/>
      <c r="F32" s="286"/>
      <c r="G32" s="449">
        <v>41677</v>
      </c>
      <c r="H32" s="144">
        <v>56</v>
      </c>
      <c r="I32" s="451">
        <f>H32/$I$16</f>
        <v>5.1612903225806452E-2</v>
      </c>
      <c r="J32" s="583">
        <f>I32*$J$16</f>
        <v>2756.8516129032259</v>
      </c>
      <c r="L32" s="446">
        <v>42011</v>
      </c>
      <c r="M32" s="144">
        <v>33</v>
      </c>
      <c r="Q32" s="310">
        <v>42374</v>
      </c>
      <c r="R32" s="144">
        <v>34</v>
      </c>
      <c r="V32" s="575">
        <v>42742</v>
      </c>
      <c r="W32" s="144">
        <v>57</v>
      </c>
      <c r="X32" s="451">
        <f>W30/$X$16</f>
        <v>4.2784626540971718E-2</v>
      </c>
      <c r="Y32" s="583">
        <f>X32*$Y$16</f>
        <v>2470.9405366207397</v>
      </c>
      <c r="Z32" s="452"/>
      <c r="AA32" s="582">
        <v>43138</v>
      </c>
      <c r="AB32" s="144">
        <v>22</v>
      </c>
      <c r="AF32" s="582">
        <v>43138</v>
      </c>
      <c r="AG32" s="144">
        <v>50</v>
      </c>
      <c r="AH32" s="451">
        <f>AG32/$AH$16</f>
        <v>4.1050903119868636E-2</v>
      </c>
      <c r="AI32" s="583">
        <f>AH32*$AI$16</f>
        <v>2265.3119868637109</v>
      </c>
      <c r="AJ32" s="218"/>
      <c r="AK32" s="218"/>
      <c r="AL32" s="218"/>
      <c r="AM32" s="287"/>
      <c r="AN32" s="222">
        <v>7</v>
      </c>
      <c r="AO32" s="286">
        <v>1599</v>
      </c>
    </row>
    <row r="33" spans="1:41">
      <c r="A33" s="286"/>
      <c r="B33" s="446">
        <v>41282</v>
      </c>
      <c r="C33" s="144">
        <v>28</v>
      </c>
      <c r="D33" s="450"/>
      <c r="E33" s="286"/>
      <c r="F33" s="286"/>
      <c r="G33" s="446">
        <v>41678</v>
      </c>
      <c r="H33" s="144">
        <v>48</v>
      </c>
      <c r="I33" s="450"/>
      <c r="J33" s="286"/>
      <c r="L33" s="446">
        <v>42012</v>
      </c>
      <c r="M33" s="144">
        <v>34</v>
      </c>
      <c r="N33" s="450"/>
      <c r="O33" s="286"/>
      <c r="P33" s="286"/>
      <c r="Q33" s="310">
        <v>42375</v>
      </c>
      <c r="R33" s="144">
        <v>31</v>
      </c>
      <c r="S33" s="450"/>
      <c r="T33" s="286"/>
      <c r="U33" s="286"/>
      <c r="V33" s="582">
        <v>42743</v>
      </c>
      <c r="W33" s="144">
        <v>42</v>
      </c>
      <c r="X33" s="450"/>
      <c r="Y33" s="286"/>
      <c r="Z33" s="286"/>
      <c r="AA33" s="582">
        <v>43139</v>
      </c>
      <c r="AB33" s="144">
        <v>20</v>
      </c>
      <c r="AC33" s="450"/>
      <c r="AD33" s="286"/>
      <c r="AE33" s="286"/>
      <c r="AF33" s="582">
        <v>43139</v>
      </c>
      <c r="AG33" s="144">
        <v>43</v>
      </c>
      <c r="AH33" s="451">
        <f>AG33/$AH$16</f>
        <v>3.5303776683087026E-2</v>
      </c>
      <c r="AI33" s="583">
        <f>AH33*$AI$16</f>
        <v>1948.1683087027914</v>
      </c>
      <c r="AJ33" s="218"/>
      <c r="AK33" s="218"/>
      <c r="AL33" s="218"/>
      <c r="AM33" s="287"/>
      <c r="AN33" s="222">
        <v>56</v>
      </c>
      <c r="AO33" s="286">
        <v>4085</v>
      </c>
    </row>
    <row r="34" spans="1:41">
      <c r="A34" s="222"/>
      <c r="B34" s="446">
        <v>41283</v>
      </c>
      <c r="C34" s="144">
        <v>27</v>
      </c>
      <c r="D34" s="286"/>
      <c r="E34" s="222"/>
      <c r="F34" s="222"/>
      <c r="G34" s="446">
        <v>41679</v>
      </c>
      <c r="H34" s="144">
        <v>46</v>
      </c>
      <c r="I34" s="286"/>
      <c r="J34" s="222"/>
      <c r="L34" s="446">
        <v>42013</v>
      </c>
      <c r="M34" s="144">
        <v>34</v>
      </c>
      <c r="N34" s="286"/>
      <c r="O34" s="222"/>
      <c r="P34" s="222"/>
      <c r="Q34" s="310">
        <v>42376</v>
      </c>
      <c r="R34" s="144">
        <v>32</v>
      </c>
      <c r="S34" s="286"/>
      <c r="T34" s="222"/>
      <c r="U34" s="222"/>
      <c r="V34" s="582">
        <v>42744</v>
      </c>
      <c r="W34" s="144">
        <v>40</v>
      </c>
      <c r="X34" s="286"/>
      <c r="Y34" s="222"/>
      <c r="Z34" s="222"/>
      <c r="AA34" s="582">
        <v>43140</v>
      </c>
      <c r="AB34" s="144">
        <v>31</v>
      </c>
      <c r="AC34" s="286"/>
      <c r="AD34" s="222"/>
      <c r="AF34" s="582">
        <v>43140</v>
      </c>
      <c r="AG34" s="144">
        <v>50</v>
      </c>
      <c r="AH34" s="451">
        <f>AG34/$AH$16</f>
        <v>4.1050903119868636E-2</v>
      </c>
      <c r="AI34" s="583">
        <f>AH34*$AI$16</f>
        <v>2265.3119868637109</v>
      </c>
      <c r="AJ34" s="218"/>
      <c r="AK34" s="218"/>
      <c r="AL34" s="218"/>
      <c r="AM34" s="287"/>
      <c r="AN34" s="222">
        <v>255</v>
      </c>
      <c r="AO34" s="286">
        <v>14288</v>
      </c>
    </row>
    <row r="35" spans="1:41">
      <c r="A35" s="222"/>
      <c r="B35" s="446">
        <v>41284</v>
      </c>
      <c r="C35" s="144">
        <v>36</v>
      </c>
      <c r="D35" s="286"/>
      <c r="E35" s="222"/>
      <c r="F35" s="222"/>
      <c r="G35" s="446">
        <v>41680</v>
      </c>
      <c r="H35" s="144">
        <v>41</v>
      </c>
      <c r="I35" s="286"/>
      <c r="J35" s="222"/>
      <c r="L35" s="446">
        <v>42014</v>
      </c>
      <c r="M35" s="144">
        <v>36</v>
      </c>
      <c r="N35" s="286"/>
      <c r="O35" s="222"/>
      <c r="P35" s="222"/>
      <c r="Q35" s="310">
        <v>42377</v>
      </c>
      <c r="R35" s="144">
        <v>33</v>
      </c>
      <c r="S35" s="286"/>
      <c r="T35" s="222"/>
      <c r="U35" s="222"/>
      <c r="V35" s="582">
        <v>42745</v>
      </c>
      <c r="W35" s="144">
        <v>44</v>
      </c>
      <c r="X35" s="286"/>
      <c r="Y35" s="222"/>
      <c r="Z35" s="222"/>
      <c r="AA35" s="582">
        <v>43141</v>
      </c>
      <c r="AB35" s="144">
        <v>37</v>
      </c>
      <c r="AC35" s="286"/>
      <c r="AD35" s="222"/>
      <c r="AF35" s="582">
        <v>43141</v>
      </c>
      <c r="AG35" s="144">
        <v>55</v>
      </c>
      <c r="AH35" s="451">
        <f>AG35/$AH$16</f>
        <v>4.5155993431855501E-2</v>
      </c>
      <c r="AI35" s="583">
        <f>AH35*$AI$16</f>
        <v>2491.8431855500821</v>
      </c>
      <c r="AJ35" s="218"/>
      <c r="AK35" s="218"/>
      <c r="AL35" s="218"/>
      <c r="AM35" s="287"/>
      <c r="AN35" s="222">
        <v>399</v>
      </c>
      <c r="AO35" s="286">
        <v>11975</v>
      </c>
    </row>
    <row r="36" spans="1:41">
      <c r="A36" s="222"/>
      <c r="B36" s="446">
        <v>41285</v>
      </c>
      <c r="C36" s="144">
        <v>44</v>
      </c>
      <c r="D36" s="222"/>
      <c r="E36" s="222"/>
      <c r="F36" s="222"/>
      <c r="G36" s="446">
        <v>41681</v>
      </c>
      <c r="H36" s="144">
        <v>34</v>
      </c>
      <c r="I36" s="222"/>
      <c r="J36" s="222"/>
      <c r="L36" s="446">
        <v>42015</v>
      </c>
      <c r="M36" s="144">
        <v>37</v>
      </c>
      <c r="N36" s="222"/>
      <c r="O36" s="222"/>
      <c r="P36" s="222"/>
      <c r="Q36" s="310">
        <v>42378</v>
      </c>
      <c r="R36" s="144">
        <v>33</v>
      </c>
      <c r="S36" s="222"/>
      <c r="T36" s="222"/>
      <c r="U36" s="222"/>
      <c r="V36" s="582">
        <v>42746</v>
      </c>
      <c r="W36" s="144">
        <v>54</v>
      </c>
      <c r="X36" s="222"/>
      <c r="Y36" s="222"/>
      <c r="Z36" s="222"/>
      <c r="AA36" s="582">
        <v>43142</v>
      </c>
      <c r="AB36" s="144">
        <v>35</v>
      </c>
      <c r="AC36" s="222"/>
      <c r="AD36" s="222"/>
      <c r="AF36" s="582">
        <v>43142</v>
      </c>
      <c r="AG36" s="144">
        <v>53</v>
      </c>
      <c r="AI36" s="222"/>
      <c r="AJ36" s="218"/>
      <c r="AK36" s="218"/>
      <c r="AL36" s="218"/>
      <c r="AM36" s="287"/>
      <c r="AN36" s="222">
        <v>647</v>
      </c>
      <c r="AO36" s="286">
        <v>30251</v>
      </c>
    </row>
    <row r="37" spans="1:41">
      <c r="A37" s="222"/>
      <c r="B37" s="447">
        <v>41286</v>
      </c>
      <c r="C37" s="144">
        <v>52</v>
      </c>
      <c r="D37" s="451">
        <f>C37/$D$16</f>
        <v>4.1834271922767501E-2</v>
      </c>
      <c r="E37" s="583">
        <f>D37*$E$16</f>
        <v>2671.2437650844731</v>
      </c>
      <c r="F37" s="452"/>
      <c r="G37" s="446">
        <v>41682</v>
      </c>
      <c r="H37" s="144">
        <v>24</v>
      </c>
      <c r="I37" s="222"/>
      <c r="J37" s="222"/>
      <c r="L37" s="446">
        <v>42016</v>
      </c>
      <c r="M37" s="144">
        <v>36</v>
      </c>
      <c r="N37" s="222"/>
      <c r="O37" s="222"/>
      <c r="P37" s="222"/>
      <c r="Q37" s="310">
        <v>42379</v>
      </c>
      <c r="R37" s="144">
        <v>36</v>
      </c>
      <c r="S37" s="222"/>
      <c r="T37" s="222"/>
      <c r="U37" s="222"/>
      <c r="V37" s="582">
        <v>42747</v>
      </c>
      <c r="W37" s="144">
        <v>58</v>
      </c>
      <c r="X37" s="222"/>
      <c r="Y37" s="222"/>
      <c r="Z37" s="222"/>
      <c r="AA37" s="582">
        <v>43143</v>
      </c>
      <c r="AB37" s="144">
        <v>39</v>
      </c>
      <c r="AC37" s="222"/>
      <c r="AD37" s="222"/>
      <c r="AF37" s="582">
        <v>43143</v>
      </c>
      <c r="AG37" s="144">
        <v>36</v>
      </c>
      <c r="AI37" s="222"/>
      <c r="AJ37" s="218"/>
      <c r="AK37" s="218"/>
      <c r="AL37" s="218"/>
      <c r="AM37" s="287"/>
      <c r="AN37" s="222">
        <v>816</v>
      </c>
      <c r="AO37" s="286">
        <v>37619</v>
      </c>
    </row>
    <row r="38" spans="1:41">
      <c r="A38" s="222"/>
      <c r="B38" s="448">
        <v>41287</v>
      </c>
      <c r="C38" s="144">
        <v>47</v>
      </c>
      <c r="D38" s="451">
        <f>C38/$D$16</f>
        <v>3.781174577634755E-2</v>
      </c>
      <c r="E38" s="583">
        <f>D38*$E$16</f>
        <v>2414.3934030571199</v>
      </c>
      <c r="F38" s="452"/>
      <c r="G38" s="446">
        <v>41683</v>
      </c>
      <c r="H38" s="144">
        <v>25</v>
      </c>
      <c r="I38" s="222"/>
      <c r="J38" s="222"/>
      <c r="L38" s="446">
        <v>42017</v>
      </c>
      <c r="M38" s="144">
        <v>35</v>
      </c>
      <c r="N38" s="222"/>
      <c r="O38" s="222"/>
      <c r="P38" s="222"/>
      <c r="Q38" s="310">
        <v>42380</v>
      </c>
      <c r="R38" s="144">
        <v>38</v>
      </c>
      <c r="S38" s="222"/>
      <c r="T38" s="222"/>
      <c r="U38" s="222"/>
      <c r="V38" s="582">
        <v>42748</v>
      </c>
      <c r="W38" s="144">
        <v>55</v>
      </c>
      <c r="X38" s="222"/>
      <c r="Y38" s="222"/>
      <c r="Z38" s="222"/>
      <c r="AA38" s="582">
        <v>43144</v>
      </c>
      <c r="AB38" s="144">
        <v>36</v>
      </c>
      <c r="AC38" s="222"/>
      <c r="AD38" s="222"/>
      <c r="AF38" s="582">
        <v>43144</v>
      </c>
      <c r="AG38" s="144">
        <v>38</v>
      </c>
      <c r="AI38" s="222"/>
      <c r="AJ38" s="218"/>
      <c r="AK38" s="218"/>
      <c r="AL38" s="218"/>
      <c r="AM38" s="287"/>
      <c r="AN38" s="222">
        <v>782</v>
      </c>
      <c r="AO38" s="286">
        <v>38459</v>
      </c>
    </row>
    <row r="39" spans="1:41">
      <c r="A39" s="222"/>
      <c r="B39" s="448">
        <v>41288</v>
      </c>
      <c r="C39" s="144">
        <v>45</v>
      </c>
      <c r="D39" s="451">
        <f>C39/$D$16</f>
        <v>3.6202735317779566E-2</v>
      </c>
      <c r="E39" s="583">
        <f>D39*$E$16</f>
        <v>2311.6532582461787</v>
      </c>
      <c r="F39" s="452"/>
      <c r="G39" s="446">
        <v>41684</v>
      </c>
      <c r="H39" s="144">
        <v>26</v>
      </c>
      <c r="I39" s="222"/>
      <c r="J39" s="222"/>
      <c r="L39" s="446">
        <v>42018</v>
      </c>
      <c r="M39" s="144">
        <v>36</v>
      </c>
      <c r="N39" s="222"/>
      <c r="O39" s="222"/>
      <c r="P39" s="222"/>
      <c r="Q39" s="310">
        <v>42381</v>
      </c>
      <c r="R39" s="144">
        <v>32</v>
      </c>
      <c r="S39" s="222"/>
      <c r="T39" s="222"/>
      <c r="U39" s="222"/>
      <c r="V39" s="582">
        <v>42749</v>
      </c>
      <c r="W39" s="144">
        <v>58</v>
      </c>
      <c r="X39" s="222"/>
      <c r="Y39" s="222"/>
      <c r="Z39" s="222"/>
      <c r="AA39" s="582">
        <v>43145</v>
      </c>
      <c r="AB39" s="144">
        <v>37</v>
      </c>
      <c r="AC39" s="222"/>
      <c r="AD39" s="222"/>
      <c r="AF39" s="582">
        <v>43145</v>
      </c>
      <c r="AG39" s="144">
        <v>41</v>
      </c>
      <c r="AI39" s="222"/>
      <c r="AJ39" s="218"/>
      <c r="AK39" s="218"/>
      <c r="AL39" s="218"/>
      <c r="AM39" s="287"/>
      <c r="AN39" s="222">
        <v>1018</v>
      </c>
      <c r="AO39" s="286">
        <v>51006</v>
      </c>
    </row>
    <row r="40" spans="1:41">
      <c r="A40" s="222"/>
      <c r="B40" s="448">
        <v>41289</v>
      </c>
      <c r="C40" s="291">
        <v>44</v>
      </c>
      <c r="D40" s="451">
        <f>C40/$D$16</f>
        <v>3.5398230088495575E-2</v>
      </c>
      <c r="E40" s="583">
        <f>D40*$E$16</f>
        <v>2260.283185840708</v>
      </c>
      <c r="F40" s="452"/>
      <c r="G40" s="446">
        <v>41685</v>
      </c>
      <c r="H40" s="291">
        <v>27</v>
      </c>
      <c r="I40" s="222"/>
      <c r="J40" s="222"/>
      <c r="L40" s="446">
        <v>42019</v>
      </c>
      <c r="M40" s="291">
        <v>36</v>
      </c>
      <c r="N40" s="222"/>
      <c r="O40" s="222"/>
      <c r="P40" s="222"/>
      <c r="Q40" s="310">
        <v>42382</v>
      </c>
      <c r="R40" s="291">
        <v>30</v>
      </c>
      <c r="S40" s="222"/>
      <c r="T40" s="222"/>
      <c r="U40" s="222"/>
      <c r="V40" s="582">
        <v>42750</v>
      </c>
      <c r="W40" s="291">
        <v>59</v>
      </c>
      <c r="X40" s="222"/>
      <c r="Y40" s="222"/>
      <c r="Z40" s="222"/>
      <c r="AA40" s="582">
        <v>43146</v>
      </c>
      <c r="AB40" s="291">
        <v>43</v>
      </c>
      <c r="AC40" s="222"/>
      <c r="AD40" s="222"/>
      <c r="AF40" s="582">
        <v>43146</v>
      </c>
      <c r="AG40" s="291">
        <v>35</v>
      </c>
      <c r="AI40" s="222"/>
      <c r="AJ40" s="218"/>
      <c r="AK40" s="218"/>
      <c r="AL40" s="218"/>
      <c r="AM40" s="287"/>
      <c r="AN40" s="222">
        <v>1038</v>
      </c>
      <c r="AO40" s="286">
        <v>50450</v>
      </c>
    </row>
    <row r="41" spans="1:41">
      <c r="A41" s="222"/>
      <c r="B41" s="449">
        <v>41290</v>
      </c>
      <c r="C41" s="291">
        <v>44</v>
      </c>
      <c r="D41" s="451">
        <f>C41/$D$16</f>
        <v>3.5398230088495575E-2</v>
      </c>
      <c r="E41" s="583">
        <f>D41*$E$16</f>
        <v>2260.283185840708</v>
      </c>
      <c r="F41" s="452"/>
      <c r="G41" s="446">
        <v>41686</v>
      </c>
      <c r="H41" s="291">
        <v>28</v>
      </c>
      <c r="I41" s="222"/>
      <c r="J41" s="222"/>
      <c r="L41" s="446">
        <v>42020</v>
      </c>
      <c r="M41" s="291">
        <v>34</v>
      </c>
      <c r="N41" s="222"/>
      <c r="O41" s="222"/>
      <c r="P41" s="222"/>
      <c r="Q41" s="310">
        <v>42383</v>
      </c>
      <c r="R41" s="291">
        <v>35</v>
      </c>
      <c r="S41" s="222"/>
      <c r="T41" s="222"/>
      <c r="U41" s="222"/>
      <c r="V41" s="582">
        <v>42751</v>
      </c>
      <c r="W41" s="291">
        <v>57</v>
      </c>
      <c r="X41" s="222"/>
      <c r="Y41" s="222"/>
      <c r="Z41" s="222"/>
      <c r="AA41" s="582">
        <v>43147</v>
      </c>
      <c r="AB41" s="291">
        <v>33</v>
      </c>
      <c r="AC41" s="222"/>
      <c r="AD41" s="222"/>
      <c r="AF41" s="582">
        <v>43147</v>
      </c>
      <c r="AG41" s="291">
        <v>36</v>
      </c>
      <c r="AI41" s="222"/>
      <c r="AJ41" s="218"/>
      <c r="AK41" s="218"/>
      <c r="AL41" s="218"/>
      <c r="AM41" s="287"/>
      <c r="AN41" s="222">
        <v>813</v>
      </c>
      <c r="AO41" s="286">
        <v>36636</v>
      </c>
    </row>
    <row r="42" spans="1:41">
      <c r="A42" s="222"/>
      <c r="B42" s="446">
        <v>41291</v>
      </c>
      <c r="C42" s="291">
        <v>46</v>
      </c>
      <c r="D42" s="222"/>
      <c r="E42" s="222"/>
      <c r="F42" s="222"/>
      <c r="G42" s="446">
        <v>41687</v>
      </c>
      <c r="H42" s="291">
        <v>26</v>
      </c>
      <c r="I42" s="222"/>
      <c r="J42" s="222"/>
      <c r="L42" s="446">
        <v>42021</v>
      </c>
      <c r="M42" s="291">
        <v>36</v>
      </c>
      <c r="N42" s="222"/>
      <c r="O42" s="222"/>
      <c r="P42" s="222"/>
      <c r="Q42" s="310">
        <v>42384</v>
      </c>
      <c r="R42" s="291">
        <v>40</v>
      </c>
      <c r="S42" s="222"/>
      <c r="T42" s="222"/>
      <c r="U42" s="222"/>
      <c r="V42" s="582">
        <v>42752</v>
      </c>
      <c r="W42" s="291">
        <v>45</v>
      </c>
      <c r="X42" s="222"/>
      <c r="Y42" s="222"/>
      <c r="Z42" s="222"/>
      <c r="AA42" s="582">
        <v>43148</v>
      </c>
      <c r="AB42" s="291">
        <v>29</v>
      </c>
      <c r="AC42" s="222"/>
      <c r="AD42" s="222"/>
      <c r="AF42" s="582">
        <v>43148</v>
      </c>
      <c r="AG42" s="291">
        <v>43</v>
      </c>
      <c r="AI42" s="222"/>
      <c r="AJ42" s="218"/>
      <c r="AK42" s="218"/>
      <c r="AL42" s="218"/>
      <c r="AM42" s="287"/>
      <c r="AN42" s="222">
        <v>577</v>
      </c>
      <c r="AO42" s="286">
        <v>20143</v>
      </c>
    </row>
    <row r="43" spans="1:41">
      <c r="A43" s="222"/>
      <c r="B43" s="446">
        <v>41292</v>
      </c>
      <c r="C43" s="291">
        <v>46</v>
      </c>
      <c r="D43" s="222"/>
      <c r="E43" s="222"/>
      <c r="F43" s="222"/>
      <c r="G43" s="446">
        <v>41688</v>
      </c>
      <c r="H43" s="291">
        <v>28</v>
      </c>
      <c r="I43" s="222"/>
      <c r="J43" s="222"/>
      <c r="L43" s="446">
        <v>42022</v>
      </c>
      <c r="M43" s="291">
        <v>26</v>
      </c>
      <c r="N43" s="222"/>
      <c r="O43" s="222"/>
      <c r="P43" s="222"/>
      <c r="Q43" s="310">
        <v>42385</v>
      </c>
      <c r="R43" s="291">
        <v>33</v>
      </c>
      <c r="S43" s="222"/>
      <c r="T43" s="222"/>
      <c r="U43" s="222"/>
      <c r="V43" s="582">
        <v>42753</v>
      </c>
      <c r="W43" s="291">
        <v>29</v>
      </c>
      <c r="X43" s="222"/>
      <c r="Y43" s="222"/>
      <c r="Z43" s="222"/>
      <c r="AA43" s="582">
        <v>43149</v>
      </c>
      <c r="AB43" s="291">
        <v>42</v>
      </c>
      <c r="AC43" s="451">
        <f>AB43/$AC$16</f>
        <v>4.3388429752066117E-2</v>
      </c>
      <c r="AD43" s="583">
        <f>AC43*$AD$16</f>
        <v>2282.7520661157027</v>
      </c>
      <c r="AE43" s="452"/>
      <c r="AF43" s="582">
        <v>43149</v>
      </c>
      <c r="AG43" s="291">
        <v>51</v>
      </c>
      <c r="AH43" s="451"/>
      <c r="AI43" s="452"/>
      <c r="AJ43" s="218"/>
      <c r="AK43" s="218"/>
      <c r="AL43" s="218"/>
      <c r="AM43" s="287"/>
      <c r="AN43" s="222">
        <v>67</v>
      </c>
      <c r="AO43" s="286">
        <v>2952</v>
      </c>
    </row>
    <row r="44" spans="1:41">
      <c r="A44" s="222"/>
      <c r="B44" s="446">
        <v>41293</v>
      </c>
      <c r="C44" s="291">
        <v>44</v>
      </c>
      <c r="D44" s="222"/>
      <c r="E44" s="222"/>
      <c r="F44" s="222"/>
      <c r="G44" s="446">
        <v>41689</v>
      </c>
      <c r="H44" s="291">
        <v>30</v>
      </c>
      <c r="I44" s="222"/>
      <c r="J44" s="222"/>
      <c r="L44" s="446">
        <v>42023</v>
      </c>
      <c r="M44" s="291">
        <v>30</v>
      </c>
      <c r="N44" s="222"/>
      <c r="O44" s="222"/>
      <c r="P44" s="222"/>
      <c r="Q44" s="310">
        <v>42386</v>
      </c>
      <c r="R44" s="291">
        <v>30</v>
      </c>
      <c r="S44" s="222"/>
      <c r="T44" s="222"/>
      <c r="U44" s="222"/>
      <c r="V44" s="582">
        <v>42754</v>
      </c>
      <c r="W44" s="291">
        <v>30</v>
      </c>
      <c r="X44" s="222"/>
      <c r="Y44" s="222"/>
      <c r="Z44" s="222"/>
      <c r="AA44" s="582">
        <v>43150</v>
      </c>
      <c r="AB44" s="291">
        <v>52</v>
      </c>
      <c r="AC44" s="451">
        <f>AB44/$AC$16</f>
        <v>5.3719008264462811E-2</v>
      </c>
      <c r="AD44" s="583">
        <f>AC44*$AD$16</f>
        <v>2826.2644628099174</v>
      </c>
      <c r="AE44" s="452"/>
      <c r="AF44" s="582">
        <v>43150</v>
      </c>
      <c r="AG44" s="291">
        <v>48</v>
      </c>
      <c r="AH44" s="451"/>
      <c r="AI44" s="452"/>
      <c r="AJ44" s="218"/>
      <c r="AK44" s="218"/>
      <c r="AL44" s="218"/>
      <c r="AM44" s="287"/>
      <c r="AN44" s="222">
        <v>23</v>
      </c>
      <c r="AO44" s="286">
        <v>1589</v>
      </c>
    </row>
    <row r="45" spans="1:41">
      <c r="A45" s="452"/>
      <c r="B45" s="446">
        <v>41294</v>
      </c>
      <c r="C45" s="291">
        <v>45</v>
      </c>
      <c r="D45" s="451"/>
      <c r="E45" s="452"/>
      <c r="F45" s="452"/>
      <c r="G45" s="446">
        <v>41690</v>
      </c>
      <c r="H45" s="291">
        <v>29</v>
      </c>
      <c r="I45" s="451"/>
      <c r="J45" s="452"/>
      <c r="L45" s="446">
        <v>42024</v>
      </c>
      <c r="M45" s="291">
        <v>37</v>
      </c>
      <c r="N45" s="451"/>
      <c r="O45" s="452"/>
      <c r="P45" s="452"/>
      <c r="Q45" s="310">
        <v>42387</v>
      </c>
      <c r="R45" s="291">
        <v>30</v>
      </c>
      <c r="S45" s="451"/>
      <c r="T45" s="452"/>
      <c r="U45" s="452"/>
      <c r="V45" s="582">
        <v>42755</v>
      </c>
      <c r="W45" s="291">
        <v>30</v>
      </c>
      <c r="X45" s="451"/>
      <c r="Y45" s="452"/>
      <c r="Z45" s="452"/>
      <c r="AA45" s="582">
        <v>43151</v>
      </c>
      <c r="AB45" s="291">
        <v>50</v>
      </c>
      <c r="AC45" s="451">
        <f>AB45/$AC$16</f>
        <v>5.1652892561983473E-2</v>
      </c>
      <c r="AD45" s="583">
        <f>AC45*$AD$16</f>
        <v>2717.5619834710747</v>
      </c>
      <c r="AE45" s="452"/>
      <c r="AF45" s="582">
        <v>43151</v>
      </c>
      <c r="AG45" s="291">
        <v>41</v>
      </c>
      <c r="AH45" s="451"/>
      <c r="AI45" s="452"/>
      <c r="AJ45" s="218"/>
      <c r="AK45" s="218"/>
      <c r="AL45" s="218"/>
      <c r="AM45" s="287"/>
      <c r="AN45" s="222">
        <v>18</v>
      </c>
      <c r="AO45" s="286">
        <v>2169</v>
      </c>
    </row>
    <row r="46" spans="1:41">
      <c r="A46" s="452"/>
      <c r="B46" s="446">
        <v>41295</v>
      </c>
      <c r="C46" s="291">
        <v>50</v>
      </c>
      <c r="D46" s="451"/>
      <c r="E46" s="452"/>
      <c r="F46" s="452"/>
      <c r="G46" s="446">
        <v>41691</v>
      </c>
      <c r="H46" s="291">
        <v>32</v>
      </c>
      <c r="I46" s="451"/>
      <c r="J46" s="452"/>
      <c r="L46" s="446">
        <v>42025</v>
      </c>
      <c r="M46" s="291">
        <v>36</v>
      </c>
      <c r="N46" s="451"/>
      <c r="O46" s="452"/>
      <c r="P46" s="452"/>
      <c r="Q46" s="310">
        <v>42388</v>
      </c>
      <c r="R46" s="291">
        <v>31</v>
      </c>
      <c r="S46" s="451"/>
      <c r="T46" s="452"/>
      <c r="U46" s="452"/>
      <c r="V46" s="582">
        <v>42756</v>
      </c>
      <c r="W46" s="291">
        <v>29</v>
      </c>
      <c r="X46" s="451"/>
      <c r="Y46" s="452"/>
      <c r="Z46" s="452"/>
      <c r="AA46" s="582">
        <v>43152</v>
      </c>
      <c r="AB46" s="291">
        <v>51</v>
      </c>
      <c r="AC46" s="451">
        <f>AB46/$AC$16</f>
        <v>5.2685950413223138E-2</v>
      </c>
      <c r="AD46" s="583">
        <f>AC46*$AD$16</f>
        <v>2771.9132231404956</v>
      </c>
      <c r="AE46" s="452"/>
      <c r="AF46" s="582">
        <v>43152</v>
      </c>
      <c r="AG46" s="291">
        <v>42</v>
      </c>
      <c r="AH46" s="451"/>
      <c r="AI46" s="452"/>
      <c r="AJ46" s="218"/>
      <c r="AK46" s="218"/>
      <c r="AL46" s="218"/>
      <c r="AM46" s="287"/>
      <c r="AN46" s="222">
        <v>92</v>
      </c>
      <c r="AO46" s="286">
        <v>3921</v>
      </c>
    </row>
    <row r="47" spans="1:41">
      <c r="A47" s="452"/>
      <c r="B47" s="446">
        <v>41296</v>
      </c>
      <c r="C47" s="291">
        <v>50</v>
      </c>
      <c r="D47" s="451"/>
      <c r="E47" s="452"/>
      <c r="F47" s="452"/>
      <c r="G47" s="446">
        <v>41692</v>
      </c>
      <c r="H47" s="291">
        <v>36</v>
      </c>
      <c r="I47" s="451"/>
      <c r="J47" s="452"/>
      <c r="L47" s="446">
        <v>42026</v>
      </c>
      <c r="M47" s="291">
        <v>36</v>
      </c>
      <c r="N47" s="451"/>
      <c r="O47" s="452"/>
      <c r="P47" s="452"/>
      <c r="Q47" s="310">
        <v>42389</v>
      </c>
      <c r="R47" s="291">
        <v>29</v>
      </c>
      <c r="S47" s="451"/>
      <c r="T47" s="452"/>
      <c r="U47" s="452"/>
      <c r="V47" s="582">
        <v>42757</v>
      </c>
      <c r="W47" s="291">
        <v>28</v>
      </c>
      <c r="X47" s="451"/>
      <c r="Y47" s="452"/>
      <c r="Z47" s="452"/>
      <c r="AA47" s="582">
        <v>43153</v>
      </c>
      <c r="AB47" s="291">
        <v>45</v>
      </c>
      <c r="AC47" s="451">
        <f>AB47/$AC$16</f>
        <v>4.6487603305785122E-2</v>
      </c>
      <c r="AD47" s="583">
        <f>AC47*$AD$16</f>
        <v>2445.8057851239669</v>
      </c>
      <c r="AE47" s="452"/>
      <c r="AF47" s="582">
        <v>43153</v>
      </c>
      <c r="AG47" s="291">
        <v>44</v>
      </c>
      <c r="AH47" s="451"/>
      <c r="AI47" s="452"/>
      <c r="AJ47" s="218"/>
      <c r="AK47" s="218"/>
      <c r="AL47" s="218"/>
      <c r="AM47" s="287"/>
      <c r="AN47" s="222">
        <v>340</v>
      </c>
      <c r="AO47" s="286">
        <v>13442</v>
      </c>
    </row>
    <row r="48" spans="1:41">
      <c r="A48" s="452"/>
      <c r="B48" s="446">
        <v>41297</v>
      </c>
      <c r="C48" s="291">
        <v>38</v>
      </c>
      <c r="D48" s="451"/>
      <c r="E48" s="452"/>
      <c r="F48" s="452"/>
      <c r="G48" s="446">
        <v>41693</v>
      </c>
      <c r="H48" s="291">
        <v>39</v>
      </c>
      <c r="I48" s="451"/>
      <c r="J48" s="452"/>
      <c r="L48" s="446">
        <v>42027</v>
      </c>
      <c r="M48" s="291">
        <v>29</v>
      </c>
      <c r="N48" s="451"/>
      <c r="O48" s="452"/>
      <c r="P48" s="452"/>
      <c r="Q48" s="310">
        <v>42390</v>
      </c>
      <c r="R48" s="291">
        <v>30</v>
      </c>
      <c r="S48" s="451"/>
      <c r="T48" s="452"/>
      <c r="U48" s="452"/>
      <c r="V48" s="582">
        <v>42758</v>
      </c>
      <c r="W48" s="291">
        <v>34</v>
      </c>
      <c r="X48" s="451"/>
      <c r="Y48" s="452"/>
      <c r="Z48" s="452"/>
      <c r="AA48" s="582">
        <v>43154</v>
      </c>
      <c r="AB48" s="291">
        <v>48</v>
      </c>
      <c r="AC48" s="451"/>
      <c r="AD48" s="452"/>
      <c r="AE48" s="452"/>
      <c r="AF48" s="582">
        <v>43154</v>
      </c>
      <c r="AG48" s="291">
        <v>43</v>
      </c>
      <c r="AH48" s="451"/>
      <c r="AI48" s="452"/>
      <c r="AJ48" s="218"/>
      <c r="AK48" s="218"/>
      <c r="AL48" s="218"/>
      <c r="AM48" s="287"/>
      <c r="AN48" s="222">
        <v>549</v>
      </c>
      <c r="AO48" s="286">
        <v>37928</v>
      </c>
    </row>
    <row r="49" spans="1:60">
      <c r="A49" s="452"/>
      <c r="B49" s="446">
        <v>41298</v>
      </c>
      <c r="C49" s="291">
        <v>39</v>
      </c>
      <c r="D49" s="451"/>
      <c r="E49" s="452"/>
      <c r="F49" s="452"/>
      <c r="G49" s="446">
        <v>41694</v>
      </c>
      <c r="H49" s="291">
        <v>41</v>
      </c>
      <c r="I49" s="451"/>
      <c r="J49" s="452"/>
      <c r="L49" s="446">
        <v>42028</v>
      </c>
      <c r="M49" s="291">
        <v>27</v>
      </c>
      <c r="N49" s="451"/>
      <c r="O49" s="452"/>
      <c r="P49" s="452"/>
      <c r="Q49" s="310">
        <v>42391</v>
      </c>
      <c r="R49" s="291">
        <v>25</v>
      </c>
      <c r="S49" s="451"/>
      <c r="T49" s="452"/>
      <c r="U49" s="452"/>
      <c r="V49" s="582">
        <v>42759</v>
      </c>
      <c r="W49" s="291">
        <v>35</v>
      </c>
      <c r="X49" s="451"/>
      <c r="Y49" s="452"/>
      <c r="Z49" s="452"/>
      <c r="AA49" s="582">
        <v>43155</v>
      </c>
      <c r="AB49" s="291">
        <v>39</v>
      </c>
      <c r="AC49" s="451"/>
      <c r="AD49" s="452"/>
      <c r="AE49" s="452"/>
      <c r="AF49" s="582">
        <v>43155</v>
      </c>
      <c r="AG49" s="291">
        <v>46</v>
      </c>
      <c r="AH49" s="451"/>
      <c r="AI49" s="452"/>
      <c r="AJ49" s="218"/>
      <c r="AK49" s="218"/>
      <c r="AL49" s="218"/>
      <c r="AM49" s="287"/>
      <c r="AN49" s="222">
        <v>883</v>
      </c>
      <c r="AO49" s="286">
        <v>29785</v>
      </c>
    </row>
    <row r="50" spans="1:60">
      <c r="A50" s="222"/>
      <c r="B50" s="446">
        <v>41299</v>
      </c>
      <c r="C50" s="144">
        <v>30</v>
      </c>
      <c r="D50" s="286"/>
      <c r="E50" s="222"/>
      <c r="F50" s="222"/>
      <c r="G50" s="446">
        <v>41695</v>
      </c>
      <c r="H50" s="144">
        <v>41</v>
      </c>
      <c r="I50" s="286"/>
      <c r="J50" s="222"/>
      <c r="L50" s="446">
        <v>42029</v>
      </c>
      <c r="M50" s="144">
        <v>19</v>
      </c>
      <c r="N50" s="286"/>
      <c r="O50" s="222"/>
      <c r="P50" s="222"/>
      <c r="Q50" s="310">
        <v>42392</v>
      </c>
      <c r="R50" s="144">
        <v>28</v>
      </c>
      <c r="S50" s="286"/>
      <c r="T50" s="222"/>
      <c r="U50" s="222"/>
      <c r="V50" s="582">
        <v>42760</v>
      </c>
      <c r="W50" s="144">
        <v>36</v>
      </c>
      <c r="X50" s="286"/>
      <c r="Y50" s="222"/>
      <c r="Z50" s="222"/>
      <c r="AA50" s="582">
        <v>43156</v>
      </c>
      <c r="AB50" s="144">
        <v>33</v>
      </c>
      <c r="AC50" s="286"/>
      <c r="AD50" s="222"/>
      <c r="AF50" s="582">
        <v>43156</v>
      </c>
      <c r="AG50" s="144">
        <v>49</v>
      </c>
      <c r="AH50" s="286"/>
      <c r="AI50" s="222"/>
      <c r="AJ50" s="218"/>
      <c r="AK50" s="218"/>
      <c r="AL50" s="218"/>
      <c r="AM50" s="287"/>
      <c r="AN50" s="222">
        <v>1161</v>
      </c>
      <c r="AO50" s="286">
        <v>59139</v>
      </c>
    </row>
    <row r="51" spans="1:60">
      <c r="A51" s="222"/>
      <c r="B51" s="446">
        <v>41300</v>
      </c>
      <c r="C51" s="144">
        <v>32</v>
      </c>
      <c r="D51" s="286"/>
      <c r="E51" s="222"/>
      <c r="F51" s="222"/>
      <c r="G51" s="446">
        <v>41696</v>
      </c>
      <c r="H51" s="144">
        <v>40</v>
      </c>
      <c r="I51" s="286"/>
      <c r="J51" s="222"/>
      <c r="L51" s="446">
        <v>42030</v>
      </c>
      <c r="M51" s="144">
        <v>24</v>
      </c>
      <c r="N51" s="286"/>
      <c r="O51" s="222"/>
      <c r="P51" s="222"/>
      <c r="Q51" s="310">
        <v>42393</v>
      </c>
      <c r="R51" s="144">
        <v>32</v>
      </c>
      <c r="S51" s="286"/>
      <c r="T51" s="222"/>
      <c r="U51" s="222"/>
      <c r="V51" s="582">
        <v>42761</v>
      </c>
      <c r="W51" s="144">
        <v>37</v>
      </c>
      <c r="X51" s="286"/>
      <c r="Y51" s="222"/>
      <c r="Z51" s="222"/>
      <c r="AA51" s="582">
        <v>43157</v>
      </c>
      <c r="AB51" s="144">
        <v>37</v>
      </c>
      <c r="AC51" s="286"/>
      <c r="AD51" s="222"/>
      <c r="AF51" s="582">
        <v>43157</v>
      </c>
      <c r="AG51" s="144">
        <v>50</v>
      </c>
      <c r="AH51" s="286"/>
      <c r="AI51" s="222"/>
      <c r="AJ51" s="218"/>
      <c r="AK51" s="218"/>
      <c r="AL51" s="218"/>
      <c r="AM51" s="287"/>
      <c r="AN51" s="222">
        <v>1324</v>
      </c>
      <c r="AO51" s="286">
        <v>68028</v>
      </c>
    </row>
    <row r="52" spans="1:60">
      <c r="A52" s="222"/>
      <c r="B52" s="446">
        <v>41301</v>
      </c>
      <c r="C52" s="144">
        <v>36</v>
      </c>
      <c r="D52" s="286"/>
      <c r="E52" s="222"/>
      <c r="F52" s="222"/>
      <c r="G52" s="446">
        <v>41697</v>
      </c>
      <c r="H52" s="144">
        <v>33</v>
      </c>
      <c r="I52" s="286"/>
      <c r="J52" s="222"/>
      <c r="L52" s="446">
        <v>42031</v>
      </c>
      <c r="M52" s="144">
        <v>31</v>
      </c>
      <c r="N52" s="286"/>
      <c r="O52" s="222"/>
      <c r="P52" s="222"/>
      <c r="Q52" s="310">
        <v>42394</v>
      </c>
      <c r="R52" s="144">
        <v>34</v>
      </c>
      <c r="S52" s="286"/>
      <c r="T52" s="222"/>
      <c r="U52" s="222"/>
      <c r="V52" s="582">
        <v>42762</v>
      </c>
      <c r="W52" s="144">
        <v>39</v>
      </c>
      <c r="X52" s="286"/>
      <c r="Y52" s="222"/>
      <c r="Z52" s="222"/>
      <c r="AA52" s="582">
        <v>43158</v>
      </c>
      <c r="AB52" s="144">
        <v>36</v>
      </c>
      <c r="AC52" s="286"/>
      <c r="AD52" s="222"/>
      <c r="AF52" s="582">
        <v>43158</v>
      </c>
      <c r="AG52" s="144">
        <v>44</v>
      </c>
      <c r="AH52" s="286"/>
      <c r="AI52" s="222"/>
      <c r="AJ52" s="218"/>
      <c r="AK52" s="218"/>
      <c r="AL52" s="218"/>
      <c r="AM52" s="287"/>
      <c r="AN52" s="222">
        <v>1324</v>
      </c>
      <c r="AO52" s="286">
        <v>68028</v>
      </c>
    </row>
    <row r="53" spans="1:60">
      <c r="A53" s="222"/>
      <c r="B53" s="446">
        <v>41302</v>
      </c>
      <c r="C53" s="144">
        <v>36</v>
      </c>
      <c r="D53" s="286"/>
      <c r="E53" s="222"/>
      <c r="F53" s="222"/>
      <c r="G53" s="446">
        <v>41698</v>
      </c>
      <c r="H53" s="144">
        <v>37</v>
      </c>
      <c r="I53" s="286"/>
      <c r="J53" s="222"/>
      <c r="L53" s="446">
        <v>42032</v>
      </c>
      <c r="M53" s="144">
        <v>31</v>
      </c>
      <c r="N53" s="286"/>
      <c r="O53" s="222"/>
      <c r="P53" s="222"/>
      <c r="Q53" s="310">
        <v>42395</v>
      </c>
      <c r="R53" s="144">
        <v>29</v>
      </c>
      <c r="S53" s="286"/>
      <c r="T53" s="222"/>
      <c r="U53" s="222"/>
      <c r="V53" s="582">
        <v>42763</v>
      </c>
      <c r="W53" s="144">
        <v>41</v>
      </c>
      <c r="X53" s="286"/>
      <c r="Y53" s="222"/>
      <c r="Z53" s="222"/>
      <c r="AA53" s="582">
        <v>43159</v>
      </c>
      <c r="AB53" s="144">
        <v>32</v>
      </c>
      <c r="AC53" s="286"/>
      <c r="AD53" s="222"/>
      <c r="AF53" s="582">
        <v>43159</v>
      </c>
      <c r="AG53" s="144">
        <v>48</v>
      </c>
      <c r="AH53" s="286"/>
      <c r="AI53" s="222"/>
      <c r="AJ53" s="218"/>
      <c r="AK53" s="218"/>
      <c r="AL53" s="218"/>
      <c r="AM53" s="218"/>
      <c r="AN53" s="218"/>
    </row>
    <row r="54" spans="1:60">
      <c r="A54" s="222"/>
      <c r="B54" s="446">
        <v>41303</v>
      </c>
      <c r="C54" s="144">
        <v>35</v>
      </c>
      <c r="D54" s="286"/>
      <c r="E54" s="222"/>
      <c r="F54" s="222"/>
      <c r="G54" s="446"/>
      <c r="H54" s="144"/>
      <c r="I54" s="286"/>
      <c r="J54" s="222"/>
      <c r="L54" s="446">
        <v>42033</v>
      </c>
      <c r="M54" s="144">
        <v>34</v>
      </c>
      <c r="N54" s="286"/>
      <c r="O54" s="222"/>
      <c r="P54" s="222"/>
      <c r="Q54" s="310">
        <v>42396</v>
      </c>
      <c r="R54" s="144">
        <v>25</v>
      </c>
      <c r="S54" s="286"/>
      <c r="T54" s="222"/>
      <c r="U54" s="222"/>
      <c r="V54" s="582">
        <v>42764</v>
      </c>
      <c r="W54" s="144">
        <v>41</v>
      </c>
      <c r="X54" s="286"/>
      <c r="Y54" s="222"/>
      <c r="Z54" s="222"/>
      <c r="AA54" s="582"/>
      <c r="AB54" s="144"/>
      <c r="AC54" s="286"/>
      <c r="AD54" s="222"/>
      <c r="AF54" s="582"/>
      <c r="AG54" s="144"/>
      <c r="AH54" s="286"/>
      <c r="AI54" s="222"/>
      <c r="AJ54" s="218"/>
      <c r="AK54" s="218"/>
      <c r="AL54" s="218"/>
      <c r="AM54" s="218"/>
      <c r="AN54" s="218"/>
    </row>
    <row r="55" spans="1:60">
      <c r="A55" s="222"/>
      <c r="B55" s="446">
        <v>41304</v>
      </c>
      <c r="C55" s="144">
        <v>28</v>
      </c>
      <c r="D55" s="286"/>
      <c r="E55" s="222"/>
      <c r="F55" s="222"/>
      <c r="G55" s="446"/>
      <c r="H55" s="144"/>
      <c r="I55" s="286"/>
      <c r="J55" s="222"/>
      <c r="L55" s="446">
        <v>42034</v>
      </c>
      <c r="M55" s="144">
        <v>36</v>
      </c>
      <c r="N55" s="286"/>
      <c r="O55" s="222"/>
      <c r="P55" s="222"/>
      <c r="Q55" s="310">
        <v>42397</v>
      </c>
      <c r="R55" s="144">
        <v>26</v>
      </c>
      <c r="S55" s="286"/>
      <c r="T55" s="222"/>
      <c r="U55" s="222"/>
      <c r="V55" s="582">
        <v>42765</v>
      </c>
      <c r="W55" s="144">
        <v>41</v>
      </c>
      <c r="X55" s="286"/>
      <c r="Y55" s="222"/>
      <c r="Z55" s="222"/>
      <c r="AA55" s="582"/>
      <c r="AB55" s="144"/>
      <c r="AC55" s="286"/>
      <c r="AD55" s="222"/>
      <c r="AF55" s="582"/>
      <c r="AG55" s="144"/>
      <c r="AH55" s="286"/>
      <c r="AI55" s="222"/>
      <c r="AJ55" s="218"/>
      <c r="AK55" s="218"/>
      <c r="AL55" s="218"/>
      <c r="AM55" s="218"/>
      <c r="AN55" s="218"/>
    </row>
    <row r="56" spans="1:60">
      <c r="A56" s="222"/>
      <c r="B56" s="446">
        <v>41305</v>
      </c>
      <c r="C56" s="144">
        <v>28</v>
      </c>
      <c r="D56" s="222"/>
      <c r="E56" s="222"/>
      <c r="F56" s="222"/>
      <c r="G56" s="446"/>
      <c r="H56" s="144"/>
      <c r="I56" s="222"/>
      <c r="J56" s="222"/>
      <c r="L56" s="446">
        <v>42035</v>
      </c>
      <c r="M56" s="144">
        <v>34</v>
      </c>
      <c r="N56" s="222"/>
      <c r="O56" s="222"/>
      <c r="P56" s="222"/>
      <c r="Q56" s="572">
        <v>42398</v>
      </c>
      <c r="R56" s="144">
        <v>31</v>
      </c>
      <c r="S56" s="222"/>
      <c r="T56" s="222"/>
      <c r="U56" s="222"/>
      <c r="V56" s="572">
        <v>42766</v>
      </c>
      <c r="W56" s="144">
        <v>43</v>
      </c>
      <c r="X56" s="222"/>
      <c r="Y56" s="222"/>
      <c r="Z56" s="222"/>
      <c r="AA56" s="572"/>
      <c r="AB56" s="144"/>
      <c r="AC56" s="222"/>
      <c r="AD56" s="222"/>
      <c r="AF56" s="572"/>
      <c r="AG56" s="144"/>
      <c r="AI56" s="222"/>
      <c r="AJ56" s="218"/>
      <c r="AK56" s="218"/>
      <c r="AL56" s="218"/>
      <c r="AM56" s="218"/>
      <c r="AN56" s="218"/>
    </row>
    <row r="57" spans="1:60">
      <c r="A57" s="350"/>
      <c r="B57" s="314">
        <f>COUNT(B19:B56)</f>
        <v>31</v>
      </c>
      <c r="C57" s="314">
        <f>SUM(C19:C56)</f>
        <v>1243</v>
      </c>
      <c r="D57" s="315">
        <f>SUM(D19:D55)</f>
        <v>0.18664521319388577</v>
      </c>
      <c r="E57" s="314">
        <f>SUM(E19:E55)</f>
        <v>11917.856798069188</v>
      </c>
      <c r="F57" s="290"/>
      <c r="G57" s="314">
        <f>COUNT(G19:G56)</f>
        <v>28</v>
      </c>
      <c r="H57" s="314">
        <f>SUM(H19:H56)</f>
        <v>1085</v>
      </c>
      <c r="I57" s="315">
        <f>SUM(I19:I55)</f>
        <v>0.25990783410138252</v>
      </c>
      <c r="J57" s="314">
        <f>SUM(J19:J55)</f>
        <v>13882.717050691244</v>
      </c>
      <c r="L57" s="314">
        <f>COUNT(L19:L56)</f>
        <v>31</v>
      </c>
      <c r="M57" s="314">
        <f>SUM(M19:M56)</f>
        <v>1049</v>
      </c>
      <c r="N57" s="315">
        <f>SUM(N19:N55)</f>
        <v>0.19542421353670159</v>
      </c>
      <c r="O57" s="314">
        <f>SUM(O19:O55)</f>
        <v>10209.547187797902</v>
      </c>
      <c r="P57" s="350"/>
      <c r="Q57" s="350">
        <f>COUNT(Q19:Q56)</f>
        <v>31</v>
      </c>
      <c r="R57" s="314">
        <f>SUM(R19:R56)</f>
        <v>1080</v>
      </c>
      <c r="S57" s="315">
        <f>SUM(S19:S55)</f>
        <v>0.23611111111111113</v>
      </c>
      <c r="T57" s="314">
        <f>SUM(T19:T55)</f>
        <v>12335.152777777777</v>
      </c>
      <c r="U57" s="350"/>
      <c r="V57" s="350">
        <f>COUNT(V19:V56)</f>
        <v>31</v>
      </c>
      <c r="W57" s="314">
        <f>SUM(W19:W56)</f>
        <v>1379</v>
      </c>
      <c r="X57" s="315">
        <f>SUM(X19:X55)</f>
        <v>0.18926758520667147</v>
      </c>
      <c r="Y57" s="314">
        <f>SUM(Y19:Y55)</f>
        <v>10930.770848440899</v>
      </c>
      <c r="Z57" s="350"/>
      <c r="AA57" s="350">
        <f>COUNT(AA19:AA56)</f>
        <v>28</v>
      </c>
      <c r="AB57" s="314">
        <f>SUM(AB19:AB56)</f>
        <v>968</v>
      </c>
      <c r="AC57" s="315">
        <f>SUM(AC19:AC55)</f>
        <v>0.24793388429752067</v>
      </c>
      <c r="AD57" s="314">
        <f>SUM(AD19:AD55)</f>
        <v>13044.297520661157</v>
      </c>
      <c r="AE57" s="290"/>
      <c r="AF57" s="350">
        <f>COUNT(AF19:AF56)</f>
        <v>28</v>
      </c>
      <c r="AG57" s="314">
        <f>SUM(AG19:AG56)</f>
        <v>1218</v>
      </c>
      <c r="AH57" s="315">
        <f>SUM(AH19:AH55)</f>
        <v>0.20361247947454844</v>
      </c>
      <c r="AI57" s="314">
        <f>SUM(AI19:AI55)</f>
        <v>11235.947454844007</v>
      </c>
      <c r="AJ57" s="218"/>
      <c r="AK57" s="218"/>
      <c r="AL57" s="218"/>
      <c r="AM57" s="218"/>
      <c r="AO57" s="286"/>
    </row>
    <row r="58" spans="1:60">
      <c r="B58" s="310"/>
      <c r="D58" s="309">
        <f>5/C16</f>
        <v>0.16129032258064516</v>
      </c>
      <c r="F58" s="222"/>
      <c r="G58" s="310"/>
      <c r="I58" s="309">
        <f>5/H16</f>
        <v>0.17857142857142858</v>
      </c>
      <c r="L58" s="310"/>
      <c r="N58" s="309">
        <f>5/M16</f>
        <v>0.16129032258064516</v>
      </c>
      <c r="Q58" s="310"/>
      <c r="S58" s="309">
        <f>5/R16</f>
        <v>0.16129032258064516</v>
      </c>
      <c r="V58" s="310"/>
      <c r="X58" s="309">
        <f>5/W16</f>
        <v>0.16129032258064516</v>
      </c>
      <c r="AA58" s="310"/>
      <c r="AC58" s="309">
        <f>5/AB16</f>
        <v>0.17857142857142858</v>
      </c>
      <c r="AF58" s="310"/>
      <c r="AG58" s="218"/>
      <c r="AH58" s="309">
        <f>5/AG16</f>
        <v>0.17857142857142858</v>
      </c>
      <c r="AJ58" s="218"/>
      <c r="AK58" s="218"/>
      <c r="AL58" s="218"/>
      <c r="AM58" s="218"/>
      <c r="AO58" s="286"/>
    </row>
    <row r="59" spans="1:60">
      <c r="F59" s="222"/>
      <c r="G59" s="222"/>
      <c r="H59" s="222"/>
      <c r="I59" s="222"/>
      <c r="J59" s="222"/>
      <c r="AF59" s="218"/>
      <c r="AG59" s="218"/>
      <c r="AH59" s="218"/>
      <c r="AJ59" s="218"/>
      <c r="AK59" s="218"/>
      <c r="AL59" s="218"/>
      <c r="AM59" s="218"/>
      <c r="AN59" s="218"/>
    </row>
    <row r="60" spans="1:60" ht="13.8">
      <c r="A60" s="288"/>
      <c r="AF60" s="218"/>
      <c r="AG60" s="218"/>
      <c r="AH60" s="218"/>
    </row>
    <row r="61" spans="1:60" ht="13.8">
      <c r="A61" s="288"/>
      <c r="AF61" s="218"/>
      <c r="AG61" s="218"/>
      <c r="AH61" s="218"/>
      <c r="AX61" s="222">
        <v>1101</v>
      </c>
      <c r="AY61" s="286">
        <v>35531</v>
      </c>
      <c r="BF61" s="287"/>
    </row>
    <row r="62" spans="1:60">
      <c r="AF62" s="218"/>
      <c r="AG62" s="218"/>
      <c r="AH62" s="218"/>
      <c r="BG62" s="222"/>
      <c r="BH62" s="222"/>
    </row>
    <row r="63" spans="1:60">
      <c r="AF63" s="218"/>
      <c r="AG63" s="218"/>
      <c r="AH63" s="218"/>
    </row>
    <row r="64" spans="1:60">
      <c r="AF64" s="218"/>
      <c r="AG64" s="218"/>
      <c r="AH64" s="218"/>
    </row>
    <row r="65" spans="1:60">
      <c r="AF65" s="218"/>
      <c r="AG65" s="218"/>
      <c r="AH65" s="218"/>
    </row>
    <row r="66" spans="1:60" ht="13.8">
      <c r="A66" s="288" t="s">
        <v>1127</v>
      </c>
      <c r="F66" s="224"/>
      <c r="V66" s="304" t="s">
        <v>1209</v>
      </c>
      <c r="W66" s="284"/>
      <c r="X66" s="284"/>
      <c r="Y66" s="284"/>
      <c r="Z66" s="284"/>
      <c r="AA66" s="304" t="s">
        <v>1210</v>
      </c>
      <c r="AB66" s="284"/>
      <c r="AC66" s="284"/>
      <c r="AD66" s="284"/>
      <c r="AE66" s="513"/>
      <c r="AF66" s="304" t="s">
        <v>1343</v>
      </c>
      <c r="AG66" s="284"/>
      <c r="AH66" s="284"/>
      <c r="AI66" s="284"/>
      <c r="BG66" s="222"/>
      <c r="BH66" s="286"/>
    </row>
    <row r="67" spans="1:60">
      <c r="A67" s="298" t="s">
        <v>1005</v>
      </c>
      <c r="F67" s="224"/>
      <c r="K67" s="224"/>
      <c r="V67" s="302" t="s">
        <v>1001</v>
      </c>
      <c r="W67" s="302" t="s">
        <v>1000</v>
      </c>
      <c r="X67" s="302" t="s">
        <v>999</v>
      </c>
      <c r="Y67" s="302" t="s">
        <v>993</v>
      </c>
      <c r="Z67" s="302"/>
      <c r="AA67" s="302" t="s">
        <v>1001</v>
      </c>
      <c r="AB67" s="302" t="s">
        <v>1000</v>
      </c>
      <c r="AC67" s="302" t="s">
        <v>999</v>
      </c>
      <c r="AD67" s="302" t="s">
        <v>993</v>
      </c>
      <c r="AE67" s="514"/>
      <c r="AF67" s="302" t="s">
        <v>1001</v>
      </c>
      <c r="AG67" s="302" t="s">
        <v>1000</v>
      </c>
      <c r="AH67" s="302" t="s">
        <v>999</v>
      </c>
      <c r="AI67" s="302" t="s">
        <v>993</v>
      </c>
      <c r="BG67" s="222"/>
      <c r="BH67" s="286"/>
    </row>
    <row r="68" spans="1:60">
      <c r="B68" s="304" t="s">
        <v>1124</v>
      </c>
      <c r="C68" s="284"/>
      <c r="D68" s="284"/>
      <c r="E68" s="222"/>
      <c r="F68" s="513"/>
      <c r="G68" s="304" t="s">
        <v>1172</v>
      </c>
      <c r="H68" s="284"/>
      <c r="I68" s="284"/>
      <c r="J68" s="222"/>
      <c r="K68" s="222"/>
      <c r="L68" s="304" t="s">
        <v>1180</v>
      </c>
      <c r="M68" s="284"/>
      <c r="N68" s="284"/>
      <c r="O68" s="284"/>
      <c r="P68" s="284"/>
      <c r="Q68" s="304" t="s">
        <v>1199</v>
      </c>
      <c r="R68" s="284"/>
      <c r="S68" s="284"/>
      <c r="T68" s="284"/>
      <c r="U68" s="284"/>
      <c r="V68" s="301">
        <v>42766</v>
      </c>
      <c r="W68" s="144">
        <v>31</v>
      </c>
      <c r="X68" s="300">
        <v>1379</v>
      </c>
      <c r="Y68" s="300">
        <v>83561</v>
      </c>
      <c r="Z68" s="300"/>
      <c r="AA68" s="301">
        <v>43159</v>
      </c>
      <c r="AB68" s="144">
        <v>28</v>
      </c>
      <c r="AC68" s="300">
        <v>968</v>
      </c>
      <c r="AD68" s="300">
        <v>68904</v>
      </c>
      <c r="AE68" s="300"/>
      <c r="AF68" s="301">
        <v>43524</v>
      </c>
      <c r="AG68" s="144">
        <v>28</v>
      </c>
      <c r="AH68" s="300">
        <v>1218</v>
      </c>
      <c r="AI68" s="300">
        <v>76233</v>
      </c>
      <c r="AJ68" s="218"/>
      <c r="AK68" s="218"/>
      <c r="AL68" s="218"/>
      <c r="AM68" s="218"/>
      <c r="AO68" s="286"/>
    </row>
    <row r="69" spans="1:60">
      <c r="B69" s="302" t="s">
        <v>1001</v>
      </c>
      <c r="C69" s="302" t="s">
        <v>1000</v>
      </c>
      <c r="D69" s="302" t="s">
        <v>999</v>
      </c>
      <c r="E69" s="302" t="s">
        <v>993</v>
      </c>
      <c r="F69" s="514"/>
      <c r="G69" s="302" t="s">
        <v>1001</v>
      </c>
      <c r="H69" s="302" t="s">
        <v>1000</v>
      </c>
      <c r="I69" s="302" t="s">
        <v>999</v>
      </c>
      <c r="J69" s="302" t="s">
        <v>993</v>
      </c>
      <c r="K69" s="302"/>
      <c r="L69" s="302" t="s">
        <v>1001</v>
      </c>
      <c r="M69" s="302" t="s">
        <v>1000</v>
      </c>
      <c r="N69" s="302" t="s">
        <v>999</v>
      </c>
      <c r="O69" s="302" t="s">
        <v>993</v>
      </c>
      <c r="P69" s="302"/>
      <c r="Q69" s="302" t="s">
        <v>1001</v>
      </c>
      <c r="R69" s="302" t="s">
        <v>1000</v>
      </c>
      <c r="S69" s="302" t="s">
        <v>999</v>
      </c>
      <c r="T69" s="302" t="s">
        <v>993</v>
      </c>
      <c r="U69" s="302"/>
      <c r="W69" s="287"/>
      <c r="X69" s="297"/>
      <c r="Y69" s="287">
        <f>Y68/W68</f>
        <v>2695.516129032258</v>
      </c>
      <c r="Z69" s="287"/>
      <c r="AB69" s="287"/>
      <c r="AC69" s="297"/>
      <c r="AD69" s="287">
        <f>AD68/AB68</f>
        <v>2460.8571428571427</v>
      </c>
      <c r="AE69" s="286"/>
      <c r="AF69" s="218"/>
      <c r="AG69" s="287"/>
      <c r="AH69" s="297"/>
      <c r="AI69" s="287">
        <f>AI68/AG68</f>
        <v>2722.6071428571427</v>
      </c>
      <c r="AJ69" s="218"/>
      <c r="AK69" s="218"/>
      <c r="AL69" s="218"/>
      <c r="AM69" s="218"/>
      <c r="AO69" s="286"/>
    </row>
    <row r="70" spans="1:60">
      <c r="B70" s="301">
        <v>41298</v>
      </c>
      <c r="C70" s="144">
        <v>29</v>
      </c>
      <c r="D70" s="300">
        <v>1228</v>
      </c>
      <c r="E70" s="144">
        <v>76053</v>
      </c>
      <c r="F70" s="300"/>
      <c r="G70" s="301">
        <v>41697</v>
      </c>
      <c r="H70" s="144">
        <v>30</v>
      </c>
      <c r="I70" s="300">
        <v>1168</v>
      </c>
      <c r="J70" s="144">
        <v>75917</v>
      </c>
      <c r="K70" s="144"/>
      <c r="L70" s="301">
        <v>42035</v>
      </c>
      <c r="M70" s="144">
        <v>31</v>
      </c>
      <c r="N70" s="300">
        <v>1049</v>
      </c>
      <c r="O70" s="144">
        <v>72050</v>
      </c>
      <c r="P70" s="144"/>
      <c r="Q70" s="301">
        <v>42035</v>
      </c>
      <c r="R70" s="144">
        <v>31</v>
      </c>
      <c r="S70" s="300">
        <v>1080</v>
      </c>
      <c r="T70" s="144">
        <v>65775</v>
      </c>
      <c r="U70" s="144"/>
      <c r="W70" s="287"/>
      <c r="X70" s="297"/>
      <c r="Y70" s="287">
        <f>Y69*5</f>
        <v>13477.58064516129</v>
      </c>
      <c r="Z70" s="287"/>
      <c r="AB70" s="287"/>
      <c r="AC70" s="297"/>
      <c r="AD70" s="287">
        <f>AD69*5</f>
        <v>12304.285714285714</v>
      </c>
      <c r="AE70" s="286"/>
      <c r="AF70" s="218"/>
      <c r="AG70" s="287"/>
      <c r="AH70" s="297"/>
      <c r="AI70" s="287">
        <f>AI69*5</f>
        <v>13613.035714285714</v>
      </c>
      <c r="AJ70" s="218"/>
      <c r="AK70" s="218"/>
      <c r="AL70" s="218"/>
      <c r="AM70" s="218"/>
      <c r="AO70" s="286"/>
    </row>
    <row r="71" spans="1:60">
      <c r="C71" s="287"/>
      <c r="D71" s="297"/>
      <c r="E71" s="287">
        <f>E70/C70</f>
        <v>2622.5172413793102</v>
      </c>
      <c r="F71" s="454"/>
      <c r="H71" s="287"/>
      <c r="I71" s="297"/>
      <c r="J71" s="287">
        <f>J70/H70</f>
        <v>2530.5666666666666</v>
      </c>
      <c r="K71" s="287"/>
      <c r="M71" s="287"/>
      <c r="N71" s="297"/>
      <c r="O71" s="287">
        <f>O70/M70</f>
        <v>2324.1935483870966</v>
      </c>
      <c r="P71" s="287"/>
      <c r="R71" s="287"/>
      <c r="S71" s="297"/>
      <c r="T71" s="287">
        <f>T70/R70</f>
        <v>2121.7741935483873</v>
      </c>
      <c r="U71" s="287"/>
      <c r="V71" s="292"/>
      <c r="W71" s="291"/>
      <c r="X71" s="294"/>
      <c r="Y71" s="290"/>
      <c r="Z71" s="290"/>
      <c r="AA71" s="292"/>
      <c r="AB71" s="291"/>
      <c r="AC71" s="294"/>
      <c r="AD71" s="290"/>
      <c r="AE71" s="290"/>
      <c r="AF71" s="292"/>
      <c r="AG71" s="291"/>
      <c r="AH71" s="294"/>
      <c r="AI71" s="290"/>
      <c r="AJ71" s="218"/>
      <c r="AK71" s="218"/>
      <c r="AL71" s="299"/>
      <c r="AM71" s="299"/>
      <c r="AN71" s="299"/>
      <c r="AO71" s="299">
        <f>RSQ(AN74:AN111,AO74:AO111)</f>
        <v>0.95984195883461798</v>
      </c>
      <c r="AP71" s="299" t="s">
        <v>998</v>
      </c>
    </row>
    <row r="72" spans="1:60">
      <c r="C72" s="287"/>
      <c r="D72" s="297"/>
      <c r="E72" s="287">
        <f>E71*5</f>
        <v>13112.586206896551</v>
      </c>
      <c r="F72" s="454"/>
      <c r="H72" s="287"/>
      <c r="I72" s="297"/>
      <c r="J72" s="287">
        <f>J71*5</f>
        <v>12652.833333333332</v>
      </c>
      <c r="K72" s="287"/>
      <c r="M72" s="287"/>
      <c r="N72" s="297"/>
      <c r="O72" s="287">
        <f>O71*5</f>
        <v>11620.967741935483</v>
      </c>
      <c r="P72" s="287"/>
      <c r="R72" s="287"/>
      <c r="S72" s="297"/>
      <c r="T72" s="287">
        <f>T71*5</f>
        <v>10608.870967741936</v>
      </c>
      <c r="U72" s="287"/>
      <c r="V72" s="310"/>
      <c r="W72" s="303"/>
      <c r="X72" s="297"/>
      <c r="Y72" s="287"/>
      <c r="Z72" s="287"/>
      <c r="AA72" s="310"/>
      <c r="AB72" s="303"/>
      <c r="AC72" s="297"/>
      <c r="AD72" s="287"/>
      <c r="AE72" s="286"/>
      <c r="AF72" s="310"/>
      <c r="AG72" s="303"/>
      <c r="AH72" s="297"/>
      <c r="AI72" s="287"/>
      <c r="AJ72" s="218"/>
      <c r="AK72" s="218"/>
      <c r="AL72" s="218"/>
      <c r="AM72" s="298" t="s">
        <v>997</v>
      </c>
      <c r="AN72" s="218"/>
      <c r="AO72" s="218">
        <f>CORREL(AN74:AN111,AO74:AO111)</f>
        <v>0.97971524374923269</v>
      </c>
      <c r="AP72" s="218" t="s">
        <v>996</v>
      </c>
    </row>
    <row r="73" spans="1:60">
      <c r="F73" s="222"/>
      <c r="L73" s="292"/>
      <c r="M73" s="291"/>
      <c r="N73" s="294"/>
      <c r="O73" s="290"/>
      <c r="P73" s="290"/>
      <c r="Q73" s="292"/>
      <c r="R73" s="291"/>
      <c r="S73" s="294"/>
      <c r="T73" s="290"/>
      <c r="U73" s="290"/>
      <c r="V73" s="310"/>
      <c r="W73" s="303"/>
      <c r="X73" s="297"/>
      <c r="Y73" s="287"/>
      <c r="Z73" s="287"/>
      <c r="AA73" s="310"/>
      <c r="AB73" s="303"/>
      <c r="AC73" s="297"/>
      <c r="AD73" s="287"/>
      <c r="AE73" s="286"/>
      <c r="AF73" s="310"/>
      <c r="AG73" s="303"/>
      <c r="AH73" s="297"/>
      <c r="AI73" s="287"/>
      <c r="AJ73" s="218"/>
      <c r="AK73" s="218"/>
      <c r="AL73" s="218"/>
      <c r="AM73" s="296" t="s">
        <v>995</v>
      </c>
      <c r="AN73" s="295" t="s">
        <v>994</v>
      </c>
      <c r="AO73" s="295" t="s">
        <v>993</v>
      </c>
    </row>
    <row r="74" spans="1:60">
      <c r="F74" s="222"/>
      <c r="L74" s="310"/>
      <c r="M74" s="303"/>
      <c r="N74" s="297"/>
      <c r="O74" s="287"/>
      <c r="P74" s="287"/>
      <c r="Q74" s="310"/>
      <c r="R74" s="303"/>
      <c r="S74" s="297"/>
      <c r="T74" s="287"/>
      <c r="U74" s="287"/>
      <c r="V74" s="310"/>
      <c r="W74" s="303"/>
      <c r="X74" s="297"/>
      <c r="Y74" s="287"/>
      <c r="Z74" s="287"/>
      <c r="AA74" s="310"/>
      <c r="AB74" s="303"/>
      <c r="AC74" s="297"/>
      <c r="AD74" s="287"/>
      <c r="AE74" s="286"/>
      <c r="AF74" s="310"/>
      <c r="AG74" s="303"/>
      <c r="AH74" s="297"/>
      <c r="AI74" s="287"/>
      <c r="AJ74" s="218"/>
      <c r="AK74" s="218"/>
      <c r="AL74" s="218"/>
      <c r="AM74" s="287"/>
      <c r="AN74" s="222">
        <v>868</v>
      </c>
      <c r="AO74" s="286">
        <v>65866</v>
      </c>
    </row>
    <row r="75" spans="1:60">
      <c r="F75" s="222"/>
      <c r="L75" s="310"/>
      <c r="M75" s="303"/>
      <c r="N75" s="297"/>
      <c r="O75" s="287"/>
      <c r="P75" s="287"/>
      <c r="Q75" s="310"/>
      <c r="R75" s="303"/>
      <c r="S75" s="297"/>
      <c r="T75" s="287"/>
      <c r="U75" s="287"/>
      <c r="V75" s="310"/>
      <c r="W75" s="303"/>
      <c r="X75" s="297"/>
      <c r="Y75" s="287"/>
      <c r="Z75" s="287"/>
      <c r="AA75" s="310"/>
      <c r="AB75" s="303"/>
      <c r="AC75" s="297"/>
      <c r="AD75" s="287"/>
      <c r="AE75" s="286"/>
      <c r="AF75" s="310"/>
      <c r="AG75" s="303"/>
      <c r="AH75" s="297"/>
      <c r="AI75" s="287"/>
      <c r="AJ75" s="218"/>
      <c r="AK75" s="218"/>
      <c r="AL75" s="218"/>
      <c r="AM75" s="218"/>
      <c r="AN75" s="222">
        <v>502</v>
      </c>
      <c r="AO75" s="286">
        <v>51433</v>
      </c>
    </row>
    <row r="76" spans="1:60">
      <c r="A76" s="286"/>
      <c r="B76" s="446"/>
      <c r="C76" s="144"/>
      <c r="D76" s="454"/>
      <c r="E76" s="286"/>
      <c r="F76" s="454"/>
      <c r="G76" s="446"/>
      <c r="H76" s="144"/>
      <c r="I76" s="454"/>
      <c r="J76" s="286"/>
      <c r="K76" s="286"/>
      <c r="L76" s="310"/>
      <c r="M76" s="303"/>
      <c r="N76" s="297"/>
      <c r="O76" s="287"/>
      <c r="P76" s="287"/>
      <c r="Q76" s="310"/>
      <c r="R76" s="303"/>
      <c r="S76" s="297"/>
      <c r="T76" s="287"/>
      <c r="U76" s="287"/>
      <c r="V76" s="310"/>
      <c r="W76" s="303"/>
      <c r="X76" s="297"/>
      <c r="Y76" s="287"/>
      <c r="Z76" s="287"/>
      <c r="AA76" s="310"/>
      <c r="AB76" s="303"/>
      <c r="AC76" s="297"/>
      <c r="AD76" s="287"/>
      <c r="AE76" s="286"/>
      <c r="AF76" s="310"/>
      <c r="AG76" s="303"/>
      <c r="AH76" s="297"/>
      <c r="AI76" s="287"/>
      <c r="AJ76" s="218"/>
      <c r="AK76" s="218"/>
      <c r="AL76" s="218"/>
      <c r="AM76" s="218"/>
      <c r="AN76" s="222">
        <v>100</v>
      </c>
      <c r="AO76" s="286">
        <v>37595</v>
      </c>
    </row>
    <row r="77" spans="1:60">
      <c r="A77" s="286"/>
      <c r="B77" s="446"/>
      <c r="C77" s="144"/>
      <c r="D77" s="454"/>
      <c r="E77" s="286"/>
      <c r="F77" s="454"/>
      <c r="G77" s="446"/>
      <c r="H77" s="144"/>
      <c r="I77" s="454"/>
      <c r="J77" s="286"/>
      <c r="K77" s="286"/>
      <c r="L77" s="310"/>
      <c r="M77" s="303"/>
      <c r="N77" s="297"/>
      <c r="O77" s="287"/>
      <c r="P77" s="287"/>
      <c r="Q77" s="310"/>
      <c r="R77" s="303"/>
      <c r="S77" s="297"/>
      <c r="T77" s="287"/>
      <c r="U77" s="287"/>
      <c r="V77" s="310"/>
      <c r="W77" s="303"/>
      <c r="X77" s="297"/>
      <c r="Y77" s="287"/>
      <c r="Z77" s="287"/>
      <c r="AA77" s="310"/>
      <c r="AB77" s="303"/>
      <c r="AC77" s="297"/>
      <c r="AD77" s="287"/>
      <c r="AE77" s="286"/>
      <c r="AF77" s="310"/>
      <c r="AG77" s="303"/>
      <c r="AH77" s="297"/>
      <c r="AI77" s="287"/>
      <c r="AJ77" s="218"/>
      <c r="AK77" s="218"/>
      <c r="AL77" s="218"/>
      <c r="AM77" s="218"/>
      <c r="AN77" s="222">
        <v>7</v>
      </c>
      <c r="AO77" s="286">
        <v>35246</v>
      </c>
    </row>
    <row r="78" spans="1:60">
      <c r="A78" s="286"/>
      <c r="B78" s="446"/>
      <c r="C78" s="144"/>
      <c r="D78" s="454"/>
      <c r="E78" s="286"/>
      <c r="F78" s="454"/>
      <c r="G78" s="446"/>
      <c r="H78" s="144"/>
      <c r="I78" s="454"/>
      <c r="J78" s="286"/>
      <c r="K78" s="286"/>
      <c r="L78" s="310"/>
      <c r="M78" s="303"/>
      <c r="N78" s="297"/>
      <c r="O78" s="287"/>
      <c r="P78" s="287"/>
      <c r="Q78" s="310"/>
      <c r="R78" s="303"/>
      <c r="S78" s="297"/>
      <c r="T78" s="287"/>
      <c r="U78" s="287"/>
      <c r="V78" s="582">
        <v>42736</v>
      </c>
      <c r="W78" s="144">
        <v>42</v>
      </c>
      <c r="AA78" s="582">
        <v>43132</v>
      </c>
      <c r="AB78" s="144">
        <v>30</v>
      </c>
      <c r="AF78" s="582">
        <v>43132</v>
      </c>
      <c r="AG78" s="144">
        <v>33</v>
      </c>
      <c r="AH78" s="218"/>
      <c r="AJ78" s="218"/>
      <c r="AK78" s="218"/>
      <c r="AL78" s="218"/>
      <c r="AM78" s="218"/>
      <c r="AN78" s="222">
        <v>2</v>
      </c>
      <c r="AO78" s="286">
        <v>29597</v>
      </c>
    </row>
    <row r="79" spans="1:60">
      <c r="A79" s="286"/>
      <c r="B79" s="446"/>
      <c r="C79" s="144"/>
      <c r="D79" s="454"/>
      <c r="E79" s="286"/>
      <c r="F79" s="454"/>
      <c r="G79" s="446">
        <v>41668</v>
      </c>
      <c r="H79" s="303">
        <v>39</v>
      </c>
      <c r="I79" s="454"/>
      <c r="J79" s="286"/>
      <c r="K79" s="286"/>
      <c r="L79" s="446"/>
      <c r="M79" s="303"/>
      <c r="N79" s="297"/>
      <c r="O79" s="287"/>
      <c r="P79" s="287"/>
      <c r="Q79" s="446"/>
      <c r="R79" s="303"/>
      <c r="S79" s="297"/>
      <c r="T79" s="287"/>
      <c r="U79" s="287"/>
      <c r="V79" s="582">
        <v>42737</v>
      </c>
      <c r="W79" s="144">
        <v>49</v>
      </c>
      <c r="AA79" s="582">
        <v>43133</v>
      </c>
      <c r="AB79" s="144">
        <v>27</v>
      </c>
      <c r="AF79" s="582">
        <v>43133</v>
      </c>
      <c r="AG79" s="144">
        <v>27</v>
      </c>
      <c r="AH79" s="218"/>
      <c r="AJ79" s="218"/>
      <c r="AK79" s="218"/>
      <c r="AL79" s="218"/>
      <c r="AM79" s="287"/>
      <c r="AN79" s="222">
        <v>220</v>
      </c>
      <c r="AO79" s="286">
        <v>43487</v>
      </c>
    </row>
    <row r="80" spans="1:60">
      <c r="A80" s="286"/>
      <c r="B80" s="446"/>
      <c r="C80" s="144"/>
      <c r="D80" s="454"/>
      <c r="E80" s="286"/>
      <c r="F80" s="454"/>
      <c r="G80" s="446">
        <v>41669</v>
      </c>
      <c r="H80" s="303">
        <v>39</v>
      </c>
      <c r="I80" s="454"/>
      <c r="J80" s="286"/>
      <c r="K80" s="286"/>
      <c r="L80" s="447">
        <v>42005</v>
      </c>
      <c r="M80" s="303">
        <v>51</v>
      </c>
      <c r="N80" s="451">
        <f>M80/$M$111</f>
        <v>4.8617731172545281E-2</v>
      </c>
      <c r="O80" s="452">
        <f>N80*$O$70</f>
        <v>3502.9075309818877</v>
      </c>
      <c r="P80" s="452"/>
      <c r="Q80" s="573">
        <v>42368</v>
      </c>
      <c r="R80" s="144">
        <v>45</v>
      </c>
      <c r="S80" s="451">
        <f>R80/$S$70</f>
        <v>4.1666666666666664E-2</v>
      </c>
      <c r="T80" s="583">
        <f>S80*$O$70</f>
        <v>3002.083333333333</v>
      </c>
      <c r="U80" s="452"/>
      <c r="V80" s="573">
        <v>42738</v>
      </c>
      <c r="W80" s="144">
        <v>54</v>
      </c>
      <c r="X80" s="451">
        <f>W78/$X$68</f>
        <v>3.0456852791878174E-2</v>
      </c>
      <c r="Y80" s="583">
        <f>X80*$Y$68</f>
        <v>2545.0050761421321</v>
      </c>
      <c r="Z80" s="452"/>
      <c r="AA80" s="582">
        <v>43134</v>
      </c>
      <c r="AB80" s="144">
        <v>19</v>
      </c>
      <c r="AF80" s="582">
        <v>43134</v>
      </c>
      <c r="AG80" s="144">
        <v>35</v>
      </c>
      <c r="AH80" s="218"/>
      <c r="AJ80" s="218"/>
      <c r="AK80" s="218"/>
      <c r="AL80" s="218"/>
      <c r="AM80" s="287"/>
      <c r="AN80" s="222">
        <v>280</v>
      </c>
      <c r="AO80" s="286">
        <v>41523</v>
      </c>
    </row>
    <row r="81" spans="1:41">
      <c r="A81" s="222"/>
      <c r="B81" s="446"/>
      <c r="C81" s="144"/>
      <c r="D81" s="286"/>
      <c r="E81" s="222"/>
      <c r="F81" s="286"/>
      <c r="G81" s="446">
        <v>41670</v>
      </c>
      <c r="H81" s="303">
        <v>42</v>
      </c>
      <c r="I81" s="286"/>
      <c r="J81" s="222"/>
      <c r="K81" s="222"/>
      <c r="L81" s="448">
        <v>42006</v>
      </c>
      <c r="M81" s="144">
        <v>44</v>
      </c>
      <c r="N81" s="451">
        <f>M81/$M$111</f>
        <v>4.1944709246901808E-2</v>
      </c>
      <c r="O81" s="452">
        <f>N81*$O$70</f>
        <v>3022.1163012392753</v>
      </c>
      <c r="P81" s="452"/>
      <c r="Q81" s="574">
        <v>42369</v>
      </c>
      <c r="R81" s="144">
        <v>52</v>
      </c>
      <c r="S81" s="451">
        <f>R81/$S$70</f>
        <v>4.8148148148148148E-2</v>
      </c>
      <c r="T81" s="583">
        <f>S81*$O$70</f>
        <v>3469.0740740740739</v>
      </c>
      <c r="U81" s="452"/>
      <c r="V81" s="574">
        <v>42739</v>
      </c>
      <c r="W81" s="144">
        <v>57</v>
      </c>
      <c r="X81" s="451">
        <f>W79/$X$68</f>
        <v>3.553299492385787E-2</v>
      </c>
      <c r="Y81" s="583">
        <f>X81*$Y$68</f>
        <v>2969.1725888324877</v>
      </c>
      <c r="Z81" s="452"/>
      <c r="AA81" s="582">
        <v>43135</v>
      </c>
      <c r="AB81" s="144">
        <v>18</v>
      </c>
      <c r="AF81" s="582">
        <v>43135</v>
      </c>
      <c r="AG81" s="144">
        <v>43</v>
      </c>
      <c r="AH81" s="218"/>
      <c r="AJ81" s="218"/>
      <c r="AK81" s="218"/>
      <c r="AL81" s="218"/>
      <c r="AM81" s="287"/>
      <c r="AN81" s="222">
        <v>575</v>
      </c>
      <c r="AO81" s="286">
        <v>52085</v>
      </c>
    </row>
    <row r="82" spans="1:41">
      <c r="A82" s="222"/>
      <c r="B82" s="446">
        <v>41270</v>
      </c>
      <c r="C82" s="144">
        <v>36</v>
      </c>
      <c r="D82" s="286"/>
      <c r="E82" s="222"/>
      <c r="F82" s="286"/>
      <c r="G82" s="446">
        <v>41671</v>
      </c>
      <c r="H82" s="303">
        <v>52</v>
      </c>
      <c r="I82" s="286"/>
      <c r="J82" s="222"/>
      <c r="K82" s="222"/>
      <c r="L82" s="448">
        <v>42007</v>
      </c>
      <c r="M82" s="144">
        <v>48</v>
      </c>
      <c r="N82" s="451">
        <f>M82/$M$111</f>
        <v>4.5757864632983793E-2</v>
      </c>
      <c r="O82" s="452">
        <f>N82*$O$70</f>
        <v>3296.8541468064823</v>
      </c>
      <c r="P82" s="452"/>
      <c r="Q82" s="574">
        <v>42370</v>
      </c>
      <c r="R82" s="144">
        <v>54</v>
      </c>
      <c r="S82" s="451">
        <f>R82/$S$70</f>
        <v>0.05</v>
      </c>
      <c r="T82" s="583">
        <f>S82*$O$70</f>
        <v>3602.5</v>
      </c>
      <c r="U82" s="452"/>
      <c r="V82" s="574">
        <v>42740</v>
      </c>
      <c r="W82" s="144">
        <v>59</v>
      </c>
      <c r="X82" s="451">
        <f>W80/$X$68</f>
        <v>3.9158810732414791E-2</v>
      </c>
      <c r="Y82" s="583">
        <f>X82*$Y$68</f>
        <v>3272.1493836113123</v>
      </c>
      <c r="Z82" s="452"/>
      <c r="AA82" s="582">
        <v>43136</v>
      </c>
      <c r="AB82" s="144">
        <v>22</v>
      </c>
      <c r="AF82" s="582">
        <v>43136</v>
      </c>
      <c r="AG82" s="144">
        <v>44</v>
      </c>
      <c r="AH82" s="218"/>
      <c r="AJ82" s="218"/>
      <c r="AK82" s="218"/>
      <c r="AL82" s="218"/>
      <c r="AM82" s="287"/>
      <c r="AN82" s="222">
        <v>811</v>
      </c>
      <c r="AO82" s="286">
        <v>62779</v>
      </c>
    </row>
    <row r="83" spans="1:41">
      <c r="A83" s="286"/>
      <c r="B83" s="446">
        <v>41271</v>
      </c>
      <c r="C83" s="144">
        <v>39</v>
      </c>
      <c r="D83" s="450"/>
      <c r="E83" s="286"/>
      <c r="F83" s="450"/>
      <c r="G83" s="446">
        <v>41672</v>
      </c>
      <c r="H83" s="144">
        <v>40</v>
      </c>
      <c r="I83" s="450"/>
      <c r="J83" s="286"/>
      <c r="K83" s="286"/>
      <c r="L83" s="448">
        <v>42008</v>
      </c>
      <c r="M83" s="144">
        <v>35</v>
      </c>
      <c r="N83" s="451">
        <f>M83/$M$111</f>
        <v>3.336510962821735E-2</v>
      </c>
      <c r="O83" s="452">
        <f>N83*$O$70</f>
        <v>2403.95614871306</v>
      </c>
      <c r="P83" s="452"/>
      <c r="Q83" s="574">
        <v>42371</v>
      </c>
      <c r="R83" s="144">
        <v>55</v>
      </c>
      <c r="S83" s="451">
        <f>R83/$S$70</f>
        <v>5.0925925925925923E-2</v>
      </c>
      <c r="T83" s="583">
        <f>S83*$O$70</f>
        <v>3669.2129629629626</v>
      </c>
      <c r="U83" s="452"/>
      <c r="V83" s="574">
        <v>42741</v>
      </c>
      <c r="W83" s="144">
        <v>56</v>
      </c>
      <c r="X83" s="451">
        <f>W81/$X$68</f>
        <v>4.1334300217548949E-2</v>
      </c>
      <c r="Y83" s="583">
        <f>X83*$Y$68</f>
        <v>3453.9354604786076</v>
      </c>
      <c r="Z83" s="452"/>
      <c r="AA83" s="582">
        <v>43137</v>
      </c>
      <c r="AB83" s="144">
        <v>25</v>
      </c>
      <c r="AF83" s="582">
        <v>43137</v>
      </c>
      <c r="AG83" s="144">
        <v>50</v>
      </c>
      <c r="AH83" s="451">
        <f>AG83/$AH$68</f>
        <v>4.1050903119868636E-2</v>
      </c>
      <c r="AI83" s="583">
        <f>AH83*$AI$68</f>
        <v>3129.4334975369457</v>
      </c>
      <c r="AJ83" s="218"/>
      <c r="AK83" s="218"/>
      <c r="AL83" s="218"/>
      <c r="AM83" s="287"/>
      <c r="AN83" s="222">
        <v>920</v>
      </c>
      <c r="AO83" s="286">
        <v>65467</v>
      </c>
    </row>
    <row r="84" spans="1:41">
      <c r="A84" s="286"/>
      <c r="B84" s="446">
        <v>41272</v>
      </c>
      <c r="C84" s="144">
        <v>45</v>
      </c>
      <c r="D84" s="450"/>
      <c r="E84" s="286"/>
      <c r="F84" s="450"/>
      <c r="G84" s="447">
        <v>41673</v>
      </c>
      <c r="H84" s="144">
        <v>49</v>
      </c>
      <c r="I84" s="451">
        <f>H84/$I$70</f>
        <v>4.1952054794520549E-2</v>
      </c>
      <c r="J84" s="452">
        <f>I84*$J$70</f>
        <v>3184.8741438356165</v>
      </c>
      <c r="K84" s="452"/>
      <c r="L84" s="449">
        <v>42009</v>
      </c>
      <c r="M84" s="144">
        <v>27</v>
      </c>
      <c r="N84" s="451">
        <f>M84/$M$111</f>
        <v>2.5738798856053385E-2</v>
      </c>
      <c r="O84" s="452">
        <f>N84*$O$70</f>
        <v>1854.4804575786463</v>
      </c>
      <c r="P84" s="452"/>
      <c r="Q84" s="575">
        <v>42372</v>
      </c>
      <c r="R84" s="144">
        <v>49</v>
      </c>
      <c r="S84" s="451">
        <f>R84/$S$70</f>
        <v>4.5370370370370373E-2</v>
      </c>
      <c r="T84" s="583">
        <f>S84*$O$70</f>
        <v>3268.9351851851852</v>
      </c>
      <c r="U84" s="452"/>
      <c r="V84" s="575">
        <v>42742</v>
      </c>
      <c r="W84" s="144">
        <v>57</v>
      </c>
      <c r="X84" s="451">
        <f>W82/$X$68</f>
        <v>4.2784626540971718E-2</v>
      </c>
      <c r="Y84" s="583">
        <f>X84*$Y$68</f>
        <v>3575.1261783901377</v>
      </c>
      <c r="Z84" s="452"/>
      <c r="AA84" s="582">
        <v>43138</v>
      </c>
      <c r="AB84" s="144">
        <v>22</v>
      </c>
      <c r="AF84" s="582">
        <v>43138</v>
      </c>
      <c r="AG84" s="144">
        <v>50</v>
      </c>
      <c r="AH84" s="451">
        <f>AG84/$AH$68</f>
        <v>4.1050903119868636E-2</v>
      </c>
      <c r="AI84" s="583">
        <f>AH84*$AI$68</f>
        <v>3129.4334975369457</v>
      </c>
      <c r="AJ84" s="218"/>
      <c r="AK84" s="218"/>
      <c r="AL84" s="218"/>
      <c r="AM84" s="287"/>
      <c r="AN84" s="222">
        <v>1228</v>
      </c>
      <c r="AO84" s="286">
        <v>76053</v>
      </c>
    </row>
    <row r="85" spans="1:41">
      <c r="A85" s="286"/>
      <c r="B85" s="446">
        <v>41273</v>
      </c>
      <c r="C85" s="144">
        <v>42</v>
      </c>
      <c r="D85" s="450"/>
      <c r="E85" s="286"/>
      <c r="F85" s="450"/>
      <c r="G85" s="448">
        <v>41674</v>
      </c>
      <c r="H85" s="144">
        <v>57</v>
      </c>
      <c r="I85" s="451">
        <f>H85/$I$70</f>
        <v>4.8801369863013699E-2</v>
      </c>
      <c r="J85" s="452">
        <f>I85*$J$70</f>
        <v>3704.8535958904108</v>
      </c>
      <c r="K85" s="452"/>
      <c r="L85" s="446">
        <v>42010</v>
      </c>
      <c r="M85" s="144">
        <v>27</v>
      </c>
      <c r="O85" s="452"/>
      <c r="P85" s="452"/>
      <c r="Q85" s="310">
        <v>42373</v>
      </c>
      <c r="R85" s="144">
        <v>38</v>
      </c>
      <c r="T85" s="452"/>
      <c r="U85" s="452"/>
      <c r="V85" s="582">
        <v>42743</v>
      </c>
      <c r="W85" s="144">
        <v>42</v>
      </c>
      <c r="X85" s="450"/>
      <c r="Y85" s="286"/>
      <c r="Z85" s="286"/>
      <c r="AA85" s="582">
        <v>43139</v>
      </c>
      <c r="AB85" s="144">
        <v>20</v>
      </c>
      <c r="AC85" s="450"/>
      <c r="AD85" s="286"/>
      <c r="AE85" s="286"/>
      <c r="AF85" s="582">
        <v>43139</v>
      </c>
      <c r="AG85" s="144">
        <v>43</v>
      </c>
      <c r="AH85" s="451">
        <f>AG85/$AH$68</f>
        <v>3.5303776683087026E-2</v>
      </c>
      <c r="AI85" s="583">
        <f>AH85*$AI$68</f>
        <v>2691.3128078817731</v>
      </c>
      <c r="AJ85" s="218"/>
      <c r="AK85" s="218"/>
      <c r="AL85" s="218"/>
      <c r="AM85" s="287"/>
      <c r="AN85" s="222">
        <v>1089</v>
      </c>
      <c r="AO85" s="286">
        <v>77926</v>
      </c>
    </row>
    <row r="86" spans="1:41">
      <c r="A86" s="286"/>
      <c r="B86" s="446">
        <v>41274</v>
      </c>
      <c r="C86" s="144">
        <v>47</v>
      </c>
      <c r="D86" s="450"/>
      <c r="E86" s="286"/>
      <c r="F86" s="450"/>
      <c r="G86" s="448">
        <v>41675</v>
      </c>
      <c r="H86" s="144">
        <v>60</v>
      </c>
      <c r="I86" s="451">
        <f>H86/$I$70</f>
        <v>5.1369863013698627E-2</v>
      </c>
      <c r="J86" s="452">
        <f>I86*$J$70</f>
        <v>3899.8458904109589</v>
      </c>
      <c r="K86" s="452"/>
      <c r="L86" s="446">
        <v>42011</v>
      </c>
      <c r="M86" s="144">
        <v>33</v>
      </c>
      <c r="Q86" s="310">
        <v>42374</v>
      </c>
      <c r="R86" s="144">
        <v>34</v>
      </c>
      <c r="V86" s="582">
        <v>42744</v>
      </c>
      <c r="W86" s="144">
        <v>40</v>
      </c>
      <c r="X86" s="286"/>
      <c r="Y86" s="222"/>
      <c r="Z86" s="222"/>
      <c r="AA86" s="582">
        <v>43140</v>
      </c>
      <c r="AB86" s="144">
        <v>31</v>
      </c>
      <c r="AC86" s="286"/>
      <c r="AD86" s="222"/>
      <c r="AF86" s="582">
        <v>43140</v>
      </c>
      <c r="AG86" s="144">
        <v>50</v>
      </c>
      <c r="AH86" s="451">
        <f>AG86/$AH$68</f>
        <v>4.1050903119868636E-2</v>
      </c>
      <c r="AI86" s="583">
        <f>AH86*$AI$68</f>
        <v>3129.4334975369457</v>
      </c>
      <c r="AJ86" s="218"/>
      <c r="AK86" s="218"/>
      <c r="AL86" s="218"/>
      <c r="AM86" s="287"/>
      <c r="AN86" s="222">
        <v>674</v>
      </c>
      <c r="AO86" s="286">
        <v>53427</v>
      </c>
    </row>
    <row r="87" spans="1:41">
      <c r="A87" s="286"/>
      <c r="B87" s="446">
        <v>41275</v>
      </c>
      <c r="C87" s="144">
        <v>48</v>
      </c>
      <c r="D87" s="450"/>
      <c r="E87" s="286"/>
      <c r="F87" s="450"/>
      <c r="G87" s="448">
        <v>41676</v>
      </c>
      <c r="H87" s="144">
        <v>60</v>
      </c>
      <c r="I87" s="451">
        <f>H87/$I$70</f>
        <v>5.1369863013698627E-2</v>
      </c>
      <c r="J87" s="452">
        <f>I87*$J$70</f>
        <v>3899.8458904109589</v>
      </c>
      <c r="K87" s="452"/>
      <c r="L87" s="446">
        <v>42012</v>
      </c>
      <c r="M87" s="144">
        <v>34</v>
      </c>
      <c r="N87" s="450"/>
      <c r="O87" s="286"/>
      <c r="P87" s="286"/>
      <c r="Q87" s="310">
        <v>42375</v>
      </c>
      <c r="R87" s="144">
        <v>31</v>
      </c>
      <c r="S87" s="450"/>
      <c r="T87" s="286"/>
      <c r="U87" s="286"/>
      <c r="V87" s="582">
        <v>42745</v>
      </c>
      <c r="W87" s="144">
        <v>44</v>
      </c>
      <c r="X87" s="286"/>
      <c r="Y87" s="222"/>
      <c r="Z87" s="222"/>
      <c r="AA87" s="582">
        <v>43141</v>
      </c>
      <c r="AB87" s="144">
        <v>37</v>
      </c>
      <c r="AC87" s="286"/>
      <c r="AD87" s="222"/>
      <c r="AF87" s="582">
        <v>43141</v>
      </c>
      <c r="AG87" s="144">
        <v>55</v>
      </c>
      <c r="AH87" s="451">
        <f>AG87/$AH$68</f>
        <v>4.5155993431855501E-2</v>
      </c>
      <c r="AI87" s="583">
        <f>AH87*$AI$68</f>
        <v>3442.3768472906404</v>
      </c>
      <c r="AJ87" s="218"/>
      <c r="AK87" s="218"/>
      <c r="AL87" s="218"/>
      <c r="AM87" s="287"/>
      <c r="AN87" s="222">
        <v>362</v>
      </c>
      <c r="AO87" s="286">
        <v>44285</v>
      </c>
    </row>
    <row r="88" spans="1:41">
      <c r="A88" s="222"/>
      <c r="B88" s="446">
        <v>41276</v>
      </c>
      <c r="C88" s="144">
        <v>47</v>
      </c>
      <c r="D88" s="286"/>
      <c r="E88" s="222"/>
      <c r="F88" s="286"/>
      <c r="G88" s="449">
        <v>41677</v>
      </c>
      <c r="H88" s="144">
        <v>56</v>
      </c>
      <c r="I88" s="451">
        <f>H88/$I$70</f>
        <v>4.7945205479452052E-2</v>
      </c>
      <c r="J88" s="452">
        <f>I88*$J$70</f>
        <v>3639.8561643835615</v>
      </c>
      <c r="K88" s="452"/>
      <c r="L88" s="446">
        <v>42013</v>
      </c>
      <c r="M88" s="144">
        <v>34</v>
      </c>
      <c r="N88" s="286"/>
      <c r="O88" s="222"/>
      <c r="P88" s="222"/>
      <c r="Q88" s="310">
        <v>42376</v>
      </c>
      <c r="R88" s="144">
        <v>32</v>
      </c>
      <c r="S88" s="286"/>
      <c r="T88" s="222"/>
      <c r="U88" s="222"/>
      <c r="V88" s="582">
        <v>42746</v>
      </c>
      <c r="W88" s="144">
        <v>54</v>
      </c>
      <c r="X88" s="222"/>
      <c r="Y88" s="222"/>
      <c r="Z88" s="222"/>
      <c r="AA88" s="582">
        <v>43142</v>
      </c>
      <c r="AB88" s="144">
        <v>35</v>
      </c>
      <c r="AC88" s="222"/>
      <c r="AD88" s="222"/>
      <c r="AF88" s="582">
        <v>43142</v>
      </c>
      <c r="AG88" s="144">
        <v>53</v>
      </c>
      <c r="AI88" s="222"/>
      <c r="AJ88" s="218"/>
      <c r="AK88" s="218"/>
      <c r="AL88" s="218"/>
      <c r="AM88" s="287"/>
      <c r="AN88" s="222">
        <v>47</v>
      </c>
      <c r="AO88" s="286">
        <v>24288</v>
      </c>
    </row>
    <row r="89" spans="1:41">
      <c r="A89" s="222"/>
      <c r="B89" s="446">
        <v>41277</v>
      </c>
      <c r="C89" s="144">
        <v>50</v>
      </c>
      <c r="D89" s="286"/>
      <c r="E89" s="222"/>
      <c r="F89" s="286"/>
      <c r="G89" s="446">
        <v>41678</v>
      </c>
      <c r="H89" s="144">
        <v>48</v>
      </c>
      <c r="I89" s="286"/>
      <c r="J89" s="222"/>
      <c r="K89" s="222"/>
      <c r="L89" s="446">
        <v>42014</v>
      </c>
      <c r="M89" s="144">
        <v>36</v>
      </c>
      <c r="N89" s="286"/>
      <c r="O89" s="222"/>
      <c r="P89" s="222"/>
      <c r="Q89" s="310">
        <v>42377</v>
      </c>
      <c r="R89" s="144">
        <v>33</v>
      </c>
      <c r="S89" s="286"/>
      <c r="T89" s="222"/>
      <c r="U89" s="222"/>
      <c r="V89" s="582">
        <v>42747</v>
      </c>
      <c r="W89" s="144">
        <v>58</v>
      </c>
      <c r="X89" s="222"/>
      <c r="Y89" s="222"/>
      <c r="Z89" s="222"/>
      <c r="AA89" s="582">
        <v>43143</v>
      </c>
      <c r="AB89" s="144">
        <v>39</v>
      </c>
      <c r="AC89" s="222"/>
      <c r="AD89" s="222"/>
      <c r="AF89" s="582">
        <v>43143</v>
      </c>
      <c r="AG89" s="144">
        <v>36</v>
      </c>
      <c r="AI89" s="222"/>
      <c r="AJ89" s="218"/>
      <c r="AK89" s="218"/>
      <c r="AL89" s="218"/>
      <c r="AM89" s="287"/>
      <c r="AN89" s="222">
        <v>14</v>
      </c>
      <c r="AO89" s="286">
        <v>29436</v>
      </c>
    </row>
    <row r="90" spans="1:41">
      <c r="A90" s="222"/>
      <c r="B90" s="446">
        <v>41278</v>
      </c>
      <c r="C90" s="144">
        <v>43</v>
      </c>
      <c r="D90" s="222"/>
      <c r="E90" s="222"/>
      <c r="F90" s="222"/>
      <c r="G90" s="446">
        <v>41679</v>
      </c>
      <c r="H90" s="144">
        <v>46</v>
      </c>
      <c r="I90" s="222"/>
      <c r="J90" s="222"/>
      <c r="K90" s="222"/>
      <c r="L90" s="446">
        <v>42015</v>
      </c>
      <c r="M90" s="144">
        <v>37</v>
      </c>
      <c r="N90" s="222"/>
      <c r="O90" s="222"/>
      <c r="P90" s="222"/>
      <c r="Q90" s="310">
        <v>42378</v>
      </c>
      <c r="R90" s="144">
        <v>33</v>
      </c>
      <c r="S90" s="222"/>
      <c r="T90" s="222"/>
      <c r="U90" s="222"/>
      <c r="V90" s="582">
        <v>42748</v>
      </c>
      <c r="W90" s="144">
        <v>55</v>
      </c>
      <c r="X90" s="222"/>
      <c r="Y90" s="222"/>
      <c r="Z90" s="222"/>
      <c r="AA90" s="582">
        <v>43144</v>
      </c>
      <c r="AB90" s="144">
        <v>36</v>
      </c>
      <c r="AC90" s="222"/>
      <c r="AD90" s="222"/>
      <c r="AF90" s="582">
        <v>43144</v>
      </c>
      <c r="AG90" s="144">
        <v>38</v>
      </c>
      <c r="AI90" s="222"/>
      <c r="AJ90" s="218"/>
      <c r="AK90" s="218"/>
      <c r="AL90" s="218"/>
      <c r="AM90" s="287"/>
      <c r="AN90" s="222">
        <v>21</v>
      </c>
      <c r="AO90" s="286">
        <v>35773</v>
      </c>
    </row>
    <row r="91" spans="1:41">
      <c r="A91" s="222"/>
      <c r="B91" s="446">
        <v>41279</v>
      </c>
      <c r="C91" s="144">
        <v>37</v>
      </c>
      <c r="F91" s="222"/>
      <c r="G91" s="446">
        <v>41680</v>
      </c>
      <c r="H91" s="144">
        <v>41</v>
      </c>
      <c r="L91" s="446">
        <v>42016</v>
      </c>
      <c r="M91" s="144">
        <v>36</v>
      </c>
      <c r="N91" s="222"/>
      <c r="O91" s="222"/>
      <c r="P91" s="222"/>
      <c r="Q91" s="310">
        <v>42379</v>
      </c>
      <c r="R91" s="144">
        <v>36</v>
      </c>
      <c r="S91" s="222"/>
      <c r="T91" s="222"/>
      <c r="U91" s="222"/>
      <c r="V91" s="582">
        <v>42749</v>
      </c>
      <c r="W91" s="144">
        <v>58</v>
      </c>
      <c r="X91" s="222"/>
      <c r="Y91" s="222"/>
      <c r="Z91" s="222"/>
      <c r="AA91" s="582">
        <v>43145</v>
      </c>
      <c r="AB91" s="144">
        <v>37</v>
      </c>
      <c r="AC91" s="222"/>
      <c r="AD91" s="222"/>
      <c r="AF91" s="582">
        <v>43145</v>
      </c>
      <c r="AG91" s="144">
        <v>41</v>
      </c>
      <c r="AI91" s="222"/>
      <c r="AJ91" s="218"/>
      <c r="AK91" s="218"/>
      <c r="AL91" s="218"/>
      <c r="AM91" s="287"/>
      <c r="AN91" s="222">
        <v>175</v>
      </c>
      <c r="AO91" s="286">
        <v>40415</v>
      </c>
    </row>
    <row r="92" spans="1:41">
      <c r="A92" s="222"/>
      <c r="B92" s="446">
        <v>41280</v>
      </c>
      <c r="C92" s="144">
        <v>37</v>
      </c>
      <c r="F92" s="222"/>
      <c r="G92" s="446">
        <v>41681</v>
      </c>
      <c r="H92" s="144">
        <v>34</v>
      </c>
      <c r="L92" s="446">
        <v>42017</v>
      </c>
      <c r="M92" s="144">
        <v>35</v>
      </c>
      <c r="N92" s="222"/>
      <c r="O92" s="222"/>
      <c r="P92" s="222"/>
      <c r="Q92" s="310">
        <v>42380</v>
      </c>
      <c r="R92" s="144">
        <v>38</v>
      </c>
      <c r="S92" s="222"/>
      <c r="T92" s="222"/>
      <c r="U92" s="222"/>
      <c r="V92" s="582">
        <v>42750</v>
      </c>
      <c r="W92" s="291">
        <v>59</v>
      </c>
      <c r="X92" s="222"/>
      <c r="Y92" s="222"/>
      <c r="Z92" s="222"/>
      <c r="AA92" s="582">
        <v>43146</v>
      </c>
      <c r="AB92" s="291">
        <v>43</v>
      </c>
      <c r="AC92" s="222"/>
      <c r="AD92" s="222"/>
      <c r="AF92" s="582">
        <v>43146</v>
      </c>
      <c r="AG92" s="291">
        <v>35</v>
      </c>
      <c r="AI92" s="222"/>
      <c r="AJ92" s="218"/>
      <c r="AK92" s="218"/>
      <c r="AL92" s="218"/>
      <c r="AM92" s="287"/>
      <c r="AN92" s="222">
        <v>345</v>
      </c>
      <c r="AO92" s="286">
        <v>46356</v>
      </c>
    </row>
    <row r="93" spans="1:41">
      <c r="A93" s="222"/>
      <c r="B93" s="446">
        <v>41281</v>
      </c>
      <c r="C93" s="144">
        <v>31</v>
      </c>
      <c r="F93" s="222"/>
      <c r="G93" s="446">
        <v>41682</v>
      </c>
      <c r="H93" s="144">
        <v>24</v>
      </c>
      <c r="L93" s="446">
        <v>42018</v>
      </c>
      <c r="M93" s="144">
        <v>36</v>
      </c>
      <c r="N93" s="222"/>
      <c r="O93" s="222"/>
      <c r="P93" s="222"/>
      <c r="Q93" s="310">
        <v>42381</v>
      </c>
      <c r="R93" s="144">
        <v>32</v>
      </c>
      <c r="S93" s="222"/>
      <c r="T93" s="222"/>
      <c r="U93" s="222"/>
      <c r="V93" s="582">
        <v>42751</v>
      </c>
      <c r="W93" s="291">
        <v>57</v>
      </c>
      <c r="X93" s="222"/>
      <c r="Y93" s="222"/>
      <c r="Z93" s="222"/>
      <c r="AA93" s="582">
        <v>43147</v>
      </c>
      <c r="AB93" s="291">
        <v>33</v>
      </c>
      <c r="AC93" s="222"/>
      <c r="AD93" s="222"/>
      <c r="AF93" s="582">
        <v>43147</v>
      </c>
      <c r="AG93" s="291">
        <v>36</v>
      </c>
      <c r="AI93" s="222"/>
      <c r="AJ93" s="218"/>
      <c r="AK93" s="218"/>
      <c r="AL93" s="218"/>
      <c r="AM93" s="287"/>
      <c r="AN93" s="222">
        <v>494</v>
      </c>
      <c r="AO93" s="286">
        <v>52218</v>
      </c>
    </row>
    <row r="94" spans="1:41">
      <c r="A94" s="222"/>
      <c r="B94" s="446">
        <v>41282</v>
      </c>
      <c r="C94" s="291">
        <v>28</v>
      </c>
      <c r="F94" s="222"/>
      <c r="G94" s="446">
        <v>41683</v>
      </c>
      <c r="H94" s="144">
        <v>25</v>
      </c>
      <c r="L94" s="446">
        <v>42019</v>
      </c>
      <c r="M94" s="291">
        <v>36</v>
      </c>
      <c r="N94" s="222"/>
      <c r="O94" s="222"/>
      <c r="P94" s="222"/>
      <c r="Q94" s="310">
        <v>42382</v>
      </c>
      <c r="R94" s="291">
        <v>30</v>
      </c>
      <c r="S94" s="222"/>
      <c r="T94" s="222"/>
      <c r="U94" s="222"/>
      <c r="V94" s="582">
        <v>42752</v>
      </c>
      <c r="W94" s="291">
        <v>45</v>
      </c>
      <c r="X94" s="222"/>
      <c r="Y94" s="222"/>
      <c r="Z94" s="222"/>
      <c r="AA94" s="582">
        <v>43148</v>
      </c>
      <c r="AB94" s="291">
        <v>29</v>
      </c>
      <c r="AC94" s="222"/>
      <c r="AD94" s="222"/>
      <c r="AF94" s="582">
        <v>43148</v>
      </c>
      <c r="AG94" s="291">
        <v>43</v>
      </c>
      <c r="AI94" s="222"/>
      <c r="AJ94" s="218"/>
      <c r="AK94" s="218"/>
      <c r="AL94" s="218"/>
      <c r="AM94" s="287"/>
      <c r="AN94" s="222">
        <v>809</v>
      </c>
      <c r="AO94" s="286">
        <v>65505</v>
      </c>
    </row>
    <row r="95" spans="1:41">
      <c r="A95" s="222"/>
      <c r="B95" s="446">
        <v>41283</v>
      </c>
      <c r="C95" s="291">
        <v>27</v>
      </c>
      <c r="F95" s="222"/>
      <c r="G95" s="446">
        <v>41684</v>
      </c>
      <c r="H95" s="144">
        <v>26</v>
      </c>
      <c r="L95" s="446">
        <v>42020</v>
      </c>
      <c r="M95" s="291">
        <v>34</v>
      </c>
      <c r="N95" s="222"/>
      <c r="O95" s="222"/>
      <c r="P95" s="222"/>
      <c r="Q95" s="310">
        <v>42383</v>
      </c>
      <c r="R95" s="291">
        <v>35</v>
      </c>
      <c r="S95" s="222"/>
      <c r="T95" s="222"/>
      <c r="U95" s="222"/>
      <c r="V95" s="582">
        <v>42753</v>
      </c>
      <c r="W95" s="291">
        <v>29</v>
      </c>
      <c r="X95" s="222"/>
      <c r="Y95" s="222"/>
      <c r="Z95" s="222"/>
      <c r="AA95" s="582">
        <v>43149</v>
      </c>
      <c r="AB95" s="291">
        <v>42</v>
      </c>
      <c r="AC95" s="451">
        <f>AB95/$AC$68</f>
        <v>4.3388429752066117E-2</v>
      </c>
      <c r="AD95" s="583">
        <f>AC95*$AD$68</f>
        <v>2989.6363636363635</v>
      </c>
      <c r="AE95" s="452"/>
      <c r="AF95" s="582">
        <v>43149</v>
      </c>
      <c r="AG95" s="291">
        <v>51</v>
      </c>
      <c r="AH95" s="451"/>
      <c r="AI95" s="452"/>
      <c r="AJ95" s="218"/>
      <c r="AK95" s="218"/>
      <c r="AL95" s="218"/>
      <c r="AM95" s="287"/>
      <c r="AN95" s="222">
        <v>930</v>
      </c>
      <c r="AO95" s="286">
        <v>69249</v>
      </c>
    </row>
    <row r="96" spans="1:41">
      <c r="A96" s="222"/>
      <c r="B96" s="446">
        <v>41284</v>
      </c>
      <c r="C96" s="291">
        <v>36</v>
      </c>
      <c r="D96" s="222"/>
      <c r="E96" s="222"/>
      <c r="F96" s="222"/>
      <c r="G96" s="446">
        <v>41685</v>
      </c>
      <c r="H96" s="291">
        <v>27</v>
      </c>
      <c r="I96" s="222"/>
      <c r="J96" s="222"/>
      <c r="K96" s="222"/>
      <c r="L96" s="446">
        <v>42021</v>
      </c>
      <c r="M96" s="291">
        <v>36</v>
      </c>
      <c r="N96" s="222"/>
      <c r="O96" s="222"/>
      <c r="P96" s="222"/>
      <c r="Q96" s="310">
        <v>42384</v>
      </c>
      <c r="R96" s="291">
        <v>40</v>
      </c>
      <c r="S96" s="222"/>
      <c r="T96" s="222"/>
      <c r="U96" s="222"/>
      <c r="V96" s="582">
        <v>42754</v>
      </c>
      <c r="W96" s="291">
        <v>30</v>
      </c>
      <c r="X96" s="222"/>
      <c r="Y96" s="222"/>
      <c r="Z96" s="222"/>
      <c r="AA96" s="582">
        <v>43150</v>
      </c>
      <c r="AB96" s="291">
        <v>52</v>
      </c>
      <c r="AC96" s="451">
        <f>AB96/$AC$68</f>
        <v>5.3719008264462811E-2</v>
      </c>
      <c r="AD96" s="583">
        <f>AC96*$AD$68</f>
        <v>3701.4545454545455</v>
      </c>
      <c r="AE96" s="452"/>
      <c r="AF96" s="582">
        <v>43150</v>
      </c>
      <c r="AG96" s="291">
        <v>48</v>
      </c>
      <c r="AH96" s="451"/>
      <c r="AI96" s="452"/>
      <c r="AJ96" s="218"/>
      <c r="AK96" s="218"/>
      <c r="AL96" s="218"/>
      <c r="AM96" s="287"/>
      <c r="AN96" s="222">
        <v>1078</v>
      </c>
      <c r="AO96" s="286">
        <v>79378</v>
      </c>
    </row>
    <row r="97" spans="1:41" ht="13.8" thickBot="1">
      <c r="A97" s="222"/>
      <c r="B97" s="446">
        <v>41285</v>
      </c>
      <c r="C97" s="291">
        <v>44</v>
      </c>
      <c r="D97" s="222"/>
      <c r="E97" s="222"/>
      <c r="F97" s="222"/>
      <c r="G97" s="446">
        <v>41686</v>
      </c>
      <c r="H97" s="291">
        <v>28</v>
      </c>
      <c r="I97" s="222"/>
      <c r="J97" s="222"/>
      <c r="K97" s="222"/>
      <c r="L97" s="446">
        <v>42022</v>
      </c>
      <c r="M97" s="291">
        <v>26</v>
      </c>
      <c r="N97" s="222"/>
      <c r="O97" s="222"/>
      <c r="P97" s="222"/>
      <c r="Q97" s="310">
        <v>42385</v>
      </c>
      <c r="R97" s="291">
        <v>33</v>
      </c>
      <c r="S97" s="222"/>
      <c r="T97" s="222"/>
      <c r="U97" s="222"/>
      <c r="V97" s="582">
        <v>42755</v>
      </c>
      <c r="W97" s="291">
        <v>30</v>
      </c>
      <c r="X97" s="451"/>
      <c r="Y97" s="452"/>
      <c r="Z97" s="452"/>
      <c r="AA97" s="582">
        <v>43151</v>
      </c>
      <c r="AB97" s="291">
        <v>50</v>
      </c>
      <c r="AC97" s="451">
        <f>AB97/$AC$68</f>
        <v>5.1652892561983473E-2</v>
      </c>
      <c r="AD97" s="583">
        <f>AC97*$AD$68</f>
        <v>3559.090909090909</v>
      </c>
      <c r="AE97" s="452"/>
      <c r="AF97" s="582">
        <v>43151</v>
      </c>
      <c r="AG97" s="291">
        <v>41</v>
      </c>
      <c r="AH97" s="451"/>
      <c r="AI97" s="452"/>
      <c r="AJ97" s="218"/>
      <c r="AK97" s="218"/>
      <c r="AL97" s="218"/>
      <c r="AM97" s="287"/>
      <c r="AN97" s="222">
        <v>1118</v>
      </c>
      <c r="AO97" s="286">
        <v>80939</v>
      </c>
    </row>
    <row r="98" spans="1:41">
      <c r="A98" s="222"/>
      <c r="B98" s="455">
        <v>41286</v>
      </c>
      <c r="C98" s="291">
        <v>52</v>
      </c>
      <c r="D98" s="451">
        <f>C98/$D$70</f>
        <v>4.2345276872964167E-2</v>
      </c>
      <c r="E98" s="452">
        <f>D98*$E$70</f>
        <v>3220.4853420195436</v>
      </c>
      <c r="F98" s="451"/>
      <c r="G98" s="446">
        <v>41687</v>
      </c>
      <c r="H98" s="291">
        <v>26</v>
      </c>
      <c r="I98" s="222"/>
      <c r="L98" s="446">
        <v>42023</v>
      </c>
      <c r="M98" s="291">
        <v>30</v>
      </c>
      <c r="N98" s="222"/>
      <c r="O98" s="222"/>
      <c r="P98" s="222"/>
      <c r="Q98" s="310">
        <v>42386</v>
      </c>
      <c r="R98" s="291">
        <v>30</v>
      </c>
      <c r="S98" s="222"/>
      <c r="T98" s="222"/>
      <c r="U98" s="222"/>
      <c r="V98" s="582">
        <v>42756</v>
      </c>
      <c r="W98" s="291">
        <v>29</v>
      </c>
      <c r="X98" s="451"/>
      <c r="Y98" s="452"/>
      <c r="Z98" s="452"/>
      <c r="AA98" s="582">
        <v>43152</v>
      </c>
      <c r="AB98" s="291">
        <v>51</v>
      </c>
      <c r="AC98" s="451">
        <f>AB98/$AC$68</f>
        <v>5.2685950413223138E-2</v>
      </c>
      <c r="AD98" s="583">
        <f>AC98*$AD$68</f>
        <v>3630.272727272727</v>
      </c>
      <c r="AE98" s="452"/>
      <c r="AF98" s="582">
        <v>43152</v>
      </c>
      <c r="AG98" s="291">
        <v>42</v>
      </c>
      <c r="AH98" s="451"/>
      <c r="AI98" s="452"/>
      <c r="AJ98" s="218"/>
      <c r="AK98" s="218"/>
      <c r="AL98" s="218"/>
      <c r="AM98" s="287"/>
      <c r="AN98" s="222">
        <v>890</v>
      </c>
      <c r="AO98" s="286">
        <v>72981</v>
      </c>
    </row>
    <row r="99" spans="1:41">
      <c r="A99" s="452"/>
      <c r="B99" s="456">
        <v>41287</v>
      </c>
      <c r="C99" s="291">
        <v>47</v>
      </c>
      <c r="D99" s="451">
        <f>C99/$D$70</f>
        <v>3.8273615635179156E-2</v>
      </c>
      <c r="E99" s="452">
        <f>D99*$E$70</f>
        <v>2910.8232899022805</v>
      </c>
      <c r="F99" s="451"/>
      <c r="G99" s="446">
        <v>41688</v>
      </c>
      <c r="H99" s="291">
        <v>28</v>
      </c>
      <c r="I99" s="222"/>
      <c r="L99" s="446">
        <v>42024</v>
      </c>
      <c r="M99" s="291">
        <v>37</v>
      </c>
      <c r="N99" s="451"/>
      <c r="O99" s="452"/>
      <c r="P99" s="452"/>
      <c r="Q99" s="310">
        <v>42387</v>
      </c>
      <c r="R99" s="291">
        <v>30</v>
      </c>
      <c r="S99" s="451"/>
      <c r="T99" s="452"/>
      <c r="U99" s="452"/>
      <c r="V99" s="582">
        <v>42757</v>
      </c>
      <c r="W99" s="291">
        <v>28</v>
      </c>
      <c r="X99" s="451"/>
      <c r="Y99" s="452"/>
      <c r="Z99" s="452"/>
      <c r="AA99" s="582">
        <v>43153</v>
      </c>
      <c r="AB99" s="291">
        <v>45</v>
      </c>
      <c r="AC99" s="451">
        <f>AB99/$AC$68</f>
        <v>4.6487603305785122E-2</v>
      </c>
      <c r="AD99" s="583">
        <f>AC99*$AD$68</f>
        <v>3203.181818181818</v>
      </c>
      <c r="AE99" s="452"/>
      <c r="AF99" s="582">
        <v>43153</v>
      </c>
      <c r="AG99" s="291">
        <v>44</v>
      </c>
      <c r="AH99" s="451"/>
      <c r="AI99" s="452"/>
      <c r="AJ99" s="218"/>
      <c r="AK99" s="218"/>
      <c r="AL99" s="218"/>
      <c r="AM99" s="287"/>
      <c r="AO99" s="286"/>
    </row>
    <row r="100" spans="1:41">
      <c r="A100" s="452"/>
      <c r="B100" s="456">
        <v>41288</v>
      </c>
      <c r="C100" s="291">
        <v>45</v>
      </c>
      <c r="D100" s="451">
        <f>C100/$D$70</f>
        <v>3.6644951140065149E-2</v>
      </c>
      <c r="E100" s="452">
        <f>D100*$E$70</f>
        <v>2786.9584690553747</v>
      </c>
      <c r="F100" s="451"/>
      <c r="G100" s="446">
        <v>41689</v>
      </c>
      <c r="H100" s="291">
        <v>30</v>
      </c>
      <c r="I100" s="222"/>
      <c r="L100" s="446">
        <v>42025</v>
      </c>
      <c r="M100" s="291">
        <v>36</v>
      </c>
      <c r="N100" s="451"/>
      <c r="O100" s="452"/>
      <c r="P100" s="452"/>
      <c r="Q100" s="310">
        <v>42388</v>
      </c>
      <c r="R100" s="291">
        <v>31</v>
      </c>
      <c r="S100" s="451"/>
      <c r="T100" s="452"/>
      <c r="U100" s="452"/>
      <c r="V100" s="582">
        <v>42758</v>
      </c>
      <c r="W100" s="291">
        <v>34</v>
      </c>
      <c r="X100" s="451"/>
      <c r="Y100" s="452"/>
      <c r="Z100" s="452"/>
      <c r="AA100" s="582">
        <v>43154</v>
      </c>
      <c r="AB100" s="291">
        <v>48</v>
      </c>
      <c r="AC100" s="451"/>
      <c r="AD100" s="452"/>
      <c r="AE100" s="452"/>
      <c r="AF100" s="582">
        <v>43154</v>
      </c>
      <c r="AG100" s="291">
        <v>43</v>
      </c>
      <c r="AH100" s="451"/>
      <c r="AI100" s="452"/>
      <c r="AJ100" s="218"/>
      <c r="AK100" s="218"/>
      <c r="AL100" s="218"/>
      <c r="AM100" s="287"/>
      <c r="AO100" s="286"/>
    </row>
    <row r="101" spans="1:41">
      <c r="A101" s="452"/>
      <c r="B101" s="456">
        <v>41289</v>
      </c>
      <c r="C101" s="291">
        <v>44</v>
      </c>
      <c r="D101" s="451">
        <f>C101/$D$70</f>
        <v>3.5830618892508145E-2</v>
      </c>
      <c r="E101" s="452">
        <f>D101*$E$70</f>
        <v>2725.0260586319218</v>
      </c>
      <c r="F101" s="451"/>
      <c r="G101" s="446">
        <v>41690</v>
      </c>
      <c r="H101" s="291">
        <v>29</v>
      </c>
      <c r="I101" s="222"/>
      <c r="L101" s="446">
        <v>42026</v>
      </c>
      <c r="M101" s="291">
        <v>36</v>
      </c>
      <c r="N101" s="451"/>
      <c r="O101" s="452"/>
      <c r="P101" s="452"/>
      <c r="Q101" s="310">
        <v>42389</v>
      </c>
      <c r="R101" s="291">
        <v>29</v>
      </c>
      <c r="S101" s="451"/>
      <c r="T101" s="452"/>
      <c r="U101" s="452"/>
      <c r="V101" s="582">
        <v>42759</v>
      </c>
      <c r="W101" s="291">
        <v>35</v>
      </c>
      <c r="X101" s="451"/>
      <c r="Y101" s="452"/>
      <c r="Z101" s="452"/>
      <c r="AA101" s="582">
        <v>43155</v>
      </c>
      <c r="AB101" s="291">
        <v>39</v>
      </c>
      <c r="AC101" s="451"/>
      <c r="AD101" s="452"/>
      <c r="AE101" s="452"/>
      <c r="AF101" s="582">
        <v>43155</v>
      </c>
      <c r="AG101" s="291">
        <v>46</v>
      </c>
      <c r="AH101" s="451"/>
      <c r="AI101" s="452"/>
      <c r="AJ101" s="218"/>
      <c r="AK101" s="218"/>
      <c r="AL101" s="218"/>
      <c r="AM101" s="287"/>
      <c r="AO101" s="286"/>
    </row>
    <row r="102" spans="1:41" ht="13.8" thickBot="1">
      <c r="A102" s="452"/>
      <c r="B102" s="457">
        <v>41290</v>
      </c>
      <c r="C102" s="291">
        <v>44</v>
      </c>
      <c r="D102" s="451">
        <f>C102/$D$70</f>
        <v>3.5830618892508145E-2</v>
      </c>
      <c r="E102" s="452">
        <f>D102*$E$70</f>
        <v>2725.0260586319218</v>
      </c>
      <c r="F102" s="451"/>
      <c r="G102" s="446">
        <v>41691</v>
      </c>
      <c r="H102" s="291">
        <v>32</v>
      </c>
      <c r="I102" s="222"/>
      <c r="L102" s="446">
        <v>42027</v>
      </c>
      <c r="M102" s="291">
        <v>29</v>
      </c>
      <c r="N102" s="451"/>
      <c r="O102" s="452"/>
      <c r="P102" s="452"/>
      <c r="Q102" s="310">
        <v>42390</v>
      </c>
      <c r="R102" s="291">
        <v>30</v>
      </c>
      <c r="S102" s="451"/>
      <c r="T102" s="452"/>
      <c r="U102" s="452"/>
      <c r="V102" s="582">
        <v>42760</v>
      </c>
      <c r="W102" s="144">
        <v>36</v>
      </c>
      <c r="X102" s="286"/>
      <c r="Y102" s="222"/>
      <c r="Z102" s="222"/>
      <c r="AA102" s="582">
        <v>43156</v>
      </c>
      <c r="AB102" s="144">
        <v>33</v>
      </c>
      <c r="AC102" s="286"/>
      <c r="AD102" s="222"/>
      <c r="AF102" s="582">
        <v>43156</v>
      </c>
      <c r="AG102" s="144">
        <v>49</v>
      </c>
      <c r="AH102" s="286"/>
      <c r="AI102" s="222"/>
      <c r="AJ102" s="218"/>
      <c r="AK102" s="218"/>
      <c r="AL102" s="218"/>
      <c r="AM102" s="287"/>
      <c r="AO102" s="286"/>
    </row>
    <row r="103" spans="1:41">
      <c r="A103" s="452"/>
      <c r="B103" s="446">
        <v>41291</v>
      </c>
      <c r="C103" s="291">
        <v>46</v>
      </c>
      <c r="D103" s="451"/>
      <c r="E103" s="452"/>
      <c r="F103" s="451"/>
      <c r="G103" s="446">
        <v>41692</v>
      </c>
      <c r="H103" s="291">
        <v>36</v>
      </c>
      <c r="I103" s="451"/>
      <c r="J103" s="452"/>
      <c r="K103" s="452"/>
      <c r="L103" s="446">
        <v>42028</v>
      </c>
      <c r="M103" s="291">
        <v>27</v>
      </c>
      <c r="N103" s="451"/>
      <c r="O103" s="452"/>
      <c r="P103" s="452"/>
      <c r="Q103" s="310">
        <v>42391</v>
      </c>
      <c r="R103" s="291">
        <v>25</v>
      </c>
      <c r="S103" s="451"/>
      <c r="T103" s="452"/>
      <c r="U103" s="452"/>
      <c r="V103" s="582">
        <v>42761</v>
      </c>
      <c r="W103" s="144">
        <v>37</v>
      </c>
      <c r="X103" s="286"/>
      <c r="Y103" s="222"/>
      <c r="Z103" s="222"/>
      <c r="AA103" s="582">
        <v>43157</v>
      </c>
      <c r="AB103" s="144">
        <v>37</v>
      </c>
      <c r="AC103" s="286"/>
      <c r="AD103" s="222"/>
      <c r="AF103" s="582">
        <v>43157</v>
      </c>
      <c r="AG103" s="144">
        <v>50</v>
      </c>
      <c r="AH103" s="286"/>
      <c r="AI103" s="222"/>
      <c r="AJ103" s="218"/>
      <c r="AK103" s="218"/>
      <c r="AL103" s="218"/>
      <c r="AM103" s="287"/>
      <c r="AO103" s="286"/>
    </row>
    <row r="104" spans="1:41">
      <c r="A104" s="222"/>
      <c r="B104" s="446">
        <v>41292</v>
      </c>
      <c r="C104" s="144">
        <v>46</v>
      </c>
      <c r="D104" s="286"/>
      <c r="E104" s="222"/>
      <c r="F104" s="286"/>
      <c r="G104" s="446">
        <v>41693</v>
      </c>
      <c r="H104" s="291">
        <v>39</v>
      </c>
      <c r="I104" s="286"/>
      <c r="J104" s="222"/>
      <c r="K104" s="222"/>
      <c r="L104" s="446">
        <v>42029</v>
      </c>
      <c r="M104" s="144">
        <v>19</v>
      </c>
      <c r="N104" s="286"/>
      <c r="O104" s="222"/>
      <c r="P104" s="222"/>
      <c r="Q104" s="310">
        <v>42392</v>
      </c>
      <c r="R104" s="144">
        <v>28</v>
      </c>
      <c r="S104" s="286"/>
      <c r="T104" s="222"/>
      <c r="U104" s="222"/>
      <c r="V104" s="582">
        <v>42762</v>
      </c>
      <c r="W104" s="144">
        <v>39</v>
      </c>
      <c r="X104" s="286"/>
      <c r="Y104" s="222"/>
      <c r="Z104" s="222"/>
      <c r="AA104" s="582">
        <v>43158</v>
      </c>
      <c r="AB104" s="144">
        <v>36</v>
      </c>
      <c r="AC104" s="286"/>
      <c r="AD104" s="222"/>
      <c r="AF104" s="582">
        <v>43158</v>
      </c>
      <c r="AG104" s="144">
        <v>44</v>
      </c>
      <c r="AH104" s="286"/>
      <c r="AI104" s="222"/>
      <c r="AJ104" s="218"/>
      <c r="AK104" s="218"/>
      <c r="AL104" s="218"/>
      <c r="AM104" s="287"/>
      <c r="AO104" s="286"/>
    </row>
    <row r="105" spans="1:41">
      <c r="A105" s="222"/>
      <c r="B105" s="446">
        <v>41293</v>
      </c>
      <c r="C105" s="144">
        <v>44</v>
      </c>
      <c r="D105" s="286"/>
      <c r="E105" s="222"/>
      <c r="F105" s="286"/>
      <c r="G105" s="446">
        <v>41694</v>
      </c>
      <c r="H105" s="291">
        <v>41</v>
      </c>
      <c r="I105" s="286"/>
      <c r="J105" s="222"/>
      <c r="K105" s="222"/>
      <c r="L105" s="446">
        <v>42030</v>
      </c>
      <c r="M105" s="144">
        <v>24</v>
      </c>
      <c r="N105" s="286"/>
      <c r="O105" s="222"/>
      <c r="P105" s="222"/>
      <c r="Q105" s="310">
        <v>42393</v>
      </c>
      <c r="R105" s="144">
        <v>32</v>
      </c>
      <c r="S105" s="286"/>
      <c r="T105" s="222"/>
      <c r="U105" s="222"/>
      <c r="V105" s="582">
        <v>42763</v>
      </c>
      <c r="W105" s="144">
        <v>41</v>
      </c>
      <c r="X105" s="286"/>
      <c r="Y105" s="222"/>
      <c r="Z105" s="222"/>
      <c r="AA105" s="582">
        <v>43159</v>
      </c>
      <c r="AB105" s="144">
        <v>32</v>
      </c>
      <c r="AC105" s="286"/>
      <c r="AD105" s="222"/>
      <c r="AF105" s="582">
        <v>43159</v>
      </c>
      <c r="AG105" s="144">
        <v>48</v>
      </c>
      <c r="AH105" s="286"/>
      <c r="AI105" s="222"/>
      <c r="AJ105" s="218"/>
      <c r="AK105" s="218"/>
      <c r="AL105" s="218"/>
      <c r="AM105" s="287"/>
      <c r="AO105" s="286"/>
    </row>
    <row r="106" spans="1:41">
      <c r="A106" s="222"/>
      <c r="B106" s="446">
        <v>41294</v>
      </c>
      <c r="C106" s="144">
        <v>45</v>
      </c>
      <c r="D106" s="286"/>
      <c r="E106" s="222"/>
      <c r="F106" s="286"/>
      <c r="G106" s="446">
        <v>41695</v>
      </c>
      <c r="H106" s="144">
        <v>41</v>
      </c>
      <c r="I106" s="286"/>
      <c r="J106" s="222"/>
      <c r="K106" s="222"/>
      <c r="L106" s="446">
        <v>42031</v>
      </c>
      <c r="M106" s="144">
        <v>31</v>
      </c>
      <c r="N106" s="286"/>
      <c r="O106" s="222"/>
      <c r="P106" s="222"/>
      <c r="Q106" s="310">
        <v>42394</v>
      </c>
      <c r="R106" s="144">
        <v>34</v>
      </c>
      <c r="S106" s="286"/>
      <c r="T106" s="222"/>
      <c r="U106" s="222"/>
      <c r="V106" s="582">
        <v>42764</v>
      </c>
      <c r="W106" s="144">
        <v>41</v>
      </c>
      <c r="X106" s="286"/>
      <c r="Y106" s="222"/>
      <c r="Z106" s="222"/>
      <c r="AA106" s="582"/>
      <c r="AB106" s="144"/>
      <c r="AC106" s="286"/>
      <c r="AD106" s="222"/>
      <c r="AF106" s="582"/>
      <c r="AG106" s="144"/>
      <c r="AH106" s="286"/>
      <c r="AI106" s="222"/>
      <c r="AJ106" s="218"/>
      <c r="AK106" s="218"/>
      <c r="AL106" s="218"/>
      <c r="AM106" s="287"/>
      <c r="AO106" s="286"/>
    </row>
    <row r="107" spans="1:41">
      <c r="A107" s="222"/>
      <c r="B107" s="446">
        <v>41295</v>
      </c>
      <c r="C107" s="144">
        <v>50</v>
      </c>
      <c r="D107" s="286"/>
      <c r="E107" s="222"/>
      <c r="F107" s="286"/>
      <c r="G107" s="446">
        <v>41696</v>
      </c>
      <c r="H107" s="144">
        <v>40</v>
      </c>
      <c r="I107" s="286"/>
      <c r="J107" s="222"/>
      <c r="K107" s="222"/>
      <c r="L107" s="446">
        <v>42032</v>
      </c>
      <c r="M107" s="144">
        <v>31</v>
      </c>
      <c r="N107" s="286"/>
      <c r="O107" s="222"/>
      <c r="P107" s="222"/>
      <c r="Q107" s="310">
        <v>42395</v>
      </c>
      <c r="R107" s="144">
        <v>29</v>
      </c>
      <c r="S107" s="286"/>
      <c r="T107" s="222"/>
      <c r="U107" s="222"/>
      <c r="V107" s="582">
        <v>42765</v>
      </c>
      <c r="W107" s="144">
        <v>41</v>
      </c>
      <c r="X107" s="286"/>
      <c r="Y107" s="222"/>
      <c r="Z107" s="222"/>
      <c r="AA107" s="582"/>
      <c r="AB107" s="144"/>
      <c r="AC107" s="286"/>
      <c r="AD107" s="222"/>
      <c r="AF107" s="582"/>
      <c r="AG107" s="144"/>
      <c r="AH107" s="286"/>
      <c r="AI107" s="222"/>
      <c r="AJ107" s="218"/>
      <c r="AK107" s="218"/>
      <c r="AL107" s="218"/>
      <c r="AM107" s="287"/>
      <c r="AO107" s="286"/>
    </row>
    <row r="108" spans="1:41">
      <c r="A108" s="222"/>
      <c r="B108" s="446">
        <v>41296</v>
      </c>
      <c r="C108" s="144">
        <v>50</v>
      </c>
      <c r="D108" s="286"/>
      <c r="E108" s="222"/>
      <c r="F108" s="286"/>
      <c r="G108" s="446">
        <v>41697</v>
      </c>
      <c r="H108" s="144">
        <v>33</v>
      </c>
      <c r="I108" s="286"/>
      <c r="J108" s="222"/>
      <c r="K108" s="222"/>
      <c r="L108" s="446">
        <v>42033</v>
      </c>
      <c r="M108" s="144">
        <v>34</v>
      </c>
      <c r="N108" s="286"/>
      <c r="O108" s="222"/>
      <c r="P108" s="222"/>
      <c r="Q108" s="310">
        <v>42396</v>
      </c>
      <c r="R108" s="144">
        <v>25</v>
      </c>
      <c r="S108" s="286"/>
      <c r="T108" s="222"/>
      <c r="U108" s="222"/>
      <c r="V108" s="572">
        <v>42766</v>
      </c>
      <c r="W108" s="144">
        <v>43</v>
      </c>
      <c r="X108" s="222"/>
      <c r="Y108" s="222"/>
      <c r="Z108" s="222"/>
      <c r="AA108" s="572"/>
      <c r="AB108" s="144"/>
      <c r="AC108" s="222"/>
      <c r="AD108" s="222"/>
      <c r="AF108" s="572"/>
      <c r="AG108" s="144"/>
      <c r="AI108" s="222"/>
      <c r="AJ108" s="218"/>
      <c r="AK108" s="218"/>
      <c r="AL108" s="218"/>
      <c r="AM108" s="287"/>
      <c r="AO108" s="286"/>
    </row>
    <row r="109" spans="1:41">
      <c r="A109" s="222"/>
      <c r="B109" s="446">
        <v>41297</v>
      </c>
      <c r="C109" s="144">
        <v>38</v>
      </c>
      <c r="D109" s="286"/>
      <c r="E109" s="222"/>
      <c r="F109" s="286"/>
      <c r="G109" s="446"/>
      <c r="H109" s="144"/>
      <c r="I109" s="286"/>
      <c r="J109" s="222"/>
      <c r="K109" s="222"/>
      <c r="L109" s="446">
        <v>42034</v>
      </c>
      <c r="M109" s="144">
        <v>36</v>
      </c>
      <c r="N109" s="286"/>
      <c r="O109" s="222"/>
      <c r="P109" s="222"/>
      <c r="Q109" s="310">
        <v>42397</v>
      </c>
      <c r="R109" s="144">
        <v>26</v>
      </c>
      <c r="S109" s="286"/>
      <c r="T109" s="222"/>
      <c r="U109" s="222"/>
      <c r="V109" s="350">
        <f>COUNT(V71:V108)</f>
        <v>31</v>
      </c>
      <c r="W109" s="314">
        <f>SUM(W71:W108)</f>
        <v>1379</v>
      </c>
      <c r="X109" s="315">
        <f>SUM(X78:X108)</f>
        <v>0.18926758520667147</v>
      </c>
      <c r="Y109" s="314">
        <f>SUM(Y78:Y108)</f>
        <v>15815.388687454677</v>
      </c>
      <c r="Z109" s="350"/>
      <c r="AA109" s="350">
        <f>COUNT(AA71:AA108)</f>
        <v>28</v>
      </c>
      <c r="AB109" s="314">
        <f>SUM(AB71:AB108)</f>
        <v>968</v>
      </c>
      <c r="AC109" s="315">
        <f>SUM(AC78:AC108)</f>
        <v>0.24793388429752067</v>
      </c>
      <c r="AD109" s="314">
        <f>SUM(AD78:AD108)</f>
        <v>17083.63636363636</v>
      </c>
      <c r="AE109" s="290"/>
      <c r="AF109" s="350">
        <f>COUNT(AF71:AF108)</f>
        <v>28</v>
      </c>
      <c r="AG109" s="314">
        <f>SUM(AG71:AG108)</f>
        <v>1218</v>
      </c>
      <c r="AH109" s="315">
        <f>SUM(AH78:AH108)</f>
        <v>0.20361247947454844</v>
      </c>
      <c r="AI109" s="314">
        <f>SUM(AI78:AI108)</f>
        <v>15521.99014778325</v>
      </c>
      <c r="AJ109" s="218"/>
      <c r="AK109" s="218"/>
      <c r="AL109" s="218"/>
      <c r="AM109" s="287"/>
      <c r="AO109" s="286"/>
    </row>
    <row r="110" spans="1:41">
      <c r="A110" s="222"/>
      <c r="B110" s="446">
        <v>41298</v>
      </c>
      <c r="C110" s="144">
        <v>39</v>
      </c>
      <c r="D110" s="222"/>
      <c r="E110" s="222"/>
      <c r="F110" s="222"/>
      <c r="G110" s="446"/>
      <c r="H110" s="144"/>
      <c r="I110" s="222"/>
      <c r="J110" s="222"/>
      <c r="K110" s="222"/>
      <c r="L110" s="446">
        <v>42035</v>
      </c>
      <c r="M110" s="144">
        <v>34</v>
      </c>
      <c r="N110" s="222"/>
      <c r="O110" s="222"/>
      <c r="P110" s="222"/>
      <c r="Q110" s="572">
        <v>42398</v>
      </c>
      <c r="R110" s="144">
        <v>31</v>
      </c>
      <c r="S110" s="222"/>
      <c r="T110" s="222"/>
      <c r="U110" s="222"/>
      <c r="V110" s="310"/>
      <c r="X110" s="309">
        <f>5/W68</f>
        <v>0.16129032258064516</v>
      </c>
      <c r="AA110" s="310"/>
      <c r="AC110" s="309">
        <f>5/AB68</f>
        <v>0.17857142857142858</v>
      </c>
      <c r="AF110" s="310"/>
      <c r="AG110" s="218"/>
      <c r="AH110" s="309">
        <f>5/AG68</f>
        <v>0.17857142857142858</v>
      </c>
      <c r="AJ110" s="218"/>
      <c r="AK110" s="218"/>
      <c r="AL110" s="218"/>
      <c r="AM110" s="287"/>
      <c r="AO110" s="286"/>
    </row>
    <row r="111" spans="1:41">
      <c r="A111" s="350"/>
      <c r="B111" s="314">
        <f>COUNT(B73:B110)</f>
        <v>29</v>
      </c>
      <c r="C111" s="314">
        <f>SUM(C73:C110)</f>
        <v>1227</v>
      </c>
      <c r="D111" s="315">
        <f>SUM(D73:D109)</f>
        <v>0.18892508143322478</v>
      </c>
      <c r="E111" s="314">
        <f>SUM(E73:E109)</f>
        <v>14368.319218241042</v>
      </c>
      <c r="F111" s="515"/>
      <c r="G111" s="314">
        <f>COUNT(G73:G110)</f>
        <v>30</v>
      </c>
      <c r="H111" s="314">
        <f>SUM(H73:H110)</f>
        <v>1168</v>
      </c>
      <c r="I111" s="315">
        <f>SUM(I73:I109)</f>
        <v>0.24143835616438356</v>
      </c>
      <c r="J111" s="314">
        <f>SUM(J73:J109)</f>
        <v>18329.275684931508</v>
      </c>
      <c r="K111" s="350"/>
      <c r="L111" s="314">
        <f>COUNT(L73:L110)</f>
        <v>31</v>
      </c>
      <c r="M111" s="314">
        <f>SUM(M73:M110)</f>
        <v>1049</v>
      </c>
      <c r="N111" s="315">
        <f>SUM(N73:N109)</f>
        <v>0.19542421353670159</v>
      </c>
      <c r="O111" s="314">
        <f>SUM(O73:O109)</f>
        <v>14080.314585319351</v>
      </c>
      <c r="P111" s="350"/>
      <c r="Q111" s="314">
        <f>COUNT(Q73:Q110)</f>
        <v>31</v>
      </c>
      <c r="R111" s="314">
        <f>SUM(R73:R110)</f>
        <v>1080</v>
      </c>
      <c r="S111" s="315">
        <f>SUM(S73:S109)</f>
        <v>0.23611111111111113</v>
      </c>
      <c r="T111" s="314">
        <f>SUM(T73:T109)</f>
        <v>17011.805555555555</v>
      </c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290"/>
      <c r="AF111" s="350"/>
      <c r="AG111" s="350"/>
      <c r="AH111" s="350"/>
      <c r="AI111" s="350"/>
      <c r="AJ111" s="218"/>
      <c r="AK111" s="218"/>
      <c r="AL111" s="218"/>
      <c r="AM111" s="287"/>
      <c r="AO111" s="286"/>
    </row>
    <row r="112" spans="1:41">
      <c r="B112" s="310"/>
      <c r="D112" s="309">
        <f>5/C70</f>
        <v>0.17241379310344829</v>
      </c>
      <c r="E112" s="293"/>
      <c r="F112" s="293"/>
      <c r="G112" s="310"/>
      <c r="I112" s="309">
        <f>5/H70</f>
        <v>0.16666666666666666</v>
      </c>
      <c r="J112" s="293"/>
      <c r="K112" s="293"/>
      <c r="L112" s="310"/>
      <c r="N112" s="309">
        <f>5/M70</f>
        <v>0.16129032258064516</v>
      </c>
      <c r="Q112" s="310"/>
      <c r="S112" s="309">
        <f>5/R70</f>
        <v>0.16129032258064516</v>
      </c>
      <c r="AF112" s="218"/>
      <c r="AG112" s="218"/>
      <c r="AH112" s="218"/>
      <c r="AJ112" s="218"/>
      <c r="AK112" s="218"/>
      <c r="AL112" s="218"/>
      <c r="AM112" s="218"/>
      <c r="AO112" s="222"/>
    </row>
    <row r="113" spans="1:60">
      <c r="E113" s="222"/>
      <c r="F113" s="222"/>
      <c r="G113" s="222"/>
      <c r="H113" s="222"/>
      <c r="I113" s="222"/>
      <c r="AF113" s="218"/>
      <c r="AG113" s="218"/>
      <c r="AH113" s="218"/>
      <c r="AJ113" s="218"/>
      <c r="AK113" s="218"/>
      <c r="AL113" s="218"/>
      <c r="AM113" s="218"/>
      <c r="AN113" s="218"/>
    </row>
    <row r="114" spans="1:60">
      <c r="E114" s="222"/>
      <c r="F114" s="222"/>
      <c r="G114" s="222"/>
      <c r="H114" s="222"/>
      <c r="I114" s="222"/>
      <c r="AF114" s="218"/>
      <c r="AG114" s="218"/>
      <c r="AH114" s="218"/>
      <c r="AJ114" s="218"/>
      <c r="AK114" s="218"/>
      <c r="AL114" s="218"/>
      <c r="AM114" s="218"/>
      <c r="AN114" s="218"/>
    </row>
    <row r="115" spans="1:60">
      <c r="E115" s="222"/>
      <c r="F115" s="222"/>
      <c r="G115" s="222"/>
      <c r="H115" s="222"/>
      <c r="I115" s="222"/>
      <c r="AF115" s="218"/>
      <c r="AG115" s="218"/>
      <c r="AH115" s="218"/>
      <c r="AJ115" s="218"/>
      <c r="AK115" s="218"/>
      <c r="AL115" s="218"/>
      <c r="AM115" s="218"/>
      <c r="AN115" s="218"/>
    </row>
    <row r="116" spans="1:60">
      <c r="E116" s="222"/>
      <c r="F116" s="222"/>
      <c r="G116" s="222"/>
      <c r="H116" s="222"/>
      <c r="I116" s="222"/>
      <c r="AF116" s="218"/>
      <c r="AG116" s="218"/>
      <c r="AH116" s="218"/>
      <c r="AJ116" s="218"/>
      <c r="AK116" s="218"/>
      <c r="AL116" s="218"/>
      <c r="AM116" s="218"/>
      <c r="AN116" s="218"/>
    </row>
    <row r="117" spans="1:60">
      <c r="E117" s="222"/>
      <c r="F117" s="222"/>
      <c r="G117" s="222"/>
      <c r="H117" s="222"/>
      <c r="I117" s="222"/>
      <c r="AF117" s="218"/>
      <c r="AG117" s="218"/>
      <c r="AH117" s="218"/>
      <c r="AJ117" s="218"/>
      <c r="AK117" s="218"/>
      <c r="AL117" s="218"/>
      <c r="AM117" s="218"/>
      <c r="AN117" s="218"/>
    </row>
    <row r="118" spans="1:60">
      <c r="E118" s="222"/>
      <c r="F118" s="222"/>
      <c r="G118" s="222"/>
      <c r="H118" s="222"/>
      <c r="I118" s="222"/>
      <c r="AF118" s="218"/>
      <c r="AG118" s="218"/>
      <c r="AH118" s="218"/>
      <c r="AJ118" s="218"/>
      <c r="AK118" s="218"/>
      <c r="AL118" s="218"/>
      <c r="AM118" s="218"/>
      <c r="AN118" s="218"/>
    </row>
    <row r="119" spans="1:60">
      <c r="E119" s="222"/>
      <c r="F119" s="222"/>
      <c r="G119" s="222"/>
      <c r="H119" s="222"/>
      <c r="I119" s="222"/>
      <c r="AF119" s="218"/>
      <c r="AG119" s="218"/>
      <c r="AH119" s="218"/>
      <c r="AJ119" s="218"/>
      <c r="AK119" s="218"/>
      <c r="AL119" s="218"/>
      <c r="AM119" s="218"/>
      <c r="AN119" s="218"/>
    </row>
    <row r="120" spans="1:60">
      <c r="B120" s="289"/>
      <c r="AF120" s="218"/>
      <c r="AG120" s="218"/>
      <c r="AH120" s="218"/>
    </row>
    <row r="121" spans="1:60">
      <c r="J121" s="289"/>
      <c r="AF121" s="218"/>
      <c r="AG121" s="218"/>
      <c r="AH121" s="218"/>
    </row>
    <row r="122" spans="1:60" ht="13.8">
      <c r="A122" s="288" t="s">
        <v>1135</v>
      </c>
      <c r="F122" s="224"/>
      <c r="V122" s="304" t="s">
        <v>1209</v>
      </c>
      <c r="W122" s="284"/>
      <c r="X122" s="284"/>
      <c r="Y122" s="284"/>
      <c r="Z122" s="284"/>
      <c r="AA122" s="304" t="s">
        <v>1210</v>
      </c>
      <c r="AB122" s="284"/>
      <c r="AC122" s="284"/>
      <c r="AD122" s="284"/>
      <c r="AE122" s="513"/>
      <c r="AF122" s="304" t="s">
        <v>1343</v>
      </c>
      <c r="AG122" s="284"/>
      <c r="AH122" s="284"/>
      <c r="AI122" s="284"/>
      <c r="BG122" s="222"/>
      <c r="BH122" s="286"/>
    </row>
    <row r="123" spans="1:60">
      <c r="A123" s="298" t="s">
        <v>1005</v>
      </c>
      <c r="F123" s="224"/>
      <c r="K123" s="224"/>
      <c r="V123" s="302" t="s">
        <v>1001</v>
      </c>
      <c r="W123" s="302" t="s">
        <v>1000</v>
      </c>
      <c r="X123" s="302" t="s">
        <v>999</v>
      </c>
      <c r="Y123" s="302" t="s">
        <v>993</v>
      </c>
      <c r="Z123" s="302"/>
      <c r="AA123" s="302" t="s">
        <v>1001</v>
      </c>
      <c r="AB123" s="302" t="s">
        <v>1000</v>
      </c>
      <c r="AC123" s="302" t="s">
        <v>999</v>
      </c>
      <c r="AD123" s="302" t="s">
        <v>993</v>
      </c>
      <c r="AE123" s="514"/>
      <c r="AF123" s="302" t="s">
        <v>1001</v>
      </c>
      <c r="AG123" s="302" t="s">
        <v>1000</v>
      </c>
      <c r="AH123" s="302" t="s">
        <v>999</v>
      </c>
      <c r="AI123" s="302" t="s">
        <v>993</v>
      </c>
      <c r="BG123" s="222"/>
      <c r="BH123" s="286"/>
    </row>
    <row r="124" spans="1:60">
      <c r="B124" s="304" t="s">
        <v>1124</v>
      </c>
      <c r="C124" s="284"/>
      <c r="D124" s="284"/>
      <c r="E124" s="284"/>
      <c r="G124" s="304" t="s">
        <v>1172</v>
      </c>
      <c r="H124" s="284"/>
      <c r="I124" s="284"/>
      <c r="J124" s="284"/>
      <c r="K124" s="286"/>
      <c r="L124" s="304" t="s">
        <v>1180</v>
      </c>
      <c r="M124" s="284"/>
      <c r="N124" s="284"/>
      <c r="O124" s="284"/>
      <c r="P124" s="284"/>
      <c r="Q124" s="304" t="s">
        <v>1199</v>
      </c>
      <c r="R124" s="284"/>
      <c r="S124" s="284"/>
      <c r="T124" s="284"/>
      <c r="U124" s="284"/>
      <c r="V124" s="301">
        <v>42766</v>
      </c>
      <c r="W124" s="144">
        <v>31</v>
      </c>
      <c r="X124" s="300">
        <v>1379</v>
      </c>
      <c r="Y124" s="300">
        <v>64913</v>
      </c>
      <c r="Z124" s="300"/>
      <c r="AA124" s="301">
        <v>43159</v>
      </c>
      <c r="AB124" s="144">
        <v>28</v>
      </c>
      <c r="AC124" s="300">
        <v>968</v>
      </c>
      <c r="AD124" s="300">
        <v>48424</v>
      </c>
      <c r="AE124" s="300"/>
      <c r="AF124" s="301">
        <v>43524</v>
      </c>
      <c r="AG124" s="144">
        <v>28</v>
      </c>
      <c r="AH124" s="300">
        <v>1218</v>
      </c>
      <c r="AI124" s="300">
        <v>56669</v>
      </c>
      <c r="AJ124" s="286"/>
      <c r="AK124" s="218"/>
      <c r="AL124" s="218"/>
      <c r="AM124" s="218"/>
      <c r="AN124" s="218"/>
    </row>
    <row r="125" spans="1:60">
      <c r="B125" s="302" t="s">
        <v>1001</v>
      </c>
      <c r="C125" s="302" t="s">
        <v>1000</v>
      </c>
      <c r="D125" s="302" t="s">
        <v>999</v>
      </c>
      <c r="E125" s="302" t="s">
        <v>993</v>
      </c>
      <c r="G125" s="302" t="s">
        <v>1001</v>
      </c>
      <c r="H125" s="302" t="s">
        <v>1000</v>
      </c>
      <c r="I125" s="302" t="s">
        <v>999</v>
      </c>
      <c r="J125" s="302" t="s">
        <v>993</v>
      </c>
      <c r="K125" s="286"/>
      <c r="L125" s="302" t="s">
        <v>1001</v>
      </c>
      <c r="M125" s="302" t="s">
        <v>1000</v>
      </c>
      <c r="N125" s="302" t="s">
        <v>999</v>
      </c>
      <c r="O125" s="302" t="s">
        <v>993</v>
      </c>
      <c r="P125" s="302"/>
      <c r="Q125" s="302" t="s">
        <v>1001</v>
      </c>
      <c r="R125" s="302" t="s">
        <v>1000</v>
      </c>
      <c r="S125" s="302" t="s">
        <v>999</v>
      </c>
      <c r="T125" s="302" t="s">
        <v>993</v>
      </c>
      <c r="U125" s="302"/>
      <c r="W125" s="287"/>
      <c r="X125" s="297"/>
      <c r="Y125" s="287">
        <f>Y124/W124</f>
        <v>2093.9677419354839</v>
      </c>
      <c r="Z125" s="287"/>
      <c r="AB125" s="287"/>
      <c r="AC125" s="297"/>
      <c r="AD125" s="287">
        <f>AD124/AB124</f>
        <v>1729.4285714285713</v>
      </c>
      <c r="AE125" s="286"/>
      <c r="AF125" s="218"/>
      <c r="AG125" s="287"/>
      <c r="AH125" s="297"/>
      <c r="AI125" s="287">
        <f>AI124/AG124</f>
        <v>2023.8928571428571</v>
      </c>
      <c r="AJ125" s="286"/>
      <c r="AK125" s="218"/>
      <c r="AL125" s="218"/>
      <c r="AM125" s="218"/>
      <c r="AN125" s="218"/>
    </row>
    <row r="126" spans="1:60">
      <c r="B126" s="301">
        <v>41304</v>
      </c>
      <c r="C126" s="144">
        <v>33</v>
      </c>
      <c r="D126" s="300">
        <v>1350</v>
      </c>
      <c r="E126" s="144">
        <v>95998</v>
      </c>
      <c r="G126" s="301">
        <v>41701</v>
      </c>
      <c r="H126" s="144">
        <v>28</v>
      </c>
      <c r="I126" s="300">
        <v>1092</v>
      </c>
      <c r="J126" s="144">
        <v>57062</v>
      </c>
      <c r="K126" s="286"/>
      <c r="L126" s="301">
        <v>42035</v>
      </c>
      <c r="M126" s="144">
        <v>29</v>
      </c>
      <c r="N126" s="300">
        <v>979</v>
      </c>
      <c r="O126" s="144">
        <v>51327</v>
      </c>
      <c r="P126" s="144"/>
      <c r="Q126" s="301">
        <v>42375</v>
      </c>
      <c r="R126" s="144">
        <v>34</v>
      </c>
      <c r="S126" s="300">
        <v>1236</v>
      </c>
      <c r="T126" s="144">
        <v>65029</v>
      </c>
      <c r="U126" s="144"/>
      <c r="W126" s="287"/>
      <c r="X126" s="297"/>
      <c r="Y126" s="287">
        <f>Y125*5</f>
        <v>10469.83870967742</v>
      </c>
      <c r="Z126" s="287"/>
      <c r="AB126" s="287"/>
      <c r="AC126" s="297"/>
      <c r="AD126" s="287">
        <f>AD125*5</f>
        <v>8647.1428571428569</v>
      </c>
      <c r="AE126" s="286"/>
      <c r="AF126" s="218"/>
      <c r="AG126" s="287"/>
      <c r="AH126" s="297"/>
      <c r="AI126" s="287">
        <f>AI125*5</f>
        <v>10119.464285714286</v>
      </c>
      <c r="AJ126" s="286"/>
      <c r="AK126" s="218"/>
      <c r="AL126" s="218"/>
      <c r="AM126" s="218"/>
      <c r="AN126" s="218"/>
    </row>
    <row r="127" spans="1:60">
      <c r="C127" s="287"/>
      <c r="D127" s="297"/>
      <c r="E127" s="287">
        <f>E126/C126</f>
        <v>2909.030303030303</v>
      </c>
      <c r="H127" s="287"/>
      <c r="I127" s="297"/>
      <c r="J127" s="287">
        <f>J126/H126</f>
        <v>2037.9285714285713</v>
      </c>
      <c r="M127" s="287"/>
      <c r="N127" s="297"/>
      <c r="O127" s="287">
        <f>O126/M126</f>
        <v>1769.8965517241379</v>
      </c>
      <c r="P127" s="287"/>
      <c r="R127" s="287"/>
      <c r="S127" s="297"/>
      <c r="T127" s="287">
        <f>T126/R126</f>
        <v>1912.6176470588234</v>
      </c>
      <c r="U127" s="287"/>
      <c r="V127" s="292"/>
      <c r="W127" s="291"/>
      <c r="X127" s="294"/>
      <c r="Y127" s="290"/>
      <c r="Z127" s="290"/>
      <c r="AA127" s="292"/>
      <c r="AB127" s="291"/>
      <c r="AC127" s="294"/>
      <c r="AD127" s="290"/>
      <c r="AE127" s="290"/>
      <c r="AF127" s="292"/>
      <c r="AG127" s="291"/>
      <c r="AH127" s="294"/>
      <c r="AI127" s="290"/>
      <c r="AJ127" s="299"/>
      <c r="AK127" s="299"/>
      <c r="AL127" s="299"/>
      <c r="AM127" s="299"/>
      <c r="AN127" s="299"/>
      <c r="AO127" s="299"/>
      <c r="AP127" s="299"/>
      <c r="AQ127" s="299"/>
      <c r="AR127" s="299" t="e">
        <f>RSQ(J130:J167,K130:K167)</f>
        <v>#DIV/0!</v>
      </c>
      <c r="AS127" s="234"/>
      <c r="AT127" s="234"/>
      <c r="AU127" s="234"/>
      <c r="AV127" s="234"/>
      <c r="AW127" s="234"/>
      <c r="AX127" s="299" t="s">
        <v>998</v>
      </c>
    </row>
    <row r="128" spans="1:60">
      <c r="C128" s="287"/>
      <c r="D128" s="297"/>
      <c r="E128" s="287">
        <f>E127*5</f>
        <v>14545.151515151516</v>
      </c>
      <c r="H128" s="287"/>
      <c r="I128" s="297"/>
      <c r="J128" s="287">
        <f>J127*5</f>
        <v>10189.642857142857</v>
      </c>
      <c r="M128" s="287"/>
      <c r="N128" s="297"/>
      <c r="O128" s="287">
        <f>O127*5</f>
        <v>8849.4827586206902</v>
      </c>
      <c r="P128" s="287"/>
      <c r="R128" s="287"/>
      <c r="S128" s="297"/>
      <c r="T128" s="287">
        <f>T127*5</f>
        <v>9563.0882352941171</v>
      </c>
      <c r="U128" s="287"/>
      <c r="V128" s="310"/>
      <c r="W128" s="303"/>
      <c r="X128" s="297"/>
      <c r="Y128" s="287"/>
      <c r="Z128" s="287"/>
      <c r="AA128" s="310"/>
      <c r="AB128" s="303"/>
      <c r="AC128" s="297"/>
      <c r="AD128" s="287"/>
      <c r="AE128" s="286"/>
      <c r="AF128" s="310"/>
      <c r="AG128" s="303"/>
      <c r="AH128" s="297"/>
      <c r="AI128" s="287"/>
      <c r="AJ128" s="218"/>
      <c r="AK128" s="298" t="s">
        <v>1136</v>
      </c>
      <c r="AL128" s="298"/>
      <c r="AM128" s="298"/>
      <c r="AN128" s="298"/>
      <c r="AO128" s="298"/>
      <c r="AP128" s="298"/>
      <c r="AR128" s="218" t="e">
        <f>CORREL(J130:J167,K130:K167)</f>
        <v>#DIV/0!</v>
      </c>
      <c r="AS128" s="222"/>
      <c r="AT128" s="222"/>
      <c r="AU128" s="222"/>
      <c r="AV128" s="222"/>
      <c r="AW128" s="222"/>
      <c r="AX128" s="218" t="s">
        <v>996</v>
      </c>
    </row>
    <row r="129" spans="1:49">
      <c r="L129" s="292"/>
      <c r="M129" s="291"/>
      <c r="N129" s="294"/>
      <c r="O129" s="290"/>
      <c r="P129" s="290"/>
      <c r="Q129" s="292"/>
      <c r="R129" s="291"/>
      <c r="S129" s="294"/>
      <c r="T129" s="290"/>
      <c r="U129" s="290"/>
      <c r="V129" s="310"/>
      <c r="W129" s="303"/>
      <c r="X129" s="297"/>
      <c r="Y129" s="287"/>
      <c r="Z129" s="287"/>
      <c r="AA129" s="310"/>
      <c r="AB129" s="303"/>
      <c r="AC129" s="297"/>
      <c r="AD129" s="287"/>
      <c r="AE129" s="286"/>
      <c r="AF129" s="310"/>
      <c r="AG129" s="303"/>
      <c r="AH129" s="297"/>
      <c r="AI129" s="287"/>
      <c r="AJ129" s="218"/>
      <c r="AK129" s="296" t="s">
        <v>995</v>
      </c>
      <c r="AL129" s="296"/>
      <c r="AM129" s="296"/>
      <c r="AN129" s="296"/>
      <c r="AO129" s="296"/>
      <c r="AP129" s="296"/>
      <c r="AQ129" s="295" t="s">
        <v>994</v>
      </c>
      <c r="AR129" s="295" t="s">
        <v>993</v>
      </c>
      <c r="AS129" s="516"/>
      <c r="AT129" s="516"/>
      <c r="AU129" s="516"/>
      <c r="AV129" s="516"/>
      <c r="AW129" s="516"/>
    </row>
    <row r="130" spans="1:49">
      <c r="L130" s="310"/>
      <c r="M130" s="303"/>
      <c r="N130" s="297"/>
      <c r="O130" s="287"/>
      <c r="P130" s="287"/>
      <c r="Q130" s="310"/>
      <c r="R130" s="303"/>
      <c r="S130" s="297"/>
      <c r="T130" s="287"/>
      <c r="U130" s="287"/>
      <c r="V130" s="310"/>
      <c r="W130" s="303"/>
      <c r="X130" s="297"/>
      <c r="Y130" s="287"/>
      <c r="Z130" s="287"/>
      <c r="AA130" s="310"/>
      <c r="AB130" s="303"/>
      <c r="AC130" s="297"/>
      <c r="AD130" s="287"/>
      <c r="AE130" s="286"/>
      <c r="AF130" s="310"/>
      <c r="AG130" s="303"/>
      <c r="AH130" s="297"/>
      <c r="AI130" s="287"/>
      <c r="AJ130" s="218"/>
      <c r="AK130" s="287"/>
      <c r="AL130" s="287"/>
      <c r="AM130" s="287"/>
      <c r="AN130" s="287"/>
      <c r="AO130" s="287"/>
      <c r="AP130" s="287"/>
      <c r="AQ130" s="222">
        <v>996</v>
      </c>
      <c r="AR130" s="286">
        <v>66866</v>
      </c>
      <c r="AS130" s="286"/>
      <c r="AT130" s="286"/>
      <c r="AU130" s="286"/>
      <c r="AV130" s="286"/>
      <c r="AW130" s="286"/>
    </row>
    <row r="131" spans="1:49">
      <c r="L131" s="310"/>
      <c r="M131" s="303"/>
      <c r="N131" s="297"/>
      <c r="O131" s="287"/>
      <c r="P131" s="287"/>
      <c r="Q131" s="310"/>
      <c r="R131" s="303"/>
      <c r="S131" s="297"/>
      <c r="T131" s="287"/>
      <c r="U131" s="287"/>
      <c r="V131" s="310"/>
      <c r="W131" s="303"/>
      <c r="X131" s="297"/>
      <c r="Y131" s="287"/>
      <c r="Z131" s="287"/>
      <c r="AA131" s="310"/>
      <c r="AB131" s="303"/>
      <c r="AC131" s="297"/>
      <c r="AD131" s="287"/>
      <c r="AE131" s="286"/>
      <c r="AF131" s="310"/>
      <c r="AG131" s="303"/>
      <c r="AH131" s="297"/>
      <c r="AI131" s="287"/>
      <c r="AJ131" s="218"/>
      <c r="AK131" s="218"/>
      <c r="AL131" s="218"/>
      <c r="AM131" s="218"/>
      <c r="AN131" s="218"/>
      <c r="AQ131" s="222">
        <v>550</v>
      </c>
      <c r="AR131" s="286">
        <v>90568</v>
      </c>
      <c r="AS131" s="286"/>
      <c r="AT131" s="286"/>
      <c r="AU131" s="286"/>
      <c r="AV131" s="286"/>
      <c r="AW131" s="286"/>
    </row>
    <row r="132" spans="1:49">
      <c r="A132" s="286"/>
      <c r="B132" s="446"/>
      <c r="C132" s="144"/>
      <c r="D132" s="454"/>
      <c r="E132" s="286"/>
      <c r="G132" s="446"/>
      <c r="H132" s="144"/>
      <c r="I132" s="454"/>
      <c r="J132" s="286"/>
      <c r="L132" s="310"/>
      <c r="M132" s="303"/>
      <c r="N132" s="297"/>
      <c r="O132" s="287"/>
      <c r="P132" s="287"/>
      <c r="Q132" s="310">
        <v>42341</v>
      </c>
      <c r="R132" s="303">
        <v>28</v>
      </c>
      <c r="S132" s="297"/>
      <c r="T132" s="287"/>
      <c r="U132" s="287"/>
      <c r="V132" s="310"/>
      <c r="W132" s="303"/>
      <c r="X132" s="297"/>
      <c r="Y132" s="287"/>
      <c r="Z132" s="287"/>
      <c r="AA132" s="310"/>
      <c r="AB132" s="303"/>
      <c r="AC132" s="297"/>
      <c r="AD132" s="287"/>
      <c r="AE132" s="286"/>
      <c r="AF132" s="310"/>
      <c r="AG132" s="303"/>
      <c r="AH132" s="297"/>
      <c r="AI132" s="287"/>
      <c r="AJ132" s="218"/>
      <c r="AK132" s="218"/>
      <c r="AL132" s="218"/>
      <c r="AM132" s="218"/>
      <c r="AN132" s="218"/>
      <c r="AQ132" s="222">
        <v>200</v>
      </c>
      <c r="AR132" s="286">
        <v>31034</v>
      </c>
      <c r="AS132" s="286"/>
      <c r="AT132" s="286"/>
      <c r="AU132" s="286"/>
      <c r="AV132" s="286"/>
      <c r="AW132" s="286"/>
    </row>
    <row r="133" spans="1:49">
      <c r="A133" s="286"/>
      <c r="B133" s="446"/>
      <c r="C133" s="144"/>
      <c r="D133" s="454"/>
      <c r="E133" s="286"/>
      <c r="G133" s="446"/>
      <c r="H133" s="144"/>
      <c r="I133" s="454"/>
      <c r="J133" s="286"/>
      <c r="L133" s="310"/>
      <c r="M133" s="303"/>
      <c r="N133" s="297"/>
      <c r="O133" s="287"/>
      <c r="P133" s="287"/>
      <c r="Q133" s="310">
        <v>42342</v>
      </c>
      <c r="R133" s="303">
        <v>27</v>
      </c>
      <c r="S133" s="297"/>
      <c r="T133" s="287"/>
      <c r="U133" s="287"/>
      <c r="V133" s="310"/>
      <c r="W133" s="303"/>
      <c r="X133" s="297"/>
      <c r="Y133" s="287"/>
      <c r="Z133" s="287"/>
      <c r="AA133" s="310"/>
      <c r="AB133" s="303"/>
      <c r="AC133" s="297"/>
      <c r="AD133" s="287"/>
      <c r="AE133" s="286"/>
      <c r="AF133" s="310"/>
      <c r="AG133" s="303"/>
      <c r="AH133" s="297"/>
      <c r="AI133" s="287"/>
      <c r="AJ133" s="218"/>
      <c r="AK133" s="218"/>
      <c r="AL133" s="218"/>
      <c r="AM133" s="218"/>
      <c r="AN133" s="218"/>
      <c r="AQ133" s="222">
        <v>7</v>
      </c>
      <c r="AR133" s="286">
        <v>19207</v>
      </c>
      <c r="AS133" s="286"/>
      <c r="AT133" s="286"/>
      <c r="AU133" s="286"/>
      <c r="AV133" s="286"/>
      <c r="AW133" s="286"/>
    </row>
    <row r="134" spans="1:49">
      <c r="A134" s="286"/>
      <c r="B134" s="446">
        <v>41273</v>
      </c>
      <c r="C134" s="144">
        <v>42</v>
      </c>
      <c r="D134" s="454"/>
      <c r="E134" s="286"/>
      <c r="G134" s="447">
        <v>41673</v>
      </c>
      <c r="H134" s="144">
        <v>49</v>
      </c>
      <c r="I134" s="451">
        <f>H134/$I$126</f>
        <v>4.4871794871794872E-2</v>
      </c>
      <c r="J134" s="452">
        <f>I134*$J$126</f>
        <v>2560.4743589743589</v>
      </c>
      <c r="L134" s="310"/>
      <c r="M134" s="303"/>
      <c r="N134" s="297"/>
      <c r="O134" s="287"/>
      <c r="P134" s="287"/>
      <c r="Q134" s="310">
        <v>42343</v>
      </c>
      <c r="R134" s="303">
        <v>27</v>
      </c>
      <c r="S134" s="297"/>
      <c r="T134" s="287"/>
      <c r="U134" s="287"/>
      <c r="V134" s="582">
        <v>42736</v>
      </c>
      <c r="W134" s="144">
        <v>42</v>
      </c>
      <c r="AA134" s="582">
        <v>43132</v>
      </c>
      <c r="AB134" s="144">
        <v>30</v>
      </c>
      <c r="AF134" s="582">
        <v>43132</v>
      </c>
      <c r="AG134" s="144">
        <v>33</v>
      </c>
      <c r="AH134" s="218"/>
      <c r="AJ134" s="218"/>
      <c r="AK134" s="218"/>
      <c r="AL134" s="218"/>
      <c r="AM134" s="218"/>
      <c r="AN134" s="218"/>
      <c r="AQ134" s="222">
        <v>0</v>
      </c>
      <c r="AR134" s="286">
        <v>19834</v>
      </c>
      <c r="AS134" s="286"/>
      <c r="AT134" s="286"/>
      <c r="AU134" s="286"/>
      <c r="AV134" s="286"/>
      <c r="AW134" s="286"/>
    </row>
    <row r="135" spans="1:49">
      <c r="A135" s="286"/>
      <c r="B135" s="446">
        <v>41274</v>
      </c>
      <c r="C135" s="144">
        <v>47</v>
      </c>
      <c r="D135" s="454"/>
      <c r="E135" s="286"/>
      <c r="G135" s="448">
        <v>41674</v>
      </c>
      <c r="H135" s="144">
        <v>57</v>
      </c>
      <c r="I135" s="451">
        <f>H135/$I$126</f>
        <v>5.21978021978022E-2</v>
      </c>
      <c r="J135" s="452">
        <f>I135*$J$126</f>
        <v>2978.5109890109893</v>
      </c>
      <c r="L135" s="446"/>
      <c r="M135" s="303"/>
      <c r="N135" s="297"/>
      <c r="O135" s="287"/>
      <c r="P135" s="287"/>
      <c r="Q135" s="310">
        <v>42344</v>
      </c>
      <c r="R135" s="303">
        <v>23</v>
      </c>
      <c r="S135" s="297"/>
      <c r="T135" s="287"/>
      <c r="U135" s="287"/>
      <c r="V135" s="582">
        <v>42737</v>
      </c>
      <c r="W135" s="144">
        <v>49</v>
      </c>
      <c r="AA135" s="582">
        <v>43133</v>
      </c>
      <c r="AB135" s="144">
        <v>27</v>
      </c>
      <c r="AF135" s="582">
        <v>43133</v>
      </c>
      <c r="AG135" s="144">
        <v>27</v>
      </c>
      <c r="AH135" s="218"/>
      <c r="AJ135" s="218"/>
      <c r="AK135" s="287"/>
      <c r="AL135" s="287"/>
      <c r="AM135" s="287"/>
      <c r="AN135" s="287"/>
      <c r="AO135" s="287"/>
      <c r="AP135" s="287"/>
      <c r="AQ135" s="222">
        <v>146</v>
      </c>
      <c r="AR135" s="286">
        <v>31146</v>
      </c>
      <c r="AS135" s="286"/>
      <c r="AT135" s="286"/>
      <c r="AU135" s="286"/>
      <c r="AV135" s="286"/>
      <c r="AW135" s="286"/>
    </row>
    <row r="136" spans="1:49">
      <c r="A136" s="286"/>
      <c r="B136" s="446">
        <v>41275</v>
      </c>
      <c r="C136" s="144">
        <v>48</v>
      </c>
      <c r="D136" s="454"/>
      <c r="E136" s="286"/>
      <c r="G136" s="448">
        <v>41675</v>
      </c>
      <c r="H136" s="144">
        <v>60</v>
      </c>
      <c r="I136" s="451">
        <f>H136/$I$126</f>
        <v>5.4945054945054944E-2</v>
      </c>
      <c r="J136" s="452">
        <f>I136*$J$126</f>
        <v>3135.2747252747254</v>
      </c>
      <c r="L136" s="447">
        <v>42005</v>
      </c>
      <c r="M136" s="303">
        <v>51</v>
      </c>
      <c r="N136" s="451">
        <f>M136/$M$167</f>
        <v>5.2093973442288048E-2</v>
      </c>
      <c r="O136" s="453">
        <f>N136*$O$126</f>
        <v>2673.8273748723186</v>
      </c>
      <c r="P136" s="452"/>
      <c r="Q136" s="310">
        <v>42345</v>
      </c>
      <c r="R136" s="144">
        <v>26</v>
      </c>
      <c r="S136" s="451"/>
      <c r="T136" s="452"/>
      <c r="U136" s="452"/>
      <c r="V136" s="573">
        <v>42738</v>
      </c>
      <c r="W136" s="144">
        <v>54</v>
      </c>
      <c r="X136" s="451">
        <f>W134/$X$124</f>
        <v>3.0456852791878174E-2</v>
      </c>
      <c r="Y136" s="583">
        <f>X136*$Y$124</f>
        <v>1977.0456852791879</v>
      </c>
      <c r="Z136" s="452"/>
      <c r="AA136" s="582">
        <v>43134</v>
      </c>
      <c r="AB136" s="144">
        <v>19</v>
      </c>
      <c r="AF136" s="582">
        <v>43134</v>
      </c>
      <c r="AG136" s="144">
        <v>35</v>
      </c>
      <c r="AH136" s="218"/>
      <c r="AJ136" s="218"/>
      <c r="AK136" s="287"/>
      <c r="AL136" s="287"/>
      <c r="AM136" s="287"/>
      <c r="AN136" s="287"/>
      <c r="AO136" s="287"/>
      <c r="AP136" s="287"/>
      <c r="AQ136" s="222">
        <v>272</v>
      </c>
      <c r="AR136" s="286">
        <v>36012</v>
      </c>
      <c r="AS136" s="286"/>
      <c r="AT136" s="286"/>
      <c r="AU136" s="286"/>
      <c r="AV136" s="286"/>
      <c r="AW136" s="286"/>
    </row>
    <row r="137" spans="1:49">
      <c r="A137" s="222"/>
      <c r="B137" s="446">
        <v>41276</v>
      </c>
      <c r="C137" s="144">
        <v>47</v>
      </c>
      <c r="D137" s="286"/>
      <c r="E137" s="222"/>
      <c r="G137" s="448">
        <v>41676</v>
      </c>
      <c r="H137" s="144">
        <v>60</v>
      </c>
      <c r="I137" s="451">
        <f>H137/$I$126</f>
        <v>5.4945054945054944E-2</v>
      </c>
      <c r="J137" s="452">
        <f>I137*$J$126</f>
        <v>3135.2747252747254</v>
      </c>
      <c r="L137" s="448">
        <v>42006</v>
      </c>
      <c r="M137" s="144">
        <v>44</v>
      </c>
      <c r="N137" s="451">
        <f>M137/$M$167</f>
        <v>4.49438202247191E-2</v>
      </c>
      <c r="O137" s="453">
        <f>N137*$O$126</f>
        <v>2306.8314606741574</v>
      </c>
      <c r="P137" s="452"/>
      <c r="Q137" s="310">
        <v>42346</v>
      </c>
      <c r="R137" s="144">
        <v>18</v>
      </c>
      <c r="S137" s="451"/>
      <c r="T137" s="452"/>
      <c r="U137" s="452"/>
      <c r="V137" s="574">
        <v>42739</v>
      </c>
      <c r="W137" s="144">
        <v>57</v>
      </c>
      <c r="X137" s="451">
        <f>W135/$X$124</f>
        <v>3.553299492385787E-2</v>
      </c>
      <c r="Y137" s="583">
        <f>X137*$Y$124</f>
        <v>2306.553299492386</v>
      </c>
      <c r="Z137" s="452"/>
      <c r="AA137" s="582">
        <v>43135</v>
      </c>
      <c r="AB137" s="144">
        <v>18</v>
      </c>
      <c r="AF137" s="582">
        <v>43135</v>
      </c>
      <c r="AG137" s="144">
        <v>43</v>
      </c>
      <c r="AH137" s="218"/>
      <c r="AJ137" s="218"/>
      <c r="AK137" s="287"/>
      <c r="AL137" s="287"/>
      <c r="AM137" s="287"/>
      <c r="AN137" s="287"/>
      <c r="AO137" s="287"/>
      <c r="AP137" s="287"/>
      <c r="AQ137" s="222">
        <v>588</v>
      </c>
      <c r="AR137" s="286">
        <v>55507</v>
      </c>
      <c r="AS137" s="286"/>
      <c r="AT137" s="286"/>
      <c r="AU137" s="286"/>
      <c r="AV137" s="286"/>
      <c r="AW137" s="286"/>
    </row>
    <row r="138" spans="1:49">
      <c r="A138" s="222"/>
      <c r="B138" s="446">
        <v>41277</v>
      </c>
      <c r="C138" s="144">
        <v>50</v>
      </c>
      <c r="D138" s="286"/>
      <c r="E138" s="222"/>
      <c r="G138" s="449">
        <v>41677</v>
      </c>
      <c r="H138" s="144">
        <v>56</v>
      </c>
      <c r="I138" s="451">
        <f>H138/$I$126</f>
        <v>5.128205128205128E-2</v>
      </c>
      <c r="J138" s="452">
        <f>I138*$J$126</f>
        <v>2926.2564102564102</v>
      </c>
      <c r="L138" s="448">
        <v>42007</v>
      </c>
      <c r="M138" s="144">
        <v>48</v>
      </c>
      <c r="N138" s="451">
        <f>M138/$M$167</f>
        <v>4.9029622063329927E-2</v>
      </c>
      <c r="O138" s="453">
        <f>N138*$O$126</f>
        <v>2516.5434116445354</v>
      </c>
      <c r="P138" s="452"/>
      <c r="Q138" s="310">
        <v>42347</v>
      </c>
      <c r="R138" s="144">
        <v>20</v>
      </c>
      <c r="S138" s="451"/>
      <c r="T138" s="452"/>
      <c r="U138" s="452"/>
      <c r="V138" s="574">
        <v>42740</v>
      </c>
      <c r="W138" s="144">
        <v>59</v>
      </c>
      <c r="X138" s="451">
        <f>W136/$X$124</f>
        <v>3.9158810732414791E-2</v>
      </c>
      <c r="Y138" s="583">
        <f>X138*$Y$124</f>
        <v>2541.9158810732415</v>
      </c>
      <c r="Z138" s="452"/>
      <c r="AA138" s="582">
        <v>43136</v>
      </c>
      <c r="AB138" s="144">
        <v>22</v>
      </c>
      <c r="AF138" s="582">
        <v>43136</v>
      </c>
      <c r="AG138" s="144">
        <v>44</v>
      </c>
      <c r="AH138" s="218"/>
      <c r="AJ138" s="218"/>
      <c r="AK138" s="287"/>
      <c r="AL138" s="287"/>
      <c r="AM138" s="287"/>
      <c r="AN138" s="287"/>
      <c r="AO138" s="287"/>
      <c r="AP138" s="287"/>
      <c r="AQ138" s="222">
        <v>703</v>
      </c>
      <c r="AR138" s="286">
        <v>63637</v>
      </c>
      <c r="AS138" s="286"/>
      <c r="AT138" s="286"/>
      <c r="AU138" s="286"/>
      <c r="AV138" s="286"/>
      <c r="AW138" s="286"/>
    </row>
    <row r="139" spans="1:49">
      <c r="A139" s="286"/>
      <c r="B139" s="446">
        <v>41278</v>
      </c>
      <c r="C139" s="144">
        <v>43</v>
      </c>
      <c r="D139" s="450"/>
      <c r="E139" s="286"/>
      <c r="G139" s="446">
        <v>41678</v>
      </c>
      <c r="H139" s="144">
        <v>48</v>
      </c>
      <c r="I139" s="450"/>
      <c r="J139" s="286"/>
      <c r="L139" s="448">
        <v>42008</v>
      </c>
      <c r="M139" s="144">
        <v>35</v>
      </c>
      <c r="N139" s="451">
        <f>M139/$M$167</f>
        <v>3.5750766087844742E-2</v>
      </c>
      <c r="O139" s="453">
        <f>N139*$O$126</f>
        <v>1834.9795709908071</v>
      </c>
      <c r="P139" s="452"/>
      <c r="Q139" s="310">
        <v>42348</v>
      </c>
      <c r="R139" s="144">
        <v>26</v>
      </c>
      <c r="S139" s="451"/>
      <c r="T139" s="452"/>
      <c r="U139" s="452"/>
      <c r="V139" s="574">
        <v>42741</v>
      </c>
      <c r="W139" s="144">
        <v>56</v>
      </c>
      <c r="X139" s="451">
        <f>W137/$X$124</f>
        <v>4.1334300217548949E-2</v>
      </c>
      <c r="Y139" s="583">
        <f>X139*$Y$124</f>
        <v>2683.133430021755</v>
      </c>
      <c r="Z139" s="452"/>
      <c r="AA139" s="582">
        <v>43137</v>
      </c>
      <c r="AB139" s="144">
        <v>25</v>
      </c>
      <c r="AF139" s="582">
        <v>43137</v>
      </c>
      <c r="AG139" s="144">
        <v>50</v>
      </c>
      <c r="AH139" s="451">
        <f>AG139/$AH$124</f>
        <v>4.1050903119868636E-2</v>
      </c>
      <c r="AI139" s="583">
        <f>AH139*$AI$124</f>
        <v>2326.3136288998357</v>
      </c>
      <c r="AJ139" s="218"/>
      <c r="AK139" s="287"/>
      <c r="AL139" s="287"/>
      <c r="AM139" s="287"/>
      <c r="AN139" s="287"/>
      <c r="AO139" s="287"/>
      <c r="AP139" s="287"/>
      <c r="AQ139" s="222">
        <v>902</v>
      </c>
      <c r="AR139" s="286">
        <v>69787</v>
      </c>
      <c r="AS139" s="286"/>
      <c r="AT139" s="286"/>
      <c r="AU139" s="286"/>
      <c r="AV139" s="286"/>
      <c r="AW139" s="286"/>
    </row>
    <row r="140" spans="1:49">
      <c r="A140" s="286"/>
      <c r="B140" s="446">
        <v>41279</v>
      </c>
      <c r="C140" s="144">
        <v>37</v>
      </c>
      <c r="D140" s="450"/>
      <c r="E140" s="286"/>
      <c r="G140" s="446">
        <v>41679</v>
      </c>
      <c r="H140" s="144">
        <v>46</v>
      </c>
      <c r="I140" s="450"/>
      <c r="J140" s="286"/>
      <c r="L140" s="449">
        <v>42009</v>
      </c>
      <c r="M140" s="144">
        <v>27</v>
      </c>
      <c r="N140" s="451">
        <f>M140/$M$167</f>
        <v>2.7579162410623085E-2</v>
      </c>
      <c r="O140" s="453">
        <f>N140*$O$126</f>
        <v>1415.5556690500512</v>
      </c>
      <c r="P140" s="452"/>
      <c r="Q140" s="310">
        <v>42349</v>
      </c>
      <c r="R140" s="144">
        <v>26</v>
      </c>
      <c r="S140" s="451"/>
      <c r="T140" s="452"/>
      <c r="U140" s="452"/>
      <c r="V140" s="575">
        <v>42742</v>
      </c>
      <c r="W140" s="144">
        <v>57</v>
      </c>
      <c r="X140" s="451">
        <f>W138/$X$124</f>
        <v>4.2784626540971718E-2</v>
      </c>
      <c r="Y140" s="583">
        <f>X140*$Y$124</f>
        <v>2777.278462654097</v>
      </c>
      <c r="Z140" s="452"/>
      <c r="AA140" s="582">
        <v>43138</v>
      </c>
      <c r="AB140" s="144">
        <v>22</v>
      </c>
      <c r="AF140" s="582">
        <v>43138</v>
      </c>
      <c r="AG140" s="144">
        <v>50</v>
      </c>
      <c r="AH140" s="451">
        <f>AG140/$AH$124</f>
        <v>4.1050903119868636E-2</v>
      </c>
      <c r="AI140" s="583">
        <f>AH140*$AI$124</f>
        <v>2326.3136288998357</v>
      </c>
      <c r="AJ140" s="218"/>
      <c r="AK140" s="287"/>
      <c r="AL140" s="287"/>
      <c r="AM140" s="287"/>
      <c r="AN140" s="287"/>
      <c r="AO140" s="287"/>
      <c r="AP140" s="287"/>
      <c r="AQ140" s="222">
        <v>1350</v>
      </c>
      <c r="AR140" s="286">
        <v>95998</v>
      </c>
      <c r="AS140" s="286"/>
      <c r="AT140" s="286"/>
      <c r="AU140" s="286"/>
      <c r="AV140" s="286"/>
      <c r="AW140" s="286"/>
    </row>
    <row r="141" spans="1:49">
      <c r="A141" s="286"/>
      <c r="B141" s="446">
        <v>41280</v>
      </c>
      <c r="C141" s="144">
        <v>37</v>
      </c>
      <c r="D141" s="450"/>
      <c r="E141" s="286"/>
      <c r="G141" s="446">
        <v>41680</v>
      </c>
      <c r="H141" s="144">
        <v>41</v>
      </c>
      <c r="I141" s="450"/>
      <c r="J141" s="286"/>
      <c r="L141" s="446">
        <v>42010</v>
      </c>
      <c r="M141" s="144">
        <v>27</v>
      </c>
      <c r="O141" s="452"/>
      <c r="P141" s="452"/>
      <c r="Q141" s="310">
        <v>42350</v>
      </c>
      <c r="R141" s="144">
        <v>28</v>
      </c>
      <c r="T141" s="452"/>
      <c r="U141" s="452"/>
      <c r="V141" s="582">
        <v>42743</v>
      </c>
      <c r="W141" s="144">
        <v>42</v>
      </c>
      <c r="X141" s="450"/>
      <c r="Y141" s="286"/>
      <c r="Z141" s="286"/>
      <c r="AA141" s="582">
        <v>43139</v>
      </c>
      <c r="AB141" s="144">
        <v>20</v>
      </c>
      <c r="AC141" s="450"/>
      <c r="AD141" s="286"/>
      <c r="AE141" s="286"/>
      <c r="AF141" s="582">
        <v>43139</v>
      </c>
      <c r="AG141" s="144">
        <v>43</v>
      </c>
      <c r="AH141" s="451">
        <f>AG141/$AH$124</f>
        <v>3.5303776683087026E-2</v>
      </c>
      <c r="AI141" s="583">
        <f>AH141*$AI$124</f>
        <v>2000.6297208538588</v>
      </c>
      <c r="AJ141" s="218"/>
      <c r="AK141" s="287"/>
      <c r="AL141" s="287"/>
      <c r="AM141" s="287"/>
      <c r="AN141" s="287"/>
      <c r="AO141" s="287"/>
      <c r="AP141" s="287"/>
      <c r="AQ141" s="222">
        <v>924</v>
      </c>
      <c r="AR141" s="286">
        <v>73310</v>
      </c>
      <c r="AS141" s="286"/>
      <c r="AT141" s="286"/>
      <c r="AU141" s="286"/>
      <c r="AV141" s="286"/>
      <c r="AW141" s="286"/>
    </row>
    <row r="142" spans="1:49">
      <c r="A142" s="286"/>
      <c r="B142" s="446">
        <v>41281</v>
      </c>
      <c r="C142" s="144">
        <v>31</v>
      </c>
      <c r="D142" s="450"/>
      <c r="E142" s="286"/>
      <c r="G142" s="446">
        <v>41681</v>
      </c>
      <c r="H142" s="144">
        <v>34</v>
      </c>
      <c r="I142" s="450"/>
      <c r="J142" s="286"/>
      <c r="L142" s="446">
        <v>42011</v>
      </c>
      <c r="M142" s="144">
        <v>33</v>
      </c>
      <c r="Q142" s="310">
        <v>42351</v>
      </c>
      <c r="R142" s="144">
        <v>28</v>
      </c>
      <c r="V142" s="582">
        <v>42744</v>
      </c>
      <c r="W142" s="144">
        <v>40</v>
      </c>
      <c r="X142" s="286"/>
      <c r="Y142" s="222"/>
      <c r="Z142" s="222"/>
      <c r="AA142" s="582">
        <v>43140</v>
      </c>
      <c r="AB142" s="144">
        <v>31</v>
      </c>
      <c r="AC142" s="286"/>
      <c r="AD142" s="222"/>
      <c r="AF142" s="582">
        <v>43140</v>
      </c>
      <c r="AG142" s="144">
        <v>50</v>
      </c>
      <c r="AH142" s="451">
        <f>AG142/$AH$124</f>
        <v>4.1050903119868636E-2</v>
      </c>
      <c r="AI142" s="583">
        <f>AH142*$AI$124</f>
        <v>2326.3136288998357</v>
      </c>
      <c r="AJ142" s="218"/>
      <c r="AK142" s="287"/>
      <c r="AL142" s="287"/>
      <c r="AM142" s="287"/>
      <c r="AN142" s="287"/>
      <c r="AO142" s="287"/>
      <c r="AP142" s="287"/>
      <c r="AQ142" s="222">
        <v>828</v>
      </c>
      <c r="AR142" s="286">
        <v>71957</v>
      </c>
      <c r="AS142" s="286"/>
      <c r="AT142" s="286"/>
      <c r="AU142" s="286"/>
      <c r="AV142" s="286"/>
      <c r="AW142" s="286"/>
    </row>
    <row r="143" spans="1:49">
      <c r="A143" s="286"/>
      <c r="B143" s="446">
        <v>41282</v>
      </c>
      <c r="C143" s="144">
        <v>28</v>
      </c>
      <c r="D143" s="450"/>
      <c r="E143" s="286"/>
      <c r="G143" s="446">
        <v>41682</v>
      </c>
      <c r="H143" s="144">
        <v>24</v>
      </c>
      <c r="I143" s="450"/>
      <c r="J143" s="286"/>
      <c r="L143" s="446">
        <v>42012</v>
      </c>
      <c r="M143" s="144">
        <v>34</v>
      </c>
      <c r="N143" s="450"/>
      <c r="O143" s="286"/>
      <c r="P143" s="286"/>
      <c r="Q143" s="310">
        <v>42352</v>
      </c>
      <c r="R143" s="144">
        <v>29</v>
      </c>
      <c r="S143" s="450"/>
      <c r="T143" s="286"/>
      <c r="U143" s="286"/>
      <c r="V143" s="582">
        <v>42745</v>
      </c>
      <c r="W143" s="144">
        <v>44</v>
      </c>
      <c r="X143" s="286"/>
      <c r="Y143" s="222"/>
      <c r="Z143" s="222"/>
      <c r="AA143" s="582">
        <v>43141</v>
      </c>
      <c r="AB143" s="144">
        <v>37</v>
      </c>
      <c r="AC143" s="286"/>
      <c r="AD143" s="222"/>
      <c r="AF143" s="582">
        <v>43141</v>
      </c>
      <c r="AG143" s="144">
        <v>55</v>
      </c>
      <c r="AH143" s="451">
        <f>AG143/$AH$124</f>
        <v>4.5155993431855501E-2</v>
      </c>
      <c r="AI143" s="583">
        <f>AH143*$AI$124</f>
        <v>2558.9449917898196</v>
      </c>
      <c r="AJ143" s="218"/>
      <c r="AK143" s="287"/>
      <c r="AL143" s="287"/>
      <c r="AM143" s="287"/>
      <c r="AN143" s="287"/>
      <c r="AO143" s="287"/>
      <c r="AP143" s="287"/>
      <c r="AQ143" s="222">
        <v>431</v>
      </c>
      <c r="AR143" s="286">
        <v>42234</v>
      </c>
      <c r="AS143" s="286"/>
      <c r="AT143" s="286"/>
      <c r="AU143" s="286"/>
      <c r="AV143" s="286"/>
      <c r="AW143" s="286"/>
    </row>
    <row r="144" spans="1:49">
      <c r="A144" s="222"/>
      <c r="B144" s="446">
        <v>41283</v>
      </c>
      <c r="C144" s="144">
        <v>27</v>
      </c>
      <c r="D144" s="286"/>
      <c r="E144" s="222"/>
      <c r="G144" s="446">
        <v>41683</v>
      </c>
      <c r="H144" s="144">
        <v>25</v>
      </c>
      <c r="I144" s="286"/>
      <c r="J144" s="222"/>
      <c r="L144" s="446">
        <v>42013</v>
      </c>
      <c r="M144" s="144">
        <v>34</v>
      </c>
      <c r="N144" s="286"/>
      <c r="O144" s="222"/>
      <c r="P144" s="222"/>
      <c r="Q144" s="310">
        <v>42353</v>
      </c>
      <c r="R144" s="144">
        <v>37</v>
      </c>
      <c r="S144" s="286"/>
      <c r="T144" s="222"/>
      <c r="U144" s="222"/>
      <c r="V144" s="582">
        <v>42746</v>
      </c>
      <c r="W144" s="144">
        <v>54</v>
      </c>
      <c r="X144" s="222"/>
      <c r="Y144" s="222"/>
      <c r="Z144" s="222"/>
      <c r="AA144" s="582">
        <v>43142</v>
      </c>
      <c r="AB144" s="144">
        <v>35</v>
      </c>
      <c r="AC144" s="222"/>
      <c r="AD144" s="222"/>
      <c r="AF144" s="582">
        <v>43142</v>
      </c>
      <c r="AG144" s="144">
        <v>53</v>
      </c>
      <c r="AI144" s="222"/>
      <c r="AJ144" s="218"/>
      <c r="AK144" s="287"/>
      <c r="AL144" s="287"/>
      <c r="AM144" s="287"/>
      <c r="AN144" s="287"/>
      <c r="AO144" s="287"/>
      <c r="AP144" s="287"/>
      <c r="AQ144" s="222">
        <v>69</v>
      </c>
      <c r="AR144" s="286">
        <v>30272</v>
      </c>
      <c r="AS144" s="286"/>
      <c r="AT144" s="286"/>
      <c r="AU144" s="286"/>
      <c r="AV144" s="286"/>
      <c r="AW144" s="286"/>
    </row>
    <row r="145" spans="1:49">
      <c r="A145" s="222"/>
      <c r="B145" s="446">
        <v>41284</v>
      </c>
      <c r="C145" s="144">
        <v>36</v>
      </c>
      <c r="D145" s="286"/>
      <c r="E145" s="222"/>
      <c r="G145" s="446">
        <v>41684</v>
      </c>
      <c r="H145" s="144">
        <v>26</v>
      </c>
      <c r="I145" s="286"/>
      <c r="J145" s="222"/>
      <c r="L145" s="446">
        <v>42014</v>
      </c>
      <c r="M145" s="144">
        <v>36</v>
      </c>
      <c r="N145" s="286"/>
      <c r="O145" s="222"/>
      <c r="P145" s="222"/>
      <c r="Q145" s="310">
        <v>42354</v>
      </c>
      <c r="R145" s="144">
        <v>42</v>
      </c>
      <c r="S145" s="286"/>
      <c r="T145" s="222"/>
      <c r="U145" s="222"/>
      <c r="V145" s="582">
        <v>42747</v>
      </c>
      <c r="W145" s="144">
        <v>58</v>
      </c>
      <c r="X145" s="222"/>
      <c r="Y145" s="222"/>
      <c r="Z145" s="222"/>
      <c r="AA145" s="582">
        <v>43143</v>
      </c>
      <c r="AB145" s="144">
        <v>39</v>
      </c>
      <c r="AC145" s="222"/>
      <c r="AD145" s="222"/>
      <c r="AF145" s="582">
        <v>43143</v>
      </c>
      <c r="AG145" s="144">
        <v>36</v>
      </c>
      <c r="AI145" s="222"/>
      <c r="AJ145" s="218"/>
      <c r="AK145" s="287"/>
      <c r="AL145" s="287"/>
      <c r="AM145" s="287"/>
      <c r="AN145" s="287"/>
      <c r="AO145" s="287"/>
      <c r="AP145" s="287"/>
      <c r="AQ145" s="222">
        <v>9</v>
      </c>
      <c r="AR145" s="286">
        <v>21285</v>
      </c>
      <c r="AS145" s="286"/>
      <c r="AT145" s="286"/>
      <c r="AU145" s="286"/>
      <c r="AV145" s="286"/>
      <c r="AW145" s="286"/>
    </row>
    <row r="146" spans="1:49" ht="13.8" thickBot="1">
      <c r="A146" s="222"/>
      <c r="B146" s="446">
        <v>41285</v>
      </c>
      <c r="C146" s="144">
        <v>44</v>
      </c>
      <c r="D146" s="222"/>
      <c r="E146" s="222"/>
      <c r="G146" s="446">
        <v>41685</v>
      </c>
      <c r="H146" s="291">
        <v>27</v>
      </c>
      <c r="I146" s="222"/>
      <c r="J146" s="222"/>
      <c r="L146" s="446">
        <v>42015</v>
      </c>
      <c r="M146" s="144">
        <v>37</v>
      </c>
      <c r="N146" s="222"/>
      <c r="O146" s="222"/>
      <c r="P146" s="222"/>
      <c r="Q146" s="310">
        <v>42355</v>
      </c>
      <c r="R146" s="144">
        <v>44</v>
      </c>
      <c r="S146" s="222"/>
      <c r="T146" s="222"/>
      <c r="U146" s="222"/>
      <c r="V146" s="582">
        <v>42748</v>
      </c>
      <c r="W146" s="144">
        <v>55</v>
      </c>
      <c r="X146" s="222"/>
      <c r="Y146" s="222"/>
      <c r="Z146" s="222"/>
      <c r="AA146" s="582">
        <v>43144</v>
      </c>
      <c r="AB146" s="144">
        <v>36</v>
      </c>
      <c r="AC146" s="222"/>
      <c r="AD146" s="222"/>
      <c r="AF146" s="582">
        <v>43144</v>
      </c>
      <c r="AG146" s="144">
        <v>38</v>
      </c>
      <c r="AI146" s="222"/>
      <c r="AJ146" s="218"/>
      <c r="AK146" s="287"/>
      <c r="AL146" s="287"/>
      <c r="AM146" s="287"/>
      <c r="AN146" s="287"/>
      <c r="AO146" s="287"/>
      <c r="AP146" s="287"/>
      <c r="AQ146" s="222">
        <v>20</v>
      </c>
      <c r="AR146" s="286">
        <v>25552</v>
      </c>
      <c r="AS146" s="286"/>
      <c r="AT146" s="286"/>
      <c r="AU146" s="286"/>
      <c r="AV146" s="286"/>
      <c r="AW146" s="286"/>
    </row>
    <row r="147" spans="1:49">
      <c r="A147" s="222"/>
      <c r="B147" s="455">
        <v>41286</v>
      </c>
      <c r="C147" s="144">
        <v>52</v>
      </c>
      <c r="D147" s="451">
        <f>C147/$D$126</f>
        <v>3.8518518518518521E-2</v>
      </c>
      <c r="E147" s="452">
        <f>D147*$E$126</f>
        <v>3697.7007407407409</v>
      </c>
      <c r="G147" s="446">
        <v>41686</v>
      </c>
      <c r="H147" s="291">
        <v>28</v>
      </c>
      <c r="L147" s="446">
        <v>42016</v>
      </c>
      <c r="M147" s="144">
        <v>36</v>
      </c>
      <c r="N147" s="222"/>
      <c r="O147" s="222"/>
      <c r="P147" s="222"/>
      <c r="Q147" s="310">
        <v>42356</v>
      </c>
      <c r="R147" s="144">
        <v>33</v>
      </c>
      <c r="S147" s="222"/>
      <c r="T147" s="222"/>
      <c r="U147" s="222"/>
      <c r="V147" s="582">
        <v>42749</v>
      </c>
      <c r="W147" s="144">
        <v>58</v>
      </c>
      <c r="X147" s="222"/>
      <c r="Y147" s="222"/>
      <c r="Z147" s="222"/>
      <c r="AA147" s="582">
        <v>43145</v>
      </c>
      <c r="AB147" s="144">
        <v>37</v>
      </c>
      <c r="AC147" s="222"/>
      <c r="AD147" s="222"/>
      <c r="AF147" s="582">
        <v>43145</v>
      </c>
      <c r="AG147" s="144">
        <v>41</v>
      </c>
      <c r="AI147" s="222"/>
      <c r="AJ147" s="218"/>
      <c r="AK147" s="287"/>
      <c r="AL147" s="287"/>
      <c r="AM147" s="287"/>
      <c r="AN147" s="287"/>
      <c r="AO147" s="287"/>
      <c r="AP147" s="287"/>
      <c r="AQ147" s="222">
        <v>175</v>
      </c>
      <c r="AR147" s="286">
        <v>34430</v>
      </c>
      <c r="AS147" s="286"/>
      <c r="AT147" s="286"/>
      <c r="AU147" s="286"/>
      <c r="AV147" s="286"/>
      <c r="AW147" s="286"/>
    </row>
    <row r="148" spans="1:49">
      <c r="A148" s="222"/>
      <c r="B148" s="456">
        <v>41287</v>
      </c>
      <c r="C148" s="144">
        <v>47</v>
      </c>
      <c r="D148" s="451">
        <f>C148/$D$126</f>
        <v>3.4814814814814812E-2</v>
      </c>
      <c r="E148" s="452">
        <f>D148*$E$126</f>
        <v>3342.1525925925926</v>
      </c>
      <c r="G148" s="446">
        <v>41687</v>
      </c>
      <c r="H148" s="291">
        <v>26</v>
      </c>
      <c r="L148" s="446">
        <v>42017</v>
      </c>
      <c r="M148" s="144">
        <v>35</v>
      </c>
      <c r="N148" s="222"/>
      <c r="O148" s="222"/>
      <c r="P148" s="222"/>
      <c r="Q148" s="310">
        <v>42357</v>
      </c>
      <c r="R148" s="144">
        <v>35</v>
      </c>
      <c r="S148" s="222"/>
      <c r="T148" s="222"/>
      <c r="U148" s="222"/>
      <c r="V148" s="582">
        <v>42750</v>
      </c>
      <c r="W148" s="291">
        <v>59</v>
      </c>
      <c r="X148" s="222"/>
      <c r="Y148" s="222"/>
      <c r="Z148" s="222"/>
      <c r="AA148" s="582">
        <v>43146</v>
      </c>
      <c r="AB148" s="291">
        <v>43</v>
      </c>
      <c r="AC148" s="222"/>
      <c r="AD148" s="222"/>
      <c r="AF148" s="582">
        <v>43146</v>
      </c>
      <c r="AG148" s="291">
        <v>35</v>
      </c>
      <c r="AI148" s="222"/>
      <c r="AJ148" s="218"/>
      <c r="AK148" s="287"/>
      <c r="AL148" s="287"/>
      <c r="AM148" s="287"/>
      <c r="AN148" s="287"/>
      <c r="AO148" s="287"/>
      <c r="AP148" s="287"/>
      <c r="AQ148" s="222">
        <v>345</v>
      </c>
      <c r="AR148" s="286">
        <v>45449</v>
      </c>
      <c r="AS148" s="286"/>
      <c r="AT148" s="286"/>
      <c r="AU148" s="286"/>
      <c r="AV148" s="286"/>
      <c r="AW148" s="286"/>
    </row>
    <row r="149" spans="1:49">
      <c r="A149" s="222"/>
      <c r="B149" s="456">
        <v>41288</v>
      </c>
      <c r="C149" s="144">
        <v>45</v>
      </c>
      <c r="D149" s="451">
        <f>C149/$D$126</f>
        <v>3.3333333333333333E-2</v>
      </c>
      <c r="E149" s="452">
        <f>D149*$E$126</f>
        <v>3199.9333333333334</v>
      </c>
      <c r="G149" s="446">
        <v>41688</v>
      </c>
      <c r="H149" s="291">
        <v>28</v>
      </c>
      <c r="L149" s="446">
        <v>42018</v>
      </c>
      <c r="M149" s="144">
        <v>36</v>
      </c>
      <c r="N149" s="222"/>
      <c r="O149" s="222"/>
      <c r="P149" s="222"/>
      <c r="Q149" s="310">
        <v>42358</v>
      </c>
      <c r="R149" s="144">
        <v>35</v>
      </c>
      <c r="S149" s="222"/>
      <c r="T149" s="222"/>
      <c r="U149" s="222"/>
      <c r="V149" s="582">
        <v>42751</v>
      </c>
      <c r="W149" s="291">
        <v>57</v>
      </c>
      <c r="X149" s="222"/>
      <c r="Y149" s="222"/>
      <c r="Z149" s="222"/>
      <c r="AA149" s="582">
        <v>43147</v>
      </c>
      <c r="AB149" s="291">
        <v>33</v>
      </c>
      <c r="AC149" s="222"/>
      <c r="AD149" s="222"/>
      <c r="AF149" s="582">
        <v>43147</v>
      </c>
      <c r="AG149" s="291">
        <v>36</v>
      </c>
      <c r="AI149" s="222"/>
      <c r="AJ149" s="218"/>
      <c r="AK149" s="287"/>
      <c r="AL149" s="287"/>
      <c r="AM149" s="287"/>
      <c r="AN149" s="287"/>
      <c r="AO149" s="287"/>
      <c r="AP149" s="287"/>
      <c r="AQ149" s="222">
        <v>537</v>
      </c>
      <c r="AR149" s="286">
        <v>58001</v>
      </c>
      <c r="AS149" s="286"/>
      <c r="AT149" s="286"/>
      <c r="AU149" s="286"/>
      <c r="AV149" s="286"/>
      <c r="AW149" s="286"/>
    </row>
    <row r="150" spans="1:49">
      <c r="A150" s="222"/>
      <c r="B150" s="456">
        <v>41289</v>
      </c>
      <c r="C150" s="291">
        <v>44</v>
      </c>
      <c r="D150" s="451">
        <f>C150/$D$126</f>
        <v>3.259259259259259E-2</v>
      </c>
      <c r="E150" s="452">
        <f>D150*$E$126</f>
        <v>3128.8237037037034</v>
      </c>
      <c r="G150" s="446">
        <v>41689</v>
      </c>
      <c r="H150" s="291">
        <v>30</v>
      </c>
      <c r="L150" s="446">
        <v>42019</v>
      </c>
      <c r="M150" s="291">
        <v>36</v>
      </c>
      <c r="N150" s="222"/>
      <c r="O150" s="222"/>
      <c r="P150" s="222"/>
      <c r="Q150" s="310">
        <v>42359</v>
      </c>
      <c r="R150" s="291">
        <v>33</v>
      </c>
      <c r="S150" s="222"/>
      <c r="T150" s="222"/>
      <c r="U150" s="222"/>
      <c r="V150" s="582">
        <v>42752</v>
      </c>
      <c r="W150" s="291">
        <v>45</v>
      </c>
      <c r="X150" s="222"/>
      <c r="Y150" s="222"/>
      <c r="Z150" s="222"/>
      <c r="AA150" s="582">
        <v>43148</v>
      </c>
      <c r="AB150" s="291">
        <v>29</v>
      </c>
      <c r="AC150" s="222"/>
      <c r="AD150" s="222"/>
      <c r="AF150" s="582">
        <v>43148</v>
      </c>
      <c r="AG150" s="291">
        <v>43</v>
      </c>
      <c r="AI150" s="222"/>
      <c r="AJ150" s="218"/>
      <c r="AK150" s="287"/>
      <c r="AL150" s="287"/>
      <c r="AM150" s="287"/>
      <c r="AN150" s="287"/>
      <c r="AO150" s="287"/>
      <c r="AP150" s="287"/>
      <c r="AQ150" s="222">
        <v>766</v>
      </c>
      <c r="AR150" s="286">
        <v>67390</v>
      </c>
      <c r="AS150" s="286"/>
      <c r="AT150" s="286"/>
      <c r="AU150" s="286"/>
      <c r="AV150" s="286"/>
      <c r="AW150" s="286"/>
    </row>
    <row r="151" spans="1:49" ht="13.8" thickBot="1">
      <c r="A151" s="222"/>
      <c r="B151" s="457">
        <v>41290</v>
      </c>
      <c r="C151" s="291">
        <v>44</v>
      </c>
      <c r="D151" s="451">
        <f>C151/$D$126</f>
        <v>3.259259259259259E-2</v>
      </c>
      <c r="E151" s="452">
        <f>D151*$E$126</f>
        <v>3128.8237037037034</v>
      </c>
      <c r="G151" s="446">
        <v>41690</v>
      </c>
      <c r="H151" s="291">
        <v>29</v>
      </c>
      <c r="L151" s="446">
        <v>42020</v>
      </c>
      <c r="M151" s="291">
        <v>34</v>
      </c>
      <c r="N151" s="222"/>
      <c r="O151" s="222"/>
      <c r="P151" s="222"/>
      <c r="Q151" s="310">
        <v>42360</v>
      </c>
      <c r="R151" s="291">
        <v>38</v>
      </c>
      <c r="S151" s="222"/>
      <c r="T151" s="222"/>
      <c r="U151" s="222"/>
      <c r="V151" s="582">
        <v>42753</v>
      </c>
      <c r="W151" s="291">
        <v>29</v>
      </c>
      <c r="X151" s="222"/>
      <c r="Y151" s="222"/>
      <c r="Z151" s="222"/>
      <c r="AA151" s="582">
        <v>43149</v>
      </c>
      <c r="AB151" s="291">
        <v>42</v>
      </c>
      <c r="AC151" s="451">
        <f>AB151/$AC$124</f>
        <v>4.3388429752066117E-2</v>
      </c>
      <c r="AD151" s="583">
        <f>AC151*$AD$124</f>
        <v>2101.0413223140495</v>
      </c>
      <c r="AE151" s="452"/>
      <c r="AF151" s="582">
        <v>43149</v>
      </c>
      <c r="AG151" s="291">
        <v>51</v>
      </c>
      <c r="AH151" s="451"/>
      <c r="AI151" s="452"/>
      <c r="AJ151" s="218"/>
      <c r="AK151" s="287"/>
      <c r="AL151" s="287"/>
      <c r="AM151" s="287"/>
      <c r="AN151" s="287"/>
      <c r="AO151" s="287"/>
      <c r="AP151" s="287"/>
      <c r="AQ151" s="222">
        <v>957</v>
      </c>
      <c r="AR151" s="286">
        <v>75130</v>
      </c>
      <c r="AS151" s="286"/>
      <c r="AT151" s="286"/>
      <c r="AU151" s="286"/>
      <c r="AV151" s="286"/>
      <c r="AW151" s="286"/>
    </row>
    <row r="152" spans="1:49">
      <c r="A152" s="222"/>
      <c r="B152" s="446">
        <v>41291</v>
      </c>
      <c r="C152" s="291">
        <v>46</v>
      </c>
      <c r="D152" s="222"/>
      <c r="E152" s="222"/>
      <c r="G152" s="446">
        <v>41691</v>
      </c>
      <c r="H152" s="291">
        <v>32</v>
      </c>
      <c r="I152" s="222"/>
      <c r="J152" s="222"/>
      <c r="L152" s="446">
        <v>42021</v>
      </c>
      <c r="M152" s="291">
        <v>36</v>
      </c>
      <c r="N152" s="222"/>
      <c r="O152" s="222"/>
      <c r="P152" s="222"/>
      <c r="Q152" s="310">
        <v>42361</v>
      </c>
      <c r="R152" s="291">
        <v>36</v>
      </c>
      <c r="S152" s="222"/>
      <c r="T152" s="222"/>
      <c r="U152" s="222"/>
      <c r="V152" s="582">
        <v>42754</v>
      </c>
      <c r="W152" s="291">
        <v>30</v>
      </c>
      <c r="X152" s="222"/>
      <c r="Y152" s="222"/>
      <c r="Z152" s="222"/>
      <c r="AA152" s="582">
        <v>43150</v>
      </c>
      <c r="AB152" s="291">
        <v>52</v>
      </c>
      <c r="AC152" s="451">
        <f>AB152/$AC$124</f>
        <v>5.3719008264462811E-2</v>
      </c>
      <c r="AD152" s="583">
        <f>AC152*$AD$124</f>
        <v>2601.2892561983472</v>
      </c>
      <c r="AE152" s="452"/>
      <c r="AF152" s="582">
        <v>43150</v>
      </c>
      <c r="AG152" s="291">
        <v>48</v>
      </c>
      <c r="AH152" s="451"/>
      <c r="AI152" s="452"/>
      <c r="AJ152" s="218"/>
      <c r="AK152" s="287"/>
      <c r="AL152" s="287"/>
      <c r="AM152" s="287"/>
      <c r="AN152" s="287"/>
      <c r="AO152" s="287"/>
      <c r="AP152" s="287"/>
      <c r="AQ152" s="222">
        <v>1086</v>
      </c>
      <c r="AR152" s="286">
        <v>83372</v>
      </c>
      <c r="AS152" s="286"/>
      <c r="AT152" s="286"/>
      <c r="AU152" s="286"/>
      <c r="AV152" s="286"/>
      <c r="AW152" s="286"/>
    </row>
    <row r="153" spans="1:49">
      <c r="A153" s="222"/>
      <c r="B153" s="446">
        <v>41292</v>
      </c>
      <c r="C153" s="291">
        <v>46</v>
      </c>
      <c r="D153" s="222"/>
      <c r="E153" s="222"/>
      <c r="G153" s="446">
        <v>41692</v>
      </c>
      <c r="H153" s="291">
        <v>36</v>
      </c>
      <c r="I153" s="222"/>
      <c r="J153" s="222"/>
      <c r="L153" s="446">
        <v>42022</v>
      </c>
      <c r="M153" s="291">
        <v>26</v>
      </c>
      <c r="N153" s="222"/>
      <c r="O153" s="222"/>
      <c r="P153" s="222"/>
      <c r="Q153" s="310">
        <v>42362</v>
      </c>
      <c r="R153" s="291">
        <v>36</v>
      </c>
      <c r="S153" s="222"/>
      <c r="T153" s="222"/>
      <c r="U153" s="222"/>
      <c r="V153" s="582">
        <v>42755</v>
      </c>
      <c r="W153" s="291">
        <v>30</v>
      </c>
      <c r="X153" s="451"/>
      <c r="Y153" s="452"/>
      <c r="Z153" s="452"/>
      <c r="AA153" s="582">
        <v>43151</v>
      </c>
      <c r="AB153" s="291">
        <v>50</v>
      </c>
      <c r="AC153" s="451">
        <f>AB153/$AC$124</f>
        <v>5.1652892561983473E-2</v>
      </c>
      <c r="AD153" s="583">
        <f>AC153*$AD$124</f>
        <v>2501.2396694214876</v>
      </c>
      <c r="AE153" s="452"/>
      <c r="AF153" s="582">
        <v>43151</v>
      </c>
      <c r="AG153" s="291">
        <v>41</v>
      </c>
      <c r="AH153" s="451"/>
      <c r="AI153" s="452"/>
      <c r="AJ153" s="218"/>
      <c r="AK153" s="287"/>
      <c r="AL153" s="287"/>
      <c r="AM153" s="287"/>
      <c r="AN153" s="287"/>
      <c r="AO153" s="287"/>
      <c r="AP153" s="287"/>
      <c r="AQ153" s="222">
        <v>1049</v>
      </c>
      <c r="AR153" s="286">
        <v>81039</v>
      </c>
      <c r="AS153" s="286"/>
      <c r="AT153" s="286"/>
      <c r="AU153" s="286"/>
      <c r="AV153" s="286"/>
      <c r="AW153" s="286"/>
    </row>
    <row r="154" spans="1:49">
      <c r="A154" s="222"/>
      <c r="B154" s="446">
        <v>41293</v>
      </c>
      <c r="C154" s="291">
        <v>44</v>
      </c>
      <c r="G154" s="446">
        <v>41693</v>
      </c>
      <c r="H154" s="291">
        <v>39</v>
      </c>
      <c r="L154" s="446">
        <v>42023</v>
      </c>
      <c r="M154" s="291">
        <v>30</v>
      </c>
      <c r="N154" s="222"/>
      <c r="O154" s="222"/>
      <c r="P154" s="222"/>
      <c r="Q154" s="310">
        <v>42363</v>
      </c>
      <c r="R154" s="291">
        <v>38</v>
      </c>
      <c r="S154" s="222"/>
      <c r="T154" s="222"/>
      <c r="U154" s="222"/>
      <c r="V154" s="582">
        <v>42756</v>
      </c>
      <c r="W154" s="291">
        <v>29</v>
      </c>
      <c r="X154" s="451"/>
      <c r="Y154" s="452"/>
      <c r="Z154" s="452"/>
      <c r="AA154" s="582">
        <v>43152</v>
      </c>
      <c r="AB154" s="291">
        <v>51</v>
      </c>
      <c r="AC154" s="451">
        <f>AB154/$AC$124</f>
        <v>5.2685950413223138E-2</v>
      </c>
      <c r="AD154" s="583">
        <f>AC154*$AD$124</f>
        <v>2551.2644628099174</v>
      </c>
      <c r="AE154" s="452"/>
      <c r="AF154" s="582">
        <v>43152</v>
      </c>
      <c r="AG154" s="291">
        <v>42</v>
      </c>
      <c r="AH154" s="451"/>
      <c r="AI154" s="452"/>
      <c r="AJ154" s="218"/>
      <c r="AK154" s="287"/>
      <c r="AL154" s="287"/>
      <c r="AM154" s="287"/>
      <c r="AN154" s="287"/>
      <c r="AO154" s="287"/>
      <c r="AP154" s="287"/>
      <c r="AQ154" s="222">
        <v>992</v>
      </c>
      <c r="AR154" s="286">
        <v>81249</v>
      </c>
      <c r="AS154" s="286"/>
      <c r="AT154" s="286"/>
      <c r="AU154" s="286"/>
      <c r="AV154" s="286"/>
      <c r="AW154" s="286"/>
    </row>
    <row r="155" spans="1:49">
      <c r="A155" s="452"/>
      <c r="B155" s="446">
        <v>41294</v>
      </c>
      <c r="C155" s="291">
        <v>45</v>
      </c>
      <c r="G155" s="446">
        <v>41694</v>
      </c>
      <c r="H155" s="291">
        <v>41</v>
      </c>
      <c r="L155" s="446">
        <v>42024</v>
      </c>
      <c r="M155" s="291">
        <v>37</v>
      </c>
      <c r="N155" s="451"/>
      <c r="O155" s="452"/>
      <c r="P155" s="452"/>
      <c r="Q155" s="310">
        <v>42364</v>
      </c>
      <c r="R155" s="291">
        <v>39</v>
      </c>
      <c r="S155" s="451"/>
      <c r="T155" s="452"/>
      <c r="U155" s="452"/>
      <c r="V155" s="582">
        <v>42757</v>
      </c>
      <c r="W155" s="291">
        <v>28</v>
      </c>
      <c r="X155" s="451"/>
      <c r="Y155" s="452"/>
      <c r="Z155" s="452"/>
      <c r="AA155" s="582">
        <v>43153</v>
      </c>
      <c r="AB155" s="291">
        <v>45</v>
      </c>
      <c r="AC155" s="451">
        <f>AB155/$AC$124</f>
        <v>4.6487603305785122E-2</v>
      </c>
      <c r="AD155" s="583">
        <f>AC155*$AD$124</f>
        <v>2251.1157024793388</v>
      </c>
      <c r="AE155" s="452"/>
      <c r="AF155" s="582">
        <v>43153</v>
      </c>
      <c r="AG155" s="291">
        <v>44</v>
      </c>
      <c r="AH155" s="451"/>
      <c r="AI155" s="452"/>
      <c r="AJ155" s="218"/>
      <c r="AK155" s="287"/>
      <c r="AL155" s="287"/>
      <c r="AM155" s="287"/>
      <c r="AN155" s="287"/>
      <c r="AO155" s="287"/>
      <c r="AP155" s="287"/>
      <c r="AQ155" s="222">
        <v>449</v>
      </c>
      <c r="AR155" s="286">
        <v>47057</v>
      </c>
      <c r="AS155" s="286"/>
      <c r="AT155" s="286"/>
      <c r="AU155" s="286"/>
      <c r="AV155" s="286"/>
      <c r="AW155" s="286"/>
    </row>
    <row r="156" spans="1:49">
      <c r="A156" s="452"/>
      <c r="B156" s="446">
        <v>41295</v>
      </c>
      <c r="C156" s="291">
        <v>50</v>
      </c>
      <c r="G156" s="446">
        <v>41695</v>
      </c>
      <c r="H156" s="144">
        <v>41</v>
      </c>
      <c r="L156" s="446">
        <v>42025</v>
      </c>
      <c r="M156" s="291">
        <v>36</v>
      </c>
      <c r="N156" s="451"/>
      <c r="O156" s="452"/>
      <c r="P156" s="452"/>
      <c r="Q156" s="310">
        <v>42365</v>
      </c>
      <c r="R156" s="291">
        <v>40</v>
      </c>
      <c r="S156" s="451"/>
      <c r="T156" s="452"/>
      <c r="U156" s="452"/>
      <c r="V156" s="582">
        <v>42758</v>
      </c>
      <c r="W156" s="291">
        <v>34</v>
      </c>
      <c r="X156" s="451"/>
      <c r="Y156" s="452"/>
      <c r="Z156" s="452"/>
      <c r="AA156" s="582">
        <v>43154</v>
      </c>
      <c r="AB156" s="291">
        <v>48</v>
      </c>
      <c r="AC156" s="451"/>
      <c r="AD156" s="452"/>
      <c r="AE156" s="452"/>
      <c r="AF156" s="582">
        <v>43154</v>
      </c>
      <c r="AG156" s="291">
        <v>43</v>
      </c>
      <c r="AH156" s="451"/>
      <c r="AI156" s="452"/>
      <c r="AJ156" s="218"/>
      <c r="AK156" s="287"/>
      <c r="AL156" s="287"/>
      <c r="AM156" s="287"/>
      <c r="AN156" s="287"/>
      <c r="AO156" s="287"/>
      <c r="AP156" s="287"/>
      <c r="AQ156" s="222">
        <v>104</v>
      </c>
      <c r="AR156" s="286">
        <v>29404</v>
      </c>
      <c r="AS156" s="286"/>
      <c r="AT156" s="286"/>
      <c r="AU156" s="286"/>
      <c r="AV156" s="286"/>
      <c r="AW156" s="286"/>
    </row>
    <row r="157" spans="1:49">
      <c r="A157" s="452"/>
      <c r="B157" s="446">
        <v>41296</v>
      </c>
      <c r="C157" s="291">
        <v>50</v>
      </c>
      <c r="G157" s="446">
        <v>41696</v>
      </c>
      <c r="H157" s="144">
        <v>40</v>
      </c>
      <c r="L157" s="446">
        <v>42026</v>
      </c>
      <c r="M157" s="291">
        <v>36</v>
      </c>
      <c r="N157" s="451"/>
      <c r="O157" s="452"/>
      <c r="P157" s="452"/>
      <c r="Q157" s="310">
        <v>42366</v>
      </c>
      <c r="R157" s="291">
        <v>40</v>
      </c>
      <c r="S157" s="451"/>
      <c r="T157" s="452"/>
      <c r="U157" s="452"/>
      <c r="V157" s="582">
        <v>42759</v>
      </c>
      <c r="W157" s="291">
        <v>35</v>
      </c>
      <c r="X157" s="451"/>
      <c r="Y157" s="452"/>
      <c r="Z157" s="452"/>
      <c r="AA157" s="582">
        <v>43155</v>
      </c>
      <c r="AB157" s="291">
        <v>39</v>
      </c>
      <c r="AC157" s="451"/>
      <c r="AD157" s="452"/>
      <c r="AE157" s="452"/>
      <c r="AF157" s="582">
        <v>43155</v>
      </c>
      <c r="AG157" s="291">
        <v>46</v>
      </c>
      <c r="AH157" s="451"/>
      <c r="AI157" s="452"/>
      <c r="AJ157" s="218"/>
      <c r="AK157" s="287"/>
      <c r="AL157" s="287"/>
      <c r="AM157" s="287"/>
      <c r="AN157" s="287"/>
      <c r="AO157" s="287"/>
      <c r="AP157" s="287"/>
      <c r="AQ157" s="222">
        <v>2</v>
      </c>
      <c r="AR157" s="286">
        <v>20338</v>
      </c>
      <c r="AS157" s="286"/>
      <c r="AT157" s="286"/>
      <c r="AU157" s="286"/>
      <c r="AV157" s="286"/>
      <c r="AW157" s="286"/>
    </row>
    <row r="158" spans="1:49">
      <c r="A158" s="452"/>
      <c r="B158" s="446">
        <v>41297</v>
      </c>
      <c r="C158" s="291">
        <v>38</v>
      </c>
      <c r="G158" s="446">
        <v>41697</v>
      </c>
      <c r="H158" s="144">
        <v>33</v>
      </c>
      <c r="L158" s="446">
        <v>42027</v>
      </c>
      <c r="M158" s="291">
        <v>29</v>
      </c>
      <c r="N158" s="451"/>
      <c r="O158" s="452"/>
      <c r="P158" s="452"/>
      <c r="Q158" s="310">
        <v>42367</v>
      </c>
      <c r="R158" s="291">
        <v>46</v>
      </c>
      <c r="S158" s="451"/>
      <c r="T158" s="452"/>
      <c r="U158" s="452"/>
      <c r="V158" s="582">
        <v>42760</v>
      </c>
      <c r="W158" s="144">
        <v>36</v>
      </c>
      <c r="X158" s="286"/>
      <c r="Y158" s="222"/>
      <c r="Z158" s="222"/>
      <c r="AA158" s="582">
        <v>43156</v>
      </c>
      <c r="AB158" s="144">
        <v>33</v>
      </c>
      <c r="AC158" s="286"/>
      <c r="AD158" s="222"/>
      <c r="AF158" s="582">
        <v>43156</v>
      </c>
      <c r="AG158" s="144">
        <v>49</v>
      </c>
      <c r="AH158" s="286"/>
      <c r="AI158" s="222"/>
      <c r="AJ158" s="218"/>
      <c r="AK158" s="287"/>
      <c r="AL158" s="287"/>
      <c r="AM158" s="287"/>
      <c r="AN158" s="287"/>
      <c r="AO158" s="287"/>
      <c r="AP158" s="287"/>
      <c r="AQ158" s="222">
        <v>45</v>
      </c>
      <c r="AR158" s="286">
        <v>25688</v>
      </c>
      <c r="AS158" s="286"/>
      <c r="AT158" s="286"/>
      <c r="AU158" s="286"/>
      <c r="AV158" s="286"/>
      <c r="AW158" s="286"/>
    </row>
    <row r="159" spans="1:49">
      <c r="A159" s="452"/>
      <c r="B159" s="446">
        <v>41298</v>
      </c>
      <c r="C159" s="291">
        <v>39</v>
      </c>
      <c r="D159" s="451"/>
      <c r="E159" s="452"/>
      <c r="G159" s="446">
        <v>41698</v>
      </c>
      <c r="H159" s="144">
        <v>37</v>
      </c>
      <c r="I159" s="451"/>
      <c r="J159" s="452"/>
      <c r="L159" s="446">
        <v>42028</v>
      </c>
      <c r="M159" s="291">
        <v>27</v>
      </c>
      <c r="N159" s="451"/>
      <c r="O159" s="452"/>
      <c r="P159" s="452"/>
      <c r="Q159" s="573">
        <v>42368</v>
      </c>
      <c r="R159" s="144">
        <v>45</v>
      </c>
      <c r="S159" s="451">
        <f>R159/$S$126</f>
        <v>3.640776699029126E-2</v>
      </c>
      <c r="T159" s="583">
        <f>S159*$O$126</f>
        <v>1868.7014563106795</v>
      </c>
      <c r="U159" s="452"/>
      <c r="V159" s="582">
        <v>42761</v>
      </c>
      <c r="W159" s="144">
        <v>37</v>
      </c>
      <c r="X159" s="286"/>
      <c r="Y159" s="222"/>
      <c r="Z159" s="222"/>
      <c r="AA159" s="582">
        <v>43157</v>
      </c>
      <c r="AB159" s="144">
        <v>37</v>
      </c>
      <c r="AC159" s="286"/>
      <c r="AD159" s="222"/>
      <c r="AF159" s="582">
        <v>43157</v>
      </c>
      <c r="AG159" s="144">
        <v>50</v>
      </c>
      <c r="AH159" s="286"/>
      <c r="AI159" s="222"/>
      <c r="AJ159" s="218"/>
      <c r="AK159" s="287"/>
      <c r="AL159" s="287"/>
      <c r="AM159" s="287"/>
      <c r="AN159" s="287"/>
      <c r="AO159" s="287"/>
      <c r="AP159" s="287"/>
      <c r="AQ159" s="222">
        <v>235</v>
      </c>
      <c r="AR159" s="286">
        <v>37486</v>
      </c>
      <c r="AS159" s="286"/>
      <c r="AT159" s="286"/>
      <c r="AU159" s="286"/>
      <c r="AV159" s="286"/>
      <c r="AW159" s="286"/>
    </row>
    <row r="160" spans="1:49">
      <c r="A160" s="222"/>
      <c r="B160" s="446">
        <v>41299</v>
      </c>
      <c r="C160" s="144">
        <v>30</v>
      </c>
      <c r="D160" s="286"/>
      <c r="E160" s="222"/>
      <c r="G160" s="446">
        <v>41699</v>
      </c>
      <c r="H160" s="144">
        <v>49</v>
      </c>
      <c r="I160" s="286"/>
      <c r="J160" s="222"/>
      <c r="L160" s="446">
        <v>42029</v>
      </c>
      <c r="M160" s="144">
        <v>19</v>
      </c>
      <c r="N160" s="286"/>
      <c r="O160" s="222"/>
      <c r="P160" s="222"/>
      <c r="Q160" s="574">
        <v>42369</v>
      </c>
      <c r="R160" s="144">
        <v>52</v>
      </c>
      <c r="S160" s="451">
        <f>R160/$M$167</f>
        <v>5.3115423901940753E-2</v>
      </c>
      <c r="T160" s="583">
        <f>S160*$O$126</f>
        <v>2726.2553626149129</v>
      </c>
      <c r="U160" s="222"/>
      <c r="V160" s="582">
        <v>42762</v>
      </c>
      <c r="W160" s="144">
        <v>39</v>
      </c>
      <c r="X160" s="286"/>
      <c r="Y160" s="222"/>
      <c r="Z160" s="222"/>
      <c r="AA160" s="582">
        <v>43158</v>
      </c>
      <c r="AB160" s="144">
        <v>36</v>
      </c>
      <c r="AC160" s="286"/>
      <c r="AD160" s="222"/>
      <c r="AF160" s="582">
        <v>43158</v>
      </c>
      <c r="AG160" s="144">
        <v>44</v>
      </c>
      <c r="AH160" s="286"/>
      <c r="AI160" s="222"/>
      <c r="AJ160" s="218"/>
      <c r="AK160" s="287"/>
      <c r="AL160" s="287"/>
      <c r="AM160" s="287"/>
      <c r="AN160" s="287"/>
      <c r="AO160" s="287"/>
      <c r="AP160" s="287"/>
      <c r="AQ160" s="222">
        <v>421</v>
      </c>
      <c r="AR160" s="286">
        <v>46787</v>
      </c>
      <c r="AS160" s="286"/>
      <c r="AT160" s="286"/>
      <c r="AU160" s="286"/>
      <c r="AV160" s="286"/>
      <c r="AW160" s="286"/>
    </row>
    <row r="161" spans="1:49">
      <c r="A161" s="222"/>
      <c r="B161" s="446">
        <v>41300</v>
      </c>
      <c r="C161" s="144">
        <v>32</v>
      </c>
      <c r="D161" s="286"/>
      <c r="E161" s="222"/>
      <c r="G161" s="446">
        <v>41700</v>
      </c>
      <c r="H161" s="144">
        <v>50</v>
      </c>
      <c r="I161" s="286"/>
      <c r="J161" s="222"/>
      <c r="L161" s="446">
        <v>42030</v>
      </c>
      <c r="M161" s="144">
        <v>24</v>
      </c>
      <c r="N161" s="286"/>
      <c r="O161" s="222"/>
      <c r="P161" s="222"/>
      <c r="Q161" s="574">
        <v>42370</v>
      </c>
      <c r="R161" s="144">
        <v>54</v>
      </c>
      <c r="S161" s="451">
        <f>R161/$M$167</f>
        <v>5.515832482124617E-2</v>
      </c>
      <c r="T161" s="583">
        <f>S161*$O$126</f>
        <v>2831.1113381001023</v>
      </c>
      <c r="U161" s="222"/>
      <c r="V161" s="582">
        <v>42763</v>
      </c>
      <c r="W161" s="144">
        <v>41</v>
      </c>
      <c r="X161" s="286"/>
      <c r="Y161" s="222"/>
      <c r="Z161" s="222"/>
      <c r="AA161" s="582">
        <v>43159</v>
      </c>
      <c r="AB161" s="144">
        <v>32</v>
      </c>
      <c r="AC161" s="286"/>
      <c r="AD161" s="222"/>
      <c r="AF161" s="582">
        <v>43159</v>
      </c>
      <c r="AG161" s="144">
        <v>48</v>
      </c>
      <c r="AH161" s="286"/>
      <c r="AI161" s="222"/>
      <c r="AJ161" s="218"/>
      <c r="AK161" s="287"/>
      <c r="AL161" s="287"/>
      <c r="AM161" s="287"/>
      <c r="AN161" s="287"/>
      <c r="AO161" s="287"/>
      <c r="AP161" s="287"/>
      <c r="AQ161" s="222">
        <v>683</v>
      </c>
      <c r="AR161" s="286">
        <v>61271</v>
      </c>
      <c r="AS161" s="286"/>
      <c r="AT161" s="286"/>
      <c r="AU161" s="286"/>
      <c r="AV161" s="286"/>
      <c r="AW161" s="286"/>
    </row>
    <row r="162" spans="1:49">
      <c r="A162" s="222"/>
      <c r="B162" s="446">
        <v>41301</v>
      </c>
      <c r="C162" s="144">
        <v>36</v>
      </c>
      <c r="D162" s="286"/>
      <c r="E162" s="222"/>
      <c r="G162" s="446"/>
      <c r="H162" s="144"/>
      <c r="I162" s="286"/>
      <c r="J162" s="222"/>
      <c r="L162" s="446">
        <v>42031</v>
      </c>
      <c r="M162" s="144">
        <v>31</v>
      </c>
      <c r="N162" s="286"/>
      <c r="O162" s="222"/>
      <c r="P162" s="222"/>
      <c r="Q162" s="574">
        <v>42371</v>
      </c>
      <c r="R162" s="144">
        <v>55</v>
      </c>
      <c r="S162" s="451">
        <f>R162/$M$167</f>
        <v>5.6179775280898875E-2</v>
      </c>
      <c r="T162" s="583">
        <f>S162*$O$126</f>
        <v>2883.5393258426966</v>
      </c>
      <c r="U162" s="222"/>
      <c r="V162" s="582">
        <v>42764</v>
      </c>
      <c r="W162" s="144">
        <v>41</v>
      </c>
      <c r="X162" s="286"/>
      <c r="Y162" s="222"/>
      <c r="Z162" s="222"/>
      <c r="AA162" s="582"/>
      <c r="AB162" s="144"/>
      <c r="AC162" s="286"/>
      <c r="AD162" s="222"/>
      <c r="AF162" s="582"/>
      <c r="AG162" s="144"/>
      <c r="AH162" s="286"/>
      <c r="AI162" s="222"/>
      <c r="AJ162" s="218"/>
      <c r="AK162" s="287"/>
      <c r="AL162" s="287"/>
      <c r="AM162" s="287"/>
      <c r="AN162" s="287"/>
      <c r="AO162" s="287"/>
      <c r="AP162" s="287"/>
      <c r="AQ162" s="222">
        <v>737</v>
      </c>
      <c r="AR162" s="286">
        <v>62438</v>
      </c>
      <c r="AS162" s="286"/>
      <c r="AT162" s="286"/>
      <c r="AU162" s="286"/>
      <c r="AV162" s="286"/>
      <c r="AW162" s="286"/>
    </row>
    <row r="163" spans="1:49">
      <c r="A163" s="222"/>
      <c r="B163" s="446">
        <v>41302</v>
      </c>
      <c r="C163" s="144">
        <v>36</v>
      </c>
      <c r="D163" s="286"/>
      <c r="E163" s="222"/>
      <c r="G163" s="446"/>
      <c r="H163" s="144"/>
      <c r="I163" s="286"/>
      <c r="J163" s="222"/>
      <c r="L163" s="446">
        <v>42032</v>
      </c>
      <c r="M163" s="144">
        <v>31</v>
      </c>
      <c r="N163" s="286"/>
      <c r="O163" s="222"/>
      <c r="P163" s="222"/>
      <c r="Q163" s="575">
        <v>42372</v>
      </c>
      <c r="R163" s="144">
        <v>49</v>
      </c>
      <c r="S163" s="451">
        <f>R163/$M$167</f>
        <v>5.0051072522982638E-2</v>
      </c>
      <c r="T163" s="583">
        <f>S163*$O$126</f>
        <v>2568.9713993871301</v>
      </c>
      <c r="U163" s="222"/>
      <c r="V163" s="582">
        <v>42765</v>
      </c>
      <c r="W163" s="144">
        <v>41</v>
      </c>
      <c r="X163" s="286"/>
      <c r="Y163" s="222"/>
      <c r="Z163" s="222"/>
      <c r="AA163" s="582"/>
      <c r="AB163" s="144"/>
      <c r="AC163" s="286"/>
      <c r="AD163" s="222"/>
      <c r="AF163" s="582"/>
      <c r="AG163" s="144"/>
      <c r="AH163" s="286"/>
      <c r="AI163" s="222"/>
      <c r="AJ163" s="218"/>
      <c r="AK163" s="287"/>
      <c r="AL163" s="287"/>
      <c r="AM163" s="287"/>
      <c r="AN163" s="287"/>
      <c r="AO163" s="287"/>
      <c r="AP163" s="287"/>
      <c r="AQ163" s="222">
        <v>1141</v>
      </c>
      <c r="AR163" s="286">
        <v>81893</v>
      </c>
      <c r="AS163" s="286"/>
      <c r="AT163" s="286"/>
      <c r="AU163" s="286"/>
      <c r="AV163" s="286"/>
      <c r="AW163" s="286"/>
    </row>
    <row r="164" spans="1:49">
      <c r="A164" s="222"/>
      <c r="B164" s="446">
        <v>41303</v>
      </c>
      <c r="C164" s="144">
        <v>35</v>
      </c>
      <c r="D164" s="286"/>
      <c r="E164" s="222"/>
      <c r="G164" s="446"/>
      <c r="H164" s="144"/>
      <c r="I164" s="286"/>
      <c r="J164" s="222"/>
      <c r="L164" s="446">
        <v>42033</v>
      </c>
      <c r="M164" s="144">
        <v>34</v>
      </c>
      <c r="N164" s="286"/>
      <c r="O164" s="222"/>
      <c r="P164" s="222"/>
      <c r="Q164" s="310">
        <v>42373</v>
      </c>
      <c r="R164" s="144">
        <v>38</v>
      </c>
      <c r="T164" s="452"/>
      <c r="U164" s="222"/>
      <c r="V164" s="572">
        <v>42766</v>
      </c>
      <c r="W164" s="144">
        <v>43</v>
      </c>
      <c r="X164" s="222"/>
      <c r="Y164" s="222"/>
      <c r="Z164" s="222"/>
      <c r="AA164" s="572"/>
      <c r="AB164" s="144"/>
      <c r="AC164" s="222"/>
      <c r="AD164" s="222"/>
      <c r="AF164" s="572"/>
      <c r="AG164" s="144"/>
      <c r="AI164" s="222"/>
      <c r="AJ164" s="218"/>
      <c r="AK164" s="287"/>
      <c r="AL164" s="287"/>
      <c r="AM164" s="287"/>
      <c r="AN164" s="287"/>
      <c r="AO164" s="287"/>
      <c r="AP164" s="287"/>
      <c r="AQ164" s="222">
        <v>853</v>
      </c>
      <c r="AR164" s="286">
        <v>63213</v>
      </c>
      <c r="AS164" s="286"/>
      <c r="AT164" s="286"/>
      <c r="AU164" s="286"/>
      <c r="AV164" s="286"/>
      <c r="AW164" s="286"/>
    </row>
    <row r="165" spans="1:49">
      <c r="A165" s="222"/>
      <c r="B165" s="446">
        <v>41304</v>
      </c>
      <c r="C165" s="144">
        <v>28</v>
      </c>
      <c r="D165" s="286"/>
      <c r="E165" s="222"/>
      <c r="G165" s="446"/>
      <c r="H165" s="144"/>
      <c r="I165" s="286"/>
      <c r="J165" s="222"/>
      <c r="L165" s="446"/>
      <c r="M165" s="144"/>
      <c r="N165" s="286"/>
      <c r="O165" s="222"/>
      <c r="P165" s="222"/>
      <c r="Q165" s="310">
        <v>42374</v>
      </c>
      <c r="R165" s="144">
        <v>34</v>
      </c>
      <c r="U165" s="222"/>
      <c r="V165" s="350">
        <f>COUNT(V127:V164)</f>
        <v>31</v>
      </c>
      <c r="W165" s="314">
        <f>SUM(W127:W164)</f>
        <v>1379</v>
      </c>
      <c r="X165" s="315">
        <f>SUM(X134:X164)</f>
        <v>0.18926758520667147</v>
      </c>
      <c r="Y165" s="314">
        <f>SUM(Y134:Y164)</f>
        <v>12285.926758520665</v>
      </c>
      <c r="Z165" s="350"/>
      <c r="AA165" s="350">
        <f>COUNT(AA127:AA164)</f>
        <v>28</v>
      </c>
      <c r="AB165" s="314">
        <f>SUM(AB127:AB164)</f>
        <v>968</v>
      </c>
      <c r="AC165" s="315">
        <f>SUM(AC134:AC164)</f>
        <v>0.24793388429752067</v>
      </c>
      <c r="AD165" s="314">
        <f>SUM(AD134:AD164)</f>
        <v>12005.950413223141</v>
      </c>
      <c r="AE165" s="290"/>
      <c r="AF165" s="350">
        <f>COUNT(AF127:AF164)</f>
        <v>28</v>
      </c>
      <c r="AG165" s="314">
        <f>SUM(AG127:AG164)</f>
        <v>1218</v>
      </c>
      <c r="AH165" s="315">
        <f>SUM(AH134:AH164)</f>
        <v>0.20361247947454844</v>
      </c>
      <c r="AI165" s="314">
        <f>SUM(AI134:AI164)</f>
        <v>11538.515599343187</v>
      </c>
      <c r="AJ165" s="218"/>
      <c r="AK165" s="287"/>
      <c r="AL165" s="287"/>
      <c r="AM165" s="287"/>
      <c r="AN165" s="287"/>
      <c r="AO165" s="287"/>
      <c r="AP165" s="287"/>
      <c r="AQ165" s="222">
        <v>1029</v>
      </c>
      <c r="AR165" s="286">
        <v>73677</v>
      </c>
      <c r="AS165" s="286"/>
      <c r="AT165" s="286"/>
      <c r="AU165" s="286"/>
      <c r="AV165" s="286"/>
      <c r="AW165" s="286"/>
    </row>
    <row r="166" spans="1:49">
      <c r="A166" s="222"/>
      <c r="B166" s="446">
        <v>41305</v>
      </c>
      <c r="C166" s="144">
        <v>28</v>
      </c>
      <c r="D166" s="222"/>
      <c r="E166" s="222"/>
      <c r="G166" s="446"/>
      <c r="H166" s="144"/>
      <c r="I166" s="222"/>
      <c r="J166" s="222"/>
      <c r="L166" s="446"/>
      <c r="M166" s="144"/>
      <c r="N166" s="222"/>
      <c r="O166" s="222"/>
      <c r="P166" s="222"/>
      <c r="Q166" s="310">
        <v>42375</v>
      </c>
      <c r="R166" s="144">
        <v>31</v>
      </c>
      <c r="S166" s="450"/>
      <c r="T166" s="286"/>
      <c r="U166" s="222"/>
      <c r="V166" s="310"/>
      <c r="X166" s="309">
        <f>5/W124</f>
        <v>0.16129032258064516</v>
      </c>
      <c r="AA166" s="310"/>
      <c r="AC166" s="309">
        <f>5/AB124</f>
        <v>0.17857142857142858</v>
      </c>
      <c r="AF166" s="310"/>
      <c r="AG166" s="218"/>
      <c r="AH166" s="309">
        <f>5/AG124</f>
        <v>0.17857142857142858</v>
      </c>
      <c r="AJ166" s="218"/>
      <c r="AK166" s="287"/>
      <c r="AL166" s="287"/>
      <c r="AM166" s="287"/>
      <c r="AN166" s="287"/>
      <c r="AO166" s="287"/>
      <c r="AP166" s="287"/>
      <c r="AQ166" s="222">
        <v>1035</v>
      </c>
      <c r="AR166" s="286">
        <v>75617</v>
      </c>
      <c r="AS166" s="286"/>
      <c r="AT166" s="286"/>
      <c r="AU166" s="286"/>
      <c r="AV166" s="286"/>
      <c r="AW166" s="286"/>
    </row>
    <row r="167" spans="1:49">
      <c r="A167" s="350"/>
      <c r="B167" s="314">
        <f>COUNT(B129:B166)</f>
        <v>33</v>
      </c>
      <c r="C167" s="314">
        <f>SUM(C129:C166)</f>
        <v>1332</v>
      </c>
      <c r="D167" s="315">
        <f>SUM(D129:D165)</f>
        <v>0.17185185185185184</v>
      </c>
      <c r="E167" s="314">
        <f>SUM(E129:E165)</f>
        <v>16497.434074074074</v>
      </c>
      <c r="G167" s="314">
        <f>COUNT(G129:G166)</f>
        <v>28</v>
      </c>
      <c r="H167" s="314">
        <f>SUM(H129:H166)</f>
        <v>1092</v>
      </c>
      <c r="I167" s="315">
        <f>SUM(I129:I165)</f>
        <v>0.25824175824175827</v>
      </c>
      <c r="J167" s="314">
        <f>SUM(J129:J165)</f>
        <v>14735.791208791208</v>
      </c>
      <c r="K167" s="286"/>
      <c r="L167" s="314">
        <f>COUNT(L129:L166)</f>
        <v>29</v>
      </c>
      <c r="M167" s="314">
        <f>SUM(M129:M166)</f>
        <v>979</v>
      </c>
      <c r="N167" s="315">
        <f>SUM(N129:N165)</f>
        <v>0.2093973442288049</v>
      </c>
      <c r="O167" s="314">
        <f>SUM(O129:O165)</f>
        <v>10747.737487231869</v>
      </c>
      <c r="P167" s="350"/>
      <c r="Q167" s="314">
        <f>COUNT(Q129:Q166)</f>
        <v>35</v>
      </c>
      <c r="R167" s="314">
        <f>SUM(R129:R166)</f>
        <v>1236</v>
      </c>
      <c r="S167" s="315">
        <f>SUM(S129:S165)</f>
        <v>0.25091236351735968</v>
      </c>
      <c r="T167" s="314">
        <f>SUM(T129:T165)</f>
        <v>12878.578882255522</v>
      </c>
      <c r="U167" s="350"/>
      <c r="V167" s="350"/>
      <c r="W167" s="350"/>
      <c r="X167" s="350"/>
      <c r="Y167" s="350"/>
      <c r="Z167" s="350"/>
      <c r="AA167" s="350"/>
      <c r="AB167" s="350"/>
      <c r="AC167" s="350"/>
      <c r="AD167" s="350"/>
      <c r="AE167" s="290"/>
      <c r="AF167" s="350"/>
      <c r="AG167" s="350"/>
      <c r="AH167" s="350"/>
      <c r="AI167" s="350"/>
      <c r="AJ167" s="286"/>
      <c r="AK167" s="218"/>
      <c r="AL167" s="218"/>
      <c r="AM167" s="218"/>
      <c r="AN167" s="218"/>
    </row>
    <row r="168" spans="1:49">
      <c r="B168" s="310"/>
      <c r="D168" s="309">
        <f>5/C126</f>
        <v>0.15151515151515152</v>
      </c>
      <c r="G168" s="310"/>
      <c r="I168" s="309">
        <f>5/H126</f>
        <v>0.17857142857142858</v>
      </c>
      <c r="K168" s="222"/>
      <c r="L168" s="310"/>
      <c r="N168" s="309">
        <f>5/M126</f>
        <v>0.17241379310344829</v>
      </c>
      <c r="Q168" s="310"/>
      <c r="S168" s="309">
        <f>5/R126</f>
        <v>0.14705882352941177</v>
      </c>
      <c r="AF168" s="218"/>
      <c r="AG168" s="218"/>
      <c r="AH168" s="218"/>
      <c r="AK168" s="218"/>
      <c r="AL168" s="218"/>
      <c r="AM168" s="218"/>
      <c r="AN168" s="218"/>
    </row>
    <row r="169" spans="1:49"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I169" s="222"/>
      <c r="AK169" s="218"/>
      <c r="AL169" s="218"/>
      <c r="AM169" s="218"/>
      <c r="AN169" s="218"/>
    </row>
    <row r="170" spans="1:49">
      <c r="AF170" s="218"/>
      <c r="AG170" s="218"/>
      <c r="AH170" s="218"/>
    </row>
    <row r="171" spans="1:49">
      <c r="AF171" s="218"/>
      <c r="AG171" s="218"/>
      <c r="AH171" s="218"/>
    </row>
    <row r="172" spans="1:49" ht="13.8">
      <c r="A172" s="288" t="s">
        <v>1137</v>
      </c>
      <c r="F172" s="224"/>
      <c r="AF172" s="218"/>
      <c r="AG172" s="218"/>
      <c r="AH172" s="218"/>
    </row>
    <row r="173" spans="1:49">
      <c r="A173" s="298" t="s">
        <v>1005</v>
      </c>
      <c r="F173" s="224"/>
      <c r="K173" s="224"/>
      <c r="AF173" s="218"/>
      <c r="AG173" s="218"/>
      <c r="AH173" s="218"/>
    </row>
    <row r="174" spans="1:49">
      <c r="B174" s="304" t="s">
        <v>1124</v>
      </c>
      <c r="C174" s="284"/>
      <c r="D174" s="284"/>
      <c r="E174" s="284"/>
      <c r="G174" s="304" t="s">
        <v>1172</v>
      </c>
      <c r="H174" s="284"/>
      <c r="I174" s="284"/>
      <c r="J174" s="284"/>
      <c r="K174" s="286"/>
      <c r="L174" s="304" t="s">
        <v>1180</v>
      </c>
      <c r="M174" s="284"/>
      <c r="N174" s="284"/>
      <c r="O174" s="284"/>
      <c r="P174" s="284"/>
      <c r="Q174" s="304" t="s">
        <v>1199</v>
      </c>
      <c r="R174" s="284"/>
      <c r="S174" s="284"/>
      <c r="T174" s="284"/>
      <c r="U174" s="284"/>
      <c r="V174" s="304" t="s">
        <v>1209</v>
      </c>
      <c r="W174" s="284"/>
      <c r="X174" s="284"/>
      <c r="Y174" s="284"/>
      <c r="Z174" s="284"/>
      <c r="AA174" s="304" t="s">
        <v>1210</v>
      </c>
      <c r="AB174" s="284"/>
      <c r="AC174" s="284"/>
      <c r="AD174" s="284"/>
      <c r="AE174" s="513"/>
      <c r="AF174" s="304" t="s">
        <v>1343</v>
      </c>
      <c r="AG174" s="284"/>
      <c r="AH174" s="284"/>
      <c r="AI174" s="284"/>
      <c r="AJ174" s="286"/>
      <c r="AK174" s="218"/>
      <c r="AL174" s="218"/>
      <c r="AM174" s="218"/>
      <c r="AN174" s="218"/>
    </row>
    <row r="175" spans="1:49">
      <c r="B175" s="302" t="s">
        <v>1001</v>
      </c>
      <c r="C175" s="302" t="s">
        <v>1000</v>
      </c>
      <c r="D175" s="302" t="s">
        <v>999</v>
      </c>
      <c r="E175" s="302" t="s">
        <v>993</v>
      </c>
      <c r="G175" s="302" t="s">
        <v>1001</v>
      </c>
      <c r="H175" s="302" t="s">
        <v>1000</v>
      </c>
      <c r="I175" s="302" t="s">
        <v>999</v>
      </c>
      <c r="J175" s="302" t="s">
        <v>993</v>
      </c>
      <c r="K175" s="286"/>
      <c r="L175" s="302" t="s">
        <v>1001</v>
      </c>
      <c r="M175" s="302" t="s">
        <v>1000</v>
      </c>
      <c r="N175" s="302" t="s">
        <v>999</v>
      </c>
      <c r="O175" s="302" t="s">
        <v>993</v>
      </c>
      <c r="P175" s="302"/>
      <c r="Q175" s="302" t="s">
        <v>1001</v>
      </c>
      <c r="R175" s="302" t="s">
        <v>1000</v>
      </c>
      <c r="S175" s="302" t="s">
        <v>999</v>
      </c>
      <c r="T175" s="302" t="s">
        <v>993</v>
      </c>
      <c r="U175" s="302"/>
      <c r="V175" s="302" t="s">
        <v>1001</v>
      </c>
      <c r="W175" s="302" t="s">
        <v>1000</v>
      </c>
      <c r="X175" s="302" t="s">
        <v>999</v>
      </c>
      <c r="Y175" s="302" t="s">
        <v>993</v>
      </c>
      <c r="Z175" s="302"/>
      <c r="AA175" s="302" t="s">
        <v>1001</v>
      </c>
      <c r="AB175" s="302" t="s">
        <v>1000</v>
      </c>
      <c r="AC175" s="302" t="s">
        <v>999</v>
      </c>
      <c r="AD175" s="302" t="s">
        <v>993</v>
      </c>
      <c r="AE175" s="514"/>
      <c r="AF175" s="302" t="s">
        <v>1001</v>
      </c>
      <c r="AG175" s="302" t="s">
        <v>1000</v>
      </c>
      <c r="AH175" s="302" t="s">
        <v>999</v>
      </c>
      <c r="AI175" s="302" t="s">
        <v>993</v>
      </c>
      <c r="AJ175" s="286"/>
      <c r="AK175" s="218"/>
      <c r="AL175" s="218"/>
      <c r="AM175" s="218"/>
      <c r="AN175" s="218"/>
    </row>
    <row r="176" spans="1:49">
      <c r="B176" s="301">
        <v>41305</v>
      </c>
      <c r="C176" s="144">
        <v>31</v>
      </c>
      <c r="D176" s="300">
        <v>1244</v>
      </c>
      <c r="E176" s="144">
        <v>91846</v>
      </c>
      <c r="G176" s="301">
        <v>41698</v>
      </c>
      <c r="H176" s="144">
        <v>28</v>
      </c>
      <c r="I176" s="300">
        <v>1085</v>
      </c>
      <c r="J176" s="144">
        <v>86985</v>
      </c>
      <c r="K176" s="286"/>
      <c r="L176" s="301">
        <v>42038</v>
      </c>
      <c r="M176" s="144">
        <v>31</v>
      </c>
      <c r="N176" s="300">
        <v>1049</v>
      </c>
      <c r="O176" s="144">
        <v>110914</v>
      </c>
      <c r="P176" s="144"/>
      <c r="Q176" s="301">
        <v>42400</v>
      </c>
      <c r="R176" s="144">
        <v>31</v>
      </c>
      <c r="S176" s="300">
        <v>1080</v>
      </c>
      <c r="T176" s="144">
        <v>111354</v>
      </c>
      <c r="U176" s="144"/>
      <c r="V176" s="301">
        <v>42766</v>
      </c>
      <c r="W176" s="144">
        <v>31</v>
      </c>
      <c r="X176" s="300">
        <v>1379</v>
      </c>
      <c r="Y176" s="300">
        <v>102219</v>
      </c>
      <c r="Z176" s="300"/>
      <c r="AA176" s="301">
        <v>43159</v>
      </c>
      <c r="AB176" s="144">
        <v>28</v>
      </c>
      <c r="AC176" s="300">
        <v>968</v>
      </c>
      <c r="AD176" s="300">
        <v>61661</v>
      </c>
      <c r="AE176" s="300"/>
      <c r="AF176" s="301">
        <v>43524</v>
      </c>
      <c r="AG176" s="144">
        <v>28</v>
      </c>
      <c r="AH176" s="300">
        <v>1218</v>
      </c>
      <c r="AI176" s="300">
        <v>81940</v>
      </c>
      <c r="AJ176" s="286"/>
      <c r="AK176" s="218"/>
      <c r="AL176" s="218"/>
      <c r="AM176" s="218"/>
      <c r="AN176" s="218"/>
    </row>
    <row r="177" spans="1:50">
      <c r="C177" s="287"/>
      <c r="D177" s="297"/>
      <c r="E177" s="287">
        <f>E176/C176</f>
        <v>2962.7741935483873</v>
      </c>
      <c r="H177" s="287"/>
      <c r="I177" s="297"/>
      <c r="J177" s="287">
        <f>J176/H176</f>
        <v>3106.6071428571427</v>
      </c>
      <c r="M177" s="287"/>
      <c r="N177" s="297"/>
      <c r="O177" s="287">
        <f>O176/M176</f>
        <v>3577.8709677419356</v>
      </c>
      <c r="P177" s="287"/>
      <c r="R177" s="287"/>
      <c r="S177" s="297"/>
      <c r="T177" s="287">
        <f>T176/R176</f>
        <v>3592.0645161290322</v>
      </c>
      <c r="U177" s="287"/>
      <c r="W177" s="287"/>
      <c r="X177" s="297"/>
      <c r="Y177" s="287">
        <f>Y176/W176</f>
        <v>3297.3870967741937</v>
      </c>
      <c r="Z177" s="287"/>
      <c r="AB177" s="287"/>
      <c r="AC177" s="297"/>
      <c r="AD177" s="287">
        <f>AD176/AB176</f>
        <v>2202.1785714285716</v>
      </c>
      <c r="AE177" s="286"/>
      <c r="AF177" s="218"/>
      <c r="AG177" s="287"/>
      <c r="AH177" s="297"/>
      <c r="AI177" s="287">
        <f>AI176/AG176</f>
        <v>2926.4285714285716</v>
      </c>
      <c r="AJ177" s="299"/>
      <c r="AK177" s="299"/>
      <c r="AL177" s="299"/>
      <c r="AM177" s="299"/>
      <c r="AN177" s="299"/>
      <c r="AO177" s="299"/>
      <c r="AP177" s="299"/>
      <c r="AQ177" s="299"/>
      <c r="AR177" s="299" t="e">
        <f>RSQ(J180:J217,K180:K217)</f>
        <v>#DIV/0!</v>
      </c>
      <c r="AS177" s="234"/>
      <c r="AT177" s="234"/>
      <c r="AU177" s="234"/>
      <c r="AV177" s="234"/>
      <c r="AW177" s="234"/>
      <c r="AX177" s="299" t="s">
        <v>998</v>
      </c>
    </row>
    <row r="178" spans="1:50">
      <c r="C178" s="287"/>
      <c r="D178" s="297"/>
      <c r="E178" s="287">
        <f>E177*5</f>
        <v>14813.870967741936</v>
      </c>
      <c r="H178" s="287"/>
      <c r="I178" s="297"/>
      <c r="J178" s="287">
        <f>J177*5</f>
        <v>15533.035714285714</v>
      </c>
      <c r="M178" s="287"/>
      <c r="N178" s="297"/>
      <c r="O178" s="287">
        <f>O177*5</f>
        <v>17889.354838709678</v>
      </c>
      <c r="P178" s="287"/>
      <c r="R178" s="287"/>
      <c r="S178" s="297"/>
      <c r="T178" s="287">
        <f>T177*5</f>
        <v>17960.322580645159</v>
      </c>
      <c r="U178" s="287"/>
      <c r="W178" s="287"/>
      <c r="X178" s="297"/>
      <c r="Y178" s="287">
        <f>Y177*5</f>
        <v>16486.93548387097</v>
      </c>
      <c r="Z178" s="287"/>
      <c r="AB178" s="287"/>
      <c r="AC178" s="297"/>
      <c r="AD178" s="287">
        <f>AD177*5</f>
        <v>11010.892857142859</v>
      </c>
      <c r="AE178" s="286"/>
      <c r="AF178" s="218"/>
      <c r="AG178" s="287"/>
      <c r="AH178" s="297"/>
      <c r="AI178" s="287">
        <f>AI177*5</f>
        <v>14632.142857142859</v>
      </c>
      <c r="AJ178" s="218"/>
      <c r="AK178" s="298" t="s">
        <v>1136</v>
      </c>
      <c r="AL178" s="298"/>
      <c r="AM178" s="298"/>
      <c r="AN178" s="298"/>
      <c r="AO178" s="298"/>
      <c r="AP178" s="298"/>
      <c r="AR178" s="218" t="e">
        <f>CORREL(J180:J217,K180:K217)</f>
        <v>#DIV/0!</v>
      </c>
      <c r="AS178" s="222"/>
      <c r="AT178" s="222"/>
      <c r="AU178" s="222"/>
      <c r="AV178" s="222"/>
      <c r="AW178" s="222"/>
      <c r="AX178" s="218" t="s">
        <v>996</v>
      </c>
    </row>
    <row r="179" spans="1:50">
      <c r="L179" s="292"/>
      <c r="M179" s="291"/>
      <c r="N179" s="294"/>
      <c r="O179" s="290"/>
      <c r="P179" s="290"/>
      <c r="Q179" s="292"/>
      <c r="R179" s="291"/>
      <c r="S179" s="294"/>
      <c r="T179" s="290"/>
      <c r="U179" s="290"/>
      <c r="V179" s="292"/>
      <c r="W179" s="291"/>
      <c r="X179" s="294"/>
      <c r="Y179" s="290"/>
      <c r="Z179" s="290"/>
      <c r="AA179" s="292"/>
      <c r="AB179" s="291"/>
      <c r="AC179" s="294"/>
      <c r="AD179" s="290"/>
      <c r="AE179" s="290"/>
      <c r="AF179" s="292"/>
      <c r="AG179" s="291"/>
      <c r="AH179" s="294"/>
      <c r="AI179" s="290"/>
      <c r="AJ179" s="218"/>
      <c r="AK179" s="296" t="s">
        <v>995</v>
      </c>
      <c r="AL179" s="296"/>
      <c r="AM179" s="296"/>
      <c r="AN179" s="296"/>
      <c r="AO179" s="296"/>
      <c r="AP179" s="296"/>
      <c r="AQ179" s="295" t="s">
        <v>994</v>
      </c>
      <c r="AR179" s="295" t="s">
        <v>993</v>
      </c>
      <c r="AS179" s="516"/>
      <c r="AT179" s="516"/>
      <c r="AU179" s="516"/>
      <c r="AV179" s="516"/>
      <c r="AW179" s="516"/>
    </row>
    <row r="180" spans="1:50">
      <c r="L180" s="310"/>
      <c r="M180" s="303"/>
      <c r="N180" s="297"/>
      <c r="O180" s="287"/>
      <c r="P180" s="287"/>
      <c r="Q180" s="310"/>
      <c r="R180" s="303"/>
      <c r="S180" s="297"/>
      <c r="T180" s="287"/>
      <c r="U180" s="287"/>
      <c r="V180" s="310"/>
      <c r="W180" s="303"/>
      <c r="X180" s="297"/>
      <c r="Y180" s="287"/>
      <c r="Z180" s="287"/>
      <c r="AA180" s="310"/>
      <c r="AB180" s="303"/>
      <c r="AC180" s="297"/>
      <c r="AD180" s="287"/>
      <c r="AE180" s="286"/>
      <c r="AF180" s="310"/>
      <c r="AG180" s="303"/>
      <c r="AH180" s="297"/>
      <c r="AI180" s="287"/>
      <c r="AJ180" s="218"/>
      <c r="AK180" s="287"/>
      <c r="AL180" s="287"/>
      <c r="AM180" s="287"/>
      <c r="AN180" s="287"/>
      <c r="AO180" s="287"/>
      <c r="AP180" s="287"/>
      <c r="AQ180" s="222">
        <v>898</v>
      </c>
      <c r="AR180" s="286">
        <v>77267</v>
      </c>
      <c r="AS180" s="286"/>
      <c r="AT180" s="286"/>
      <c r="AU180" s="286"/>
      <c r="AV180" s="286"/>
      <c r="AW180" s="286"/>
    </row>
    <row r="181" spans="1:50">
      <c r="L181" s="310"/>
      <c r="M181" s="303"/>
      <c r="N181" s="297"/>
      <c r="O181" s="287"/>
      <c r="P181" s="287"/>
      <c r="Q181" s="310"/>
      <c r="R181" s="303"/>
      <c r="S181" s="297"/>
      <c r="T181" s="287"/>
      <c r="U181" s="287"/>
      <c r="V181" s="310"/>
      <c r="W181" s="303"/>
      <c r="X181" s="297"/>
      <c r="Y181" s="287"/>
      <c r="Z181" s="287"/>
      <c r="AA181" s="310"/>
      <c r="AB181" s="303"/>
      <c r="AC181" s="297"/>
      <c r="AD181" s="287"/>
      <c r="AE181" s="286"/>
      <c r="AF181" s="310"/>
      <c r="AG181" s="303"/>
      <c r="AH181" s="297"/>
      <c r="AI181" s="287"/>
      <c r="AJ181" s="218"/>
      <c r="AK181" s="218"/>
      <c r="AL181" s="218"/>
      <c r="AM181" s="218"/>
      <c r="AN181" s="218"/>
      <c r="AQ181" s="222">
        <v>590</v>
      </c>
      <c r="AR181" s="286">
        <v>42756</v>
      </c>
      <c r="AS181" s="286"/>
      <c r="AT181" s="286"/>
      <c r="AU181" s="286"/>
      <c r="AV181" s="286"/>
      <c r="AW181" s="286"/>
    </row>
    <row r="182" spans="1:50">
      <c r="A182" s="286"/>
      <c r="B182" s="446"/>
      <c r="C182" s="144"/>
      <c r="D182" s="454"/>
      <c r="E182" s="286"/>
      <c r="G182" s="446"/>
      <c r="H182" s="144"/>
      <c r="I182" s="454"/>
      <c r="J182" s="286"/>
      <c r="L182" s="310"/>
      <c r="M182" s="303"/>
      <c r="N182" s="297"/>
      <c r="O182" s="287"/>
      <c r="P182" s="287"/>
      <c r="Q182" s="310"/>
      <c r="R182" s="303"/>
      <c r="S182" s="297"/>
      <c r="T182" s="287"/>
      <c r="U182" s="287"/>
      <c r="V182" s="310"/>
      <c r="W182" s="303"/>
      <c r="X182" s="297"/>
      <c r="Y182" s="287"/>
      <c r="Z182" s="287"/>
      <c r="AA182" s="310"/>
      <c r="AB182" s="303"/>
      <c r="AC182" s="297"/>
      <c r="AD182" s="287"/>
      <c r="AE182" s="286"/>
      <c r="AF182" s="310"/>
      <c r="AG182" s="303"/>
      <c r="AH182" s="297"/>
      <c r="AI182" s="287"/>
      <c r="AJ182" s="218"/>
      <c r="AK182" s="218"/>
      <c r="AL182" s="218"/>
      <c r="AM182" s="218"/>
      <c r="AN182" s="218"/>
      <c r="AQ182" s="222">
        <v>160</v>
      </c>
      <c r="AR182" s="286">
        <v>1116</v>
      </c>
      <c r="AS182" s="286"/>
      <c r="AT182" s="286"/>
      <c r="AU182" s="286"/>
      <c r="AV182" s="286"/>
      <c r="AW182" s="286"/>
    </row>
    <row r="183" spans="1:50">
      <c r="A183" s="286"/>
      <c r="B183" s="446"/>
      <c r="C183" s="144"/>
      <c r="D183" s="454"/>
      <c r="E183" s="286"/>
      <c r="G183" s="446"/>
      <c r="H183" s="144"/>
      <c r="I183" s="454"/>
      <c r="J183" s="286"/>
      <c r="L183" s="310"/>
      <c r="M183" s="303"/>
      <c r="N183" s="297"/>
      <c r="O183" s="287"/>
      <c r="P183" s="287"/>
      <c r="Q183" s="310"/>
      <c r="R183" s="303"/>
      <c r="S183" s="297"/>
      <c r="T183" s="287"/>
      <c r="U183" s="287"/>
      <c r="V183" s="310"/>
      <c r="W183" s="303"/>
      <c r="X183" s="297"/>
      <c r="Y183" s="287"/>
      <c r="Z183" s="287"/>
      <c r="AA183" s="310"/>
      <c r="AB183" s="303"/>
      <c r="AC183" s="297"/>
      <c r="AD183" s="287"/>
      <c r="AE183" s="286"/>
      <c r="AF183" s="310"/>
      <c r="AG183" s="303"/>
      <c r="AH183" s="297"/>
      <c r="AI183" s="287"/>
      <c r="AJ183" s="218"/>
      <c r="AK183" s="218"/>
      <c r="AL183" s="218"/>
      <c r="AM183" s="218"/>
      <c r="AN183" s="218"/>
      <c r="AQ183" s="222">
        <v>7</v>
      </c>
      <c r="AR183" s="286">
        <v>178</v>
      </c>
      <c r="AS183" s="286"/>
      <c r="AT183" s="286"/>
      <c r="AU183" s="286"/>
      <c r="AV183" s="286"/>
      <c r="AW183" s="286"/>
    </row>
    <row r="184" spans="1:50">
      <c r="A184" s="286"/>
      <c r="B184" s="446"/>
      <c r="C184" s="144"/>
      <c r="D184" s="454"/>
      <c r="E184" s="286"/>
      <c r="G184" s="446"/>
      <c r="H184" s="144"/>
      <c r="I184" s="454"/>
      <c r="J184" s="286"/>
      <c r="L184" s="310"/>
      <c r="M184" s="303"/>
      <c r="N184" s="297"/>
      <c r="O184" s="287"/>
      <c r="P184" s="287"/>
      <c r="Q184" s="310"/>
      <c r="R184" s="303"/>
      <c r="S184" s="297"/>
      <c r="T184" s="287"/>
      <c r="U184" s="287"/>
      <c r="V184" s="310"/>
      <c r="W184" s="303"/>
      <c r="X184" s="297"/>
      <c r="Y184" s="287"/>
      <c r="Z184" s="287"/>
      <c r="AA184" s="310"/>
      <c r="AB184" s="303"/>
      <c r="AC184" s="297"/>
      <c r="AD184" s="287"/>
      <c r="AE184" s="286"/>
      <c r="AF184" s="310"/>
      <c r="AG184" s="303"/>
      <c r="AH184" s="297"/>
      <c r="AI184" s="287"/>
      <c r="AJ184" s="218"/>
      <c r="AK184" s="218"/>
      <c r="AL184" s="218"/>
      <c r="AM184" s="218"/>
      <c r="AN184" s="218"/>
      <c r="AQ184" s="222">
        <v>0</v>
      </c>
      <c r="AR184" s="286">
        <v>48</v>
      </c>
      <c r="AS184" s="286"/>
      <c r="AT184" s="286"/>
      <c r="AU184" s="286"/>
      <c r="AV184" s="286"/>
      <c r="AW184" s="286"/>
    </row>
    <row r="185" spans="1:50">
      <c r="A185" s="286"/>
      <c r="B185" s="446"/>
      <c r="C185" s="144"/>
      <c r="D185" s="454"/>
      <c r="E185" s="286"/>
      <c r="G185" s="446"/>
      <c r="H185" s="144"/>
      <c r="I185" s="454"/>
      <c r="J185" s="286"/>
      <c r="L185" s="446"/>
      <c r="M185" s="303"/>
      <c r="N185" s="297"/>
      <c r="O185" s="287"/>
      <c r="P185" s="287"/>
      <c r="Q185" s="446"/>
      <c r="R185" s="303"/>
      <c r="S185" s="297"/>
      <c r="T185" s="287"/>
      <c r="U185" s="287"/>
      <c r="V185" s="310"/>
      <c r="W185" s="303"/>
      <c r="X185" s="297"/>
      <c r="Y185" s="287"/>
      <c r="Z185" s="287"/>
      <c r="AA185" s="310"/>
      <c r="AB185" s="303"/>
      <c r="AC185" s="297"/>
      <c r="AD185" s="287"/>
      <c r="AE185" s="286"/>
      <c r="AF185" s="310"/>
      <c r="AG185" s="303"/>
      <c r="AH185" s="297"/>
      <c r="AI185" s="287"/>
      <c r="AJ185" s="218"/>
      <c r="AK185" s="287"/>
      <c r="AL185" s="287"/>
      <c r="AM185" s="287"/>
      <c r="AN185" s="287"/>
      <c r="AO185" s="287"/>
      <c r="AP185" s="287"/>
      <c r="AQ185" s="222">
        <v>146</v>
      </c>
      <c r="AR185" s="286">
        <v>1488</v>
      </c>
      <c r="AS185" s="286"/>
      <c r="AT185" s="286"/>
      <c r="AU185" s="286"/>
      <c r="AV185" s="286"/>
      <c r="AW185" s="286"/>
    </row>
    <row r="186" spans="1:50">
      <c r="A186" s="286"/>
      <c r="B186" s="446">
        <v>41275</v>
      </c>
      <c r="C186" s="144">
        <v>48</v>
      </c>
      <c r="D186" s="454"/>
      <c r="E186" s="286"/>
      <c r="G186" s="446">
        <v>41671</v>
      </c>
      <c r="H186" s="303">
        <v>52</v>
      </c>
      <c r="I186" s="454"/>
      <c r="J186" s="286"/>
      <c r="L186" s="447">
        <v>42005</v>
      </c>
      <c r="M186" s="303">
        <v>51</v>
      </c>
      <c r="N186" s="451">
        <f>M186/$M$217</f>
        <v>4.8617731172545281E-2</v>
      </c>
      <c r="O186" s="453">
        <f>N186*$O$176</f>
        <v>5392.3870352716876</v>
      </c>
      <c r="P186" s="452"/>
      <c r="Q186" s="573">
        <v>42368</v>
      </c>
      <c r="R186" s="144">
        <v>45</v>
      </c>
      <c r="S186" s="451">
        <f>R186/$M$217</f>
        <v>4.2897998093422304E-2</v>
      </c>
      <c r="T186" s="583">
        <f>S186*$O$176</f>
        <v>4757.9885605338413</v>
      </c>
      <c r="U186" s="452"/>
      <c r="V186" s="582">
        <v>42736</v>
      </c>
      <c r="W186" s="144">
        <v>42</v>
      </c>
      <c r="AA186" s="582">
        <v>43132</v>
      </c>
      <c r="AB186" s="144">
        <v>30</v>
      </c>
      <c r="AF186" s="582">
        <v>43132</v>
      </c>
      <c r="AG186" s="144">
        <v>33</v>
      </c>
      <c r="AH186" s="218"/>
      <c r="AJ186" s="218"/>
      <c r="AK186" s="287"/>
      <c r="AL186" s="287"/>
      <c r="AM186" s="287"/>
      <c r="AN186" s="287"/>
      <c r="AO186" s="287"/>
      <c r="AP186" s="287"/>
      <c r="AQ186" s="222">
        <v>272</v>
      </c>
      <c r="AR186" s="286">
        <v>8682</v>
      </c>
      <c r="AS186" s="286"/>
      <c r="AT186" s="286"/>
      <c r="AU186" s="286"/>
      <c r="AV186" s="286"/>
      <c r="AW186" s="286"/>
    </row>
    <row r="187" spans="1:50">
      <c r="A187" s="222"/>
      <c r="B187" s="446">
        <v>41276</v>
      </c>
      <c r="C187" s="144">
        <v>47</v>
      </c>
      <c r="D187" s="286"/>
      <c r="E187" s="222"/>
      <c r="G187" s="446">
        <v>41672</v>
      </c>
      <c r="H187" s="144">
        <v>40</v>
      </c>
      <c r="I187" s="286"/>
      <c r="J187" s="222"/>
      <c r="L187" s="448">
        <v>42006</v>
      </c>
      <c r="M187" s="144">
        <v>44</v>
      </c>
      <c r="N187" s="451">
        <f>M187/$M$217</f>
        <v>4.1944709246901808E-2</v>
      </c>
      <c r="O187" s="453">
        <f>N187*$O$176</f>
        <v>4652.2554814108671</v>
      </c>
      <c r="P187" s="452"/>
      <c r="Q187" s="574">
        <v>42369</v>
      </c>
      <c r="R187" s="144">
        <v>52</v>
      </c>
      <c r="S187" s="451">
        <f>R187/$M$217</f>
        <v>4.9571020019065777E-2</v>
      </c>
      <c r="T187" s="583">
        <f>S187*$O$176</f>
        <v>5498.1201143946619</v>
      </c>
      <c r="U187" s="452"/>
      <c r="V187" s="582">
        <v>42737</v>
      </c>
      <c r="W187" s="144">
        <v>49</v>
      </c>
      <c r="AA187" s="582">
        <v>43133</v>
      </c>
      <c r="AB187" s="144">
        <v>27</v>
      </c>
      <c r="AF187" s="582">
        <v>43133</v>
      </c>
      <c r="AG187" s="144">
        <v>27</v>
      </c>
      <c r="AH187" s="218"/>
      <c r="AJ187" s="218"/>
      <c r="AK187" s="287"/>
      <c r="AL187" s="287"/>
      <c r="AM187" s="287"/>
      <c r="AN187" s="287"/>
      <c r="AO187" s="287"/>
      <c r="AP187" s="287"/>
      <c r="AQ187" s="222">
        <v>561</v>
      </c>
      <c r="AR187" s="286">
        <v>33883</v>
      </c>
      <c r="AS187" s="286"/>
      <c r="AT187" s="286"/>
      <c r="AU187" s="286"/>
      <c r="AV187" s="286"/>
      <c r="AW187" s="286"/>
    </row>
    <row r="188" spans="1:50">
      <c r="A188" s="222"/>
      <c r="B188" s="446">
        <v>41277</v>
      </c>
      <c r="C188" s="144">
        <v>50</v>
      </c>
      <c r="D188" s="286"/>
      <c r="E188" s="222"/>
      <c r="G188" s="447">
        <v>41673</v>
      </c>
      <c r="H188" s="144">
        <v>49</v>
      </c>
      <c r="I188" s="451">
        <f>H188/$I$176</f>
        <v>4.5161290322580643E-2</v>
      </c>
      <c r="J188" s="452">
        <f>I188*$J$176</f>
        <v>3928.3548387096771</v>
      </c>
      <c r="L188" s="448">
        <v>42007</v>
      </c>
      <c r="M188" s="144">
        <v>48</v>
      </c>
      <c r="N188" s="451">
        <f>M188/$M$217</f>
        <v>4.5757864632983793E-2</v>
      </c>
      <c r="O188" s="453">
        <f>N188*$O$176</f>
        <v>5075.187797902764</v>
      </c>
      <c r="P188" s="452"/>
      <c r="Q188" s="574">
        <v>42370</v>
      </c>
      <c r="R188" s="144">
        <v>54</v>
      </c>
      <c r="S188" s="451">
        <f>R188/$M$217</f>
        <v>5.1477597712106769E-2</v>
      </c>
      <c r="T188" s="583">
        <f>S188*$O$176</f>
        <v>5709.5862726406103</v>
      </c>
      <c r="U188" s="452"/>
      <c r="V188" s="573">
        <v>42738</v>
      </c>
      <c r="W188" s="144">
        <v>54</v>
      </c>
      <c r="X188" s="451">
        <f>W186/$X$176</f>
        <v>3.0456852791878174E-2</v>
      </c>
      <c r="Y188" s="583">
        <f>X188*$Y$176</f>
        <v>3113.2690355329951</v>
      </c>
      <c r="Z188" s="452"/>
      <c r="AA188" s="582">
        <v>43134</v>
      </c>
      <c r="AB188" s="144">
        <v>19</v>
      </c>
      <c r="AF188" s="582">
        <v>43134</v>
      </c>
      <c r="AG188" s="144">
        <v>35</v>
      </c>
      <c r="AH188" s="218"/>
      <c r="AJ188" s="218"/>
      <c r="AK188" s="287"/>
      <c r="AL188" s="287"/>
      <c r="AM188" s="287"/>
      <c r="AN188" s="287"/>
      <c r="AO188" s="287"/>
      <c r="AP188" s="287"/>
      <c r="AQ188" s="222">
        <v>730</v>
      </c>
      <c r="AR188" s="286">
        <v>59366</v>
      </c>
      <c r="AS188" s="286"/>
      <c r="AT188" s="286"/>
      <c r="AU188" s="286"/>
      <c r="AV188" s="286"/>
      <c r="AW188" s="286"/>
    </row>
    <row r="189" spans="1:50">
      <c r="A189" s="286"/>
      <c r="B189" s="446">
        <v>41278</v>
      </c>
      <c r="C189" s="144">
        <v>43</v>
      </c>
      <c r="D189" s="450"/>
      <c r="E189" s="286"/>
      <c r="G189" s="448">
        <v>41674</v>
      </c>
      <c r="H189" s="144">
        <v>57</v>
      </c>
      <c r="I189" s="451">
        <f>H189/$I$176</f>
        <v>5.2534562211981564E-2</v>
      </c>
      <c r="J189" s="452">
        <f>I189*$J$176</f>
        <v>4569.7188940092165</v>
      </c>
      <c r="L189" s="448">
        <v>42008</v>
      </c>
      <c r="M189" s="144">
        <v>35</v>
      </c>
      <c r="N189" s="451">
        <f>M189/$M$217</f>
        <v>3.336510962821735E-2</v>
      </c>
      <c r="O189" s="453">
        <f>N189*$O$176</f>
        <v>3700.657769304099</v>
      </c>
      <c r="P189" s="452"/>
      <c r="Q189" s="574">
        <v>42371</v>
      </c>
      <c r="R189" s="144">
        <v>55</v>
      </c>
      <c r="S189" s="451">
        <f>R189/$M$217</f>
        <v>5.2430886558627265E-2</v>
      </c>
      <c r="T189" s="583">
        <f>S189*$O$176</f>
        <v>5815.3193517635846</v>
      </c>
      <c r="U189" s="452"/>
      <c r="V189" s="574">
        <v>42739</v>
      </c>
      <c r="W189" s="144">
        <v>57</v>
      </c>
      <c r="X189" s="451">
        <f>W187/$X$176</f>
        <v>3.553299492385787E-2</v>
      </c>
      <c r="Y189" s="583">
        <f>X189*$Y$176</f>
        <v>3632.1472081218276</v>
      </c>
      <c r="Z189" s="452"/>
      <c r="AA189" s="582">
        <v>43135</v>
      </c>
      <c r="AB189" s="144">
        <v>18</v>
      </c>
      <c r="AF189" s="582">
        <v>43135</v>
      </c>
      <c r="AG189" s="144">
        <v>43</v>
      </c>
      <c r="AH189" s="218"/>
      <c r="AJ189" s="218"/>
      <c r="AK189" s="287"/>
      <c r="AL189" s="287"/>
      <c r="AM189" s="287"/>
      <c r="AN189" s="287"/>
      <c r="AO189" s="287"/>
      <c r="AP189" s="287"/>
      <c r="AQ189" s="222">
        <v>874</v>
      </c>
      <c r="AR189" s="286">
        <v>74028</v>
      </c>
      <c r="AS189" s="286"/>
      <c r="AT189" s="286"/>
      <c r="AU189" s="286"/>
      <c r="AV189" s="286"/>
      <c r="AW189" s="286"/>
    </row>
    <row r="190" spans="1:50">
      <c r="A190" s="286"/>
      <c r="B190" s="446">
        <v>41279</v>
      </c>
      <c r="C190" s="144">
        <v>37</v>
      </c>
      <c r="D190" s="450"/>
      <c r="E190" s="286"/>
      <c r="G190" s="448">
        <v>41675</v>
      </c>
      <c r="H190" s="144">
        <v>60</v>
      </c>
      <c r="I190" s="451">
        <f>H190/$I$176</f>
        <v>5.5299539170506916E-2</v>
      </c>
      <c r="J190" s="452">
        <f>I190*$J$176</f>
        <v>4810.2304147465438</v>
      </c>
      <c r="L190" s="449">
        <v>42009</v>
      </c>
      <c r="M190" s="144">
        <v>27</v>
      </c>
      <c r="N190" s="451">
        <f>M190/$M$217</f>
        <v>2.5738798856053385E-2</v>
      </c>
      <c r="O190" s="453">
        <f>N190*$O$176</f>
        <v>2854.7931363203052</v>
      </c>
      <c r="P190" s="452"/>
      <c r="Q190" s="575">
        <v>42372</v>
      </c>
      <c r="R190" s="144">
        <v>49</v>
      </c>
      <c r="S190" s="451">
        <f>R190/$M$217</f>
        <v>4.6711153479504289E-2</v>
      </c>
      <c r="T190" s="583">
        <f>S190*$O$176</f>
        <v>5180.9208770257383</v>
      </c>
      <c r="U190" s="452"/>
      <c r="V190" s="574">
        <v>42740</v>
      </c>
      <c r="W190" s="144">
        <v>59</v>
      </c>
      <c r="X190" s="451">
        <f>W188/$X$176</f>
        <v>3.9158810732414791E-2</v>
      </c>
      <c r="Y190" s="583">
        <f>X190*$Y$176</f>
        <v>4002.7744742567074</v>
      </c>
      <c r="Z190" s="452"/>
      <c r="AA190" s="582">
        <v>43136</v>
      </c>
      <c r="AB190" s="144">
        <v>22</v>
      </c>
      <c r="AF190" s="582">
        <v>43136</v>
      </c>
      <c r="AG190" s="144">
        <v>44</v>
      </c>
      <c r="AH190" s="218"/>
      <c r="AJ190" s="218"/>
      <c r="AK190" s="287"/>
      <c r="AL190" s="287"/>
      <c r="AM190" s="287"/>
      <c r="AN190" s="287"/>
      <c r="AO190" s="287"/>
      <c r="AP190" s="287"/>
      <c r="AQ190" s="222">
        <v>1244</v>
      </c>
      <c r="AR190" s="286">
        <v>91846</v>
      </c>
      <c r="AS190" s="286"/>
      <c r="AT190" s="286"/>
      <c r="AU190" s="286"/>
      <c r="AV190" s="286"/>
      <c r="AW190" s="286"/>
    </row>
    <row r="191" spans="1:50">
      <c r="A191" s="286"/>
      <c r="B191" s="446">
        <v>41280</v>
      </c>
      <c r="C191" s="144">
        <v>37</v>
      </c>
      <c r="D191" s="450"/>
      <c r="E191" s="286"/>
      <c r="G191" s="448">
        <v>41676</v>
      </c>
      <c r="H191" s="144">
        <v>60</v>
      </c>
      <c r="I191" s="451">
        <f>H191/$I$176</f>
        <v>5.5299539170506916E-2</v>
      </c>
      <c r="J191" s="452">
        <f>I191*$J$176</f>
        <v>4810.2304147465438</v>
      </c>
      <c r="L191" s="446">
        <v>42010</v>
      </c>
      <c r="M191" s="144">
        <v>27</v>
      </c>
      <c r="O191" s="452"/>
      <c r="P191" s="452"/>
      <c r="Q191" s="310">
        <v>42373</v>
      </c>
      <c r="R191" s="144">
        <v>38</v>
      </c>
      <c r="T191" s="452"/>
      <c r="U191" s="452"/>
      <c r="V191" s="574">
        <v>42741</v>
      </c>
      <c r="W191" s="144">
        <v>56</v>
      </c>
      <c r="X191" s="451">
        <f>W189/$X$176</f>
        <v>4.1334300217548949E-2</v>
      </c>
      <c r="Y191" s="583">
        <f>X191*$Y$176</f>
        <v>4225.150833937636</v>
      </c>
      <c r="Z191" s="452"/>
      <c r="AA191" s="582">
        <v>43137</v>
      </c>
      <c r="AB191" s="144">
        <v>25</v>
      </c>
      <c r="AF191" s="582">
        <v>43137</v>
      </c>
      <c r="AG191" s="144">
        <v>50</v>
      </c>
      <c r="AH191" s="451">
        <f>AG191/$AH$176</f>
        <v>4.1050903119868636E-2</v>
      </c>
      <c r="AI191" s="583">
        <f>AH191*$AI$176</f>
        <v>3363.7110016420361</v>
      </c>
      <c r="AJ191" s="218"/>
      <c r="AK191" s="287"/>
      <c r="AL191" s="287"/>
      <c r="AM191" s="287"/>
      <c r="AN191" s="287"/>
      <c r="AO191" s="287"/>
      <c r="AP191" s="287"/>
      <c r="AQ191" s="222">
        <v>1040</v>
      </c>
      <c r="AR191" s="286">
        <v>73664</v>
      </c>
      <c r="AS191" s="286"/>
      <c r="AT191" s="286"/>
      <c r="AU191" s="286"/>
      <c r="AV191" s="286"/>
      <c r="AW191" s="286"/>
    </row>
    <row r="192" spans="1:50">
      <c r="A192" s="286"/>
      <c r="B192" s="446">
        <v>41281</v>
      </c>
      <c r="C192" s="144">
        <v>31</v>
      </c>
      <c r="D192" s="450"/>
      <c r="E192" s="286"/>
      <c r="G192" s="449">
        <v>41677</v>
      </c>
      <c r="H192" s="144">
        <v>56</v>
      </c>
      <c r="I192" s="451">
        <f>H192/$I$176</f>
        <v>5.1612903225806452E-2</v>
      </c>
      <c r="J192" s="452">
        <f>I192*$J$176</f>
        <v>4489.5483870967746</v>
      </c>
      <c r="L192" s="446">
        <v>42011</v>
      </c>
      <c r="M192" s="144">
        <v>33</v>
      </c>
      <c r="Q192" s="310">
        <v>42374</v>
      </c>
      <c r="R192" s="144">
        <v>34</v>
      </c>
      <c r="V192" s="575">
        <v>42742</v>
      </c>
      <c r="W192" s="144">
        <v>57</v>
      </c>
      <c r="X192" s="451">
        <f>W190/$X$176</f>
        <v>4.2784626540971718E-2</v>
      </c>
      <c r="Y192" s="583">
        <f>X192*$Y$176</f>
        <v>4373.4017403915877</v>
      </c>
      <c r="Z192" s="452"/>
      <c r="AA192" s="582">
        <v>43138</v>
      </c>
      <c r="AB192" s="144">
        <v>22</v>
      </c>
      <c r="AF192" s="582">
        <v>43138</v>
      </c>
      <c r="AG192" s="144">
        <v>50</v>
      </c>
      <c r="AH192" s="451">
        <f>AG192/$AH$176</f>
        <v>4.1050903119868636E-2</v>
      </c>
      <c r="AI192" s="583">
        <f>AH192*$AI$176</f>
        <v>3363.7110016420361</v>
      </c>
      <c r="AJ192" s="218"/>
      <c r="AK192" s="287"/>
      <c r="AL192" s="287"/>
      <c r="AM192" s="287"/>
      <c r="AN192" s="287"/>
      <c r="AO192" s="287"/>
      <c r="AP192" s="287"/>
      <c r="AQ192" s="222">
        <v>769</v>
      </c>
      <c r="AR192" s="286">
        <v>52142</v>
      </c>
      <c r="AS192" s="286"/>
      <c r="AT192" s="286"/>
      <c r="AU192" s="286"/>
      <c r="AV192" s="286"/>
      <c r="AW192" s="286"/>
    </row>
    <row r="193" spans="1:49">
      <c r="A193" s="286"/>
      <c r="B193" s="446">
        <v>41282</v>
      </c>
      <c r="C193" s="144">
        <v>28</v>
      </c>
      <c r="D193" s="450"/>
      <c r="E193" s="286"/>
      <c r="G193" s="446">
        <v>41678</v>
      </c>
      <c r="H193" s="144">
        <v>48</v>
      </c>
      <c r="I193" s="450"/>
      <c r="J193" s="452"/>
      <c r="L193" s="446">
        <v>42012</v>
      </c>
      <c r="M193" s="144">
        <v>34</v>
      </c>
      <c r="N193" s="450"/>
      <c r="O193" s="286"/>
      <c r="P193" s="286"/>
      <c r="Q193" s="310">
        <v>42375</v>
      </c>
      <c r="R193" s="144">
        <v>31</v>
      </c>
      <c r="S193" s="450"/>
      <c r="T193" s="286"/>
      <c r="U193" s="286"/>
      <c r="V193" s="582">
        <v>42743</v>
      </c>
      <c r="W193" s="144">
        <v>42</v>
      </c>
      <c r="X193" s="450"/>
      <c r="Y193" s="286"/>
      <c r="Z193" s="286"/>
      <c r="AA193" s="582">
        <v>43139</v>
      </c>
      <c r="AB193" s="144">
        <v>20</v>
      </c>
      <c r="AC193" s="450"/>
      <c r="AD193" s="286"/>
      <c r="AE193" s="286"/>
      <c r="AF193" s="582">
        <v>43139</v>
      </c>
      <c r="AG193" s="144">
        <v>43</v>
      </c>
      <c r="AH193" s="451">
        <f>AG193/$AH$176</f>
        <v>3.5303776683087026E-2</v>
      </c>
      <c r="AI193" s="583">
        <f>AH193*$AI$176</f>
        <v>2892.791461412151</v>
      </c>
      <c r="AJ193" s="218"/>
      <c r="AK193" s="287"/>
      <c r="AL193" s="287"/>
      <c r="AM193" s="287"/>
      <c r="AN193" s="287"/>
      <c r="AO193" s="287"/>
      <c r="AP193" s="287"/>
      <c r="AQ193" s="222">
        <v>504</v>
      </c>
      <c r="AR193" s="286">
        <v>10893</v>
      </c>
      <c r="AS193" s="286"/>
      <c r="AT193" s="286"/>
      <c r="AU193" s="286"/>
      <c r="AV193" s="286"/>
      <c r="AW193" s="286"/>
    </row>
    <row r="194" spans="1:49">
      <c r="A194" s="222"/>
      <c r="B194" s="446">
        <v>41283</v>
      </c>
      <c r="C194" s="144">
        <v>27</v>
      </c>
      <c r="D194" s="286"/>
      <c r="E194" s="222"/>
      <c r="G194" s="446">
        <v>41679</v>
      </c>
      <c r="H194" s="144">
        <v>46</v>
      </c>
      <c r="I194" s="286"/>
      <c r="J194" s="222"/>
      <c r="L194" s="446">
        <v>42013</v>
      </c>
      <c r="M194" s="144">
        <v>34</v>
      </c>
      <c r="N194" s="286"/>
      <c r="O194" s="222"/>
      <c r="P194" s="222"/>
      <c r="Q194" s="310">
        <v>42376</v>
      </c>
      <c r="R194" s="144">
        <v>32</v>
      </c>
      <c r="S194" s="286"/>
      <c r="T194" s="222"/>
      <c r="U194" s="222"/>
      <c r="V194" s="582">
        <v>42744</v>
      </c>
      <c r="W194" s="144">
        <v>40</v>
      </c>
      <c r="X194" s="286"/>
      <c r="Y194" s="222"/>
      <c r="Z194" s="222"/>
      <c r="AA194" s="582">
        <v>43140</v>
      </c>
      <c r="AB194" s="144">
        <v>31</v>
      </c>
      <c r="AC194" s="286"/>
      <c r="AD194" s="222"/>
      <c r="AF194" s="582">
        <v>43140</v>
      </c>
      <c r="AG194" s="144">
        <v>50</v>
      </c>
      <c r="AH194" s="451">
        <f>AG194/$AH$176</f>
        <v>4.1050903119868636E-2</v>
      </c>
      <c r="AI194" s="583">
        <f>AH194*$AI$176</f>
        <v>3363.7110016420361</v>
      </c>
      <c r="AJ194" s="218"/>
      <c r="AK194" s="287"/>
      <c r="AL194" s="287"/>
      <c r="AM194" s="287"/>
      <c r="AN194" s="287"/>
      <c r="AO194" s="287"/>
      <c r="AP194" s="287"/>
      <c r="AQ194" s="222">
        <v>68</v>
      </c>
      <c r="AR194" s="286">
        <v>52</v>
      </c>
      <c r="AS194" s="286"/>
      <c r="AT194" s="286"/>
      <c r="AU194" s="286"/>
      <c r="AV194" s="286"/>
      <c r="AW194" s="286"/>
    </row>
    <row r="195" spans="1:49">
      <c r="A195" s="222"/>
      <c r="B195" s="446">
        <v>41284</v>
      </c>
      <c r="C195" s="144">
        <v>36</v>
      </c>
      <c r="D195" s="286"/>
      <c r="E195" s="222"/>
      <c r="G195" s="446">
        <v>41680</v>
      </c>
      <c r="H195" s="144">
        <v>41</v>
      </c>
      <c r="I195" s="286"/>
      <c r="J195" s="222"/>
      <c r="L195" s="446">
        <v>42014</v>
      </c>
      <c r="M195" s="144">
        <v>36</v>
      </c>
      <c r="N195" s="286"/>
      <c r="O195" s="222"/>
      <c r="P195" s="222"/>
      <c r="Q195" s="310">
        <v>42377</v>
      </c>
      <c r="R195" s="144">
        <v>33</v>
      </c>
      <c r="S195" s="286"/>
      <c r="T195" s="222"/>
      <c r="U195" s="222"/>
      <c r="V195" s="582">
        <v>42745</v>
      </c>
      <c r="W195" s="144">
        <v>44</v>
      </c>
      <c r="X195" s="286"/>
      <c r="Y195" s="222"/>
      <c r="Z195" s="222"/>
      <c r="AA195" s="582">
        <v>43141</v>
      </c>
      <c r="AB195" s="144">
        <v>37</v>
      </c>
      <c r="AC195" s="286"/>
      <c r="AD195" s="222"/>
      <c r="AF195" s="582">
        <v>43141</v>
      </c>
      <c r="AG195" s="144">
        <v>55</v>
      </c>
      <c r="AH195" s="451">
        <f>AG195/$AH$176</f>
        <v>4.5155993431855501E-2</v>
      </c>
      <c r="AI195" s="583">
        <f>AH195*$AI$176</f>
        <v>3700.0821018062397</v>
      </c>
      <c r="AJ195" s="218"/>
      <c r="AK195" s="287"/>
      <c r="AL195" s="287"/>
      <c r="AM195" s="287"/>
      <c r="AN195" s="287"/>
      <c r="AO195" s="287"/>
      <c r="AP195" s="287"/>
      <c r="AQ195" s="222">
        <v>14</v>
      </c>
      <c r="AR195" s="286">
        <v>31</v>
      </c>
      <c r="AS195" s="286"/>
      <c r="AT195" s="286"/>
      <c r="AU195" s="286"/>
      <c r="AV195" s="286"/>
      <c r="AW195" s="286"/>
    </row>
    <row r="196" spans="1:49" ht="13.8" thickBot="1">
      <c r="A196" s="222"/>
      <c r="B196" s="446">
        <v>41285</v>
      </c>
      <c r="C196" s="144">
        <v>44</v>
      </c>
      <c r="D196" s="222"/>
      <c r="E196" s="222"/>
      <c r="G196" s="446">
        <v>41681</v>
      </c>
      <c r="H196" s="144">
        <v>34</v>
      </c>
      <c r="I196" s="222"/>
      <c r="J196" s="222"/>
      <c r="L196" s="446">
        <v>42015</v>
      </c>
      <c r="M196" s="144">
        <v>37</v>
      </c>
      <c r="N196" s="222"/>
      <c r="O196" s="222"/>
      <c r="P196" s="222"/>
      <c r="Q196" s="310">
        <v>42378</v>
      </c>
      <c r="R196" s="144">
        <v>33</v>
      </c>
      <c r="S196" s="222"/>
      <c r="T196" s="222"/>
      <c r="U196" s="222"/>
      <c r="V196" s="582">
        <v>42746</v>
      </c>
      <c r="W196" s="144">
        <v>54</v>
      </c>
      <c r="X196" s="222"/>
      <c r="Y196" s="222"/>
      <c r="Z196" s="222"/>
      <c r="AA196" s="582">
        <v>43142</v>
      </c>
      <c r="AB196" s="144">
        <v>35</v>
      </c>
      <c r="AC196" s="222"/>
      <c r="AD196" s="222"/>
      <c r="AF196" s="582">
        <v>43142</v>
      </c>
      <c r="AG196" s="144">
        <v>53</v>
      </c>
      <c r="AI196" s="222"/>
      <c r="AJ196" s="218"/>
      <c r="AK196" s="287"/>
      <c r="AL196" s="287"/>
      <c r="AM196" s="287"/>
      <c r="AN196" s="287"/>
      <c r="AO196" s="287"/>
      <c r="AP196" s="287"/>
      <c r="AQ196" s="222">
        <v>20</v>
      </c>
      <c r="AR196" s="286">
        <v>184</v>
      </c>
      <c r="AS196" s="286"/>
      <c r="AT196" s="286"/>
      <c r="AU196" s="286"/>
      <c r="AV196" s="286"/>
      <c r="AW196" s="286"/>
    </row>
    <row r="197" spans="1:49">
      <c r="A197" s="222"/>
      <c r="B197" s="455">
        <v>41286</v>
      </c>
      <c r="C197" s="144">
        <v>52</v>
      </c>
      <c r="D197" s="451">
        <f>C197/$D$176</f>
        <v>4.1800643086816719E-2</v>
      </c>
      <c r="E197" s="452">
        <f>D197*$E$176</f>
        <v>3839.2218649517686</v>
      </c>
      <c r="G197" s="446">
        <v>41682</v>
      </c>
      <c r="H197" s="144">
        <v>24</v>
      </c>
      <c r="L197" s="446">
        <v>42016</v>
      </c>
      <c r="M197" s="144">
        <v>36</v>
      </c>
      <c r="N197" s="222"/>
      <c r="O197" s="222"/>
      <c r="P197" s="222"/>
      <c r="Q197" s="310">
        <v>42379</v>
      </c>
      <c r="R197" s="144">
        <v>36</v>
      </c>
      <c r="S197" s="222"/>
      <c r="T197" s="222"/>
      <c r="U197" s="222"/>
      <c r="V197" s="582">
        <v>42747</v>
      </c>
      <c r="W197" s="144">
        <v>58</v>
      </c>
      <c r="X197" s="222"/>
      <c r="Y197" s="222"/>
      <c r="Z197" s="222"/>
      <c r="AA197" s="582">
        <v>43143</v>
      </c>
      <c r="AB197" s="144">
        <v>39</v>
      </c>
      <c r="AC197" s="222"/>
      <c r="AD197" s="222"/>
      <c r="AF197" s="582">
        <v>43143</v>
      </c>
      <c r="AG197" s="144">
        <v>36</v>
      </c>
      <c r="AI197" s="222"/>
      <c r="AJ197" s="218"/>
      <c r="AK197" s="287"/>
      <c r="AL197" s="287"/>
      <c r="AM197" s="287"/>
      <c r="AN197" s="287"/>
      <c r="AO197" s="287"/>
      <c r="AP197" s="287"/>
      <c r="AQ197" s="222">
        <v>175</v>
      </c>
      <c r="AR197" s="286">
        <v>1688</v>
      </c>
      <c r="AS197" s="286"/>
      <c r="AT197" s="286"/>
      <c r="AU197" s="286"/>
      <c r="AV197" s="286"/>
      <c r="AW197" s="286"/>
    </row>
    <row r="198" spans="1:49">
      <c r="A198" s="222"/>
      <c r="B198" s="456">
        <v>41287</v>
      </c>
      <c r="C198" s="144">
        <v>47</v>
      </c>
      <c r="D198" s="451">
        <f>C198/$D$176</f>
        <v>3.778135048231511E-2</v>
      </c>
      <c r="E198" s="452">
        <f>D198*$E$176</f>
        <v>3470.0659163987134</v>
      </c>
      <c r="G198" s="446">
        <v>41683</v>
      </c>
      <c r="H198" s="144">
        <v>25</v>
      </c>
      <c r="L198" s="446">
        <v>42017</v>
      </c>
      <c r="M198" s="144">
        <v>35</v>
      </c>
      <c r="N198" s="222"/>
      <c r="O198" s="222"/>
      <c r="P198" s="222"/>
      <c r="Q198" s="310">
        <v>42380</v>
      </c>
      <c r="R198" s="144">
        <v>38</v>
      </c>
      <c r="S198" s="222"/>
      <c r="T198" s="222"/>
      <c r="U198" s="222"/>
      <c r="V198" s="582">
        <v>42748</v>
      </c>
      <c r="W198" s="144">
        <v>55</v>
      </c>
      <c r="X198" s="222"/>
      <c r="Y198" s="222"/>
      <c r="Z198" s="222"/>
      <c r="AA198" s="582">
        <v>43144</v>
      </c>
      <c r="AB198" s="144">
        <v>36</v>
      </c>
      <c r="AC198" s="222"/>
      <c r="AD198" s="222"/>
      <c r="AF198" s="582">
        <v>43144</v>
      </c>
      <c r="AG198" s="144">
        <v>38</v>
      </c>
      <c r="AI198" s="222"/>
      <c r="AJ198" s="218"/>
      <c r="AK198" s="287"/>
      <c r="AL198" s="287"/>
      <c r="AM198" s="287"/>
      <c r="AN198" s="287"/>
      <c r="AO198" s="287"/>
      <c r="AP198" s="287"/>
      <c r="AQ198" s="222">
        <v>345</v>
      </c>
      <c r="AR198" s="286">
        <v>6706</v>
      </c>
      <c r="AS198" s="286"/>
      <c r="AT198" s="286"/>
      <c r="AU198" s="286"/>
      <c r="AV198" s="286"/>
      <c r="AW198" s="286"/>
    </row>
    <row r="199" spans="1:49">
      <c r="A199" s="222"/>
      <c r="B199" s="456">
        <v>41288</v>
      </c>
      <c r="C199" s="144">
        <v>45</v>
      </c>
      <c r="D199" s="451">
        <f>C199/$D$176</f>
        <v>3.6173633440514469E-2</v>
      </c>
      <c r="E199" s="452">
        <f>D199*$E$176</f>
        <v>3322.403536977492</v>
      </c>
      <c r="G199" s="446">
        <v>41684</v>
      </c>
      <c r="H199" s="144">
        <v>26</v>
      </c>
      <c r="L199" s="446">
        <v>42018</v>
      </c>
      <c r="M199" s="144">
        <v>36</v>
      </c>
      <c r="N199" s="222"/>
      <c r="O199" s="222"/>
      <c r="P199" s="222"/>
      <c r="Q199" s="310">
        <v>42381</v>
      </c>
      <c r="R199" s="144">
        <v>32</v>
      </c>
      <c r="S199" s="222"/>
      <c r="T199" s="222"/>
      <c r="U199" s="222"/>
      <c r="V199" s="582">
        <v>42749</v>
      </c>
      <c r="W199" s="144">
        <v>58</v>
      </c>
      <c r="X199" s="222"/>
      <c r="Y199" s="222"/>
      <c r="Z199" s="222"/>
      <c r="AA199" s="582">
        <v>43145</v>
      </c>
      <c r="AB199" s="144">
        <v>37</v>
      </c>
      <c r="AC199" s="222"/>
      <c r="AD199" s="222"/>
      <c r="AF199" s="582">
        <v>43145</v>
      </c>
      <c r="AG199" s="144">
        <v>41</v>
      </c>
      <c r="AI199" s="222"/>
      <c r="AJ199" s="218"/>
      <c r="AK199" s="287"/>
      <c r="AL199" s="287"/>
      <c r="AM199" s="287"/>
      <c r="AN199" s="287"/>
      <c r="AO199" s="287"/>
      <c r="AP199" s="287"/>
      <c r="AQ199" s="222">
        <v>494</v>
      </c>
      <c r="AR199" s="286">
        <v>15477</v>
      </c>
      <c r="AS199" s="286"/>
      <c r="AT199" s="286"/>
      <c r="AU199" s="286"/>
      <c r="AV199" s="286"/>
      <c r="AW199" s="286"/>
    </row>
    <row r="200" spans="1:49">
      <c r="A200" s="222"/>
      <c r="B200" s="456">
        <v>41289</v>
      </c>
      <c r="C200" s="291">
        <v>44</v>
      </c>
      <c r="D200" s="451">
        <f>C200/$D$176</f>
        <v>3.5369774919614148E-2</v>
      </c>
      <c r="E200" s="452">
        <f>D200*$E$176</f>
        <v>3248.572347266881</v>
      </c>
      <c r="G200" s="446">
        <v>41685</v>
      </c>
      <c r="H200" s="291">
        <v>27</v>
      </c>
      <c r="L200" s="446">
        <v>42019</v>
      </c>
      <c r="M200" s="291">
        <v>36</v>
      </c>
      <c r="N200" s="222"/>
      <c r="O200" s="222"/>
      <c r="P200" s="222"/>
      <c r="Q200" s="310">
        <v>42382</v>
      </c>
      <c r="R200" s="291">
        <v>30</v>
      </c>
      <c r="S200" s="222"/>
      <c r="T200" s="222"/>
      <c r="U200" s="222"/>
      <c r="V200" s="582">
        <v>42750</v>
      </c>
      <c r="W200" s="291">
        <v>59</v>
      </c>
      <c r="X200" s="222"/>
      <c r="Y200" s="222"/>
      <c r="Z200" s="222"/>
      <c r="AA200" s="582">
        <v>43146</v>
      </c>
      <c r="AB200" s="291">
        <v>43</v>
      </c>
      <c r="AC200" s="222"/>
      <c r="AD200" s="222"/>
      <c r="AF200" s="582">
        <v>43146</v>
      </c>
      <c r="AG200" s="291">
        <v>35</v>
      </c>
      <c r="AI200" s="222"/>
      <c r="AJ200" s="218"/>
      <c r="AK200" s="287"/>
      <c r="AL200" s="287"/>
      <c r="AM200" s="287"/>
      <c r="AN200" s="287"/>
      <c r="AO200" s="287"/>
      <c r="AP200" s="287"/>
      <c r="AQ200" s="222">
        <v>809</v>
      </c>
      <c r="AR200" s="286">
        <v>45428</v>
      </c>
      <c r="AS200" s="286"/>
      <c r="AT200" s="286"/>
      <c r="AU200" s="286"/>
      <c r="AV200" s="286"/>
      <c r="AW200" s="286"/>
    </row>
    <row r="201" spans="1:49" ht="13.8" thickBot="1">
      <c r="A201" s="222"/>
      <c r="B201" s="457">
        <v>41290</v>
      </c>
      <c r="C201" s="291">
        <v>44</v>
      </c>
      <c r="D201" s="451">
        <f>C201/$D$176</f>
        <v>3.5369774919614148E-2</v>
      </c>
      <c r="E201" s="452">
        <f>D201*$E$176</f>
        <v>3248.572347266881</v>
      </c>
      <c r="G201" s="446">
        <v>41686</v>
      </c>
      <c r="H201" s="291">
        <v>28</v>
      </c>
      <c r="L201" s="446">
        <v>42020</v>
      </c>
      <c r="M201" s="291">
        <v>34</v>
      </c>
      <c r="N201" s="222"/>
      <c r="O201" s="222"/>
      <c r="P201" s="222"/>
      <c r="Q201" s="310">
        <v>42383</v>
      </c>
      <c r="R201" s="291">
        <v>35</v>
      </c>
      <c r="S201" s="222"/>
      <c r="T201" s="222"/>
      <c r="U201" s="222"/>
      <c r="V201" s="582">
        <v>42751</v>
      </c>
      <c r="W201" s="291">
        <v>57</v>
      </c>
      <c r="X201" s="222"/>
      <c r="Y201" s="222"/>
      <c r="Z201" s="222"/>
      <c r="AA201" s="582">
        <v>43147</v>
      </c>
      <c r="AB201" s="291">
        <v>33</v>
      </c>
      <c r="AC201" s="222"/>
      <c r="AD201" s="222"/>
      <c r="AF201" s="582">
        <v>43147</v>
      </c>
      <c r="AG201" s="291">
        <v>36</v>
      </c>
      <c r="AI201" s="222"/>
      <c r="AJ201" s="218"/>
      <c r="AK201" s="287"/>
      <c r="AL201" s="287"/>
      <c r="AM201" s="287"/>
      <c r="AN201" s="287"/>
      <c r="AO201" s="287"/>
      <c r="AP201" s="287"/>
      <c r="AQ201" s="222">
        <v>930</v>
      </c>
      <c r="AR201" s="286">
        <v>67835</v>
      </c>
      <c r="AS201" s="286"/>
      <c r="AT201" s="286"/>
      <c r="AU201" s="286"/>
      <c r="AV201" s="286"/>
      <c r="AW201" s="286"/>
    </row>
    <row r="202" spans="1:49">
      <c r="A202" s="222"/>
      <c r="B202" s="446">
        <v>41291</v>
      </c>
      <c r="C202" s="291">
        <v>46</v>
      </c>
      <c r="D202" s="222"/>
      <c r="E202" s="222"/>
      <c r="G202" s="446">
        <v>41687</v>
      </c>
      <c r="H202" s="291">
        <v>26</v>
      </c>
      <c r="I202" s="222"/>
      <c r="J202" s="222"/>
      <c r="L202" s="446">
        <v>42021</v>
      </c>
      <c r="M202" s="291">
        <v>36</v>
      </c>
      <c r="N202" s="222"/>
      <c r="O202" s="222"/>
      <c r="P202" s="222"/>
      <c r="Q202" s="310">
        <v>42384</v>
      </c>
      <c r="R202" s="291">
        <v>40</v>
      </c>
      <c r="S202" s="222"/>
      <c r="T202" s="222"/>
      <c r="U202" s="222"/>
      <c r="V202" s="582">
        <v>42752</v>
      </c>
      <c r="W202" s="291">
        <v>45</v>
      </c>
      <c r="X202" s="222"/>
      <c r="Y202" s="222"/>
      <c r="Z202" s="222"/>
      <c r="AA202" s="582">
        <v>43148</v>
      </c>
      <c r="AB202" s="291">
        <v>29</v>
      </c>
      <c r="AC202" s="222"/>
      <c r="AD202" s="222"/>
      <c r="AF202" s="582">
        <v>43148</v>
      </c>
      <c r="AG202" s="291">
        <v>43</v>
      </c>
      <c r="AI202" s="222"/>
      <c r="AJ202" s="218"/>
      <c r="AK202" s="287"/>
      <c r="AL202" s="287"/>
      <c r="AM202" s="287"/>
      <c r="AN202" s="287"/>
      <c r="AO202" s="287"/>
      <c r="AP202" s="287"/>
      <c r="AQ202" s="222">
        <v>1078</v>
      </c>
      <c r="AR202" s="286">
        <v>86179</v>
      </c>
      <c r="AS202" s="286"/>
      <c r="AT202" s="286"/>
      <c r="AU202" s="286"/>
      <c r="AV202" s="286"/>
      <c r="AW202" s="286"/>
    </row>
    <row r="203" spans="1:49">
      <c r="A203" s="222"/>
      <c r="B203" s="446">
        <v>41292</v>
      </c>
      <c r="C203" s="291">
        <v>46</v>
      </c>
      <c r="D203" s="222"/>
      <c r="E203" s="222"/>
      <c r="G203" s="446">
        <v>41688</v>
      </c>
      <c r="H203" s="291">
        <v>28</v>
      </c>
      <c r="I203" s="222"/>
      <c r="J203" s="222"/>
      <c r="L203" s="446">
        <v>42022</v>
      </c>
      <c r="M203" s="291">
        <v>26</v>
      </c>
      <c r="N203" s="222"/>
      <c r="O203" s="222"/>
      <c r="P203" s="222"/>
      <c r="Q203" s="310">
        <v>42385</v>
      </c>
      <c r="R203" s="291">
        <v>33</v>
      </c>
      <c r="S203" s="222"/>
      <c r="T203" s="222"/>
      <c r="U203" s="222"/>
      <c r="V203" s="582">
        <v>42753</v>
      </c>
      <c r="W203" s="291">
        <v>29</v>
      </c>
      <c r="X203" s="222"/>
      <c r="Y203" s="222"/>
      <c r="Z203" s="222"/>
      <c r="AA203" s="582">
        <v>43149</v>
      </c>
      <c r="AB203" s="291">
        <v>42</v>
      </c>
      <c r="AC203" s="451">
        <f>AB203/$AC$176</f>
        <v>4.3388429752066117E-2</v>
      </c>
      <c r="AD203" s="583">
        <f>AC203*$AD$176</f>
        <v>2675.3739669421489</v>
      </c>
      <c r="AE203" s="452"/>
      <c r="AF203" s="582">
        <v>43149</v>
      </c>
      <c r="AG203" s="291">
        <v>51</v>
      </c>
      <c r="AH203" s="451"/>
      <c r="AI203" s="452"/>
      <c r="AJ203" s="218"/>
      <c r="AK203" s="287"/>
      <c r="AL203" s="287"/>
      <c r="AM203" s="287"/>
      <c r="AN203" s="287"/>
      <c r="AO203" s="287"/>
      <c r="AP203" s="287"/>
      <c r="AQ203" s="222">
        <v>1118</v>
      </c>
      <c r="AR203" s="286">
        <v>94563</v>
      </c>
      <c r="AS203" s="286"/>
      <c r="AT203" s="286"/>
      <c r="AU203" s="286"/>
      <c r="AV203" s="286"/>
      <c r="AW203" s="286"/>
    </row>
    <row r="204" spans="1:49">
      <c r="A204" s="222"/>
      <c r="B204" s="446">
        <v>41293</v>
      </c>
      <c r="C204" s="291">
        <v>44</v>
      </c>
      <c r="G204" s="446">
        <v>41689</v>
      </c>
      <c r="H204" s="291">
        <v>30</v>
      </c>
      <c r="L204" s="446">
        <v>42023</v>
      </c>
      <c r="M204" s="291">
        <v>30</v>
      </c>
      <c r="N204" s="222"/>
      <c r="O204" s="222"/>
      <c r="P204" s="222"/>
      <c r="Q204" s="310">
        <v>42386</v>
      </c>
      <c r="R204" s="291">
        <v>30</v>
      </c>
      <c r="S204" s="222"/>
      <c r="T204" s="222"/>
      <c r="U204" s="222"/>
      <c r="V204" s="582">
        <v>42754</v>
      </c>
      <c r="W204" s="291">
        <v>30</v>
      </c>
      <c r="X204" s="222"/>
      <c r="Y204" s="222"/>
      <c r="Z204" s="222"/>
      <c r="AA204" s="582">
        <v>43150</v>
      </c>
      <c r="AB204" s="291">
        <v>52</v>
      </c>
      <c r="AC204" s="451">
        <f>AB204/$AC$176</f>
        <v>5.3719008264462811E-2</v>
      </c>
      <c r="AD204" s="583">
        <f>AC204*$AD$176</f>
        <v>3312.3677685950415</v>
      </c>
      <c r="AE204" s="452"/>
      <c r="AF204" s="582">
        <v>43150</v>
      </c>
      <c r="AG204" s="291">
        <v>48</v>
      </c>
      <c r="AH204" s="451"/>
      <c r="AI204" s="452"/>
      <c r="AJ204" s="218"/>
      <c r="AK204" s="287"/>
      <c r="AL204" s="287"/>
      <c r="AM204" s="287"/>
      <c r="AN204" s="287"/>
      <c r="AO204" s="287"/>
      <c r="AP204" s="287"/>
      <c r="AQ204" s="222">
        <v>890</v>
      </c>
      <c r="AR204" s="286">
        <v>51045</v>
      </c>
      <c r="AS204" s="286"/>
      <c r="AT204" s="286"/>
      <c r="AU204" s="286"/>
      <c r="AV204" s="286"/>
      <c r="AW204" s="286"/>
    </row>
    <row r="205" spans="1:49">
      <c r="A205" s="452"/>
      <c r="B205" s="446">
        <v>41294</v>
      </c>
      <c r="C205" s="291">
        <v>45</v>
      </c>
      <c r="G205" s="446">
        <v>41690</v>
      </c>
      <c r="H205" s="291">
        <v>29</v>
      </c>
      <c r="L205" s="446">
        <v>42024</v>
      </c>
      <c r="M205" s="291">
        <v>37</v>
      </c>
      <c r="N205" s="451"/>
      <c r="O205" s="452"/>
      <c r="P205" s="452"/>
      <c r="Q205" s="310">
        <v>42387</v>
      </c>
      <c r="R205" s="291">
        <v>30</v>
      </c>
      <c r="S205" s="451"/>
      <c r="T205" s="452"/>
      <c r="U205" s="452"/>
      <c r="V205" s="582">
        <v>42755</v>
      </c>
      <c r="W205" s="291">
        <v>30</v>
      </c>
      <c r="X205" s="451"/>
      <c r="Y205" s="452"/>
      <c r="Z205" s="452"/>
      <c r="AA205" s="582">
        <v>43151</v>
      </c>
      <c r="AB205" s="291">
        <v>50</v>
      </c>
      <c r="AC205" s="451">
        <f>AB205/$AC$176</f>
        <v>5.1652892561983473E-2</v>
      </c>
      <c r="AD205" s="583">
        <f>AC205*$AD$176</f>
        <v>3184.9690082644629</v>
      </c>
      <c r="AE205" s="452"/>
      <c r="AF205" s="582">
        <v>43151</v>
      </c>
      <c r="AG205" s="291">
        <v>41</v>
      </c>
      <c r="AH205" s="451"/>
      <c r="AI205" s="452"/>
      <c r="AJ205" s="218"/>
      <c r="AK205" s="287"/>
      <c r="AL205" s="287"/>
      <c r="AM205" s="287"/>
      <c r="AN205" s="287"/>
      <c r="AO205" s="287"/>
      <c r="AP205" s="287"/>
      <c r="AQ205" s="222">
        <v>516</v>
      </c>
      <c r="AR205" s="286">
        <v>8947</v>
      </c>
      <c r="AS205" s="286"/>
      <c r="AT205" s="286"/>
      <c r="AU205" s="286"/>
      <c r="AV205" s="286"/>
      <c r="AW205" s="286"/>
    </row>
    <row r="206" spans="1:49">
      <c r="A206" s="452"/>
      <c r="B206" s="446">
        <v>41295</v>
      </c>
      <c r="C206" s="291">
        <v>50</v>
      </c>
      <c r="G206" s="446">
        <v>41691</v>
      </c>
      <c r="H206" s="291">
        <v>32</v>
      </c>
      <c r="L206" s="446">
        <v>42025</v>
      </c>
      <c r="M206" s="291">
        <v>36</v>
      </c>
      <c r="N206" s="451"/>
      <c r="O206" s="452"/>
      <c r="P206" s="452"/>
      <c r="Q206" s="310">
        <v>42388</v>
      </c>
      <c r="R206" s="291">
        <v>31</v>
      </c>
      <c r="S206" s="451"/>
      <c r="T206" s="452"/>
      <c r="U206" s="452"/>
      <c r="V206" s="582">
        <v>42756</v>
      </c>
      <c r="W206" s="291">
        <v>29</v>
      </c>
      <c r="X206" s="451"/>
      <c r="Y206" s="452"/>
      <c r="Z206" s="452"/>
      <c r="AA206" s="582">
        <v>43152</v>
      </c>
      <c r="AB206" s="291">
        <v>51</v>
      </c>
      <c r="AC206" s="451">
        <f>AB206/$AC$176</f>
        <v>5.2685950413223138E-2</v>
      </c>
      <c r="AD206" s="583">
        <f>AC206*$AD$176</f>
        <v>3248.6683884297518</v>
      </c>
      <c r="AE206" s="452"/>
      <c r="AF206" s="582">
        <v>43152</v>
      </c>
      <c r="AG206" s="291">
        <v>42</v>
      </c>
      <c r="AH206" s="451"/>
      <c r="AI206" s="452"/>
      <c r="AJ206" s="218"/>
      <c r="AK206" s="287"/>
      <c r="AL206" s="287"/>
      <c r="AM206" s="287"/>
      <c r="AN206" s="287"/>
      <c r="AO206" s="287"/>
      <c r="AP206" s="287"/>
      <c r="AQ206" s="222">
        <v>99</v>
      </c>
      <c r="AR206" s="286">
        <v>127</v>
      </c>
      <c r="AS206" s="286"/>
      <c r="AT206" s="286"/>
      <c r="AU206" s="286"/>
      <c r="AV206" s="286"/>
      <c r="AW206" s="286"/>
    </row>
    <row r="207" spans="1:49">
      <c r="A207" s="452"/>
      <c r="B207" s="446">
        <v>41296</v>
      </c>
      <c r="C207" s="291">
        <v>50</v>
      </c>
      <c r="G207" s="446">
        <v>41692</v>
      </c>
      <c r="H207" s="291">
        <v>36</v>
      </c>
      <c r="K207" s="286"/>
      <c r="L207" s="446">
        <v>42026</v>
      </c>
      <c r="M207" s="291">
        <v>36</v>
      </c>
      <c r="N207" s="451"/>
      <c r="O207" s="452"/>
      <c r="P207" s="452"/>
      <c r="Q207" s="310">
        <v>42389</v>
      </c>
      <c r="R207" s="291">
        <v>29</v>
      </c>
      <c r="S207" s="451"/>
      <c r="T207" s="452"/>
      <c r="U207" s="452"/>
      <c r="V207" s="582">
        <v>42757</v>
      </c>
      <c r="W207" s="291">
        <v>28</v>
      </c>
      <c r="X207" s="451"/>
      <c r="Y207" s="452"/>
      <c r="Z207" s="452"/>
      <c r="AA207" s="582">
        <v>43153</v>
      </c>
      <c r="AB207" s="291">
        <v>45</v>
      </c>
      <c r="AC207" s="451">
        <f>AB207/$AC$176</f>
        <v>4.6487603305785122E-2</v>
      </c>
      <c r="AD207" s="583">
        <f>AC207*$AD$176</f>
        <v>2866.4721074380163</v>
      </c>
      <c r="AE207" s="452"/>
      <c r="AF207" s="582">
        <v>43153</v>
      </c>
      <c r="AG207" s="291">
        <v>44</v>
      </c>
      <c r="AH207" s="451"/>
      <c r="AI207" s="452"/>
      <c r="AJ207" s="286"/>
      <c r="AK207" s="218"/>
      <c r="AL207" s="218"/>
      <c r="AM207" s="218"/>
      <c r="AN207" s="218"/>
    </row>
    <row r="208" spans="1:49">
      <c r="A208" s="452"/>
      <c r="B208" s="446">
        <v>41297</v>
      </c>
      <c r="C208" s="291">
        <v>38</v>
      </c>
      <c r="G208" s="446">
        <v>41693</v>
      </c>
      <c r="H208" s="291">
        <v>39</v>
      </c>
      <c r="K208" s="286"/>
      <c r="L208" s="446">
        <v>42027</v>
      </c>
      <c r="M208" s="291">
        <v>29</v>
      </c>
      <c r="N208" s="451"/>
      <c r="O208" s="452"/>
      <c r="P208" s="452"/>
      <c r="Q208" s="310">
        <v>42390</v>
      </c>
      <c r="R208" s="291">
        <v>30</v>
      </c>
      <c r="S208" s="451"/>
      <c r="T208" s="452"/>
      <c r="U208" s="452"/>
      <c r="V208" s="582">
        <v>42758</v>
      </c>
      <c r="W208" s="291">
        <v>34</v>
      </c>
      <c r="X208" s="451"/>
      <c r="Y208" s="452"/>
      <c r="Z208" s="452"/>
      <c r="AA208" s="582">
        <v>43154</v>
      </c>
      <c r="AB208" s="291">
        <v>48</v>
      </c>
      <c r="AC208" s="451"/>
      <c r="AD208" s="452"/>
      <c r="AE208" s="452"/>
      <c r="AF208" s="582">
        <v>43154</v>
      </c>
      <c r="AG208" s="291">
        <v>43</v>
      </c>
      <c r="AH208" s="451"/>
      <c r="AI208" s="452"/>
      <c r="AJ208" s="286"/>
      <c r="AK208" s="218"/>
      <c r="AL208" s="218"/>
      <c r="AM208" s="218"/>
      <c r="AN208" s="218"/>
    </row>
    <row r="209" spans="1:40">
      <c r="A209" s="452"/>
      <c r="B209" s="446">
        <v>41298</v>
      </c>
      <c r="C209" s="291">
        <v>39</v>
      </c>
      <c r="D209" s="451"/>
      <c r="E209" s="452"/>
      <c r="G209" s="446">
        <v>41694</v>
      </c>
      <c r="H209" s="291">
        <v>41</v>
      </c>
      <c r="I209" s="451"/>
      <c r="J209" s="452"/>
      <c r="K209" s="286"/>
      <c r="L209" s="446">
        <v>42028</v>
      </c>
      <c r="M209" s="291">
        <v>27</v>
      </c>
      <c r="N209" s="451"/>
      <c r="O209" s="452"/>
      <c r="P209" s="452"/>
      <c r="Q209" s="310">
        <v>42391</v>
      </c>
      <c r="R209" s="291">
        <v>25</v>
      </c>
      <c r="S209" s="451"/>
      <c r="T209" s="452"/>
      <c r="U209" s="452"/>
      <c r="V209" s="582">
        <v>42759</v>
      </c>
      <c r="W209" s="291">
        <v>35</v>
      </c>
      <c r="X209" s="451"/>
      <c r="Y209" s="452"/>
      <c r="Z209" s="452"/>
      <c r="AA209" s="582">
        <v>43155</v>
      </c>
      <c r="AB209" s="291">
        <v>39</v>
      </c>
      <c r="AC209" s="451"/>
      <c r="AD209" s="452"/>
      <c r="AE209" s="452"/>
      <c r="AF209" s="582">
        <v>43155</v>
      </c>
      <c r="AG209" s="291">
        <v>46</v>
      </c>
      <c r="AH209" s="451"/>
      <c r="AI209" s="452"/>
      <c r="AJ209" s="286"/>
      <c r="AK209" s="218"/>
      <c r="AL209" s="218"/>
      <c r="AM209" s="218"/>
      <c r="AN209" s="218"/>
    </row>
    <row r="210" spans="1:40">
      <c r="A210" s="222"/>
      <c r="B210" s="446">
        <v>41299</v>
      </c>
      <c r="C210" s="144">
        <v>30</v>
      </c>
      <c r="D210" s="286"/>
      <c r="E210" s="222"/>
      <c r="G210" s="446">
        <v>41695</v>
      </c>
      <c r="H210" s="144">
        <v>41</v>
      </c>
      <c r="I210" s="286"/>
      <c r="J210" s="222"/>
      <c r="K210" s="286"/>
      <c r="L210" s="446">
        <v>42029</v>
      </c>
      <c r="M210" s="144">
        <v>19</v>
      </c>
      <c r="N210" s="286"/>
      <c r="O210" s="222"/>
      <c r="P210" s="222"/>
      <c r="Q210" s="310">
        <v>42392</v>
      </c>
      <c r="R210" s="144">
        <v>28</v>
      </c>
      <c r="S210" s="286"/>
      <c r="T210" s="222"/>
      <c r="U210" s="222"/>
      <c r="V210" s="582">
        <v>42760</v>
      </c>
      <c r="W210" s="144">
        <v>36</v>
      </c>
      <c r="X210" s="286"/>
      <c r="Y210" s="222"/>
      <c r="Z210" s="222"/>
      <c r="AA210" s="582">
        <v>43156</v>
      </c>
      <c r="AB210" s="144">
        <v>33</v>
      </c>
      <c r="AC210" s="286"/>
      <c r="AD210" s="222"/>
      <c r="AF210" s="582">
        <v>43156</v>
      </c>
      <c r="AG210" s="144">
        <v>49</v>
      </c>
      <c r="AH210" s="286"/>
      <c r="AI210" s="222"/>
      <c r="AJ210" s="286"/>
      <c r="AK210" s="218"/>
      <c r="AL210" s="218"/>
      <c r="AM210" s="218"/>
      <c r="AN210" s="218"/>
    </row>
    <row r="211" spans="1:40">
      <c r="A211" s="222"/>
      <c r="B211" s="446">
        <v>41300</v>
      </c>
      <c r="C211" s="144">
        <v>32</v>
      </c>
      <c r="D211" s="286"/>
      <c r="E211" s="222"/>
      <c r="G211" s="446">
        <v>41696</v>
      </c>
      <c r="H211" s="144">
        <v>40</v>
      </c>
      <c r="I211" s="286"/>
      <c r="J211" s="222"/>
      <c r="K211" s="286"/>
      <c r="L211" s="446">
        <v>42030</v>
      </c>
      <c r="M211" s="144">
        <v>24</v>
      </c>
      <c r="N211" s="286"/>
      <c r="O211" s="222"/>
      <c r="P211" s="222"/>
      <c r="Q211" s="310">
        <v>42393</v>
      </c>
      <c r="R211" s="144">
        <v>32</v>
      </c>
      <c r="S211" s="286"/>
      <c r="T211" s="222"/>
      <c r="U211" s="222"/>
      <c r="V211" s="582">
        <v>42761</v>
      </c>
      <c r="W211" s="144">
        <v>37</v>
      </c>
      <c r="X211" s="286"/>
      <c r="Y211" s="222"/>
      <c r="Z211" s="222"/>
      <c r="AA211" s="582">
        <v>43157</v>
      </c>
      <c r="AB211" s="144">
        <v>37</v>
      </c>
      <c r="AC211" s="286"/>
      <c r="AD211" s="222"/>
      <c r="AF211" s="582">
        <v>43157</v>
      </c>
      <c r="AG211" s="144">
        <v>50</v>
      </c>
      <c r="AH211" s="286"/>
      <c r="AI211" s="222"/>
      <c r="AJ211" s="286"/>
      <c r="AK211" s="218"/>
      <c r="AL211" s="218"/>
      <c r="AM211" s="218"/>
      <c r="AN211" s="218"/>
    </row>
    <row r="212" spans="1:40">
      <c r="A212" s="222"/>
      <c r="B212" s="446">
        <v>41301</v>
      </c>
      <c r="C212" s="144">
        <v>36</v>
      </c>
      <c r="D212" s="286"/>
      <c r="E212" s="222"/>
      <c r="G212" s="446">
        <v>41697</v>
      </c>
      <c r="H212" s="144">
        <v>33</v>
      </c>
      <c r="I212" s="286"/>
      <c r="J212" s="222"/>
      <c r="K212" s="286"/>
      <c r="L212" s="446">
        <v>42031</v>
      </c>
      <c r="M212" s="144">
        <v>31</v>
      </c>
      <c r="N212" s="286"/>
      <c r="O212" s="222"/>
      <c r="P212" s="222"/>
      <c r="Q212" s="310">
        <v>42394</v>
      </c>
      <c r="R212" s="144">
        <v>34</v>
      </c>
      <c r="S212" s="286"/>
      <c r="T212" s="222"/>
      <c r="U212" s="222"/>
      <c r="V212" s="582">
        <v>42762</v>
      </c>
      <c r="W212" s="144">
        <v>39</v>
      </c>
      <c r="X212" s="286"/>
      <c r="Y212" s="222"/>
      <c r="Z212" s="222"/>
      <c r="AA212" s="582">
        <v>43158</v>
      </c>
      <c r="AB212" s="144">
        <v>36</v>
      </c>
      <c r="AC212" s="286"/>
      <c r="AD212" s="222"/>
      <c r="AF212" s="582">
        <v>43158</v>
      </c>
      <c r="AG212" s="144">
        <v>44</v>
      </c>
      <c r="AH212" s="286"/>
      <c r="AI212" s="222"/>
      <c r="AJ212" s="286"/>
      <c r="AK212" s="218"/>
      <c r="AL212" s="218"/>
      <c r="AM212" s="218"/>
      <c r="AN212" s="218"/>
    </row>
    <row r="213" spans="1:40">
      <c r="A213" s="222"/>
      <c r="B213" s="446">
        <v>41302</v>
      </c>
      <c r="C213" s="144">
        <v>36</v>
      </c>
      <c r="D213" s="286"/>
      <c r="E213" s="222"/>
      <c r="G213" s="446">
        <v>41698</v>
      </c>
      <c r="H213" s="144">
        <v>37</v>
      </c>
      <c r="I213" s="286"/>
      <c r="J213" s="222"/>
      <c r="K213" s="286"/>
      <c r="L213" s="446">
        <v>42032</v>
      </c>
      <c r="M213" s="144">
        <v>31</v>
      </c>
      <c r="N213" s="286"/>
      <c r="O213" s="222"/>
      <c r="P213" s="222"/>
      <c r="Q213" s="310">
        <v>42395</v>
      </c>
      <c r="R213" s="144">
        <v>29</v>
      </c>
      <c r="S213" s="286"/>
      <c r="T213" s="222"/>
      <c r="U213" s="222"/>
      <c r="V213" s="582">
        <v>42763</v>
      </c>
      <c r="W213" s="144">
        <v>41</v>
      </c>
      <c r="X213" s="286"/>
      <c r="Y213" s="222"/>
      <c r="Z213" s="222"/>
      <c r="AA213" s="582">
        <v>43159</v>
      </c>
      <c r="AB213" s="144">
        <v>32</v>
      </c>
      <c r="AC213" s="286"/>
      <c r="AD213" s="222"/>
      <c r="AF213" s="582">
        <v>43159</v>
      </c>
      <c r="AG213" s="144">
        <v>48</v>
      </c>
      <c r="AH213" s="286"/>
      <c r="AI213" s="222"/>
      <c r="AJ213" s="286"/>
      <c r="AK213" s="218"/>
      <c r="AL213" s="218"/>
      <c r="AM213" s="218"/>
      <c r="AN213" s="218"/>
    </row>
    <row r="214" spans="1:40">
      <c r="A214" s="222"/>
      <c r="B214" s="446">
        <v>41303</v>
      </c>
      <c r="C214" s="144">
        <v>35</v>
      </c>
      <c r="D214" s="286"/>
      <c r="E214" s="222"/>
      <c r="G214" s="446"/>
      <c r="H214" s="144"/>
      <c r="I214" s="286"/>
      <c r="J214" s="222"/>
      <c r="K214" s="286"/>
      <c r="L214" s="446">
        <v>42033</v>
      </c>
      <c r="M214" s="144">
        <v>34</v>
      </c>
      <c r="N214" s="286"/>
      <c r="O214" s="222"/>
      <c r="P214" s="222"/>
      <c r="Q214" s="310">
        <v>42396</v>
      </c>
      <c r="R214" s="144">
        <v>25</v>
      </c>
      <c r="S214" s="286"/>
      <c r="T214" s="222"/>
      <c r="U214" s="222"/>
      <c r="V214" s="582">
        <v>42764</v>
      </c>
      <c r="W214" s="144">
        <v>41</v>
      </c>
      <c r="X214" s="286"/>
      <c r="Y214" s="222"/>
      <c r="Z214" s="222"/>
      <c r="AA214" s="582"/>
      <c r="AB214" s="144"/>
      <c r="AC214" s="286"/>
      <c r="AD214" s="222"/>
      <c r="AF214" s="582"/>
      <c r="AG214" s="144"/>
      <c r="AH214" s="286"/>
      <c r="AI214" s="222"/>
      <c r="AJ214" s="286"/>
      <c r="AK214" s="218"/>
      <c r="AL214" s="218"/>
      <c r="AM214" s="218"/>
      <c r="AN214" s="218"/>
    </row>
    <row r="215" spans="1:40">
      <c r="A215" s="222"/>
      <c r="B215" s="446">
        <v>41304</v>
      </c>
      <c r="C215" s="144">
        <v>28</v>
      </c>
      <c r="D215" s="286"/>
      <c r="E215" s="222"/>
      <c r="G215" s="446"/>
      <c r="H215" s="144"/>
      <c r="I215" s="286"/>
      <c r="J215" s="222"/>
      <c r="K215" s="286"/>
      <c r="L215" s="446">
        <v>42034</v>
      </c>
      <c r="M215" s="144">
        <v>36</v>
      </c>
      <c r="N215" s="286"/>
      <c r="O215" s="222"/>
      <c r="P215" s="222"/>
      <c r="Q215" s="310">
        <v>42397</v>
      </c>
      <c r="R215" s="144">
        <v>26</v>
      </c>
      <c r="S215" s="286"/>
      <c r="T215" s="222"/>
      <c r="U215" s="222"/>
      <c r="V215" s="582">
        <v>42765</v>
      </c>
      <c r="W215" s="144">
        <v>41</v>
      </c>
      <c r="X215" s="286"/>
      <c r="Y215" s="222"/>
      <c r="Z215" s="222"/>
      <c r="AA215" s="582"/>
      <c r="AB215" s="144"/>
      <c r="AC215" s="286"/>
      <c r="AD215" s="222"/>
      <c r="AF215" s="582"/>
      <c r="AG215" s="144"/>
      <c r="AH215" s="286"/>
      <c r="AI215" s="222"/>
      <c r="AJ215" s="286"/>
      <c r="AK215" s="218"/>
      <c r="AL215" s="218"/>
      <c r="AM215" s="218"/>
      <c r="AN215" s="218"/>
    </row>
    <row r="216" spans="1:40">
      <c r="A216" s="222"/>
      <c r="B216" s="446">
        <v>41305</v>
      </c>
      <c r="C216" s="144">
        <v>28</v>
      </c>
      <c r="D216" s="222"/>
      <c r="E216" s="222"/>
      <c r="G216" s="446"/>
      <c r="H216" s="144"/>
      <c r="I216" s="222"/>
      <c r="J216" s="222"/>
      <c r="K216" s="286"/>
      <c r="L216" s="446">
        <v>42035</v>
      </c>
      <c r="M216" s="144">
        <v>34</v>
      </c>
      <c r="N216" s="222"/>
      <c r="O216" s="222"/>
      <c r="P216" s="222"/>
      <c r="Q216" s="572">
        <v>42398</v>
      </c>
      <c r="R216" s="144">
        <v>31</v>
      </c>
      <c r="S216" s="222"/>
      <c r="T216" s="222"/>
      <c r="U216" s="222"/>
      <c r="V216" s="572">
        <v>42766</v>
      </c>
      <c r="W216" s="144">
        <v>43</v>
      </c>
      <c r="X216" s="222"/>
      <c r="Y216" s="222"/>
      <c r="Z216" s="222"/>
      <c r="AA216" s="572"/>
      <c r="AB216" s="144"/>
      <c r="AC216" s="222"/>
      <c r="AD216" s="222"/>
      <c r="AF216" s="572"/>
      <c r="AG216" s="144"/>
      <c r="AI216" s="222"/>
      <c r="AJ216" s="286"/>
      <c r="AK216" s="218"/>
      <c r="AL216" s="218"/>
      <c r="AM216" s="218"/>
      <c r="AN216" s="218"/>
    </row>
    <row r="217" spans="1:40">
      <c r="A217" s="350"/>
      <c r="B217" s="314">
        <f>COUNT(B179:B216)</f>
        <v>31</v>
      </c>
      <c r="C217" s="314">
        <f>SUM(C179:C216)</f>
        <v>1243</v>
      </c>
      <c r="D217" s="315">
        <f>SUM(D179:D215)</f>
        <v>0.18649517684887459</v>
      </c>
      <c r="E217" s="314">
        <f>SUM(E179:E215)</f>
        <v>17128.836012861735</v>
      </c>
      <c r="G217" s="314">
        <f>COUNT(G179:G216)</f>
        <v>28</v>
      </c>
      <c r="H217" s="314">
        <f>SUM(H179:H216)</f>
        <v>1085</v>
      </c>
      <c r="I217" s="315">
        <f>SUM(I179:I215)</f>
        <v>0.25990783410138252</v>
      </c>
      <c r="J217" s="314">
        <f>SUM(J179:J215)</f>
        <v>22608.082949308759</v>
      </c>
      <c r="K217" s="286"/>
      <c r="L217" s="314">
        <f>COUNT(L179:L216)</f>
        <v>31</v>
      </c>
      <c r="M217" s="314">
        <f>SUM(M179:M216)</f>
        <v>1049</v>
      </c>
      <c r="N217" s="315">
        <f>SUM(N179:N215)</f>
        <v>0.19542421353670159</v>
      </c>
      <c r="O217" s="314">
        <f>SUM(O179:O215)</f>
        <v>21675.281220209723</v>
      </c>
      <c r="P217" s="350"/>
      <c r="Q217" s="314">
        <f>COUNT(Q179:Q216)</f>
        <v>31</v>
      </c>
      <c r="R217" s="314">
        <f>SUM(R179:R216)</f>
        <v>1080</v>
      </c>
      <c r="S217" s="315">
        <f>SUM(S179:S215)</f>
        <v>0.24308865586272643</v>
      </c>
      <c r="T217" s="314">
        <f>SUM(T179:T215)</f>
        <v>26961.935176358435</v>
      </c>
      <c r="U217" s="350"/>
      <c r="V217" s="350">
        <f>COUNT(V179:V216)</f>
        <v>31</v>
      </c>
      <c r="W217" s="314">
        <f>SUM(W179:W216)</f>
        <v>1379</v>
      </c>
      <c r="X217" s="315">
        <f>SUM(X186:X216)</f>
        <v>0.18926758520667147</v>
      </c>
      <c r="Y217" s="314">
        <f>SUM(Y186:Y216)</f>
        <v>19346.743292240753</v>
      </c>
      <c r="Z217" s="350"/>
      <c r="AA217" s="350">
        <f>COUNT(AA179:AA216)</f>
        <v>28</v>
      </c>
      <c r="AB217" s="314">
        <f>SUM(AB179:AB216)</f>
        <v>968</v>
      </c>
      <c r="AC217" s="315">
        <f>SUM(AC186:AC216)</f>
        <v>0.24793388429752067</v>
      </c>
      <c r="AD217" s="314">
        <f>SUM(AD186:AD216)</f>
        <v>15287.851239669422</v>
      </c>
      <c r="AE217" s="290"/>
      <c r="AF217" s="350">
        <f>COUNT(AF179:AF216)</f>
        <v>28</v>
      </c>
      <c r="AG217" s="314">
        <f>SUM(AG179:AG216)</f>
        <v>1218</v>
      </c>
      <c r="AH217" s="315">
        <f>SUM(AH186:AH216)</f>
        <v>0.20361247947454844</v>
      </c>
      <c r="AI217" s="314">
        <f>SUM(AI186:AI216)</f>
        <v>16684.006568144498</v>
      </c>
      <c r="AJ217" s="286"/>
      <c r="AK217" s="218"/>
      <c r="AL217" s="218"/>
      <c r="AM217" s="218"/>
      <c r="AN217" s="218"/>
    </row>
    <row r="218" spans="1:40">
      <c r="B218" s="310"/>
      <c r="D218" s="309">
        <f>5/C176</f>
        <v>0.16129032258064516</v>
      </c>
      <c r="G218" s="310"/>
      <c r="I218" s="309">
        <f>5/H176</f>
        <v>0.17857142857142858</v>
      </c>
      <c r="K218" s="222"/>
      <c r="L218" s="310"/>
      <c r="N218" s="309">
        <f>5/M176</f>
        <v>0.16129032258064516</v>
      </c>
      <c r="Q218" s="310"/>
      <c r="S218" s="309">
        <f>5/R176</f>
        <v>0.16129032258064516</v>
      </c>
      <c r="V218" s="310"/>
      <c r="X218" s="309">
        <f>5/W176</f>
        <v>0.16129032258064516</v>
      </c>
      <c r="AA218" s="310"/>
      <c r="AC218" s="309">
        <f>5/AB176</f>
        <v>0.17857142857142858</v>
      </c>
      <c r="AF218" s="310"/>
      <c r="AG218" s="218"/>
      <c r="AH218" s="309">
        <f>5/AG176</f>
        <v>0.17857142857142858</v>
      </c>
      <c r="AK218" s="218"/>
      <c r="AL218" s="218"/>
      <c r="AM218" s="218"/>
      <c r="AN218" s="218"/>
    </row>
    <row r="219" spans="1:40"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I219" s="222"/>
      <c r="AK219" s="218"/>
      <c r="AL219" s="218"/>
      <c r="AM219" s="218"/>
      <c r="AN219" s="218"/>
    </row>
    <row r="222" spans="1:40" ht="13.8">
      <c r="A222" s="288" t="s">
        <v>1138</v>
      </c>
      <c r="F222" s="224"/>
    </row>
    <row r="223" spans="1:40">
      <c r="A223" s="298" t="s">
        <v>1005</v>
      </c>
      <c r="F223" s="224"/>
      <c r="K223" s="224"/>
    </row>
    <row r="224" spans="1:40">
      <c r="B224" s="304" t="s">
        <v>1124</v>
      </c>
      <c r="C224" s="284"/>
      <c r="D224" s="284"/>
      <c r="E224" s="284"/>
      <c r="G224" s="304" t="s">
        <v>1172</v>
      </c>
      <c r="H224" s="284"/>
      <c r="I224" s="284"/>
      <c r="J224" s="284"/>
      <c r="K224" s="286"/>
      <c r="L224" s="304" t="s">
        <v>1180</v>
      </c>
      <c r="M224" s="284"/>
      <c r="N224" s="284"/>
      <c r="O224" s="284"/>
      <c r="P224" s="284"/>
      <c r="Q224" s="304" t="s">
        <v>1199</v>
      </c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513"/>
      <c r="AF224" s="513"/>
      <c r="AG224" s="513"/>
      <c r="AH224" s="513"/>
      <c r="AI224" s="284"/>
      <c r="AJ224" s="286"/>
      <c r="AK224" s="218"/>
      <c r="AL224" s="218"/>
      <c r="AM224" s="218"/>
      <c r="AN224" s="218"/>
    </row>
    <row r="225" spans="1:50">
      <c r="B225" s="302" t="s">
        <v>1001</v>
      </c>
      <c r="C225" s="302" t="s">
        <v>1000</v>
      </c>
      <c r="D225" s="302" t="s">
        <v>999</v>
      </c>
      <c r="E225" s="302" t="s">
        <v>993</v>
      </c>
      <c r="G225" s="302" t="s">
        <v>1001</v>
      </c>
      <c r="H225" s="302" t="s">
        <v>1000</v>
      </c>
      <c r="I225" s="302" t="s">
        <v>999</v>
      </c>
      <c r="J225" s="302" t="s">
        <v>993</v>
      </c>
      <c r="K225" s="286"/>
      <c r="L225" s="302" t="s">
        <v>1001</v>
      </c>
      <c r="M225" s="302" t="s">
        <v>1000</v>
      </c>
      <c r="N225" s="302" t="s">
        <v>999</v>
      </c>
      <c r="O225" s="302" t="s">
        <v>993</v>
      </c>
      <c r="P225" s="302"/>
      <c r="Q225" s="302" t="s">
        <v>1001</v>
      </c>
      <c r="R225" s="302" t="s">
        <v>1000</v>
      </c>
      <c r="S225" s="302" t="s">
        <v>999</v>
      </c>
      <c r="T225" s="302" t="s">
        <v>993</v>
      </c>
      <c r="U225" s="302"/>
      <c r="V225" s="302"/>
      <c r="W225" s="302"/>
      <c r="X225" s="302"/>
      <c r="Y225" s="302"/>
      <c r="Z225" s="302"/>
      <c r="AA225" s="302"/>
      <c r="AB225" s="302"/>
      <c r="AC225" s="302"/>
      <c r="AD225" s="302"/>
      <c r="AE225" s="514"/>
      <c r="AF225" s="514"/>
      <c r="AG225" s="514"/>
      <c r="AH225" s="514"/>
      <c r="AI225" s="302"/>
      <c r="AJ225" s="286"/>
      <c r="AK225" s="218"/>
      <c r="AL225" s="218"/>
      <c r="AM225" s="218"/>
      <c r="AN225" s="218"/>
    </row>
    <row r="226" spans="1:50">
      <c r="B226" s="301">
        <v>41305</v>
      </c>
      <c r="C226" s="144">
        <v>31</v>
      </c>
      <c r="D226" s="300">
        <v>1244</v>
      </c>
      <c r="E226" s="144">
        <v>41075</v>
      </c>
      <c r="G226" s="301">
        <v>41698</v>
      </c>
      <c r="H226" s="144">
        <v>28</v>
      </c>
      <c r="I226" s="300">
        <v>1085</v>
      </c>
      <c r="J226" s="144">
        <v>35619</v>
      </c>
      <c r="K226" s="286"/>
      <c r="L226" s="301">
        <v>42038</v>
      </c>
      <c r="M226" s="144">
        <v>31</v>
      </c>
      <c r="N226" s="300">
        <v>1049</v>
      </c>
      <c r="O226" s="144">
        <v>34404</v>
      </c>
      <c r="P226" s="144"/>
      <c r="Q226" s="301">
        <v>42400</v>
      </c>
      <c r="R226" s="144">
        <v>31</v>
      </c>
      <c r="S226" s="300">
        <v>1080</v>
      </c>
      <c r="T226" s="144">
        <v>33918</v>
      </c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286"/>
      <c r="AK226" s="218"/>
      <c r="AL226" s="218"/>
      <c r="AM226" s="218"/>
      <c r="AN226" s="218"/>
    </row>
    <row r="227" spans="1:50">
      <c r="C227" s="287"/>
      <c r="D227" s="297"/>
      <c r="E227" s="287">
        <f>E226/C226</f>
        <v>1325</v>
      </c>
      <c r="H227" s="287"/>
      <c r="I227" s="297"/>
      <c r="J227" s="287">
        <f>J226/H226</f>
        <v>1272.1071428571429</v>
      </c>
      <c r="M227" s="287"/>
      <c r="N227" s="297"/>
      <c r="O227" s="287">
        <f>O226/M226</f>
        <v>1109.8064516129032</v>
      </c>
      <c r="P227" s="287"/>
      <c r="R227" s="287"/>
      <c r="S227" s="297"/>
      <c r="T227" s="287">
        <f>T226/R226</f>
        <v>1094.1290322580646</v>
      </c>
      <c r="U227" s="287"/>
      <c r="V227" s="287"/>
      <c r="W227" s="287"/>
      <c r="X227" s="287"/>
      <c r="Y227" s="287"/>
      <c r="Z227" s="287"/>
      <c r="AA227" s="287"/>
      <c r="AB227" s="287"/>
      <c r="AC227" s="287"/>
      <c r="AD227" s="287"/>
      <c r="AE227" s="286"/>
      <c r="AF227" s="286"/>
      <c r="AG227" s="286"/>
      <c r="AH227" s="286"/>
      <c r="AI227" s="287"/>
      <c r="AJ227" s="299"/>
      <c r="AK227" s="299"/>
      <c r="AL227" s="299"/>
      <c r="AM227" s="299"/>
      <c r="AN227" s="299"/>
      <c r="AO227" s="299"/>
      <c r="AP227" s="299"/>
      <c r="AQ227" s="299"/>
      <c r="AR227" s="299">
        <f>RSQ(AQ230:AQ267,AR230:AR267)</f>
        <v>0.9475584900373526</v>
      </c>
      <c r="AS227" s="234"/>
      <c r="AT227" s="234"/>
      <c r="AU227" s="234"/>
      <c r="AV227" s="234"/>
      <c r="AW227" s="234"/>
      <c r="AX227" s="299" t="s">
        <v>998</v>
      </c>
    </row>
    <row r="228" spans="1:50">
      <c r="C228" s="287"/>
      <c r="D228" s="297"/>
      <c r="E228" s="287">
        <f>E227*5</f>
        <v>6625</v>
      </c>
      <c r="H228" s="287"/>
      <c r="I228" s="297"/>
      <c r="J228" s="287">
        <f>J227*5</f>
        <v>6360.5357142857147</v>
      </c>
      <c r="M228" s="287"/>
      <c r="N228" s="297"/>
      <c r="O228" s="287">
        <f>O227*5</f>
        <v>5549.0322580645161</v>
      </c>
      <c r="P228" s="287"/>
      <c r="R228" s="287"/>
      <c r="S228" s="297"/>
      <c r="T228" s="287">
        <f>T227*5</f>
        <v>5470.6451612903229</v>
      </c>
      <c r="U228" s="287"/>
      <c r="V228" s="287"/>
      <c r="W228" s="287"/>
      <c r="X228" s="287"/>
      <c r="Y228" s="287"/>
      <c r="Z228" s="287"/>
      <c r="AA228" s="287"/>
      <c r="AB228" s="287"/>
      <c r="AC228" s="287"/>
      <c r="AD228" s="287"/>
      <c r="AE228" s="286"/>
      <c r="AF228" s="286"/>
      <c r="AG228" s="286"/>
      <c r="AH228" s="286"/>
      <c r="AI228" s="287"/>
      <c r="AJ228" s="218"/>
      <c r="AK228" s="298" t="s">
        <v>1136</v>
      </c>
      <c r="AL228" s="298"/>
      <c r="AM228" s="298"/>
      <c r="AN228" s="298"/>
      <c r="AO228" s="298"/>
      <c r="AP228" s="298"/>
      <c r="AR228" s="218">
        <f>CORREL(AQ230:AQ267,AR230:AR267)</f>
        <v>0.97342616054704056</v>
      </c>
      <c r="AS228" s="222"/>
      <c r="AT228" s="222"/>
      <c r="AU228" s="222"/>
      <c r="AV228" s="222"/>
      <c r="AW228" s="222"/>
      <c r="AX228" s="218" t="s">
        <v>996</v>
      </c>
    </row>
    <row r="229" spans="1:50">
      <c r="L229" s="292"/>
      <c r="M229" s="291"/>
      <c r="N229" s="294"/>
      <c r="O229" s="290"/>
      <c r="P229" s="290"/>
      <c r="Q229" s="292"/>
      <c r="R229" s="291"/>
      <c r="S229" s="294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290"/>
      <c r="AD229" s="290"/>
      <c r="AE229" s="290"/>
      <c r="AF229" s="290"/>
      <c r="AG229" s="290"/>
      <c r="AH229" s="290"/>
      <c r="AI229" s="290"/>
      <c r="AJ229" s="218"/>
      <c r="AK229" s="296" t="s">
        <v>995</v>
      </c>
      <c r="AL229" s="296"/>
      <c r="AM229" s="296"/>
      <c r="AN229" s="296"/>
      <c r="AO229" s="296"/>
      <c r="AP229" s="296"/>
      <c r="AQ229" s="295" t="s">
        <v>994</v>
      </c>
      <c r="AR229" s="295" t="s">
        <v>993</v>
      </c>
      <c r="AS229" s="516"/>
      <c r="AT229" s="516"/>
      <c r="AU229" s="516"/>
      <c r="AV229" s="516"/>
      <c r="AW229" s="516"/>
    </row>
    <row r="230" spans="1:50">
      <c r="L230" s="310"/>
      <c r="M230" s="303"/>
      <c r="N230" s="297"/>
      <c r="O230" s="287"/>
      <c r="P230" s="287"/>
      <c r="Q230" s="310"/>
      <c r="R230" s="303"/>
      <c r="S230" s="297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7"/>
      <c r="AD230" s="287"/>
      <c r="AE230" s="286"/>
      <c r="AF230" s="286"/>
      <c r="AG230" s="286"/>
      <c r="AH230" s="286"/>
      <c r="AI230" s="287"/>
      <c r="AJ230" s="218"/>
      <c r="AK230" s="287"/>
      <c r="AL230" s="287"/>
      <c r="AM230" s="287"/>
      <c r="AN230" s="287"/>
      <c r="AO230" s="287"/>
      <c r="AP230" s="287"/>
      <c r="AQ230" s="222">
        <v>898</v>
      </c>
      <c r="AR230" s="286">
        <v>29372</v>
      </c>
      <c r="AS230" s="286"/>
      <c r="AT230" s="286"/>
      <c r="AU230" s="286"/>
      <c r="AV230" s="286"/>
      <c r="AW230" s="286"/>
    </row>
    <row r="231" spans="1:50">
      <c r="L231" s="310"/>
      <c r="M231" s="303"/>
      <c r="N231" s="297"/>
      <c r="O231" s="287"/>
      <c r="P231" s="287"/>
      <c r="Q231" s="310"/>
      <c r="R231" s="303"/>
      <c r="S231" s="297"/>
      <c r="T231" s="287"/>
      <c r="U231" s="287"/>
      <c r="V231" s="287"/>
      <c r="W231" s="287"/>
      <c r="X231" s="287"/>
      <c r="Y231" s="287"/>
      <c r="Z231" s="287"/>
      <c r="AA231" s="287"/>
      <c r="AB231" s="287"/>
      <c r="AC231" s="287"/>
      <c r="AD231" s="287"/>
      <c r="AE231" s="286"/>
      <c r="AF231" s="286"/>
      <c r="AG231" s="286"/>
      <c r="AH231" s="286"/>
      <c r="AI231" s="287"/>
      <c r="AJ231" s="218"/>
      <c r="AK231" s="218"/>
      <c r="AL231" s="218"/>
      <c r="AM231" s="218"/>
      <c r="AN231" s="218"/>
      <c r="AQ231" s="222">
        <v>590</v>
      </c>
      <c r="AR231" s="286">
        <v>25235</v>
      </c>
      <c r="AS231" s="286"/>
      <c r="AT231" s="286"/>
      <c r="AU231" s="286"/>
      <c r="AV231" s="286"/>
      <c r="AW231" s="286"/>
    </row>
    <row r="232" spans="1:50">
      <c r="A232" s="286"/>
      <c r="B232" s="446"/>
      <c r="C232" s="144"/>
      <c r="D232" s="454"/>
      <c r="E232" s="286"/>
      <c r="G232" s="446"/>
      <c r="H232" s="144"/>
      <c r="I232" s="454"/>
      <c r="J232" s="286"/>
      <c r="L232" s="310"/>
      <c r="M232" s="303"/>
      <c r="N232" s="297"/>
      <c r="O232" s="287"/>
      <c r="P232" s="287"/>
      <c r="Q232" s="310"/>
      <c r="R232" s="303"/>
      <c r="S232" s="297"/>
      <c r="T232" s="287"/>
      <c r="U232" s="287"/>
      <c r="V232" s="287"/>
      <c r="W232" s="287"/>
      <c r="X232" s="287"/>
      <c r="Y232" s="287"/>
      <c r="Z232" s="287"/>
      <c r="AA232" s="287"/>
      <c r="AB232" s="287"/>
      <c r="AC232" s="287"/>
      <c r="AD232" s="287"/>
      <c r="AE232" s="286"/>
      <c r="AF232" s="286"/>
      <c r="AG232" s="286"/>
      <c r="AH232" s="286"/>
      <c r="AI232" s="287"/>
      <c r="AJ232" s="218"/>
      <c r="AK232" s="218"/>
      <c r="AL232" s="218"/>
      <c r="AM232" s="218"/>
      <c r="AN232" s="218"/>
      <c r="AQ232" s="222">
        <v>160</v>
      </c>
      <c r="AR232" s="286">
        <v>17886</v>
      </c>
      <c r="AS232" s="286"/>
      <c r="AT232" s="286"/>
      <c r="AU232" s="286"/>
      <c r="AV232" s="286"/>
      <c r="AW232" s="286"/>
    </row>
    <row r="233" spans="1:50">
      <c r="A233" s="286"/>
      <c r="B233" s="446"/>
      <c r="C233" s="144"/>
      <c r="D233" s="454"/>
      <c r="E233" s="286"/>
      <c r="G233" s="446"/>
      <c r="H233" s="144"/>
      <c r="I233" s="454"/>
      <c r="J233" s="286"/>
      <c r="L233" s="310"/>
      <c r="M233" s="303"/>
      <c r="N233" s="297"/>
      <c r="O233" s="287"/>
      <c r="P233" s="287"/>
      <c r="Q233" s="310"/>
      <c r="R233" s="303"/>
      <c r="S233" s="297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  <c r="AD233" s="287"/>
      <c r="AE233" s="286"/>
      <c r="AF233" s="286"/>
      <c r="AG233" s="286"/>
      <c r="AH233" s="286"/>
      <c r="AI233" s="287"/>
      <c r="AJ233" s="218"/>
      <c r="AK233" s="218"/>
      <c r="AL233" s="218"/>
      <c r="AM233" s="218"/>
      <c r="AN233" s="218"/>
      <c r="AQ233" s="222">
        <v>7</v>
      </c>
      <c r="AR233" s="286">
        <v>16365</v>
      </c>
      <c r="AS233" s="286"/>
      <c r="AT233" s="286"/>
      <c r="AU233" s="286"/>
      <c r="AV233" s="286"/>
      <c r="AW233" s="286"/>
    </row>
    <row r="234" spans="1:50">
      <c r="A234" s="286"/>
      <c r="B234" s="446"/>
      <c r="C234" s="144"/>
      <c r="D234" s="454"/>
      <c r="E234" s="286"/>
      <c r="G234" s="446"/>
      <c r="H234" s="144"/>
      <c r="I234" s="454"/>
      <c r="J234" s="286"/>
      <c r="L234" s="310"/>
      <c r="M234" s="303"/>
      <c r="N234" s="297"/>
      <c r="O234" s="287"/>
      <c r="P234" s="287"/>
      <c r="Q234" s="310"/>
      <c r="R234" s="303"/>
      <c r="S234" s="297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  <c r="AD234" s="287"/>
      <c r="AE234" s="286"/>
      <c r="AF234" s="286"/>
      <c r="AG234" s="286"/>
      <c r="AH234" s="286"/>
      <c r="AI234" s="287"/>
      <c r="AJ234" s="218"/>
      <c r="AK234" s="218"/>
      <c r="AL234" s="218"/>
      <c r="AM234" s="218"/>
      <c r="AN234" s="218"/>
      <c r="AQ234" s="222">
        <v>0</v>
      </c>
      <c r="AR234" s="286">
        <v>15841</v>
      </c>
      <c r="AS234" s="286"/>
      <c r="AT234" s="286"/>
      <c r="AU234" s="286"/>
      <c r="AV234" s="286"/>
      <c r="AW234" s="286"/>
    </row>
    <row r="235" spans="1:50">
      <c r="A235" s="286"/>
      <c r="B235" s="446"/>
      <c r="C235" s="144"/>
      <c r="D235" s="454"/>
      <c r="E235" s="286"/>
      <c r="G235" s="446"/>
      <c r="H235" s="144"/>
      <c r="I235" s="454"/>
      <c r="J235" s="286"/>
      <c r="L235" s="446"/>
      <c r="M235" s="303"/>
      <c r="N235" s="297"/>
      <c r="O235" s="287"/>
      <c r="P235" s="287"/>
      <c r="Q235" s="446"/>
      <c r="R235" s="303"/>
      <c r="S235" s="297"/>
      <c r="T235" s="287"/>
      <c r="U235" s="287"/>
      <c r="V235" s="287"/>
      <c r="W235" s="287"/>
      <c r="X235" s="287"/>
      <c r="Y235" s="287"/>
      <c r="Z235" s="287"/>
      <c r="AA235" s="287"/>
      <c r="AB235" s="287"/>
      <c r="AC235" s="287"/>
      <c r="AD235" s="287"/>
      <c r="AE235" s="286"/>
      <c r="AF235" s="286"/>
      <c r="AG235" s="286"/>
      <c r="AH235" s="286"/>
      <c r="AI235" s="287"/>
      <c r="AJ235" s="218"/>
      <c r="AK235" s="287"/>
      <c r="AL235" s="287"/>
      <c r="AM235" s="287"/>
      <c r="AN235" s="287"/>
      <c r="AO235" s="287"/>
      <c r="AP235" s="287"/>
      <c r="AQ235" s="222">
        <v>146</v>
      </c>
      <c r="AR235" s="286">
        <v>17465</v>
      </c>
      <c r="AS235" s="286"/>
      <c r="AT235" s="286"/>
      <c r="AU235" s="286"/>
      <c r="AV235" s="286"/>
      <c r="AW235" s="286"/>
    </row>
    <row r="236" spans="1:50">
      <c r="A236" s="286"/>
      <c r="B236" s="446">
        <v>41275</v>
      </c>
      <c r="C236" s="144">
        <v>48</v>
      </c>
      <c r="D236" s="454"/>
      <c r="E236" s="286"/>
      <c r="G236" s="446">
        <v>41671</v>
      </c>
      <c r="H236" s="303">
        <v>52</v>
      </c>
      <c r="I236" s="454"/>
      <c r="J236" s="286"/>
      <c r="L236" s="447">
        <v>42005</v>
      </c>
      <c r="M236" s="303">
        <v>51</v>
      </c>
      <c r="N236" s="451">
        <f>M236/$M$267</f>
        <v>4.8617731172545281E-2</v>
      </c>
      <c r="O236" s="453">
        <f>N236*$O$226</f>
        <v>1672.6444232602478</v>
      </c>
      <c r="P236" s="452"/>
      <c r="Q236" s="573">
        <v>42368</v>
      </c>
      <c r="R236" s="144">
        <v>45</v>
      </c>
      <c r="S236" s="451">
        <f>R236/$M$267</f>
        <v>4.2897998093422304E-2</v>
      </c>
      <c r="T236" s="453">
        <f>S236*$O$226</f>
        <v>1475.862726406101</v>
      </c>
      <c r="U236" s="452"/>
      <c r="V236" s="452"/>
      <c r="W236" s="452"/>
      <c r="X236" s="452"/>
      <c r="Y236" s="452"/>
      <c r="Z236" s="452"/>
      <c r="AA236" s="452"/>
      <c r="AB236" s="452"/>
      <c r="AC236" s="452"/>
      <c r="AD236" s="452"/>
      <c r="AE236" s="452"/>
      <c r="AF236" s="452"/>
      <c r="AG236" s="452"/>
      <c r="AH236" s="452"/>
      <c r="AI236" s="452"/>
      <c r="AJ236" s="218"/>
      <c r="AK236" s="287"/>
      <c r="AL236" s="287"/>
      <c r="AM236" s="287"/>
      <c r="AN236" s="287"/>
      <c r="AO236" s="287"/>
      <c r="AP236" s="287"/>
      <c r="AQ236" s="222">
        <v>272</v>
      </c>
      <c r="AR236" s="286">
        <v>20530</v>
      </c>
      <c r="AS236" s="286"/>
      <c r="AT236" s="286"/>
      <c r="AU236" s="286"/>
      <c r="AV236" s="286"/>
      <c r="AW236" s="286"/>
    </row>
    <row r="237" spans="1:50">
      <c r="A237" s="222"/>
      <c r="B237" s="446">
        <v>41276</v>
      </c>
      <c r="C237" s="144">
        <v>47</v>
      </c>
      <c r="D237" s="286"/>
      <c r="E237" s="222"/>
      <c r="G237" s="446">
        <v>41672</v>
      </c>
      <c r="H237" s="144">
        <v>40</v>
      </c>
      <c r="I237" s="286"/>
      <c r="J237" s="222"/>
      <c r="L237" s="448">
        <v>42006</v>
      </c>
      <c r="M237" s="144">
        <v>44</v>
      </c>
      <c r="N237" s="451">
        <f>M237/$M$267</f>
        <v>4.1944709246901808E-2</v>
      </c>
      <c r="O237" s="453">
        <f>N237*$O$226</f>
        <v>1443.0657769304098</v>
      </c>
      <c r="P237" s="452"/>
      <c r="Q237" s="574">
        <v>42369</v>
      </c>
      <c r="R237" s="144">
        <v>52</v>
      </c>
      <c r="S237" s="451">
        <f>R237/$M$267</f>
        <v>4.9571020019065777E-2</v>
      </c>
      <c r="T237" s="453">
        <f>S237*$O$226</f>
        <v>1705.441372735939</v>
      </c>
      <c r="U237" s="452"/>
      <c r="V237" s="452"/>
      <c r="W237" s="452"/>
      <c r="X237" s="452"/>
      <c r="Y237" s="452"/>
      <c r="Z237" s="452"/>
      <c r="AA237" s="452"/>
      <c r="AB237" s="452"/>
      <c r="AC237" s="452"/>
      <c r="AD237" s="452"/>
      <c r="AE237" s="452"/>
      <c r="AF237" s="452"/>
      <c r="AG237" s="452"/>
      <c r="AH237" s="452"/>
      <c r="AI237" s="452"/>
      <c r="AJ237" s="218"/>
      <c r="AK237" s="287"/>
      <c r="AL237" s="287"/>
      <c r="AM237" s="287"/>
      <c r="AN237" s="287"/>
      <c r="AO237" s="287"/>
      <c r="AP237" s="287"/>
      <c r="AQ237" s="222">
        <v>561</v>
      </c>
      <c r="AR237" s="286">
        <v>27806</v>
      </c>
      <c r="AS237" s="286"/>
      <c r="AT237" s="286"/>
      <c r="AU237" s="286"/>
      <c r="AV237" s="286"/>
      <c r="AW237" s="286"/>
    </row>
    <row r="238" spans="1:50">
      <c r="A238" s="222"/>
      <c r="B238" s="446">
        <v>41277</v>
      </c>
      <c r="C238" s="144">
        <v>50</v>
      </c>
      <c r="D238" s="286"/>
      <c r="E238" s="222"/>
      <c r="G238" s="447">
        <v>41673</v>
      </c>
      <c r="H238" s="144">
        <v>49</v>
      </c>
      <c r="I238" s="451">
        <f>H238/$I$226</f>
        <v>4.5161290322580643E-2</v>
      </c>
      <c r="J238" s="452">
        <f>I238*$J$226</f>
        <v>1608.6</v>
      </c>
      <c r="L238" s="448">
        <v>42007</v>
      </c>
      <c r="M238" s="144">
        <v>48</v>
      </c>
      <c r="N238" s="451">
        <f>M238/$M$267</f>
        <v>4.5757864632983793E-2</v>
      </c>
      <c r="O238" s="453">
        <f>N238*$O$226</f>
        <v>1574.2535748331743</v>
      </c>
      <c r="P238" s="452"/>
      <c r="Q238" s="574">
        <v>42370</v>
      </c>
      <c r="R238" s="144">
        <v>54</v>
      </c>
      <c r="S238" s="451">
        <f>R238/$M$267</f>
        <v>5.1477597712106769E-2</v>
      </c>
      <c r="T238" s="453">
        <f>S238*$O$226</f>
        <v>1771.0352716873213</v>
      </c>
      <c r="U238" s="452"/>
      <c r="V238" s="452"/>
      <c r="W238" s="452"/>
      <c r="X238" s="452"/>
      <c r="Y238" s="452"/>
      <c r="Z238" s="452"/>
      <c r="AA238" s="452"/>
      <c r="AB238" s="452"/>
      <c r="AC238" s="452"/>
      <c r="AD238" s="452"/>
      <c r="AE238" s="452"/>
      <c r="AF238" s="452"/>
      <c r="AG238" s="452"/>
      <c r="AH238" s="452"/>
      <c r="AI238" s="452"/>
      <c r="AJ238" s="218"/>
      <c r="AK238" s="287"/>
      <c r="AL238" s="287"/>
      <c r="AM238" s="287"/>
      <c r="AN238" s="287"/>
      <c r="AO238" s="287"/>
      <c r="AP238" s="287"/>
      <c r="AQ238" s="222">
        <v>730</v>
      </c>
      <c r="AR238" s="286">
        <v>31760</v>
      </c>
      <c r="AS238" s="286"/>
      <c r="AT238" s="286"/>
      <c r="AU238" s="286"/>
      <c r="AV238" s="286"/>
      <c r="AW238" s="286"/>
    </row>
    <row r="239" spans="1:50">
      <c r="A239" s="286"/>
      <c r="B239" s="446">
        <v>41278</v>
      </c>
      <c r="C239" s="144">
        <v>43</v>
      </c>
      <c r="D239" s="450"/>
      <c r="E239" s="286"/>
      <c r="G239" s="448">
        <v>41674</v>
      </c>
      <c r="H239" s="144">
        <v>57</v>
      </c>
      <c r="I239" s="451">
        <f>H239/$I$226</f>
        <v>5.2534562211981564E-2</v>
      </c>
      <c r="J239" s="452">
        <f>I239*$J$226</f>
        <v>1871.2285714285713</v>
      </c>
      <c r="L239" s="448">
        <v>42008</v>
      </c>
      <c r="M239" s="144">
        <v>35</v>
      </c>
      <c r="N239" s="451">
        <f>M239/$M$267</f>
        <v>3.336510962821735E-2</v>
      </c>
      <c r="O239" s="453">
        <f>N239*$O$226</f>
        <v>1147.8932316491896</v>
      </c>
      <c r="P239" s="452"/>
      <c r="Q239" s="574">
        <v>42371</v>
      </c>
      <c r="R239" s="144">
        <v>55</v>
      </c>
      <c r="S239" s="451">
        <f>R239/$M$267</f>
        <v>5.2430886558627265E-2</v>
      </c>
      <c r="T239" s="453">
        <f>S239*$O$226</f>
        <v>1803.8322211630125</v>
      </c>
      <c r="U239" s="452"/>
      <c r="V239" s="452"/>
      <c r="W239" s="452"/>
      <c r="X239" s="452"/>
      <c r="Y239" s="452"/>
      <c r="Z239" s="452"/>
      <c r="AA239" s="452"/>
      <c r="AB239" s="452"/>
      <c r="AC239" s="452"/>
      <c r="AD239" s="452"/>
      <c r="AE239" s="452"/>
      <c r="AF239" s="452"/>
      <c r="AG239" s="452"/>
      <c r="AH239" s="452"/>
      <c r="AI239" s="452"/>
      <c r="AJ239" s="218"/>
      <c r="AK239" s="287"/>
      <c r="AL239" s="287"/>
      <c r="AM239" s="287"/>
      <c r="AN239" s="287"/>
      <c r="AO239" s="287"/>
      <c r="AP239" s="287"/>
      <c r="AQ239" s="222">
        <v>874</v>
      </c>
      <c r="AR239" s="286">
        <v>32849</v>
      </c>
      <c r="AS239" s="286"/>
      <c r="AT239" s="286"/>
      <c r="AU239" s="286"/>
      <c r="AV239" s="286"/>
      <c r="AW239" s="286"/>
    </row>
    <row r="240" spans="1:50">
      <c r="A240" s="286"/>
      <c r="B240" s="446">
        <v>41279</v>
      </c>
      <c r="C240" s="144">
        <v>37</v>
      </c>
      <c r="D240" s="450"/>
      <c r="E240" s="286"/>
      <c r="G240" s="448">
        <v>41675</v>
      </c>
      <c r="H240" s="144">
        <v>60</v>
      </c>
      <c r="I240" s="451">
        <f>H240/$I$226</f>
        <v>5.5299539170506916E-2</v>
      </c>
      <c r="J240" s="452">
        <f>I240*$J$226</f>
        <v>1969.7142857142858</v>
      </c>
      <c r="L240" s="449">
        <v>42009</v>
      </c>
      <c r="M240" s="144">
        <v>27</v>
      </c>
      <c r="N240" s="451">
        <f>M240/$M$267</f>
        <v>2.5738798856053385E-2</v>
      </c>
      <c r="O240" s="453">
        <f>N240*$O$226</f>
        <v>885.51763584366063</v>
      </c>
      <c r="P240" s="452"/>
      <c r="Q240" s="575">
        <v>42372</v>
      </c>
      <c r="R240" s="144">
        <v>49</v>
      </c>
      <c r="S240" s="451">
        <f>R240/$M$267</f>
        <v>4.6711153479504289E-2</v>
      </c>
      <c r="T240" s="453">
        <f>S240*$O$226</f>
        <v>1607.0505243088655</v>
      </c>
      <c r="U240" s="452"/>
      <c r="V240" s="452"/>
      <c r="W240" s="452"/>
      <c r="X240" s="452"/>
      <c r="Y240" s="452"/>
      <c r="Z240" s="452"/>
      <c r="AA240" s="452"/>
      <c r="AB240" s="452"/>
      <c r="AC240" s="452"/>
      <c r="AD240" s="452"/>
      <c r="AE240" s="452"/>
      <c r="AF240" s="452"/>
      <c r="AG240" s="452"/>
      <c r="AH240" s="452"/>
      <c r="AI240" s="452"/>
      <c r="AJ240" s="218"/>
      <c r="AK240" s="287"/>
      <c r="AL240" s="287"/>
      <c r="AM240" s="287"/>
      <c r="AN240" s="287"/>
      <c r="AO240" s="287"/>
      <c r="AP240" s="287"/>
      <c r="AQ240" s="222">
        <v>1244</v>
      </c>
      <c r="AR240" s="286">
        <v>41075</v>
      </c>
      <c r="AS240" s="286"/>
      <c r="AT240" s="286"/>
      <c r="AU240" s="286"/>
      <c r="AV240" s="286"/>
      <c r="AW240" s="286"/>
    </row>
    <row r="241" spans="1:49">
      <c r="A241" s="286"/>
      <c r="B241" s="446">
        <v>41280</v>
      </c>
      <c r="C241" s="144">
        <v>37</v>
      </c>
      <c r="D241" s="450"/>
      <c r="E241" s="286"/>
      <c r="G241" s="448">
        <v>41676</v>
      </c>
      <c r="H241" s="144">
        <v>60</v>
      </c>
      <c r="I241" s="451">
        <f>H241/$I$226</f>
        <v>5.5299539170506916E-2</v>
      </c>
      <c r="J241" s="452">
        <f>I241*$J$226</f>
        <v>1969.7142857142858</v>
      </c>
      <c r="L241" s="446">
        <v>42010</v>
      </c>
      <c r="M241" s="144">
        <v>27</v>
      </c>
      <c r="O241" s="452"/>
      <c r="P241" s="452"/>
      <c r="Q241" s="310">
        <v>42373</v>
      </c>
      <c r="R241" s="144">
        <v>38</v>
      </c>
      <c r="T241" s="452"/>
      <c r="U241" s="452"/>
      <c r="V241" s="452"/>
      <c r="W241" s="452"/>
      <c r="X241" s="452"/>
      <c r="Y241" s="452"/>
      <c r="Z241" s="452"/>
      <c r="AA241" s="452"/>
      <c r="AB241" s="452"/>
      <c r="AC241" s="452"/>
      <c r="AD241" s="452"/>
      <c r="AE241" s="452"/>
      <c r="AF241" s="452"/>
      <c r="AG241" s="452"/>
      <c r="AH241" s="452"/>
      <c r="AI241" s="452"/>
      <c r="AJ241" s="218"/>
      <c r="AK241" s="287"/>
      <c r="AL241" s="287"/>
      <c r="AM241" s="287"/>
      <c r="AN241" s="287"/>
      <c r="AO241" s="287"/>
      <c r="AP241" s="287"/>
      <c r="AQ241" s="222">
        <v>1040</v>
      </c>
      <c r="AR241" s="286">
        <v>36509</v>
      </c>
      <c r="AS241" s="286"/>
      <c r="AT241" s="286"/>
      <c r="AU241" s="286"/>
      <c r="AV241" s="286"/>
      <c r="AW241" s="286"/>
    </row>
    <row r="242" spans="1:49">
      <c r="A242" s="286"/>
      <c r="B242" s="446">
        <v>41281</v>
      </c>
      <c r="C242" s="144">
        <v>31</v>
      </c>
      <c r="D242" s="450"/>
      <c r="E242" s="286"/>
      <c r="G242" s="449">
        <v>41677</v>
      </c>
      <c r="H242" s="144">
        <v>56</v>
      </c>
      <c r="I242" s="451">
        <f>H242/$I$226</f>
        <v>5.1612903225806452E-2</v>
      </c>
      <c r="J242" s="452">
        <f>I242*$J$226</f>
        <v>1838.4</v>
      </c>
      <c r="L242" s="446">
        <v>42011</v>
      </c>
      <c r="M242" s="144">
        <v>33</v>
      </c>
      <c r="Q242" s="310">
        <v>42374</v>
      </c>
      <c r="R242" s="144">
        <v>34</v>
      </c>
      <c r="AJ242" s="218"/>
      <c r="AK242" s="287"/>
      <c r="AL242" s="287"/>
      <c r="AM242" s="287"/>
      <c r="AN242" s="287"/>
      <c r="AO242" s="287"/>
      <c r="AP242" s="287"/>
      <c r="AQ242" s="222">
        <v>769</v>
      </c>
      <c r="AR242" s="286">
        <v>28731</v>
      </c>
      <c r="AS242" s="286"/>
      <c r="AT242" s="286"/>
      <c r="AU242" s="286"/>
      <c r="AV242" s="286"/>
      <c r="AW242" s="286"/>
    </row>
    <row r="243" spans="1:49">
      <c r="A243" s="286"/>
      <c r="B243" s="446">
        <v>41282</v>
      </c>
      <c r="C243" s="144">
        <v>28</v>
      </c>
      <c r="D243" s="450"/>
      <c r="E243" s="286"/>
      <c r="G243" s="446">
        <v>41678</v>
      </c>
      <c r="H243" s="144">
        <v>48</v>
      </c>
      <c r="I243" s="450"/>
      <c r="J243" s="286"/>
      <c r="L243" s="446">
        <v>42012</v>
      </c>
      <c r="M243" s="144">
        <v>34</v>
      </c>
      <c r="N243" s="450"/>
      <c r="O243" s="286"/>
      <c r="P243" s="286"/>
      <c r="Q243" s="310">
        <v>42375</v>
      </c>
      <c r="R243" s="144">
        <v>31</v>
      </c>
      <c r="S243" s="450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18"/>
      <c r="AK243" s="287"/>
      <c r="AL243" s="287"/>
      <c r="AM243" s="287"/>
      <c r="AN243" s="287"/>
      <c r="AO243" s="287"/>
      <c r="AP243" s="287"/>
      <c r="AQ243" s="222">
        <v>504</v>
      </c>
      <c r="AR243" s="286">
        <v>23248</v>
      </c>
      <c r="AS243" s="286"/>
      <c r="AT243" s="286"/>
      <c r="AU243" s="286"/>
      <c r="AV243" s="286"/>
      <c r="AW243" s="286"/>
    </row>
    <row r="244" spans="1:49">
      <c r="A244" s="222"/>
      <c r="B244" s="446">
        <v>41283</v>
      </c>
      <c r="C244" s="144">
        <v>27</v>
      </c>
      <c r="D244" s="286"/>
      <c r="E244" s="222"/>
      <c r="G244" s="446">
        <v>41679</v>
      </c>
      <c r="H244" s="144">
        <v>46</v>
      </c>
      <c r="I244" s="286"/>
      <c r="J244" s="222"/>
      <c r="L244" s="446">
        <v>42013</v>
      </c>
      <c r="M244" s="144">
        <v>34</v>
      </c>
      <c r="N244" s="286"/>
      <c r="O244" s="222"/>
      <c r="P244" s="222"/>
      <c r="Q244" s="310">
        <v>42376</v>
      </c>
      <c r="R244" s="144">
        <v>32</v>
      </c>
      <c r="S244" s="286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I244" s="222"/>
      <c r="AJ244" s="218"/>
      <c r="AK244" s="287"/>
      <c r="AL244" s="287"/>
      <c r="AM244" s="287"/>
      <c r="AN244" s="287"/>
      <c r="AO244" s="287"/>
      <c r="AP244" s="287"/>
      <c r="AQ244" s="222">
        <v>68</v>
      </c>
      <c r="AR244" s="286">
        <v>17441</v>
      </c>
      <c r="AS244" s="286"/>
      <c r="AT244" s="286"/>
      <c r="AU244" s="286"/>
      <c r="AV244" s="286"/>
      <c r="AW244" s="286"/>
    </row>
    <row r="245" spans="1:49">
      <c r="A245" s="222"/>
      <c r="B245" s="446">
        <v>41284</v>
      </c>
      <c r="C245" s="144">
        <v>36</v>
      </c>
      <c r="D245" s="286"/>
      <c r="E245" s="222"/>
      <c r="G245" s="446">
        <v>41680</v>
      </c>
      <c r="H245" s="144">
        <v>41</v>
      </c>
      <c r="I245" s="286"/>
      <c r="J245" s="222"/>
      <c r="L245" s="446">
        <v>42014</v>
      </c>
      <c r="M245" s="144">
        <v>36</v>
      </c>
      <c r="N245" s="286"/>
      <c r="O245" s="222"/>
      <c r="P245" s="222"/>
      <c r="Q245" s="310">
        <v>42377</v>
      </c>
      <c r="R245" s="144">
        <v>33</v>
      </c>
      <c r="S245" s="286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I245" s="222"/>
      <c r="AJ245" s="218"/>
      <c r="AK245" s="287"/>
      <c r="AL245" s="287"/>
      <c r="AM245" s="287"/>
      <c r="AN245" s="287"/>
      <c r="AO245" s="287"/>
      <c r="AP245" s="287"/>
      <c r="AQ245" s="222">
        <v>14</v>
      </c>
      <c r="AR245" s="286">
        <v>16410</v>
      </c>
      <c r="AS245" s="286"/>
      <c r="AT245" s="286"/>
      <c r="AU245" s="286"/>
      <c r="AV245" s="286"/>
      <c r="AW245" s="286"/>
    </row>
    <row r="246" spans="1:49" ht="13.8" thickBot="1">
      <c r="A246" s="222"/>
      <c r="B246" s="446">
        <v>41285</v>
      </c>
      <c r="C246" s="144">
        <v>44</v>
      </c>
      <c r="D246" s="222"/>
      <c r="E246" s="222"/>
      <c r="G246" s="446">
        <v>41681</v>
      </c>
      <c r="H246" s="144">
        <v>34</v>
      </c>
      <c r="I246" s="222"/>
      <c r="J246" s="222"/>
      <c r="L246" s="446">
        <v>42015</v>
      </c>
      <c r="M246" s="144">
        <v>37</v>
      </c>
      <c r="N246" s="222"/>
      <c r="O246" s="222"/>
      <c r="P246" s="222"/>
      <c r="Q246" s="310">
        <v>42378</v>
      </c>
      <c r="R246" s="144">
        <v>33</v>
      </c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I246" s="222"/>
      <c r="AJ246" s="218"/>
      <c r="AK246" s="287"/>
      <c r="AL246" s="287"/>
      <c r="AM246" s="287"/>
      <c r="AN246" s="287"/>
      <c r="AO246" s="287"/>
      <c r="AP246" s="287"/>
      <c r="AQ246" s="222">
        <v>20</v>
      </c>
      <c r="AR246" s="286">
        <v>16324</v>
      </c>
      <c r="AS246" s="286"/>
      <c r="AT246" s="286"/>
      <c r="AU246" s="286"/>
      <c r="AV246" s="286"/>
      <c r="AW246" s="286"/>
    </row>
    <row r="247" spans="1:49">
      <c r="A247" s="222"/>
      <c r="B247" s="455">
        <v>41286</v>
      </c>
      <c r="C247" s="144">
        <v>52</v>
      </c>
      <c r="D247" s="451">
        <f>C247/$D$226</f>
        <v>4.1800643086816719E-2</v>
      </c>
      <c r="E247" s="452">
        <f>D247*$E$226</f>
        <v>1716.9614147909967</v>
      </c>
      <c r="G247" s="446">
        <v>41682</v>
      </c>
      <c r="H247" s="144">
        <v>24</v>
      </c>
      <c r="L247" s="446">
        <v>42016</v>
      </c>
      <c r="M247" s="144">
        <v>36</v>
      </c>
      <c r="N247" s="222"/>
      <c r="O247" s="222"/>
      <c r="P247" s="222"/>
      <c r="Q247" s="310">
        <v>42379</v>
      </c>
      <c r="R247" s="144">
        <v>36</v>
      </c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I247" s="222"/>
      <c r="AJ247" s="218"/>
      <c r="AK247" s="287"/>
      <c r="AL247" s="287"/>
      <c r="AM247" s="287"/>
      <c r="AN247" s="287"/>
      <c r="AO247" s="287"/>
      <c r="AP247" s="287"/>
      <c r="AQ247" s="222">
        <v>175</v>
      </c>
      <c r="AR247" s="286">
        <v>19740</v>
      </c>
      <c r="AS247" s="286"/>
      <c r="AT247" s="286"/>
      <c r="AU247" s="286"/>
      <c r="AV247" s="286"/>
      <c r="AW247" s="286"/>
    </row>
    <row r="248" spans="1:49">
      <c r="A248" s="222"/>
      <c r="B248" s="456">
        <v>41287</v>
      </c>
      <c r="C248" s="144">
        <v>47</v>
      </c>
      <c r="D248" s="451">
        <f>C248/$D$226</f>
        <v>3.778135048231511E-2</v>
      </c>
      <c r="E248" s="452">
        <f>D248*$E$226</f>
        <v>1551.8689710610931</v>
      </c>
      <c r="G248" s="446">
        <v>41683</v>
      </c>
      <c r="H248" s="144">
        <v>25</v>
      </c>
      <c r="L248" s="446">
        <v>42017</v>
      </c>
      <c r="M248" s="144">
        <v>35</v>
      </c>
      <c r="N248" s="222"/>
      <c r="O248" s="222"/>
      <c r="P248" s="222"/>
      <c r="Q248" s="310">
        <v>42380</v>
      </c>
      <c r="R248" s="144">
        <v>38</v>
      </c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I248" s="222"/>
      <c r="AJ248" s="218"/>
      <c r="AK248" s="287"/>
      <c r="AL248" s="287"/>
      <c r="AM248" s="287"/>
      <c r="AN248" s="287"/>
      <c r="AO248" s="287"/>
      <c r="AP248" s="287"/>
      <c r="AQ248" s="222">
        <v>345</v>
      </c>
      <c r="AR248" s="286">
        <v>22588</v>
      </c>
      <c r="AS248" s="286"/>
      <c r="AT248" s="286"/>
      <c r="AU248" s="286"/>
      <c r="AV248" s="286"/>
      <c r="AW248" s="286"/>
    </row>
    <row r="249" spans="1:49">
      <c r="A249" s="222"/>
      <c r="B249" s="456">
        <v>41288</v>
      </c>
      <c r="C249" s="144">
        <v>45</v>
      </c>
      <c r="D249" s="451">
        <f>C249/$D$226</f>
        <v>3.6173633440514469E-2</v>
      </c>
      <c r="E249" s="452">
        <f>D249*$E$226</f>
        <v>1485.8319935691318</v>
      </c>
      <c r="G249" s="446">
        <v>41684</v>
      </c>
      <c r="H249" s="144">
        <v>26</v>
      </c>
      <c r="L249" s="446">
        <v>42018</v>
      </c>
      <c r="M249" s="144">
        <v>36</v>
      </c>
      <c r="N249" s="222"/>
      <c r="O249" s="222"/>
      <c r="P249" s="222"/>
      <c r="Q249" s="310">
        <v>42381</v>
      </c>
      <c r="R249" s="144">
        <v>32</v>
      </c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I249" s="222"/>
      <c r="AJ249" s="218"/>
      <c r="AK249" s="287"/>
      <c r="AL249" s="287"/>
      <c r="AM249" s="287"/>
      <c r="AN249" s="287"/>
      <c r="AO249" s="287"/>
      <c r="AP249" s="287"/>
      <c r="AQ249" s="222">
        <v>494</v>
      </c>
      <c r="AR249" s="286">
        <v>25069</v>
      </c>
      <c r="AS249" s="286"/>
      <c r="AT249" s="286"/>
      <c r="AU249" s="286"/>
      <c r="AV249" s="286"/>
      <c r="AW249" s="286"/>
    </row>
    <row r="250" spans="1:49">
      <c r="A250" s="222"/>
      <c r="B250" s="456">
        <v>41289</v>
      </c>
      <c r="C250" s="291">
        <v>44</v>
      </c>
      <c r="D250" s="451">
        <f>C250/$D$226</f>
        <v>3.5369774919614148E-2</v>
      </c>
      <c r="E250" s="452">
        <f>D250*$E$226</f>
        <v>1452.8135048231511</v>
      </c>
      <c r="G250" s="446">
        <v>41685</v>
      </c>
      <c r="H250" s="291">
        <v>27</v>
      </c>
      <c r="L250" s="446">
        <v>42019</v>
      </c>
      <c r="M250" s="291">
        <v>36</v>
      </c>
      <c r="N250" s="222"/>
      <c r="O250" s="222"/>
      <c r="P250" s="222"/>
      <c r="Q250" s="310">
        <v>42382</v>
      </c>
      <c r="R250" s="291">
        <v>30</v>
      </c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I250" s="222"/>
      <c r="AJ250" s="218"/>
      <c r="AK250" s="287"/>
      <c r="AL250" s="287"/>
      <c r="AM250" s="287"/>
      <c r="AN250" s="287"/>
      <c r="AO250" s="287"/>
      <c r="AP250" s="287"/>
      <c r="AQ250" s="222">
        <v>809</v>
      </c>
      <c r="AR250" s="286">
        <v>31810</v>
      </c>
      <c r="AS250" s="286"/>
      <c r="AT250" s="286"/>
      <c r="AU250" s="286"/>
      <c r="AV250" s="286"/>
      <c r="AW250" s="286"/>
    </row>
    <row r="251" spans="1:49" ht="13.8" thickBot="1">
      <c r="A251" s="222"/>
      <c r="B251" s="457">
        <v>41290</v>
      </c>
      <c r="C251" s="291">
        <v>44</v>
      </c>
      <c r="D251" s="451">
        <f>C251/$D$226</f>
        <v>3.5369774919614148E-2</v>
      </c>
      <c r="E251" s="452">
        <f>D251*$E$226</f>
        <v>1452.8135048231511</v>
      </c>
      <c r="G251" s="446">
        <v>41686</v>
      </c>
      <c r="H251" s="291">
        <v>28</v>
      </c>
      <c r="L251" s="446">
        <v>42020</v>
      </c>
      <c r="M251" s="291">
        <v>34</v>
      </c>
      <c r="N251" s="222"/>
      <c r="O251" s="222"/>
      <c r="P251" s="222"/>
      <c r="Q251" s="310">
        <v>42383</v>
      </c>
      <c r="R251" s="291">
        <v>35</v>
      </c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I251" s="222"/>
      <c r="AJ251" s="218"/>
      <c r="AK251" s="287"/>
      <c r="AL251" s="287"/>
      <c r="AM251" s="287"/>
      <c r="AN251" s="287"/>
      <c r="AO251" s="287"/>
      <c r="AP251" s="287"/>
      <c r="AQ251" s="222">
        <v>930</v>
      </c>
      <c r="AR251" s="286">
        <v>31268</v>
      </c>
      <c r="AS251" s="286"/>
      <c r="AT251" s="286"/>
      <c r="AU251" s="286"/>
      <c r="AV251" s="286"/>
      <c r="AW251" s="286"/>
    </row>
    <row r="252" spans="1:49">
      <c r="A252" s="222"/>
      <c r="B252" s="446">
        <v>41291</v>
      </c>
      <c r="C252" s="291">
        <v>46</v>
      </c>
      <c r="D252" s="222"/>
      <c r="E252" s="222"/>
      <c r="G252" s="446">
        <v>41687</v>
      </c>
      <c r="H252" s="291">
        <v>26</v>
      </c>
      <c r="I252" s="222"/>
      <c r="J252" s="222"/>
      <c r="L252" s="446">
        <v>42021</v>
      </c>
      <c r="M252" s="291">
        <v>36</v>
      </c>
      <c r="N252" s="222"/>
      <c r="O252" s="222"/>
      <c r="P252" s="222"/>
      <c r="Q252" s="310">
        <v>42384</v>
      </c>
      <c r="R252" s="291">
        <v>40</v>
      </c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I252" s="222"/>
      <c r="AJ252" s="218"/>
      <c r="AK252" s="287"/>
      <c r="AL252" s="287"/>
      <c r="AM252" s="287"/>
      <c r="AN252" s="287"/>
      <c r="AO252" s="287"/>
      <c r="AP252" s="287"/>
      <c r="AQ252" s="222">
        <v>1078</v>
      </c>
      <c r="AR252" s="286">
        <v>32888</v>
      </c>
      <c r="AS252" s="286"/>
      <c r="AT252" s="286"/>
      <c r="AU252" s="286"/>
      <c r="AV252" s="286"/>
      <c r="AW252" s="286"/>
    </row>
    <row r="253" spans="1:49">
      <c r="A253" s="222"/>
      <c r="B253" s="446">
        <v>41292</v>
      </c>
      <c r="C253" s="291">
        <v>46</v>
      </c>
      <c r="D253" s="222"/>
      <c r="E253" s="222"/>
      <c r="G253" s="446">
        <v>41688</v>
      </c>
      <c r="H253" s="291">
        <v>28</v>
      </c>
      <c r="I253" s="222"/>
      <c r="J253" s="222"/>
      <c r="L253" s="446">
        <v>42022</v>
      </c>
      <c r="M253" s="291">
        <v>26</v>
      </c>
      <c r="N253" s="222"/>
      <c r="O253" s="222"/>
      <c r="P253" s="222"/>
      <c r="Q253" s="310">
        <v>42385</v>
      </c>
      <c r="R253" s="291">
        <v>33</v>
      </c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I253" s="222"/>
      <c r="AJ253" s="218"/>
      <c r="AK253" s="287"/>
      <c r="AL253" s="287"/>
      <c r="AM253" s="287"/>
      <c r="AN253" s="287"/>
      <c r="AO253" s="287"/>
      <c r="AP253" s="287"/>
      <c r="AQ253" s="222">
        <v>1118</v>
      </c>
      <c r="AR253" s="286">
        <v>33189</v>
      </c>
      <c r="AS253" s="286"/>
      <c r="AT253" s="286"/>
      <c r="AU253" s="286"/>
      <c r="AV253" s="286"/>
      <c r="AW253" s="286"/>
    </row>
    <row r="254" spans="1:49">
      <c r="A254" s="222"/>
      <c r="B254" s="446">
        <v>41293</v>
      </c>
      <c r="C254" s="291">
        <v>44</v>
      </c>
      <c r="G254" s="446">
        <v>41689</v>
      </c>
      <c r="H254" s="291">
        <v>30</v>
      </c>
      <c r="L254" s="446">
        <v>42023</v>
      </c>
      <c r="M254" s="291">
        <v>30</v>
      </c>
      <c r="N254" s="222"/>
      <c r="O254" s="222"/>
      <c r="P254" s="222"/>
      <c r="Q254" s="310">
        <v>42386</v>
      </c>
      <c r="R254" s="291">
        <v>30</v>
      </c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I254" s="222"/>
      <c r="AJ254" s="218"/>
      <c r="AK254" s="287"/>
      <c r="AL254" s="287"/>
      <c r="AM254" s="287"/>
      <c r="AN254" s="287"/>
      <c r="AO254" s="287"/>
      <c r="AP254" s="287"/>
      <c r="AQ254" s="222">
        <v>890</v>
      </c>
      <c r="AR254" s="286">
        <v>29312</v>
      </c>
      <c r="AS254" s="286"/>
      <c r="AT254" s="286"/>
      <c r="AU254" s="286"/>
      <c r="AV254" s="286"/>
      <c r="AW254" s="286"/>
    </row>
    <row r="255" spans="1:49">
      <c r="A255" s="452"/>
      <c r="B255" s="446">
        <v>41294</v>
      </c>
      <c r="C255" s="291">
        <v>45</v>
      </c>
      <c r="G255" s="446">
        <v>41690</v>
      </c>
      <c r="H255" s="291">
        <v>29</v>
      </c>
      <c r="L255" s="446">
        <v>42024</v>
      </c>
      <c r="M255" s="291">
        <v>37</v>
      </c>
      <c r="N255" s="451"/>
      <c r="O255" s="452"/>
      <c r="P255" s="452"/>
      <c r="Q255" s="310">
        <v>42387</v>
      </c>
      <c r="R255" s="291">
        <v>30</v>
      </c>
      <c r="S255" s="451"/>
      <c r="T255" s="452"/>
      <c r="U255" s="452"/>
      <c r="V255" s="452"/>
      <c r="W255" s="452"/>
      <c r="X255" s="452"/>
      <c r="Y255" s="452"/>
      <c r="Z255" s="452"/>
      <c r="AA255" s="452"/>
      <c r="AB255" s="452"/>
      <c r="AC255" s="452"/>
      <c r="AD255" s="452"/>
      <c r="AE255" s="452"/>
      <c r="AF255" s="452"/>
      <c r="AG255" s="452"/>
      <c r="AH255" s="452"/>
      <c r="AI255" s="452"/>
      <c r="AJ255" s="218"/>
      <c r="AK255" s="287"/>
      <c r="AL255" s="287"/>
      <c r="AM255" s="287"/>
      <c r="AN255" s="287"/>
      <c r="AO255" s="287"/>
      <c r="AP255" s="287"/>
      <c r="AQ255" s="222">
        <v>516</v>
      </c>
      <c r="AR255" s="286">
        <v>22582</v>
      </c>
      <c r="AS255" s="286"/>
      <c r="AT255" s="286"/>
      <c r="AU255" s="286"/>
      <c r="AV255" s="286"/>
      <c r="AW255" s="286"/>
    </row>
    <row r="256" spans="1:49">
      <c r="A256" s="452"/>
      <c r="B256" s="446">
        <v>41295</v>
      </c>
      <c r="C256" s="291">
        <v>50</v>
      </c>
      <c r="G256" s="446">
        <v>41691</v>
      </c>
      <c r="H256" s="291">
        <v>32</v>
      </c>
      <c r="L256" s="446">
        <v>42025</v>
      </c>
      <c r="M256" s="291">
        <v>36</v>
      </c>
      <c r="N256" s="451"/>
      <c r="O256" s="452"/>
      <c r="P256" s="452"/>
      <c r="Q256" s="310">
        <v>42388</v>
      </c>
      <c r="R256" s="291">
        <v>31</v>
      </c>
      <c r="S256" s="451"/>
      <c r="T256" s="452"/>
      <c r="U256" s="452"/>
      <c r="V256" s="452"/>
      <c r="W256" s="452"/>
      <c r="X256" s="452"/>
      <c r="Y256" s="452"/>
      <c r="Z256" s="452"/>
      <c r="AA256" s="452"/>
      <c r="AB256" s="452"/>
      <c r="AC256" s="452"/>
      <c r="AD256" s="452"/>
      <c r="AE256" s="452"/>
      <c r="AF256" s="452"/>
      <c r="AG256" s="452"/>
      <c r="AH256" s="452"/>
      <c r="AI256" s="452"/>
      <c r="AJ256" s="218"/>
      <c r="AK256" s="287"/>
      <c r="AL256" s="287"/>
      <c r="AM256" s="287"/>
      <c r="AN256" s="287"/>
      <c r="AO256" s="287"/>
      <c r="AP256" s="287"/>
      <c r="AQ256" s="222">
        <v>99</v>
      </c>
      <c r="AR256" s="286">
        <v>16724</v>
      </c>
      <c r="AS256" s="286"/>
      <c r="AT256" s="286"/>
      <c r="AU256" s="286"/>
      <c r="AV256" s="286"/>
      <c r="AW256" s="286"/>
    </row>
    <row r="257" spans="1:49">
      <c r="A257" s="452"/>
      <c r="B257" s="446">
        <v>41296</v>
      </c>
      <c r="C257" s="291">
        <v>50</v>
      </c>
      <c r="G257" s="446">
        <v>41692</v>
      </c>
      <c r="H257" s="291">
        <v>36</v>
      </c>
      <c r="L257" s="446">
        <v>42026</v>
      </c>
      <c r="M257" s="291">
        <v>36</v>
      </c>
      <c r="N257" s="451"/>
      <c r="O257" s="452"/>
      <c r="P257" s="452"/>
      <c r="Q257" s="310">
        <v>42389</v>
      </c>
      <c r="R257" s="291">
        <v>29</v>
      </c>
      <c r="S257" s="451"/>
      <c r="T257" s="452"/>
      <c r="U257" s="452"/>
      <c r="V257" s="452"/>
      <c r="W257" s="452"/>
      <c r="X257" s="452"/>
      <c r="Y257" s="452"/>
      <c r="Z257" s="452"/>
      <c r="AA257" s="452"/>
      <c r="AB257" s="452"/>
      <c r="AC257" s="452"/>
      <c r="AD257" s="452"/>
      <c r="AE257" s="452"/>
      <c r="AF257" s="452"/>
      <c r="AG257" s="452"/>
      <c r="AH257" s="452"/>
      <c r="AI257" s="452"/>
      <c r="AJ257" s="218"/>
      <c r="AK257" s="287"/>
      <c r="AL257" s="287"/>
      <c r="AM257" s="287"/>
      <c r="AN257" s="287"/>
      <c r="AO257" s="287"/>
      <c r="AP257" s="287"/>
      <c r="AQ257" s="222">
        <v>8</v>
      </c>
      <c r="AR257" s="286">
        <v>15317</v>
      </c>
      <c r="AS257" s="286"/>
      <c r="AT257" s="286"/>
      <c r="AU257" s="286"/>
      <c r="AV257" s="286"/>
      <c r="AW257" s="286"/>
    </row>
    <row r="258" spans="1:49">
      <c r="A258" s="452"/>
      <c r="B258" s="446">
        <v>41297</v>
      </c>
      <c r="C258" s="291">
        <v>38</v>
      </c>
      <c r="G258" s="446">
        <v>41693</v>
      </c>
      <c r="H258" s="291">
        <v>39</v>
      </c>
      <c r="L258" s="446">
        <v>42027</v>
      </c>
      <c r="M258" s="291">
        <v>29</v>
      </c>
      <c r="N258" s="451"/>
      <c r="O258" s="452"/>
      <c r="P258" s="452"/>
      <c r="Q258" s="310">
        <v>42390</v>
      </c>
      <c r="R258" s="291">
        <v>30</v>
      </c>
      <c r="S258" s="451"/>
      <c r="T258" s="452"/>
      <c r="U258" s="452"/>
      <c r="V258" s="452"/>
      <c r="W258" s="452"/>
      <c r="X258" s="452"/>
      <c r="Y258" s="452"/>
      <c r="Z258" s="452"/>
      <c r="AA258" s="452"/>
      <c r="AB258" s="452"/>
      <c r="AC258" s="452"/>
      <c r="AD258" s="452"/>
      <c r="AE258" s="452"/>
      <c r="AF258" s="452"/>
      <c r="AG258" s="452"/>
      <c r="AH258" s="452"/>
      <c r="AI258" s="452"/>
      <c r="AJ258" s="218"/>
      <c r="AK258" s="287"/>
      <c r="AL258" s="287"/>
      <c r="AM258" s="287"/>
      <c r="AN258" s="287"/>
      <c r="AO258" s="287"/>
      <c r="AP258" s="287"/>
      <c r="AQ258" s="222">
        <v>40</v>
      </c>
      <c r="AR258" s="286">
        <v>15833</v>
      </c>
      <c r="AS258" s="286"/>
      <c r="AT258" s="286"/>
      <c r="AU258" s="286"/>
      <c r="AV258" s="286"/>
      <c r="AW258" s="286"/>
    </row>
    <row r="259" spans="1:49">
      <c r="A259" s="452"/>
      <c r="B259" s="446">
        <v>41298</v>
      </c>
      <c r="C259" s="291">
        <v>39</v>
      </c>
      <c r="D259" s="451"/>
      <c r="E259" s="452"/>
      <c r="G259" s="446">
        <v>41694</v>
      </c>
      <c r="H259" s="291">
        <v>41</v>
      </c>
      <c r="I259" s="451"/>
      <c r="J259" s="452"/>
      <c r="L259" s="446">
        <v>42028</v>
      </c>
      <c r="M259" s="291">
        <v>27</v>
      </c>
      <c r="N259" s="451"/>
      <c r="O259" s="452"/>
      <c r="P259" s="452"/>
      <c r="Q259" s="310">
        <v>42391</v>
      </c>
      <c r="R259" s="291">
        <v>25</v>
      </c>
      <c r="S259" s="451"/>
      <c r="T259" s="452"/>
      <c r="U259" s="452"/>
      <c r="V259" s="452"/>
      <c r="W259" s="452"/>
      <c r="X259" s="452"/>
      <c r="Y259" s="452"/>
      <c r="Z259" s="452"/>
      <c r="AA259" s="452"/>
      <c r="AB259" s="452"/>
      <c r="AC259" s="452"/>
      <c r="AD259" s="452"/>
      <c r="AE259" s="452"/>
      <c r="AF259" s="452"/>
      <c r="AG259" s="452"/>
      <c r="AH259" s="452"/>
      <c r="AI259" s="452"/>
      <c r="AJ259" s="218"/>
      <c r="AK259" s="287"/>
      <c r="AL259" s="287"/>
      <c r="AM259" s="287"/>
      <c r="AN259" s="287"/>
      <c r="AO259" s="287"/>
      <c r="AP259" s="287"/>
      <c r="AQ259" s="222">
        <v>192</v>
      </c>
      <c r="AR259" s="286">
        <v>17348</v>
      </c>
      <c r="AS259" s="286"/>
      <c r="AT259" s="286"/>
      <c r="AU259" s="286"/>
      <c r="AV259" s="286"/>
      <c r="AW259" s="286"/>
    </row>
    <row r="260" spans="1:49">
      <c r="A260" s="222"/>
      <c r="B260" s="446">
        <v>41299</v>
      </c>
      <c r="C260" s="144">
        <v>30</v>
      </c>
      <c r="D260" s="286"/>
      <c r="E260" s="222"/>
      <c r="G260" s="446">
        <v>41695</v>
      </c>
      <c r="H260" s="144">
        <v>41</v>
      </c>
      <c r="I260" s="286"/>
      <c r="J260" s="222"/>
      <c r="L260" s="446">
        <v>42029</v>
      </c>
      <c r="M260" s="144">
        <v>19</v>
      </c>
      <c r="N260" s="286"/>
      <c r="O260" s="222"/>
      <c r="P260" s="222"/>
      <c r="Q260" s="310">
        <v>42392</v>
      </c>
      <c r="R260" s="144">
        <v>28</v>
      </c>
      <c r="S260" s="286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I260" s="222"/>
      <c r="AJ260" s="218"/>
      <c r="AK260" s="287"/>
      <c r="AL260" s="287"/>
      <c r="AM260" s="287"/>
      <c r="AN260" s="287"/>
      <c r="AO260" s="287"/>
      <c r="AP260" s="287"/>
      <c r="AQ260" s="222">
        <v>401</v>
      </c>
      <c r="AR260" s="286">
        <v>20905</v>
      </c>
      <c r="AS260" s="286"/>
      <c r="AT260" s="286"/>
      <c r="AU260" s="286"/>
      <c r="AV260" s="286"/>
      <c r="AW260" s="286"/>
    </row>
    <row r="261" spans="1:49">
      <c r="A261" s="222"/>
      <c r="B261" s="446">
        <v>41300</v>
      </c>
      <c r="C261" s="144">
        <v>32</v>
      </c>
      <c r="D261" s="286"/>
      <c r="E261" s="222"/>
      <c r="G261" s="446">
        <v>41696</v>
      </c>
      <c r="H261" s="144">
        <v>40</v>
      </c>
      <c r="I261" s="286"/>
      <c r="J261" s="222"/>
      <c r="L261" s="446">
        <v>42030</v>
      </c>
      <c r="M261" s="144">
        <v>24</v>
      </c>
      <c r="N261" s="286"/>
      <c r="O261" s="222"/>
      <c r="P261" s="222"/>
      <c r="Q261" s="310">
        <v>42393</v>
      </c>
      <c r="R261" s="144">
        <v>32</v>
      </c>
      <c r="S261" s="286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I261" s="222"/>
      <c r="AJ261" s="218"/>
      <c r="AK261" s="287"/>
      <c r="AL261" s="287"/>
      <c r="AM261" s="287"/>
      <c r="AN261" s="287"/>
      <c r="AO261" s="287"/>
      <c r="AP261" s="287"/>
      <c r="AQ261" s="222">
        <v>698</v>
      </c>
      <c r="AR261" s="286">
        <v>26624</v>
      </c>
      <c r="AS261" s="286"/>
      <c r="AT261" s="286"/>
      <c r="AU261" s="286"/>
      <c r="AV261" s="286"/>
      <c r="AW261" s="286"/>
    </row>
    <row r="262" spans="1:49">
      <c r="A262" s="222"/>
      <c r="B262" s="446">
        <v>41301</v>
      </c>
      <c r="C262" s="144">
        <v>36</v>
      </c>
      <c r="D262" s="286"/>
      <c r="E262" s="222"/>
      <c r="G262" s="446">
        <v>41697</v>
      </c>
      <c r="H262" s="144">
        <v>33</v>
      </c>
      <c r="I262" s="286"/>
      <c r="J262" s="222"/>
      <c r="L262" s="446">
        <v>42031</v>
      </c>
      <c r="M262" s="144">
        <v>31</v>
      </c>
      <c r="N262" s="286"/>
      <c r="O262" s="222"/>
      <c r="P262" s="222"/>
      <c r="Q262" s="310">
        <v>42394</v>
      </c>
      <c r="R262" s="144">
        <v>34</v>
      </c>
      <c r="S262" s="286"/>
      <c r="T262" s="222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218"/>
      <c r="AK262" s="287"/>
      <c r="AL262" s="287"/>
      <c r="AM262" s="287"/>
      <c r="AN262" s="287"/>
      <c r="AO262" s="287"/>
      <c r="AP262" s="287"/>
      <c r="AQ262" s="222">
        <v>790</v>
      </c>
      <c r="AR262" s="286">
        <v>28546</v>
      </c>
      <c r="AS262" s="286"/>
      <c r="AT262" s="286"/>
      <c r="AU262" s="286"/>
      <c r="AV262" s="286"/>
      <c r="AW262" s="286"/>
    </row>
    <row r="263" spans="1:49">
      <c r="A263" s="222"/>
      <c r="B263" s="446">
        <v>41302</v>
      </c>
      <c r="C263" s="144">
        <v>36</v>
      </c>
      <c r="D263" s="286"/>
      <c r="E263" s="222"/>
      <c r="G263" s="446">
        <v>41698</v>
      </c>
      <c r="H263" s="144">
        <v>37</v>
      </c>
      <c r="I263" s="286"/>
      <c r="J263" s="222"/>
      <c r="L263" s="446">
        <v>42032</v>
      </c>
      <c r="M263" s="144">
        <v>31</v>
      </c>
      <c r="N263" s="286"/>
      <c r="O263" s="222"/>
      <c r="P263" s="222"/>
      <c r="Q263" s="310">
        <v>42395</v>
      </c>
      <c r="R263" s="144">
        <v>29</v>
      </c>
      <c r="S263" s="286"/>
      <c r="T263" s="222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218"/>
      <c r="AK263" s="287"/>
      <c r="AL263" s="287"/>
      <c r="AM263" s="287"/>
      <c r="AN263" s="287"/>
      <c r="AO263" s="287"/>
      <c r="AP263" s="287"/>
      <c r="AQ263" s="222">
        <v>1006</v>
      </c>
      <c r="AR263" s="286">
        <v>31585</v>
      </c>
      <c r="AS263" s="286"/>
      <c r="AT263" s="286"/>
      <c r="AU263" s="286"/>
      <c r="AV263" s="286"/>
      <c r="AW263" s="286"/>
    </row>
    <row r="264" spans="1:49">
      <c r="A264" s="222"/>
      <c r="B264" s="446">
        <v>41303</v>
      </c>
      <c r="C264" s="144">
        <v>35</v>
      </c>
      <c r="D264" s="286"/>
      <c r="E264" s="222"/>
      <c r="G264" s="446"/>
      <c r="H264" s="144"/>
      <c r="I264" s="286"/>
      <c r="J264" s="222"/>
      <c r="L264" s="446">
        <v>42033</v>
      </c>
      <c r="M264" s="144">
        <v>34</v>
      </c>
      <c r="N264" s="286"/>
      <c r="O264" s="222"/>
      <c r="P264" s="222"/>
      <c r="Q264" s="310">
        <v>42396</v>
      </c>
      <c r="R264" s="144">
        <v>25</v>
      </c>
      <c r="S264" s="286"/>
      <c r="T264" s="222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218"/>
      <c r="AK264" s="287"/>
      <c r="AL264" s="287"/>
      <c r="AM264" s="287"/>
      <c r="AN264" s="287"/>
      <c r="AO264" s="287"/>
      <c r="AP264" s="287"/>
      <c r="AQ264" s="222">
        <v>1103</v>
      </c>
      <c r="AR264" s="286">
        <v>33653</v>
      </c>
      <c r="AS264" s="286"/>
      <c r="AT264" s="286"/>
      <c r="AU264" s="286"/>
      <c r="AV264" s="286"/>
      <c r="AW264" s="286"/>
    </row>
    <row r="265" spans="1:49">
      <c r="A265" s="222"/>
      <c r="B265" s="446">
        <v>41304</v>
      </c>
      <c r="C265" s="144">
        <v>28</v>
      </c>
      <c r="D265" s="286"/>
      <c r="E265" s="222"/>
      <c r="G265" s="446"/>
      <c r="H265" s="144"/>
      <c r="I265" s="286"/>
      <c r="J265" s="222"/>
      <c r="L265" s="446">
        <v>42034</v>
      </c>
      <c r="M265" s="144">
        <v>36</v>
      </c>
      <c r="N265" s="286"/>
      <c r="O265" s="222"/>
      <c r="P265" s="222"/>
      <c r="Q265" s="310">
        <v>42397</v>
      </c>
      <c r="R265" s="144">
        <v>26</v>
      </c>
      <c r="S265" s="286"/>
      <c r="T265" s="222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218"/>
      <c r="AK265" s="287"/>
      <c r="AL265" s="287"/>
      <c r="AM265" s="287"/>
      <c r="AN265" s="287"/>
      <c r="AO265" s="287"/>
      <c r="AP265" s="287"/>
      <c r="AQ265" s="222">
        <v>1096</v>
      </c>
      <c r="AR265" s="286">
        <v>32687</v>
      </c>
      <c r="AS265" s="286"/>
      <c r="AT265" s="286"/>
      <c r="AU265" s="286"/>
      <c r="AV265" s="286"/>
      <c r="AW265" s="286"/>
    </row>
    <row r="266" spans="1:49">
      <c r="A266" s="222"/>
      <c r="B266" s="446">
        <v>41305</v>
      </c>
      <c r="C266" s="144">
        <v>28</v>
      </c>
      <c r="D266" s="222"/>
      <c r="E266" s="222"/>
      <c r="G266" s="446"/>
      <c r="H266" s="144"/>
      <c r="I266" s="222"/>
      <c r="J266" s="222"/>
      <c r="L266" s="446">
        <v>42035</v>
      </c>
      <c r="M266" s="144">
        <v>34</v>
      </c>
      <c r="N266" s="222"/>
      <c r="O266" s="222"/>
      <c r="P266" s="222"/>
      <c r="Q266" s="572">
        <v>42398</v>
      </c>
      <c r="R266" s="144">
        <v>31</v>
      </c>
      <c r="S266" s="222"/>
      <c r="T266" s="222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218"/>
      <c r="AK266" s="287"/>
      <c r="AL266" s="287"/>
      <c r="AM266" s="287"/>
      <c r="AN266" s="287"/>
      <c r="AO266" s="287"/>
      <c r="AP266" s="287"/>
      <c r="AQ266" s="222">
        <v>948</v>
      </c>
      <c r="AR266" s="286">
        <v>29844</v>
      </c>
      <c r="AS266" s="286"/>
      <c r="AT266" s="286"/>
      <c r="AU266" s="286"/>
      <c r="AV266" s="286"/>
      <c r="AW266" s="286"/>
    </row>
    <row r="267" spans="1:49">
      <c r="A267" s="350"/>
      <c r="B267" s="314">
        <f>COUNT(B229:B266)</f>
        <v>31</v>
      </c>
      <c r="C267" s="314">
        <f>SUM(C229:C266)</f>
        <v>1243</v>
      </c>
      <c r="D267" s="315">
        <f>SUM(D229:D265)</f>
        <v>0.18649517684887459</v>
      </c>
      <c r="E267" s="314">
        <f>SUM(E229:E265)</f>
        <v>7660.2893890675241</v>
      </c>
      <c r="G267" s="314">
        <f>COUNT(G229:G266)</f>
        <v>28</v>
      </c>
      <c r="H267" s="314">
        <f>SUM(H229:H266)</f>
        <v>1085</v>
      </c>
      <c r="I267" s="315">
        <f>SUM(I229:I265)</f>
        <v>0.25990783410138252</v>
      </c>
      <c r="J267" s="314">
        <f>SUM(J229:J265)</f>
        <v>9257.6571428571424</v>
      </c>
      <c r="L267" s="314">
        <f>COUNT(L229:L266)</f>
        <v>31</v>
      </c>
      <c r="M267" s="314">
        <f>SUM(M229:M266)</f>
        <v>1049</v>
      </c>
      <c r="N267" s="315">
        <f>SUM(N229:N265)</f>
        <v>0.19542421353670159</v>
      </c>
      <c r="O267" s="314">
        <f>SUM(O229:O265)</f>
        <v>6723.3746425166828</v>
      </c>
      <c r="P267" s="350"/>
      <c r="Q267" s="314">
        <f>COUNT(Q229:Q266)</f>
        <v>31</v>
      </c>
      <c r="R267" s="314">
        <f>SUM(R229:R266)</f>
        <v>1080</v>
      </c>
      <c r="S267" s="315">
        <f>SUM(S229:S265)</f>
        <v>0.24308865586272643</v>
      </c>
      <c r="T267" s="314">
        <f>SUM(T229:T265)</f>
        <v>8363.22211630124</v>
      </c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218"/>
      <c r="AK267" s="287"/>
      <c r="AL267" s="287"/>
      <c r="AM267" s="287"/>
      <c r="AN267" s="287"/>
      <c r="AO267" s="287"/>
      <c r="AP267" s="287"/>
      <c r="AQ267" s="222">
        <v>472</v>
      </c>
      <c r="AR267" s="286">
        <v>21482</v>
      </c>
      <c r="AS267" s="286"/>
      <c r="AT267" s="286"/>
      <c r="AU267" s="286"/>
      <c r="AV267" s="286"/>
      <c r="AW267" s="286"/>
    </row>
    <row r="268" spans="1:49">
      <c r="B268" s="310"/>
      <c r="D268" s="309">
        <f>5/C226</f>
        <v>0.16129032258064516</v>
      </c>
      <c r="G268" s="310"/>
      <c r="I268" s="309">
        <f>5/H226</f>
        <v>0.17857142857142858</v>
      </c>
      <c r="K268" s="222"/>
      <c r="L268" s="310"/>
      <c r="N268" s="309">
        <f>5/M226</f>
        <v>0.16129032258064516</v>
      </c>
      <c r="Q268" s="310"/>
      <c r="S268" s="309">
        <f>5/R226</f>
        <v>0.16129032258064516</v>
      </c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K268" s="218"/>
      <c r="AL268" s="218"/>
      <c r="AM268" s="218"/>
      <c r="AN268" s="218"/>
    </row>
    <row r="269" spans="1:49">
      <c r="L269" s="222"/>
      <c r="M269" s="222"/>
      <c r="N269" s="222"/>
      <c r="O269" s="222"/>
      <c r="P269" s="222"/>
      <c r="Q269" s="222"/>
      <c r="R269" s="222"/>
      <c r="S269" s="222"/>
      <c r="T269" s="222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K269" s="218"/>
      <c r="AL269" s="218"/>
      <c r="AM269" s="218"/>
      <c r="AN269" s="218"/>
    </row>
    <row r="270" spans="1:49"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</row>
    <row r="271" spans="1:49"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</row>
    <row r="272" spans="1:49"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</row>
    <row r="273" spans="1:48" ht="13.8">
      <c r="A273" s="288" t="s">
        <v>1173</v>
      </c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O273" s="299"/>
      <c r="AP273" s="299"/>
      <c r="AQ273" s="299"/>
      <c r="AR273" s="299"/>
      <c r="AS273" s="299"/>
      <c r="AT273" s="299"/>
      <c r="AU273" s="299"/>
      <c r="AV273" s="299">
        <f>RSQ(AU276:AU313,AV276:AV313)</f>
        <v>7.6617736166977313E-2</v>
      </c>
    </row>
    <row r="274" spans="1:48" ht="13.8" thickBot="1"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O274" s="298" t="s">
        <v>1174</v>
      </c>
      <c r="AP274" s="298"/>
      <c r="AQ274" s="298"/>
      <c r="AR274" s="298"/>
      <c r="AS274" s="298"/>
      <c r="AT274" s="298"/>
      <c r="AV274" s="218">
        <f>CORREL(AU276:AU313,AV276:AV313)</f>
        <v>0.27679908989550034</v>
      </c>
    </row>
    <row r="275" spans="1:48">
      <c r="A275" s="313" t="s">
        <v>1004</v>
      </c>
      <c r="B275" s="312" t="s">
        <v>1003</v>
      </c>
      <c r="C275" s="311" t="s">
        <v>1002</v>
      </c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O275" s="296" t="s">
        <v>995</v>
      </c>
      <c r="AP275" s="296"/>
      <c r="AQ275" s="296"/>
      <c r="AR275" s="296"/>
      <c r="AS275" s="296"/>
      <c r="AT275" s="296"/>
      <c r="AU275" s="295" t="s">
        <v>994</v>
      </c>
      <c r="AV275" s="295" t="s">
        <v>993</v>
      </c>
    </row>
    <row r="276" spans="1:48">
      <c r="A276" s="308">
        <v>41684</v>
      </c>
      <c r="B276" s="511">
        <v>868</v>
      </c>
      <c r="C276" s="307">
        <f>B276/28</f>
        <v>31</v>
      </c>
      <c r="U276" s="291"/>
      <c r="V276" s="291"/>
      <c r="W276" s="291"/>
      <c r="X276" s="291"/>
      <c r="Y276" s="291"/>
      <c r="Z276" s="291"/>
      <c r="AA276" s="291"/>
      <c r="AB276" s="291"/>
      <c r="AC276" s="291"/>
      <c r="AD276" s="291"/>
      <c r="AE276" s="291"/>
      <c r="AF276" s="291"/>
      <c r="AG276" s="291"/>
      <c r="AH276" s="291"/>
      <c r="AI276" s="291"/>
      <c r="AO276" s="287"/>
      <c r="AP276" s="287"/>
      <c r="AQ276" s="287"/>
      <c r="AR276" s="287"/>
      <c r="AS276" s="287"/>
      <c r="AT276" s="287"/>
      <c r="AU276" s="222">
        <v>106</v>
      </c>
      <c r="AV276" s="286">
        <v>9404</v>
      </c>
    </row>
    <row r="277" spans="1:48">
      <c r="A277" s="308">
        <v>42005</v>
      </c>
      <c r="B277" s="511">
        <v>0</v>
      </c>
      <c r="C277" s="307">
        <f>B277/28</f>
        <v>0</v>
      </c>
      <c r="U277" s="291"/>
      <c r="V277" s="291"/>
      <c r="W277" s="291"/>
      <c r="X277" s="291"/>
      <c r="Y277" s="291"/>
      <c r="Z277" s="291"/>
      <c r="AA277" s="291"/>
      <c r="AB277" s="291"/>
      <c r="AC277" s="291"/>
      <c r="AD277" s="291"/>
      <c r="AE277" s="291"/>
      <c r="AF277" s="291"/>
      <c r="AG277" s="291"/>
      <c r="AH277" s="291"/>
      <c r="AI277" s="291"/>
      <c r="AU277" s="222">
        <v>227</v>
      </c>
      <c r="AV277" s="286">
        <v>0</v>
      </c>
    </row>
    <row r="278" spans="1:48" ht="13.8" thickBot="1">
      <c r="A278" s="306"/>
      <c r="B278" s="512"/>
      <c r="C278" s="305"/>
      <c r="U278" s="291"/>
      <c r="V278" s="291"/>
      <c r="W278" s="291"/>
      <c r="X278" s="291"/>
      <c r="Y278" s="291"/>
      <c r="Z278" s="291"/>
      <c r="AA278" s="291"/>
      <c r="AB278" s="291"/>
      <c r="AC278" s="291"/>
      <c r="AD278" s="291"/>
      <c r="AE278" s="291"/>
      <c r="AF278" s="291"/>
      <c r="AG278" s="291"/>
      <c r="AH278" s="291"/>
      <c r="AI278" s="291"/>
      <c r="AU278" s="222">
        <v>537</v>
      </c>
      <c r="AV278" s="286">
        <v>0</v>
      </c>
    </row>
    <row r="279" spans="1:48">
      <c r="U279" s="291"/>
      <c r="V279" s="291"/>
      <c r="W279" s="291"/>
      <c r="X279" s="291"/>
      <c r="Y279" s="291"/>
      <c r="Z279" s="291"/>
      <c r="AA279" s="291"/>
      <c r="AB279" s="291"/>
      <c r="AC279" s="291"/>
      <c r="AD279" s="291"/>
      <c r="AE279" s="291"/>
      <c r="AF279" s="291"/>
      <c r="AG279" s="291"/>
      <c r="AH279" s="291"/>
      <c r="AI279" s="291"/>
      <c r="AU279" s="222">
        <v>780</v>
      </c>
      <c r="AV279" s="286">
        <v>2171</v>
      </c>
    </row>
    <row r="280" spans="1:48">
      <c r="U280" s="291"/>
      <c r="V280" s="291"/>
      <c r="W280" s="291"/>
      <c r="X280" s="291"/>
      <c r="Y280" s="291"/>
      <c r="Z280" s="291"/>
      <c r="AA280" s="291"/>
      <c r="AB280" s="291"/>
      <c r="AC280" s="291"/>
      <c r="AD280" s="291"/>
      <c r="AE280" s="291"/>
      <c r="AF280" s="291"/>
      <c r="AG280" s="291"/>
      <c r="AH280" s="291"/>
      <c r="AI280" s="291"/>
      <c r="AU280" s="222">
        <v>1085</v>
      </c>
      <c r="AV280" s="286">
        <v>868</v>
      </c>
    </row>
    <row r="281" spans="1:48">
      <c r="U281" s="291"/>
      <c r="V281" s="291"/>
      <c r="W281" s="291"/>
      <c r="X281" s="291"/>
      <c r="Y281" s="291"/>
      <c r="Z281" s="291"/>
      <c r="AA281" s="291"/>
      <c r="AB281" s="291"/>
      <c r="AC281" s="291"/>
      <c r="AD281" s="291"/>
      <c r="AE281" s="291"/>
      <c r="AF281" s="291"/>
      <c r="AG281" s="291"/>
      <c r="AH281" s="291"/>
      <c r="AI281" s="291"/>
      <c r="AO281" s="287"/>
      <c r="AP281" s="287"/>
      <c r="AQ281" s="287"/>
      <c r="AR281" s="287"/>
      <c r="AS281" s="287"/>
      <c r="AT281" s="287"/>
      <c r="AU281" s="222">
        <v>1084</v>
      </c>
      <c r="AV281" s="286">
        <v>140615</v>
      </c>
    </row>
    <row r="282" spans="1:48">
      <c r="U282" s="291"/>
      <c r="V282" s="291"/>
      <c r="W282" s="291"/>
      <c r="X282" s="291"/>
      <c r="Y282" s="291"/>
      <c r="Z282" s="291"/>
      <c r="AA282" s="291"/>
      <c r="AB282" s="291"/>
      <c r="AC282" s="291"/>
      <c r="AD282" s="291"/>
      <c r="AE282" s="291"/>
      <c r="AF282" s="291"/>
      <c r="AG282" s="291"/>
      <c r="AH282" s="291"/>
      <c r="AI282" s="291"/>
      <c r="AO282" s="287"/>
      <c r="AP282" s="287"/>
      <c r="AQ282" s="287"/>
      <c r="AR282" s="287"/>
      <c r="AS282" s="287"/>
      <c r="AT282" s="287"/>
      <c r="AU282" s="222">
        <v>1213</v>
      </c>
      <c r="AV282" s="286">
        <v>95402</v>
      </c>
    </row>
    <row r="283" spans="1:48">
      <c r="U283" s="291"/>
      <c r="V283" s="291"/>
      <c r="W283" s="291"/>
      <c r="X283" s="291"/>
      <c r="Y283" s="291"/>
      <c r="Z283" s="291"/>
      <c r="AA283" s="291"/>
      <c r="AB283" s="291"/>
      <c r="AC283" s="291"/>
      <c r="AD283" s="291"/>
      <c r="AE283" s="291"/>
      <c r="AF283" s="291"/>
      <c r="AG283" s="291"/>
      <c r="AH283" s="291"/>
      <c r="AI283" s="291"/>
      <c r="AO283" s="287"/>
      <c r="AP283" s="287"/>
      <c r="AQ283" s="287"/>
      <c r="AR283" s="287"/>
      <c r="AS283" s="287"/>
      <c r="AT283" s="287"/>
      <c r="AU283" s="222">
        <v>898</v>
      </c>
      <c r="AV283" s="286">
        <v>0</v>
      </c>
    </row>
    <row r="284" spans="1:48">
      <c r="U284" s="291"/>
      <c r="V284" s="291"/>
      <c r="W284" s="291"/>
      <c r="X284" s="291"/>
      <c r="Y284" s="291"/>
      <c r="Z284" s="291"/>
      <c r="AA284" s="291"/>
      <c r="AB284" s="291"/>
      <c r="AC284" s="291"/>
      <c r="AD284" s="291"/>
      <c r="AE284" s="291"/>
      <c r="AF284" s="291"/>
      <c r="AG284" s="291"/>
      <c r="AH284" s="291"/>
      <c r="AI284" s="291"/>
      <c r="AO284" s="287"/>
      <c r="AP284" s="287"/>
      <c r="AQ284" s="287"/>
      <c r="AR284" s="287"/>
      <c r="AS284" s="287"/>
      <c r="AT284" s="287"/>
      <c r="AU284" s="222">
        <v>590</v>
      </c>
      <c r="AV284" s="286">
        <v>0</v>
      </c>
    </row>
    <row r="285" spans="1:48">
      <c r="U285" s="291"/>
      <c r="V285" s="291"/>
      <c r="W285" s="291"/>
      <c r="X285" s="291"/>
      <c r="Y285" s="291"/>
      <c r="Z285" s="291"/>
      <c r="AA285" s="291"/>
      <c r="AB285" s="291"/>
      <c r="AC285" s="291"/>
      <c r="AD285" s="291"/>
      <c r="AE285" s="291"/>
      <c r="AF285" s="291"/>
      <c r="AG285" s="291"/>
      <c r="AH285" s="291"/>
      <c r="AI285" s="291"/>
      <c r="AO285" s="287"/>
      <c r="AP285" s="287"/>
      <c r="AQ285" s="287"/>
      <c r="AR285" s="287"/>
      <c r="AS285" s="287"/>
      <c r="AT285" s="287"/>
      <c r="AU285" s="222">
        <v>160</v>
      </c>
      <c r="AV285" s="286">
        <v>0</v>
      </c>
    </row>
    <row r="286" spans="1:48"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O286" s="287"/>
      <c r="AP286" s="287"/>
      <c r="AQ286" s="287"/>
      <c r="AR286" s="287"/>
      <c r="AS286" s="287"/>
      <c r="AT286" s="287"/>
      <c r="AU286" s="222">
        <v>7</v>
      </c>
      <c r="AV286" s="286">
        <v>0</v>
      </c>
    </row>
    <row r="287" spans="1:48"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O287" s="287"/>
      <c r="AP287" s="287"/>
      <c r="AQ287" s="287"/>
      <c r="AR287" s="287"/>
      <c r="AS287" s="287"/>
      <c r="AT287" s="287"/>
      <c r="AU287" s="222">
        <v>0</v>
      </c>
      <c r="AV287" s="286">
        <v>122646</v>
      </c>
    </row>
    <row r="288" spans="1:48"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O288" s="287"/>
      <c r="AP288" s="287"/>
      <c r="AQ288" s="287"/>
      <c r="AR288" s="287"/>
      <c r="AS288" s="287"/>
      <c r="AT288" s="287"/>
      <c r="AU288" s="222">
        <v>146</v>
      </c>
      <c r="AV288" s="286">
        <v>51876</v>
      </c>
    </row>
    <row r="289" spans="1:48"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O289" s="287"/>
      <c r="AP289" s="287"/>
      <c r="AQ289" s="287"/>
      <c r="AR289" s="287"/>
      <c r="AS289" s="287"/>
      <c r="AT289" s="287"/>
      <c r="AU289" s="222">
        <v>272</v>
      </c>
      <c r="AV289" s="286">
        <v>0</v>
      </c>
    </row>
    <row r="290" spans="1:48"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O290" s="287"/>
      <c r="AP290" s="287"/>
      <c r="AQ290" s="287"/>
      <c r="AR290" s="287"/>
      <c r="AS290" s="287"/>
      <c r="AT290" s="287"/>
      <c r="AU290" s="222">
        <v>561</v>
      </c>
      <c r="AV290" s="286">
        <v>0</v>
      </c>
    </row>
    <row r="291" spans="1:48"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O291" s="287"/>
      <c r="AP291" s="287"/>
      <c r="AQ291" s="287"/>
      <c r="AR291" s="287"/>
      <c r="AS291" s="287"/>
      <c r="AT291" s="287"/>
      <c r="AU291" s="222">
        <v>730</v>
      </c>
      <c r="AV291" s="286">
        <v>0</v>
      </c>
    </row>
    <row r="292" spans="1:48"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O292" s="287"/>
      <c r="AP292" s="287"/>
      <c r="AQ292" s="287"/>
      <c r="AR292" s="287"/>
      <c r="AS292" s="287"/>
      <c r="AT292" s="287"/>
      <c r="AU292" s="222">
        <v>874</v>
      </c>
      <c r="AV292" s="286">
        <v>0</v>
      </c>
    </row>
    <row r="293" spans="1:48">
      <c r="AO293" s="287"/>
      <c r="AP293" s="287"/>
      <c r="AQ293" s="287"/>
      <c r="AR293" s="287"/>
      <c r="AS293" s="287"/>
      <c r="AT293" s="287"/>
      <c r="AU293" s="222">
        <v>1244</v>
      </c>
      <c r="AV293" s="286">
        <v>181443</v>
      </c>
    </row>
    <row r="294" spans="1:48">
      <c r="AO294" s="287"/>
      <c r="AP294" s="287"/>
      <c r="AQ294" s="287"/>
      <c r="AR294" s="287"/>
      <c r="AS294" s="287"/>
      <c r="AT294" s="287"/>
      <c r="AU294" s="222">
        <v>1040</v>
      </c>
      <c r="AV294" s="286">
        <v>0</v>
      </c>
    </row>
    <row r="295" spans="1:48">
      <c r="AO295" s="287"/>
      <c r="AP295" s="287"/>
      <c r="AQ295" s="287"/>
      <c r="AR295" s="287"/>
      <c r="AS295" s="287"/>
      <c r="AT295" s="287"/>
      <c r="AU295" s="222">
        <v>769</v>
      </c>
      <c r="AV295" s="286">
        <v>0</v>
      </c>
    </row>
    <row r="296" spans="1:48">
      <c r="AU296" s="218">
        <v>504</v>
      </c>
      <c r="AV296" s="218">
        <v>0</v>
      </c>
    </row>
    <row r="297" spans="1:48">
      <c r="AU297" s="218">
        <v>68</v>
      </c>
      <c r="AV297" s="218">
        <v>0</v>
      </c>
    </row>
    <row r="300" spans="1:48" ht="13.8">
      <c r="A300" s="288" t="s">
        <v>1183</v>
      </c>
      <c r="AO300" s="299"/>
      <c r="AP300" s="299"/>
      <c r="AQ300" s="299"/>
      <c r="AR300" s="299"/>
      <c r="AS300" s="299"/>
      <c r="AT300" s="299"/>
      <c r="AU300" s="299"/>
      <c r="AV300" s="299">
        <f>RSQ(AU303:AU338,AV303:AV338)</f>
        <v>0.52132983302306046</v>
      </c>
    </row>
    <row r="301" spans="1:48" ht="13.8" thickBot="1">
      <c r="AO301" s="298" t="s">
        <v>1174</v>
      </c>
      <c r="AP301" s="298"/>
      <c r="AQ301" s="298"/>
      <c r="AR301" s="298"/>
      <c r="AS301" s="298"/>
      <c r="AT301" s="298"/>
      <c r="AV301" s="218">
        <f>CORREL(AU303:AU338,AV303:AV338)</f>
        <v>0.72203173962303091</v>
      </c>
    </row>
    <row r="302" spans="1:48">
      <c r="A302" s="313" t="s">
        <v>1004</v>
      </c>
      <c r="B302" s="312" t="s">
        <v>1003</v>
      </c>
      <c r="C302" s="311" t="s">
        <v>1002</v>
      </c>
      <c r="AO302" s="296" t="s">
        <v>995</v>
      </c>
      <c r="AP302" s="296"/>
      <c r="AQ302" s="296"/>
      <c r="AR302" s="296"/>
      <c r="AS302" s="296"/>
      <c r="AT302" s="296"/>
      <c r="AU302" s="295" t="s">
        <v>994</v>
      </c>
      <c r="AV302" s="295" t="s">
        <v>993</v>
      </c>
    </row>
    <row r="303" spans="1:48">
      <c r="A303" s="308">
        <v>41275</v>
      </c>
      <c r="B303" s="511">
        <v>24745</v>
      </c>
      <c r="C303" s="307">
        <f>B303/28</f>
        <v>883.75</v>
      </c>
      <c r="AO303" s="287"/>
      <c r="AP303" s="287"/>
      <c r="AQ303" s="287"/>
      <c r="AR303" s="287"/>
      <c r="AS303" s="287"/>
      <c r="AT303" s="287"/>
      <c r="AU303" s="222">
        <v>197</v>
      </c>
      <c r="AV303" s="286">
        <v>27076</v>
      </c>
    </row>
    <row r="304" spans="1:48">
      <c r="A304" s="308">
        <v>41671</v>
      </c>
      <c r="B304" s="511">
        <v>30079</v>
      </c>
      <c r="C304" s="307">
        <f>B304/28</f>
        <v>1074.25</v>
      </c>
      <c r="AU304" s="222">
        <v>11</v>
      </c>
      <c r="AV304" s="286">
        <v>24366</v>
      </c>
    </row>
    <row r="305" spans="1:48">
      <c r="A305" s="308">
        <v>42006</v>
      </c>
      <c r="B305" s="511">
        <v>25318</v>
      </c>
      <c r="C305" s="307">
        <f>B305/28</f>
        <v>904.21428571428567</v>
      </c>
      <c r="AU305" s="222">
        <v>5</v>
      </c>
      <c r="AV305" s="286">
        <v>26621</v>
      </c>
    </row>
    <row r="306" spans="1:48">
      <c r="AU306" s="222">
        <v>25</v>
      </c>
      <c r="AV306" s="286">
        <v>24128</v>
      </c>
    </row>
    <row r="307" spans="1:48">
      <c r="AU307" s="222">
        <v>157</v>
      </c>
      <c r="AV307" s="286">
        <v>20184</v>
      </c>
    </row>
    <row r="308" spans="1:48">
      <c r="AO308" s="287"/>
      <c r="AP308" s="287"/>
      <c r="AQ308" s="287"/>
      <c r="AR308" s="287"/>
      <c r="AS308" s="287"/>
      <c r="AT308" s="287"/>
      <c r="AU308" s="222">
        <v>519</v>
      </c>
      <c r="AV308" s="286">
        <v>26106</v>
      </c>
    </row>
    <row r="309" spans="1:48">
      <c r="AO309" s="287"/>
      <c r="AP309" s="287"/>
      <c r="AQ309" s="287"/>
      <c r="AR309" s="287"/>
      <c r="AS309" s="287"/>
      <c r="AT309" s="287"/>
      <c r="AU309" s="222">
        <v>597</v>
      </c>
      <c r="AV309" s="286">
        <v>28411</v>
      </c>
    </row>
    <row r="310" spans="1:48">
      <c r="AO310" s="287"/>
      <c r="AP310" s="287"/>
      <c r="AQ310" s="287"/>
      <c r="AR310" s="287"/>
      <c r="AS310" s="287"/>
      <c r="AT310" s="287"/>
      <c r="AU310" s="222">
        <v>713</v>
      </c>
      <c r="AV310" s="286">
        <v>25318</v>
      </c>
    </row>
    <row r="311" spans="1:48">
      <c r="AO311" s="287"/>
      <c r="AP311" s="287"/>
      <c r="AQ311" s="287"/>
      <c r="AR311" s="287"/>
      <c r="AS311" s="287"/>
      <c r="AT311" s="287"/>
      <c r="AU311" s="222">
        <v>1049</v>
      </c>
      <c r="AV311" s="286">
        <v>31759</v>
      </c>
    </row>
    <row r="312" spans="1:48">
      <c r="AO312" s="287"/>
      <c r="AP312" s="287"/>
      <c r="AQ312" s="287"/>
      <c r="AR312" s="287"/>
      <c r="AS312" s="287"/>
      <c r="AT312" s="287"/>
      <c r="AU312" s="222">
        <v>991</v>
      </c>
      <c r="AV312" s="286">
        <v>30552</v>
      </c>
    </row>
    <row r="313" spans="1:48">
      <c r="AO313" s="287"/>
      <c r="AP313" s="287"/>
      <c r="AQ313" s="287"/>
      <c r="AR313" s="287"/>
      <c r="AS313" s="287"/>
      <c r="AT313" s="287"/>
      <c r="AU313" s="222">
        <v>906</v>
      </c>
      <c r="AV313" s="286">
        <v>27842</v>
      </c>
    </row>
    <row r="314" spans="1:48">
      <c r="AO314" s="287"/>
      <c r="AP314" s="287"/>
      <c r="AQ314" s="287"/>
      <c r="AR314" s="287"/>
      <c r="AS314" s="287"/>
      <c r="AT314" s="287"/>
      <c r="AU314" s="222">
        <v>357</v>
      </c>
      <c r="AV314" s="286">
        <v>26922</v>
      </c>
    </row>
    <row r="315" spans="1:48">
      <c r="AO315" s="287"/>
      <c r="AP315" s="287"/>
      <c r="AQ315" s="287"/>
      <c r="AR315" s="287"/>
      <c r="AS315" s="287"/>
      <c r="AT315" s="287"/>
      <c r="AU315" s="222"/>
      <c r="AV315" s="286"/>
    </row>
    <row r="316" spans="1:48">
      <c r="AO316" s="287"/>
      <c r="AP316" s="287"/>
      <c r="AQ316" s="287"/>
      <c r="AR316" s="287"/>
      <c r="AS316" s="287"/>
      <c r="AT316" s="287"/>
      <c r="AU316" s="222"/>
      <c r="AV316" s="286"/>
    </row>
    <row r="317" spans="1:48" ht="13.8">
      <c r="A317" s="288" t="s">
        <v>1205</v>
      </c>
      <c r="AO317" s="287"/>
      <c r="AP317" s="287"/>
      <c r="AQ317" s="287"/>
      <c r="AR317" s="287"/>
      <c r="AS317" s="287"/>
      <c r="AT317" s="287"/>
      <c r="AU317" s="222"/>
      <c r="AV317" s="286"/>
    </row>
    <row r="318" spans="1:48" ht="13.8" thickBot="1">
      <c r="AO318" s="287"/>
      <c r="AP318" s="287"/>
      <c r="AQ318" s="287"/>
      <c r="AR318" s="287"/>
      <c r="AS318" s="287"/>
      <c r="AT318" s="287"/>
      <c r="AU318" s="222"/>
      <c r="AV318" s="286"/>
    </row>
    <row r="319" spans="1:48">
      <c r="A319" s="313" t="s">
        <v>1004</v>
      </c>
      <c r="B319" s="312" t="s">
        <v>1003</v>
      </c>
      <c r="C319" s="311" t="s">
        <v>1002</v>
      </c>
      <c r="AO319" s="287"/>
      <c r="AP319" s="287"/>
      <c r="AQ319" s="287"/>
      <c r="AR319" s="287"/>
      <c r="AS319" s="287"/>
      <c r="AT319" s="287"/>
      <c r="AU319" s="222"/>
      <c r="AV319" s="286"/>
    </row>
    <row r="320" spans="1:48">
      <c r="A320" s="308">
        <v>41671</v>
      </c>
      <c r="B320" s="511">
        <v>51827</v>
      </c>
      <c r="C320" s="307">
        <f>B320/28</f>
        <v>1850.9642857142858</v>
      </c>
      <c r="AO320" s="287"/>
      <c r="AP320" s="287"/>
      <c r="AQ320" s="287"/>
      <c r="AR320" s="287"/>
      <c r="AS320" s="287"/>
      <c r="AT320" s="287"/>
      <c r="AU320" s="222"/>
      <c r="AV320" s="286"/>
    </row>
    <row r="321" spans="1:48">
      <c r="A321" s="308">
        <v>42006</v>
      </c>
      <c r="B321" s="511">
        <v>50383</v>
      </c>
      <c r="C321" s="307">
        <f>B321/31</f>
        <v>1625.258064516129</v>
      </c>
      <c r="AO321" s="287"/>
      <c r="AP321" s="287"/>
      <c r="AQ321" s="287"/>
      <c r="AR321" s="287"/>
      <c r="AS321" s="287"/>
      <c r="AT321" s="287"/>
      <c r="AU321" s="222"/>
      <c r="AV321" s="286"/>
    </row>
    <row r="322" spans="1:48">
      <c r="A322" s="308">
        <v>42372</v>
      </c>
      <c r="B322" s="511">
        <v>44792</v>
      </c>
      <c r="C322" s="307">
        <f>B322/31</f>
        <v>1444.9032258064517</v>
      </c>
    </row>
  </sheetData>
  <pageMargins left="0.5" right="0.5" top="1" bottom="1" header="0.5" footer="0.5"/>
  <pageSetup scale="74" fitToHeight="3" orientation="landscape" r:id="rId1"/>
  <headerFooter alignWithMargins="0">
    <oddFooter>&amp;R&amp;F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>
    <tabColor theme="5" tint="0.39997558519241921"/>
    <pageSetUpPr fitToPage="1"/>
  </sheetPr>
  <dimension ref="A1:AD81"/>
  <sheetViews>
    <sheetView zoomScale="75" zoomScaleNormal="75" workbookViewId="0">
      <pane xSplit="2" ySplit="2" topLeftCell="C3" activePane="bottomRight" state="frozen"/>
      <selection activeCell="N53" sqref="N53"/>
      <selection pane="topRight" activeCell="N53" sqref="N53"/>
      <selection pane="bottomLeft" activeCell="N53" sqref="N53"/>
      <selection pane="bottomRight" activeCell="C23" sqref="C23"/>
    </sheetView>
  </sheetViews>
  <sheetFormatPr defaultColWidth="9.21875" defaultRowHeight="13.2"/>
  <cols>
    <col min="1" max="1" width="42" style="221" customWidth="1"/>
    <col min="2" max="2" width="5.21875" style="220" customWidth="1"/>
    <col min="3" max="3" width="10" style="218" customWidth="1"/>
    <col min="4" max="8" width="10.77734375" style="218" customWidth="1"/>
    <col min="9" max="9" width="2.77734375" style="218" customWidth="1"/>
    <col min="10" max="15" width="11" style="218" customWidth="1"/>
    <col min="16" max="16" width="2.77734375" style="218" customWidth="1"/>
    <col min="17" max="22" width="11.44140625" style="222" customWidth="1"/>
    <col min="23" max="23" width="1.77734375" style="218" customWidth="1"/>
    <col min="24" max="16384" width="9.21875" style="218"/>
  </cols>
  <sheetData>
    <row r="1" spans="1:22">
      <c r="C1" s="347" t="s">
        <v>1209</v>
      </c>
      <c r="D1" s="346"/>
      <c r="E1" s="346"/>
      <c r="F1" s="346"/>
      <c r="G1" s="346"/>
      <c r="H1" s="346"/>
      <c r="J1" s="345" t="s">
        <v>1210</v>
      </c>
      <c r="K1" s="346"/>
      <c r="L1" s="346"/>
      <c r="M1" s="346"/>
      <c r="N1" s="346"/>
      <c r="O1" s="346"/>
      <c r="Q1" s="345" t="s">
        <v>1343</v>
      </c>
      <c r="R1" s="344"/>
      <c r="S1" s="344"/>
      <c r="T1" s="344"/>
      <c r="U1" s="344"/>
      <c r="V1" s="344"/>
    </row>
    <row r="2" spans="1:22" ht="14.4" thickBot="1">
      <c r="A2" s="767"/>
      <c r="B2" s="343" t="s">
        <v>1041</v>
      </c>
      <c r="C2" s="342">
        <f>'Demand - Firm Peak by Sch'!D24</f>
        <v>42738</v>
      </c>
      <c r="D2" s="342">
        <f>'Demand - Firm Peak by Sch'!E24</f>
        <v>42739</v>
      </c>
      <c r="E2" s="342">
        <f>'Demand - Firm Peak by Sch'!F24</f>
        <v>42740</v>
      </c>
      <c r="F2" s="342">
        <f>'Demand - Firm Peak by Sch'!G24</f>
        <v>42741</v>
      </c>
      <c r="G2" s="342">
        <f>'Demand - Firm Peak by Sch'!H24</f>
        <v>42742</v>
      </c>
      <c r="H2" s="340"/>
      <c r="I2" s="340"/>
      <c r="J2" s="342">
        <f>'Demand - Firm Peak by Sch'!I24</f>
        <v>43149</v>
      </c>
      <c r="K2" s="342">
        <f>'Demand - Firm Peak by Sch'!J24</f>
        <v>43150</v>
      </c>
      <c r="L2" s="342">
        <f>'Demand - Firm Peak by Sch'!K24</f>
        <v>43151</v>
      </c>
      <c r="M2" s="342">
        <f>'Demand - Firm Peak by Sch'!L24</f>
        <v>43152</v>
      </c>
      <c r="N2" s="342">
        <f>'Demand - Firm Peak by Sch'!M24</f>
        <v>43153</v>
      </c>
      <c r="O2" s="341"/>
      <c r="P2" s="340"/>
      <c r="Q2" s="339">
        <f>'Demand - Firm Peak by Sch'!N24</f>
        <v>43502</v>
      </c>
      <c r="R2" s="339">
        <f>'Demand - Firm Peak by Sch'!O24</f>
        <v>43503</v>
      </c>
      <c r="S2" s="339">
        <f>'Demand - Firm Peak by Sch'!P24</f>
        <v>43504</v>
      </c>
      <c r="T2" s="339">
        <f>'Demand - Firm Peak by Sch'!Q24</f>
        <v>43505</v>
      </c>
      <c r="U2" s="339">
        <f>'Demand - Firm Peak by Sch'!R24</f>
        <v>43506</v>
      </c>
      <c r="V2" s="338"/>
    </row>
    <row r="3" spans="1:22">
      <c r="A3" s="224" t="s">
        <v>1040</v>
      </c>
      <c r="C3" s="144">
        <v>1917175</v>
      </c>
      <c r="D3" s="144">
        <v>1996204</v>
      </c>
      <c r="E3" s="144">
        <v>2080328</v>
      </c>
      <c r="F3" s="144">
        <v>1975268</v>
      </c>
      <c r="G3" s="144">
        <v>1833545</v>
      </c>
      <c r="H3" s="325">
        <f>SUM(C3:G3)</f>
        <v>9802520</v>
      </c>
      <c r="J3" s="144">
        <v>1648522</v>
      </c>
      <c r="K3" s="144">
        <v>1774961</v>
      </c>
      <c r="L3" s="144">
        <v>1792876</v>
      </c>
      <c r="M3" s="144">
        <v>1701575</v>
      </c>
      <c r="N3" s="144">
        <v>1610940</v>
      </c>
      <c r="O3" s="325">
        <f>SUM(J3:N3)</f>
        <v>8528874</v>
      </c>
      <c r="Q3" s="144">
        <v>1742433</v>
      </c>
      <c r="R3" s="144">
        <v>1623197</v>
      </c>
      <c r="S3" s="144">
        <v>1517800</v>
      </c>
      <c r="T3" s="144">
        <v>1769812</v>
      </c>
      <c r="U3" s="144">
        <v>1716290</v>
      </c>
      <c r="V3" s="324">
        <f>SUM(Q3:U3)</f>
        <v>8369532</v>
      </c>
    </row>
    <row r="4" spans="1:22">
      <c r="A4" s="334" t="s">
        <v>1018</v>
      </c>
      <c r="C4" s="287">
        <f>-C27-C28</f>
        <v>-4522.0507614213202</v>
      </c>
      <c r="D4" s="287">
        <f>-D27-D28</f>
        <v>-5275.7258883248742</v>
      </c>
      <c r="E4" s="287">
        <f>-E27-E28</f>
        <v>-5814.0652646845538</v>
      </c>
      <c r="F4" s="287">
        <f>-F27-F28</f>
        <v>-6137.0688905003626</v>
      </c>
      <c r="G4" s="287">
        <f>-G27-G28</f>
        <v>-6352.4046410442352</v>
      </c>
      <c r="H4" s="325">
        <f>SUM(C4:G4)</f>
        <v>-28101.315445975346</v>
      </c>
      <c r="J4" s="287">
        <f>-J27-J28</f>
        <v>-5090.6776859504134</v>
      </c>
      <c r="K4" s="287">
        <f>-K27-K28</f>
        <v>-6302.7438016528922</v>
      </c>
      <c r="L4" s="287">
        <f>-L27-L28</f>
        <v>-6060.3305785123966</v>
      </c>
      <c r="M4" s="287">
        <f>-M27-M28</f>
        <v>-6181.5371900826449</v>
      </c>
      <c r="N4" s="287">
        <f>-N27-N28</f>
        <v>-5454.2975206611573</v>
      </c>
      <c r="O4" s="325">
        <f>SUM(J4:N4)</f>
        <v>-29089.586776859505</v>
      </c>
      <c r="Q4" s="286">
        <f>-Q27-Q28</f>
        <v>-5455.7471264367814</v>
      </c>
      <c r="R4" s="286">
        <f>-R27-R28</f>
        <v>-5455.7471264367814</v>
      </c>
      <c r="S4" s="286">
        <f>-S27-S28</f>
        <v>-4691.9425287356316</v>
      </c>
      <c r="T4" s="286">
        <f>-T27-T28</f>
        <v>-5455.7471264367814</v>
      </c>
      <c r="U4" s="286">
        <f>-U27-U28</f>
        <v>-6001.3218390804595</v>
      </c>
      <c r="V4" s="324">
        <f>SUM(Q4:U4)</f>
        <v>-27060.505747126437</v>
      </c>
    </row>
    <row r="5" spans="1:22">
      <c r="A5" s="334" t="s">
        <v>1017</v>
      </c>
      <c r="C5" s="287">
        <f>-C73</f>
        <v>-350167.97461928934</v>
      </c>
      <c r="D5" s="287">
        <f>-D73</f>
        <v>-357864.13705583755</v>
      </c>
      <c r="E5" s="287">
        <f>-E73</f>
        <v>-363073.53879622917</v>
      </c>
      <c r="F5" s="287">
        <f>-F73</f>
        <v>-368495.17984046409</v>
      </c>
      <c r="G5" s="287">
        <f>-G73</f>
        <v>-338143.94053662074</v>
      </c>
      <c r="H5" s="325">
        <f>SUM(C5:G5)</f>
        <v>-1777744.7708484412</v>
      </c>
      <c r="J5" s="287">
        <f>-J73</f>
        <v>-326258.75206611573</v>
      </c>
      <c r="K5" s="287">
        <f>-K73</f>
        <v>-348065.26446280989</v>
      </c>
      <c r="L5" s="287">
        <f>-L73</f>
        <v>-324364.56198347104</v>
      </c>
      <c r="M5" s="287">
        <f>-M73</f>
        <v>-348926.91322314052</v>
      </c>
      <c r="N5" s="287">
        <f>-N73</f>
        <v>-337885.80578512396</v>
      </c>
      <c r="O5" s="325">
        <f>SUM(J5:N5)</f>
        <v>-1685501.297520661</v>
      </c>
      <c r="Q5" s="286">
        <f>-Q73</f>
        <v>-349734.31198686373</v>
      </c>
      <c r="R5" s="286">
        <f>-R73</f>
        <v>-327997.31198686373</v>
      </c>
      <c r="S5" s="286">
        <f>-S73</f>
        <v>-278315.16830870276</v>
      </c>
      <c r="T5" s="286">
        <f>-T73</f>
        <v>-270975.31198686373</v>
      </c>
      <c r="U5" s="286">
        <f>-U73</f>
        <v>-261837.84318555007</v>
      </c>
      <c r="V5" s="324">
        <f>SUM(Q5:U5)</f>
        <v>-1488859.9474548441</v>
      </c>
    </row>
    <row r="6" spans="1:22">
      <c r="A6" s="768" t="s">
        <v>1039</v>
      </c>
      <c r="C6" s="328">
        <f>SUM(C3:C5)</f>
        <v>1562484.9746192894</v>
      </c>
      <c r="D6" s="328">
        <f>SUM(D3:D5)</f>
        <v>1633064.1370558375</v>
      </c>
      <c r="E6" s="328">
        <f>SUM(E3:E5)</f>
        <v>1711440.3959390861</v>
      </c>
      <c r="F6" s="328">
        <f>SUM(F3:F5)</f>
        <v>1600635.7512690355</v>
      </c>
      <c r="G6" s="328">
        <f>SUM(G3:G5)</f>
        <v>1489048.6548223349</v>
      </c>
      <c r="H6" s="328">
        <f>IF(ROUND(SUM(H3:H5),0)&lt;&gt;ROUND(SUM(C6:G6),0),#VALUE!,SUM(C6:G6))</f>
        <v>7996673.9137055837</v>
      </c>
      <c r="J6" s="328">
        <f>SUM(J3:J5)</f>
        <v>1317172.5702479337</v>
      </c>
      <c r="K6" s="328">
        <f>SUM(K3:K5)</f>
        <v>1420592.9917355371</v>
      </c>
      <c r="L6" s="328">
        <f>SUM(L3:L5)</f>
        <v>1462451.1074380165</v>
      </c>
      <c r="M6" s="328">
        <f>SUM(M3:M5)</f>
        <v>1346466.5495867766</v>
      </c>
      <c r="N6" s="328">
        <f>SUM(N3:N5)</f>
        <v>1267599.8966942148</v>
      </c>
      <c r="O6" s="328">
        <f>IF(ROUND(SUM(O3:O5),0)&lt;&gt;ROUND(SUM(J6:N6),0),#VALUE!,SUM(J6:N6))</f>
        <v>6814283.1157024791</v>
      </c>
      <c r="Q6" s="327">
        <f>SUM(Q3:Q5)</f>
        <v>1387242.9408866996</v>
      </c>
      <c r="R6" s="327">
        <f>SUM(R3:R5)</f>
        <v>1289743.9408866996</v>
      </c>
      <c r="S6" s="327">
        <f>SUM(S3:S5)</f>
        <v>1234792.8891625616</v>
      </c>
      <c r="T6" s="327">
        <f>SUM(T3:T5)</f>
        <v>1493380.9408866996</v>
      </c>
      <c r="U6" s="327">
        <f>SUM(U3:U5)</f>
        <v>1448450.8349753695</v>
      </c>
      <c r="V6" s="327">
        <f>IF(ROUND(SUM(V3:V5),0)&lt;&gt;ROUND(SUM(Q6:U6),0),#VALUE!,SUM(Q6:U6))</f>
        <v>6853611.5467980299</v>
      </c>
    </row>
    <row r="7" spans="1:22">
      <c r="A7" s="334" t="s">
        <v>1016</v>
      </c>
      <c r="H7" s="144"/>
      <c r="O7" s="303"/>
      <c r="V7" s="144"/>
    </row>
    <row r="8" spans="1:22">
      <c r="A8" s="334"/>
      <c r="H8" s="318"/>
      <c r="O8" s="318"/>
      <c r="V8" s="317"/>
    </row>
    <row r="9" spans="1:22">
      <c r="A9" s="768" t="s">
        <v>842</v>
      </c>
      <c r="C9" s="287">
        <f>C3</f>
        <v>1917175</v>
      </c>
      <c r="D9" s="287">
        <f>D3</f>
        <v>1996204</v>
      </c>
      <c r="E9" s="287">
        <f>E3</f>
        <v>2080328</v>
      </c>
      <c r="F9" s="287">
        <f>F3</f>
        <v>1975268</v>
      </c>
      <c r="G9" s="287">
        <f>G3</f>
        <v>1833545</v>
      </c>
      <c r="H9" s="325">
        <f>SUM(C9:G9)</f>
        <v>9802520</v>
      </c>
      <c r="J9" s="287">
        <f>J3</f>
        <v>1648522</v>
      </c>
      <c r="K9" s="287">
        <f>K3</f>
        <v>1774961</v>
      </c>
      <c r="L9" s="287">
        <f>L3</f>
        <v>1792876</v>
      </c>
      <c r="M9" s="287">
        <f>M3</f>
        <v>1701575</v>
      </c>
      <c r="N9" s="287">
        <f>N3</f>
        <v>1610940</v>
      </c>
      <c r="O9" s="325">
        <f>SUM(J9:N9)</f>
        <v>8528874</v>
      </c>
      <c r="Q9" s="286">
        <f>Q3</f>
        <v>1742433</v>
      </c>
      <c r="R9" s="286">
        <f>R3</f>
        <v>1623197</v>
      </c>
      <c r="S9" s="286">
        <f>S3</f>
        <v>1517800</v>
      </c>
      <c r="T9" s="286">
        <f>T3</f>
        <v>1769812</v>
      </c>
      <c r="U9" s="286">
        <f>U3</f>
        <v>1716290</v>
      </c>
      <c r="V9" s="324">
        <f>SUM(Q9:U9)</f>
        <v>8369532</v>
      </c>
    </row>
    <row r="10" spans="1:22">
      <c r="A10" s="768" t="s">
        <v>1038</v>
      </c>
      <c r="C10" s="287"/>
      <c r="D10" s="287"/>
      <c r="E10" s="287"/>
      <c r="F10" s="287"/>
      <c r="G10" s="287"/>
      <c r="H10" s="325"/>
      <c r="O10" s="303"/>
      <c r="V10" s="144"/>
    </row>
    <row r="11" spans="1:22">
      <c r="A11" s="337"/>
      <c r="B11" s="460">
        <v>146</v>
      </c>
      <c r="C11" s="287"/>
      <c r="D11" s="287"/>
      <c r="E11" s="287"/>
      <c r="F11" s="287"/>
      <c r="G11" s="287"/>
      <c r="H11" s="325">
        <f>SUM(C11:G11)</f>
        <v>0</v>
      </c>
      <c r="J11" s="287"/>
      <c r="K11" s="287"/>
      <c r="L11" s="287"/>
      <c r="M11" s="287"/>
      <c r="N11" s="287"/>
      <c r="O11" s="325">
        <f>SUM(J11:N11)</f>
        <v>0</v>
      </c>
      <c r="Q11" s="286"/>
      <c r="R11" s="286"/>
      <c r="S11" s="286"/>
      <c r="T11" s="286"/>
      <c r="U11" s="286"/>
      <c r="V11" s="324">
        <f>SUM(Q11:U11)</f>
        <v>0</v>
      </c>
    </row>
    <row r="12" spans="1:22">
      <c r="A12" s="334"/>
      <c r="C12" s="287"/>
      <c r="D12" s="287"/>
      <c r="E12" s="287"/>
      <c r="F12" s="287"/>
      <c r="G12" s="287"/>
      <c r="H12" s="325">
        <f>SUM(C12:G12)</f>
        <v>0</v>
      </c>
      <c r="J12" s="287"/>
      <c r="K12" s="287"/>
      <c r="L12" s="287"/>
      <c r="M12" s="287"/>
      <c r="N12" s="287"/>
      <c r="O12" s="325">
        <f>SUM(J12:N12)</f>
        <v>0</v>
      </c>
      <c r="Q12" s="286"/>
      <c r="R12" s="286"/>
      <c r="S12" s="286"/>
      <c r="T12" s="286"/>
      <c r="U12" s="286"/>
      <c r="V12" s="324">
        <f>SUM(Q12:U12)</f>
        <v>0</v>
      </c>
    </row>
    <row r="13" spans="1:22">
      <c r="A13" s="768" t="s">
        <v>1037</v>
      </c>
      <c r="C13" s="314">
        <f t="shared" ref="C13:H13" si="0">SUM(C9:C12)</f>
        <v>1917175</v>
      </c>
      <c r="D13" s="314">
        <f t="shared" si="0"/>
        <v>1996204</v>
      </c>
      <c r="E13" s="314">
        <f t="shared" si="0"/>
        <v>2080328</v>
      </c>
      <c r="F13" s="314">
        <f t="shared" si="0"/>
        <v>1975268</v>
      </c>
      <c r="G13" s="314">
        <f t="shared" si="0"/>
        <v>1833545</v>
      </c>
      <c r="H13" s="314">
        <f t="shared" si="0"/>
        <v>9802520</v>
      </c>
      <c r="J13" s="314">
        <f t="shared" ref="J13:O13" si="1">SUM(J9:J12)</f>
        <v>1648522</v>
      </c>
      <c r="K13" s="314">
        <f t="shared" si="1"/>
        <v>1774961</v>
      </c>
      <c r="L13" s="314">
        <f t="shared" si="1"/>
        <v>1792876</v>
      </c>
      <c r="M13" s="314">
        <f t="shared" si="1"/>
        <v>1701575</v>
      </c>
      <c r="N13" s="314">
        <f t="shared" si="1"/>
        <v>1610940</v>
      </c>
      <c r="O13" s="314">
        <f t="shared" si="1"/>
        <v>8528874</v>
      </c>
      <c r="Q13" s="323">
        <f t="shared" ref="Q13:V13" si="2">SUM(Q9:Q12)</f>
        <v>1742433</v>
      </c>
      <c r="R13" s="323">
        <f t="shared" si="2"/>
        <v>1623197</v>
      </c>
      <c r="S13" s="323">
        <f t="shared" si="2"/>
        <v>1517800</v>
      </c>
      <c r="T13" s="323">
        <f t="shared" si="2"/>
        <v>1769812</v>
      </c>
      <c r="U13" s="323">
        <f t="shared" si="2"/>
        <v>1716290</v>
      </c>
      <c r="V13" s="323">
        <f t="shared" si="2"/>
        <v>8369532</v>
      </c>
    </row>
    <row r="14" spans="1:22">
      <c r="A14" s="334"/>
      <c r="H14" s="303"/>
      <c r="O14" s="303"/>
      <c r="V14" s="144"/>
    </row>
    <row r="15" spans="1:22">
      <c r="A15" s="768" t="s">
        <v>1015</v>
      </c>
      <c r="C15" s="287">
        <f>-(C4+C5)</f>
        <v>354690.02538071066</v>
      </c>
      <c r="D15" s="287">
        <f>-(D4+D5)</f>
        <v>363139.86294416245</v>
      </c>
      <c r="E15" s="287">
        <f>-(E4+E5)</f>
        <v>368887.60406091373</v>
      </c>
      <c r="F15" s="287">
        <f>-(F4+F5)</f>
        <v>374632.24873096443</v>
      </c>
      <c r="G15" s="287">
        <f>-(G4+G5)</f>
        <v>344496.34517766495</v>
      </c>
      <c r="H15" s="325">
        <f>SUM(C15:G15)</f>
        <v>1805846.0862944161</v>
      </c>
      <c r="J15" s="287">
        <f>-(J4+J5)</f>
        <v>331349.42975206615</v>
      </c>
      <c r="K15" s="287">
        <f>-(K4+K5)</f>
        <v>354368.00826446281</v>
      </c>
      <c r="L15" s="287">
        <f>-(L4+L5)</f>
        <v>330424.89256198343</v>
      </c>
      <c r="M15" s="287">
        <f>-(M4+M5)</f>
        <v>355108.45041322318</v>
      </c>
      <c r="N15" s="287">
        <f>-(N4+N5)</f>
        <v>343340.1033057851</v>
      </c>
      <c r="O15" s="325">
        <f>SUM(J15:N15)</f>
        <v>1714590.8842975209</v>
      </c>
      <c r="Q15" s="286">
        <f>-(Q4+Q5)</f>
        <v>355190.05911330052</v>
      </c>
      <c r="R15" s="286">
        <f>-(R4+R5)</f>
        <v>333453.05911330052</v>
      </c>
      <c r="S15" s="286">
        <f>-(S4+S5)</f>
        <v>283007.11083743838</v>
      </c>
      <c r="T15" s="286">
        <f>-(T4+T5)</f>
        <v>276431.05911330052</v>
      </c>
      <c r="U15" s="286">
        <f>-(U4+U5)</f>
        <v>267839.16502463055</v>
      </c>
      <c r="V15" s="324">
        <f>SUM(Q15:U15)</f>
        <v>1515920.4532019703</v>
      </c>
    </row>
    <row r="16" spans="1:22">
      <c r="A16" s="768" t="s">
        <v>1014</v>
      </c>
      <c r="H16" s="303"/>
      <c r="O16" s="303"/>
      <c r="V16" s="144"/>
    </row>
    <row r="17" spans="1:24">
      <c r="A17" s="334"/>
      <c r="B17" s="335">
        <v>146</v>
      </c>
      <c r="C17" s="324"/>
      <c r="D17" s="324"/>
      <c r="E17" s="324"/>
      <c r="F17" s="324"/>
      <c r="G17" s="324"/>
      <c r="H17" s="324">
        <f t="shared" ref="H17:H22" si="3">SUM(C17:G17)</f>
        <v>0</v>
      </c>
      <c r="J17" s="324"/>
      <c r="K17" s="324"/>
      <c r="L17" s="324"/>
      <c r="M17" s="324"/>
      <c r="N17" s="324"/>
      <c r="O17" s="324">
        <f t="shared" ref="O17:O22" si="4">SUM(J17:N17)</f>
        <v>0</v>
      </c>
      <c r="P17" s="222"/>
      <c r="Q17" s="324"/>
      <c r="R17" s="324"/>
      <c r="S17" s="324"/>
      <c r="T17" s="324"/>
      <c r="U17" s="324"/>
      <c r="V17" s="324">
        <f t="shared" ref="V17:V22" si="5">SUM(Q17:U17)</f>
        <v>0</v>
      </c>
    </row>
    <row r="18" spans="1:24">
      <c r="A18" s="337"/>
      <c r="B18" s="335">
        <v>146</v>
      </c>
      <c r="C18" s="510"/>
      <c r="D18" s="510"/>
      <c r="E18" s="510"/>
      <c r="F18" s="510"/>
      <c r="G18" s="510"/>
      <c r="H18" s="324">
        <f t="shared" si="3"/>
        <v>0</v>
      </c>
      <c r="J18" s="348"/>
      <c r="K18" s="348"/>
      <c r="L18" s="348"/>
      <c r="M18" s="348"/>
      <c r="N18" s="348"/>
      <c r="O18" s="324">
        <f t="shared" si="4"/>
        <v>0</v>
      </c>
      <c r="P18" s="222"/>
      <c r="Q18" s="324"/>
      <c r="R18" s="324"/>
      <c r="S18" s="324"/>
      <c r="T18" s="324"/>
      <c r="U18" s="324"/>
      <c r="V18" s="324">
        <f t="shared" si="5"/>
        <v>0</v>
      </c>
      <c r="X18" s="287"/>
    </row>
    <row r="19" spans="1:24">
      <c r="A19" s="337"/>
      <c r="B19" s="335">
        <v>146</v>
      </c>
      <c r="H19" s="324">
        <f t="shared" si="3"/>
        <v>0</v>
      </c>
      <c r="O19" s="324">
        <f t="shared" si="4"/>
        <v>0</v>
      </c>
      <c r="P19" s="222"/>
      <c r="V19" s="324">
        <f t="shared" si="5"/>
        <v>0</v>
      </c>
      <c r="X19" s="287"/>
    </row>
    <row r="20" spans="1:24">
      <c r="A20" s="337"/>
      <c r="B20" s="335">
        <v>146</v>
      </c>
      <c r="H20" s="324">
        <f t="shared" si="3"/>
        <v>0</v>
      </c>
      <c r="O20" s="324">
        <f t="shared" si="4"/>
        <v>0</v>
      </c>
      <c r="P20" s="222"/>
      <c r="Q20" s="324"/>
      <c r="R20" s="324"/>
      <c r="S20" s="324"/>
      <c r="T20" s="324"/>
      <c r="U20" s="324"/>
      <c r="V20" s="324">
        <f t="shared" si="5"/>
        <v>0</v>
      </c>
      <c r="X20" s="287"/>
    </row>
    <row r="21" spans="1:24" s="222" customFormat="1">
      <c r="A21" s="337"/>
      <c r="B21" s="336"/>
      <c r="C21" s="324"/>
      <c r="D21" s="324"/>
      <c r="E21" s="324"/>
      <c r="F21" s="324"/>
      <c r="G21" s="324"/>
      <c r="H21" s="324">
        <f t="shared" si="3"/>
        <v>0</v>
      </c>
      <c r="J21" s="324"/>
      <c r="K21" s="324"/>
      <c r="L21" s="324"/>
      <c r="M21" s="324"/>
      <c r="N21" s="324"/>
      <c r="O21" s="324">
        <f t="shared" si="4"/>
        <v>0</v>
      </c>
      <c r="Q21" s="324"/>
      <c r="R21" s="324"/>
      <c r="S21" s="324"/>
      <c r="T21" s="324"/>
      <c r="U21" s="324"/>
      <c r="V21" s="324">
        <f t="shared" si="5"/>
        <v>0</v>
      </c>
    </row>
    <row r="22" spans="1:24">
      <c r="A22" s="334" t="s">
        <v>1013</v>
      </c>
      <c r="C22" s="333">
        <f>SUM(C15:C21)</f>
        <v>354690.02538071066</v>
      </c>
      <c r="D22" s="333">
        <f>SUM(D15:D21)</f>
        <v>363139.86294416245</v>
      </c>
      <c r="E22" s="333">
        <f>SUM(E15:E21)</f>
        <v>368887.60406091373</v>
      </c>
      <c r="F22" s="333">
        <f>SUM(F15:F21)</f>
        <v>374632.24873096443</v>
      </c>
      <c r="G22" s="333">
        <f>SUM(G15:G21)</f>
        <v>344496.34517766495</v>
      </c>
      <c r="H22" s="333">
        <f t="shared" si="3"/>
        <v>1805846.0862944161</v>
      </c>
      <c r="J22" s="333">
        <f>SUM(J15:J21)</f>
        <v>331349.42975206615</v>
      </c>
      <c r="K22" s="333">
        <f>SUM(K15:K21)</f>
        <v>354368.00826446281</v>
      </c>
      <c r="L22" s="333">
        <f>SUM(L15:L21)</f>
        <v>330424.89256198343</v>
      </c>
      <c r="M22" s="333">
        <f>SUM(M15:M21)</f>
        <v>355108.45041322318</v>
      </c>
      <c r="N22" s="333">
        <f>SUM(N15:N21)</f>
        <v>343340.1033057851</v>
      </c>
      <c r="O22" s="333">
        <f t="shared" si="4"/>
        <v>1714590.8842975209</v>
      </c>
      <c r="Q22" s="332">
        <f>SUM(Q15:Q21)</f>
        <v>355190.05911330052</v>
      </c>
      <c r="R22" s="332">
        <f>SUM(R15:R21)</f>
        <v>333453.05911330052</v>
      </c>
      <c r="S22" s="332">
        <f>SUM(S15:S21)</f>
        <v>283007.11083743838</v>
      </c>
      <c r="T22" s="332">
        <f>SUM(T15:T21)</f>
        <v>276431.05911330052</v>
      </c>
      <c r="U22" s="332">
        <f>SUM(U15:U21)</f>
        <v>267839.16502463055</v>
      </c>
      <c r="V22" s="332">
        <f t="shared" si="5"/>
        <v>1515920.4532019703</v>
      </c>
    </row>
    <row r="23" spans="1:24" ht="13.8" thickBot="1">
      <c r="A23" s="331" t="s">
        <v>1036</v>
      </c>
      <c r="C23" s="320">
        <f>C13-C22</f>
        <v>1562484.9746192894</v>
      </c>
      <c r="D23" s="320">
        <f>D13-D22</f>
        <v>1633064.1370558375</v>
      </c>
      <c r="E23" s="320">
        <f>E13-E22</f>
        <v>1711440.3959390863</v>
      </c>
      <c r="F23" s="320">
        <f>F13-F22</f>
        <v>1600635.7512690355</v>
      </c>
      <c r="G23" s="320">
        <f>G13-G22</f>
        <v>1489048.6548223351</v>
      </c>
      <c r="H23" s="320">
        <f>IF(ROUND(H13-H22,0)&lt;&gt;ROUND(SUM(C23:G23),0),#VALUE!,SUM(C23:G23))</f>
        <v>7996673.9137055837</v>
      </c>
      <c r="J23" s="320">
        <f>J13-J22</f>
        <v>1317172.5702479337</v>
      </c>
      <c r="K23" s="320">
        <f>K13-K22</f>
        <v>1420592.9917355371</v>
      </c>
      <c r="L23" s="320">
        <f>L13-L22</f>
        <v>1462451.1074380167</v>
      </c>
      <c r="M23" s="320">
        <f>M13-M22</f>
        <v>1346466.5495867769</v>
      </c>
      <c r="N23" s="320">
        <f>N13-N22</f>
        <v>1267599.896694215</v>
      </c>
      <c r="O23" s="320">
        <f>IF(ROUND(O13-O22,0)&lt;&gt;ROUND(SUM(J23:N23),0),#VALUE!,SUM(J23:N23))</f>
        <v>6814283.1157024791</v>
      </c>
      <c r="Q23" s="319">
        <f>Q13-Q22</f>
        <v>1387242.9408866996</v>
      </c>
      <c r="R23" s="319">
        <f>R13-R22</f>
        <v>1289743.9408866996</v>
      </c>
      <c r="S23" s="319">
        <f>S13-S22</f>
        <v>1234792.8891625616</v>
      </c>
      <c r="T23" s="319">
        <f>T13-T22</f>
        <v>1493380.9408866996</v>
      </c>
      <c r="U23" s="319">
        <f>U13-U22</f>
        <v>1448450.8349753695</v>
      </c>
      <c r="V23" s="319">
        <f>IF(ROUND(V13-V22,0)&lt;&gt;ROUND(SUM(Q23:U23),0),#VALUE!,SUM(Q23:U23))</f>
        <v>6853611.5467980299</v>
      </c>
    </row>
    <row r="24" spans="1:24" ht="13.8" thickTop="1"/>
    <row r="25" spans="1:24">
      <c r="A25" s="768" t="s">
        <v>1182</v>
      </c>
    </row>
    <row r="26" spans="1:24">
      <c r="A26" s="326" t="s">
        <v>1035</v>
      </c>
      <c r="C26" s="325"/>
      <c r="D26" s="325"/>
      <c r="E26" s="325"/>
      <c r="F26" s="325"/>
      <c r="G26" s="325"/>
      <c r="H26" s="330"/>
      <c r="J26" s="330"/>
      <c r="K26" s="330"/>
      <c r="L26" s="330"/>
      <c r="M26" s="330"/>
      <c r="N26" s="330"/>
      <c r="Q26" s="329"/>
      <c r="R26" s="329"/>
      <c r="S26" s="329"/>
      <c r="T26" s="329"/>
      <c r="U26" s="329"/>
    </row>
    <row r="27" spans="1:24">
      <c r="A27" s="769" t="s">
        <v>1034</v>
      </c>
      <c r="B27" s="321">
        <v>132</v>
      </c>
      <c r="C27" s="324">
        <f>'Demand Sch 146 adj'!Y136</f>
        <v>1977.0456852791879</v>
      </c>
      <c r="D27" s="324">
        <f>'Demand Sch 146 adj'!Y137</f>
        <v>2306.553299492386</v>
      </c>
      <c r="E27" s="324">
        <f>'Demand Sch 146 adj'!Y138</f>
        <v>2541.9158810732415</v>
      </c>
      <c r="F27" s="324">
        <f>'Demand Sch 146 adj'!Y139</f>
        <v>2683.133430021755</v>
      </c>
      <c r="G27" s="324">
        <f>'Demand Sch 146 adj'!Y140</f>
        <v>2777.278462654097</v>
      </c>
      <c r="H27" s="325">
        <f>SUM(C27:G27)</f>
        <v>12285.926758520665</v>
      </c>
      <c r="I27" s="221"/>
      <c r="J27" s="324">
        <f>'Demand Sch 146 adj'!AD151</f>
        <v>2101.0413223140495</v>
      </c>
      <c r="K27" s="324">
        <f>'Demand Sch 146 adj'!AD152</f>
        <v>2601.2892561983472</v>
      </c>
      <c r="L27" s="324">
        <f>'Demand Sch 146 adj'!AD153</f>
        <v>2501.2396694214876</v>
      </c>
      <c r="M27" s="324">
        <f>'Demand Sch 146 adj'!AD154</f>
        <v>2551.2644628099174</v>
      </c>
      <c r="N27" s="324">
        <f>'Demand Sch 146 adj'!AD155</f>
        <v>2251.1157024793388</v>
      </c>
      <c r="O27" s="325">
        <f>SUM(J27:N27)</f>
        <v>12005.950413223141</v>
      </c>
      <c r="P27" s="221"/>
      <c r="Q27" s="324">
        <f>'Demand Sch 146 adj'!AI139</f>
        <v>2326.3136288998357</v>
      </c>
      <c r="R27" s="324">
        <f>'Demand Sch 146 adj'!AI140</f>
        <v>2326.3136288998357</v>
      </c>
      <c r="S27" s="324">
        <f>'Demand Sch 146 adj'!AI141</f>
        <v>2000.6297208538588</v>
      </c>
      <c r="T27" s="324">
        <f>'Demand Sch 146 adj'!AI142</f>
        <v>2326.3136288998357</v>
      </c>
      <c r="U27" s="324">
        <f>'Demand Sch 146 adj'!AI143</f>
        <v>2558.9449917898196</v>
      </c>
      <c r="V27" s="324">
        <f>SUM(Q27:U27)</f>
        <v>11538.515599343187</v>
      </c>
      <c r="W27" s="221"/>
      <c r="X27" s="221"/>
    </row>
    <row r="28" spans="1:24">
      <c r="A28" s="769" t="s">
        <v>1122</v>
      </c>
      <c r="B28" s="321">
        <v>132</v>
      </c>
      <c r="C28" s="324">
        <f>'Demand Sch 146 adj'!Y80</f>
        <v>2545.0050761421321</v>
      </c>
      <c r="D28" s="324">
        <f>'Demand Sch 146 adj'!Y81</f>
        <v>2969.1725888324877</v>
      </c>
      <c r="E28" s="324">
        <f>'Demand Sch 146 adj'!Y82</f>
        <v>3272.1493836113123</v>
      </c>
      <c r="F28" s="324">
        <f>'Demand Sch 146 adj'!Y83</f>
        <v>3453.9354604786076</v>
      </c>
      <c r="G28" s="324">
        <f>'Demand Sch 146 adj'!Y84</f>
        <v>3575.1261783901377</v>
      </c>
      <c r="H28" s="325">
        <f>SUM(C28:G28)</f>
        <v>15815.388687454677</v>
      </c>
      <c r="I28" s="221"/>
      <c r="J28" s="324">
        <f>'Demand Sch 146 adj'!AD95</f>
        <v>2989.6363636363635</v>
      </c>
      <c r="K28" s="324">
        <f>'Demand Sch 146 adj'!AD96</f>
        <v>3701.4545454545455</v>
      </c>
      <c r="L28" s="324">
        <f>'Demand Sch 146 adj'!AD97</f>
        <v>3559.090909090909</v>
      </c>
      <c r="M28" s="324">
        <f>'Demand Sch 146 adj'!AD98</f>
        <v>3630.272727272727</v>
      </c>
      <c r="N28" s="324">
        <f>'Demand Sch 146 adj'!AD99</f>
        <v>3203.181818181818</v>
      </c>
      <c r="O28" s="325">
        <f>SUM(J28:N28)</f>
        <v>17083.63636363636</v>
      </c>
      <c r="P28" s="221"/>
      <c r="Q28" s="324">
        <f>'Demand Sch 146 adj'!AI83</f>
        <v>3129.4334975369457</v>
      </c>
      <c r="R28" s="324">
        <f>'Demand Sch 146 adj'!AI84</f>
        <v>3129.4334975369457</v>
      </c>
      <c r="S28" s="324">
        <f>'Demand Sch 146 adj'!AI85</f>
        <v>2691.3128078817731</v>
      </c>
      <c r="T28" s="324">
        <f>'Demand Sch 146 adj'!AI86</f>
        <v>3129.4334975369457</v>
      </c>
      <c r="U28" s="324">
        <f>'Demand Sch 146 adj'!AI87</f>
        <v>3442.3768472906404</v>
      </c>
      <c r="V28" s="324">
        <f>SUM(Q28:U28)</f>
        <v>15521.99014778325</v>
      </c>
      <c r="W28" s="221"/>
      <c r="X28" s="221"/>
    </row>
    <row r="29" spans="1:24">
      <c r="A29" s="326" t="s">
        <v>1033</v>
      </c>
      <c r="C29" s="435"/>
      <c r="D29" s="435"/>
      <c r="E29" s="435"/>
      <c r="F29" s="435"/>
      <c r="G29" s="435"/>
      <c r="H29" s="221"/>
      <c r="I29" s="221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221"/>
      <c r="X29" s="221"/>
    </row>
    <row r="30" spans="1:24">
      <c r="A30" s="769" t="s">
        <v>862</v>
      </c>
      <c r="B30" s="335">
        <v>146</v>
      </c>
      <c r="C30">
        <v>1294</v>
      </c>
      <c r="D30">
        <v>1321</v>
      </c>
      <c r="E30">
        <v>1344</v>
      </c>
      <c r="F30">
        <v>1059</v>
      </c>
      <c r="G30">
        <v>16</v>
      </c>
      <c r="H30" s="325">
        <f t="shared" ref="H30:H71" si="6">SUM(C30:G30)</f>
        <v>5034</v>
      </c>
      <c r="I30" s="221"/>
      <c r="J30" s="461">
        <v>228</v>
      </c>
      <c r="K30" s="461">
        <v>1148</v>
      </c>
      <c r="L30" s="461">
        <v>1056</v>
      </c>
      <c r="M30" s="461">
        <v>1044</v>
      </c>
      <c r="N30" s="461">
        <v>943</v>
      </c>
      <c r="O30" s="325">
        <f t="shared" ref="O30:O71" si="7">SUM(J30:N30)</f>
        <v>4419</v>
      </c>
      <c r="P30" s="221"/>
      <c r="Q30" s="49">
        <v>955</v>
      </c>
      <c r="R30" s="49">
        <v>927</v>
      </c>
      <c r="S30" s="49">
        <v>731</v>
      </c>
      <c r="T30" s="49">
        <v>10</v>
      </c>
      <c r="U30" s="49">
        <v>310</v>
      </c>
      <c r="V30" s="324">
        <f>SUM(Q30:U30)</f>
        <v>2933</v>
      </c>
      <c r="W30" s="221"/>
      <c r="X30" s="571">
        <f>AVERAGE(C30:G30,J30:N30,Q30:U30)</f>
        <v>825.73333333333335</v>
      </c>
    </row>
    <row r="31" spans="1:24">
      <c r="A31" s="337" t="s">
        <v>861</v>
      </c>
      <c r="B31" s="335">
        <v>146</v>
      </c>
      <c r="C31">
        <v>511</v>
      </c>
      <c r="D31">
        <v>503</v>
      </c>
      <c r="E31">
        <v>523</v>
      </c>
      <c r="F31">
        <v>393</v>
      </c>
      <c r="G31">
        <v>0</v>
      </c>
      <c r="H31" s="325">
        <f t="shared" si="6"/>
        <v>1930</v>
      </c>
      <c r="I31" s="221"/>
      <c r="J31" s="461">
        <v>0</v>
      </c>
      <c r="K31" s="461">
        <v>603</v>
      </c>
      <c r="L31" s="461">
        <v>651</v>
      </c>
      <c r="M31" s="461">
        <v>1844</v>
      </c>
      <c r="N31" s="461">
        <v>773</v>
      </c>
      <c r="O31" s="325">
        <f t="shared" si="7"/>
        <v>3871</v>
      </c>
      <c r="P31" s="221"/>
      <c r="Q31" s="49">
        <v>708</v>
      </c>
      <c r="R31" s="49">
        <v>2310</v>
      </c>
      <c r="S31" s="49">
        <v>2430</v>
      </c>
      <c r="T31" s="49">
        <v>0</v>
      </c>
      <c r="U31" s="49">
        <v>0</v>
      </c>
      <c r="V31" s="324">
        <f t="shared" ref="V31:V71" si="8">SUM(Q31:U31)</f>
        <v>5448</v>
      </c>
      <c r="W31" s="221"/>
      <c r="X31" s="571">
        <f t="shared" ref="X31:X71" si="9">AVERAGE(C31:G31,J31:N31,Q31:U31)</f>
        <v>749.93333333333328</v>
      </c>
    </row>
    <row r="32" spans="1:24">
      <c r="A32" s="337" t="s">
        <v>859</v>
      </c>
      <c r="B32" s="335">
        <v>146</v>
      </c>
      <c r="C32">
        <v>12821</v>
      </c>
      <c r="D32">
        <v>14167</v>
      </c>
      <c r="E32">
        <v>14278</v>
      </c>
      <c r="F32">
        <v>13562</v>
      </c>
      <c r="G32">
        <v>12491</v>
      </c>
      <c r="H32" s="325">
        <f t="shared" si="6"/>
        <v>67319</v>
      </c>
      <c r="I32" s="221"/>
      <c r="J32" s="461">
        <v>12254</v>
      </c>
      <c r="K32" s="461">
        <v>14450</v>
      </c>
      <c r="L32" s="461">
        <v>13693</v>
      </c>
      <c r="M32" s="461">
        <v>14734</v>
      </c>
      <c r="N32" s="461">
        <v>14553</v>
      </c>
      <c r="O32" s="325">
        <f t="shared" si="7"/>
        <v>69684</v>
      </c>
      <c r="P32" s="221"/>
      <c r="Q32" s="49">
        <v>12078</v>
      </c>
      <c r="R32" s="49">
        <v>13042</v>
      </c>
      <c r="S32" s="49">
        <v>13089</v>
      </c>
      <c r="T32" s="49">
        <v>12169</v>
      </c>
      <c r="U32" s="49">
        <v>12033</v>
      </c>
      <c r="V32" s="324">
        <f t="shared" si="8"/>
        <v>62411</v>
      </c>
      <c r="W32" s="221"/>
      <c r="X32" s="571">
        <f t="shared" si="9"/>
        <v>13294.266666666666</v>
      </c>
    </row>
    <row r="33" spans="1:24">
      <c r="A33" s="337" t="s">
        <v>860</v>
      </c>
      <c r="B33" s="335">
        <v>146</v>
      </c>
      <c r="C33">
        <v>22607</v>
      </c>
      <c r="D33">
        <v>22692</v>
      </c>
      <c r="E33">
        <v>24929</v>
      </c>
      <c r="F33">
        <v>26282</v>
      </c>
      <c r="G33">
        <v>23928</v>
      </c>
      <c r="H33" s="325">
        <f t="shared" si="6"/>
        <v>120438</v>
      </c>
      <c r="I33" s="221"/>
      <c r="J33" s="461">
        <v>28650</v>
      </c>
      <c r="K33" s="461">
        <v>27783</v>
      </c>
      <c r="L33" s="461">
        <v>22598</v>
      </c>
      <c r="M33" s="461">
        <v>22580</v>
      </c>
      <c r="N33" s="461">
        <v>22612</v>
      </c>
      <c r="O33" s="325">
        <f t="shared" si="7"/>
        <v>124223</v>
      </c>
      <c r="P33" s="221"/>
      <c r="Q33" s="49">
        <v>23902</v>
      </c>
      <c r="R33" s="49">
        <v>23512</v>
      </c>
      <c r="S33" s="49">
        <v>21585</v>
      </c>
      <c r="T33" s="49">
        <v>22648</v>
      </c>
      <c r="U33" s="49">
        <v>25382</v>
      </c>
      <c r="V33" s="324">
        <f t="shared" si="8"/>
        <v>117029</v>
      </c>
      <c r="W33" s="221"/>
      <c r="X33" s="571">
        <f t="shared" si="9"/>
        <v>24112.666666666668</v>
      </c>
    </row>
    <row r="34" spans="1:24">
      <c r="A34" s="337" t="s">
        <v>1032</v>
      </c>
      <c r="B34" s="335">
        <v>146</v>
      </c>
      <c r="C34">
        <v>1221</v>
      </c>
      <c r="D34">
        <v>1475</v>
      </c>
      <c r="E34">
        <v>1144</v>
      </c>
      <c r="F34">
        <v>830</v>
      </c>
      <c r="G34">
        <v>814</v>
      </c>
      <c r="H34" s="325">
        <f t="shared" si="6"/>
        <v>5484</v>
      </c>
      <c r="I34" s="221"/>
      <c r="J34" s="461">
        <v>686</v>
      </c>
      <c r="K34" s="461">
        <v>1582</v>
      </c>
      <c r="L34" s="461">
        <v>1826</v>
      </c>
      <c r="M34" s="461">
        <v>1604</v>
      </c>
      <c r="N34" s="461">
        <v>1658</v>
      </c>
      <c r="O34" s="325">
        <f t="shared" si="7"/>
        <v>7356</v>
      </c>
      <c r="P34" s="221"/>
      <c r="Q34" s="49">
        <v>1267</v>
      </c>
      <c r="R34" s="49">
        <v>1286</v>
      </c>
      <c r="S34" s="49">
        <v>633</v>
      </c>
      <c r="T34" s="49">
        <v>548</v>
      </c>
      <c r="U34" s="49">
        <v>621</v>
      </c>
      <c r="V34" s="324">
        <f t="shared" si="8"/>
        <v>4355</v>
      </c>
      <c r="W34" s="221"/>
      <c r="X34" s="571">
        <f t="shared" si="9"/>
        <v>1146.3333333333333</v>
      </c>
    </row>
    <row r="35" spans="1:24">
      <c r="A35" s="337" t="s">
        <v>1128</v>
      </c>
      <c r="B35" s="335">
        <v>146</v>
      </c>
      <c r="C35">
        <v>6298</v>
      </c>
      <c r="D35">
        <v>6229</v>
      </c>
      <c r="E35">
        <v>6905</v>
      </c>
      <c r="F35">
        <v>5957</v>
      </c>
      <c r="G35">
        <v>4495</v>
      </c>
      <c r="H35" s="325">
        <f t="shared" si="6"/>
        <v>29884</v>
      </c>
      <c r="I35" s="221"/>
      <c r="J35" s="461">
        <v>4356</v>
      </c>
      <c r="K35" s="461">
        <v>5187</v>
      </c>
      <c r="L35" s="461">
        <v>6544</v>
      </c>
      <c r="M35" s="461">
        <v>6234</v>
      </c>
      <c r="N35" s="461">
        <v>5629</v>
      </c>
      <c r="O35" s="325">
        <f t="shared" si="7"/>
        <v>27950</v>
      </c>
      <c r="P35" s="221"/>
      <c r="Q35" s="49">
        <v>6055</v>
      </c>
      <c r="R35" s="49">
        <v>5596</v>
      </c>
      <c r="S35" s="49">
        <v>5027</v>
      </c>
      <c r="T35" s="49">
        <v>4932</v>
      </c>
      <c r="U35" s="49">
        <v>5273</v>
      </c>
      <c r="V35" s="324">
        <f t="shared" si="8"/>
        <v>26883</v>
      </c>
      <c r="W35" s="221"/>
      <c r="X35" s="571">
        <f t="shared" si="9"/>
        <v>5647.8</v>
      </c>
    </row>
    <row r="36" spans="1:24">
      <c r="A36" s="337" t="s">
        <v>1129</v>
      </c>
      <c r="B36" s="335">
        <v>146</v>
      </c>
      <c r="C36" s="324">
        <f>'Demand Sch 146 adj'!Y28</f>
        <v>1758.9746192893401</v>
      </c>
      <c r="D36" s="324">
        <f>'Demand Sch 146 adj'!Y29</f>
        <v>2052.1370558375634</v>
      </c>
      <c r="E36" s="324">
        <f>'Demand Sch 146 adj'!Y30</f>
        <v>2261.5387962291516</v>
      </c>
      <c r="F36" s="324">
        <f>'Demand Sch 146 adj'!Y31</f>
        <v>2387.1798404641045</v>
      </c>
      <c r="G36" s="324">
        <f>'Demand Sch 146 adj'!Y32</f>
        <v>2470.9405366207397</v>
      </c>
      <c r="H36" s="324">
        <f t="shared" si="6"/>
        <v>10930.770848440899</v>
      </c>
      <c r="I36" s="435"/>
      <c r="J36" s="324">
        <f>'Demand Sch 146 adj'!AD43</f>
        <v>2282.7520661157027</v>
      </c>
      <c r="K36" s="324">
        <f>'Demand Sch 146 adj'!AD44</f>
        <v>2826.2644628099174</v>
      </c>
      <c r="L36" s="324">
        <f>'Demand Sch 146 adj'!AD45</f>
        <v>2717.5619834710747</v>
      </c>
      <c r="M36" s="324">
        <f>'Demand Sch 146 adj'!AD46</f>
        <v>2771.9132231404956</v>
      </c>
      <c r="N36" s="324">
        <f>'Demand Sch 146 adj'!AD47</f>
        <v>2445.8057851239669</v>
      </c>
      <c r="O36" s="324">
        <f t="shared" si="7"/>
        <v>13044.297520661157</v>
      </c>
      <c r="P36" s="435"/>
      <c r="Q36" s="324">
        <f>'Demand Sch 146 adj'!AI31</f>
        <v>2265.3119868637109</v>
      </c>
      <c r="R36" s="324">
        <f>'Demand Sch 146 adj'!AI32</f>
        <v>2265.3119868637109</v>
      </c>
      <c r="S36" s="324">
        <f>'Demand Sch 146 adj'!AI33</f>
        <v>1948.1683087027914</v>
      </c>
      <c r="T36" s="324">
        <f>'Demand Sch 146 adj'!AI34</f>
        <v>2265.3119868637109</v>
      </c>
      <c r="U36" s="324">
        <f>'Demand Sch 146 adj'!AI35</f>
        <v>2491.8431855500821</v>
      </c>
      <c r="V36" s="324">
        <f t="shared" si="8"/>
        <v>11235.947454844007</v>
      </c>
      <c r="W36" s="221"/>
      <c r="X36" s="571">
        <f t="shared" si="9"/>
        <v>2347.4010549297377</v>
      </c>
    </row>
    <row r="37" spans="1:24">
      <c r="A37" s="337" t="s">
        <v>858</v>
      </c>
      <c r="B37" s="335">
        <v>146</v>
      </c>
      <c r="C37">
        <v>2276</v>
      </c>
      <c r="D37">
        <v>2181</v>
      </c>
      <c r="E37">
        <v>2305</v>
      </c>
      <c r="F37">
        <v>2256</v>
      </c>
      <c r="G37">
        <v>2002</v>
      </c>
      <c r="H37" s="325">
        <f t="shared" si="6"/>
        <v>11020</v>
      </c>
      <c r="I37" s="221"/>
      <c r="J37" s="461">
        <v>3780</v>
      </c>
      <c r="K37" s="461">
        <v>3123</v>
      </c>
      <c r="L37" s="461">
        <v>3368</v>
      </c>
      <c r="M37" s="461">
        <v>3023</v>
      </c>
      <c r="N37" s="461">
        <v>2935</v>
      </c>
      <c r="O37" s="325">
        <f t="shared" si="7"/>
        <v>16229</v>
      </c>
      <c r="P37" s="221"/>
      <c r="Q37" s="49">
        <v>3402</v>
      </c>
      <c r="R37" s="49">
        <v>2629</v>
      </c>
      <c r="S37" s="49">
        <v>3601</v>
      </c>
      <c r="T37" s="49">
        <v>4251</v>
      </c>
      <c r="U37" s="49">
        <v>4039</v>
      </c>
      <c r="V37" s="324">
        <f t="shared" si="8"/>
        <v>17922</v>
      </c>
      <c r="W37" s="221"/>
      <c r="X37" s="571">
        <f t="shared" si="9"/>
        <v>3011.4</v>
      </c>
    </row>
    <row r="38" spans="1:24">
      <c r="A38" s="337" t="s">
        <v>1031</v>
      </c>
      <c r="B38" s="335">
        <v>146</v>
      </c>
      <c r="C38">
        <v>8643</v>
      </c>
      <c r="D38">
        <v>8903</v>
      </c>
      <c r="E38">
        <v>9430</v>
      </c>
      <c r="F38">
        <v>8958</v>
      </c>
      <c r="G38">
        <v>7978</v>
      </c>
      <c r="H38" s="325">
        <f t="shared" si="6"/>
        <v>43912</v>
      </c>
      <c r="I38" s="221"/>
      <c r="J38" s="461">
        <v>7939</v>
      </c>
      <c r="K38" s="461">
        <v>8517</v>
      </c>
      <c r="L38" s="461">
        <v>8362</v>
      </c>
      <c r="M38" s="461">
        <v>7892</v>
      </c>
      <c r="N38" s="461">
        <v>7461</v>
      </c>
      <c r="O38" s="325">
        <f t="shared" si="7"/>
        <v>40171</v>
      </c>
      <c r="P38" s="221"/>
      <c r="Q38" s="49">
        <v>8546</v>
      </c>
      <c r="R38" s="49">
        <v>8000</v>
      </c>
      <c r="S38" s="49">
        <v>7505</v>
      </c>
      <c r="T38" s="49">
        <v>8810</v>
      </c>
      <c r="U38" s="49">
        <v>8785</v>
      </c>
      <c r="V38" s="324">
        <f t="shared" si="8"/>
        <v>41646</v>
      </c>
      <c r="W38" s="221"/>
      <c r="X38" s="571">
        <f t="shared" si="9"/>
        <v>8381.9333333333325</v>
      </c>
    </row>
    <row r="39" spans="1:24">
      <c r="A39" s="337" t="s">
        <v>1030</v>
      </c>
      <c r="B39" s="335">
        <v>146</v>
      </c>
      <c r="C39">
        <v>2876</v>
      </c>
      <c r="D39">
        <v>2665</v>
      </c>
      <c r="E39">
        <v>2876</v>
      </c>
      <c r="F39">
        <v>2772</v>
      </c>
      <c r="G39">
        <v>2501</v>
      </c>
      <c r="H39" s="325">
        <f t="shared" si="6"/>
        <v>13690</v>
      </c>
      <c r="I39" s="221"/>
      <c r="J39" s="461">
        <v>2221</v>
      </c>
      <c r="K39" s="461">
        <v>2286</v>
      </c>
      <c r="L39" s="461">
        <v>2420</v>
      </c>
      <c r="M39" s="461">
        <v>2116</v>
      </c>
      <c r="N39" s="461">
        <v>2028</v>
      </c>
      <c r="O39" s="325">
        <f t="shared" si="7"/>
        <v>11071</v>
      </c>
      <c r="P39" s="221"/>
      <c r="Q39" s="49">
        <v>2294</v>
      </c>
      <c r="R39" s="49">
        <v>2251</v>
      </c>
      <c r="S39" s="49">
        <v>2256</v>
      </c>
      <c r="T39" s="49">
        <v>2458</v>
      </c>
      <c r="U39" s="49">
        <v>2451</v>
      </c>
      <c r="V39" s="324">
        <f t="shared" si="8"/>
        <v>11710</v>
      </c>
      <c r="W39" s="221"/>
      <c r="X39" s="571">
        <f t="shared" si="9"/>
        <v>2431.4</v>
      </c>
    </row>
    <row r="40" spans="1:24">
      <c r="A40" s="337" t="s">
        <v>1029</v>
      </c>
      <c r="B40" s="335">
        <v>146</v>
      </c>
      <c r="C40">
        <v>12098</v>
      </c>
      <c r="D40">
        <v>12318</v>
      </c>
      <c r="E40">
        <v>11809</v>
      </c>
      <c r="F40">
        <v>12341</v>
      </c>
      <c r="G40">
        <v>14675</v>
      </c>
      <c r="H40" s="325">
        <f t="shared" si="6"/>
        <v>63241</v>
      </c>
      <c r="I40" s="221"/>
      <c r="J40" s="461">
        <v>13810</v>
      </c>
      <c r="K40" s="461">
        <v>13032</v>
      </c>
      <c r="L40" s="461">
        <v>13488</v>
      </c>
      <c r="M40" s="461">
        <v>13472</v>
      </c>
      <c r="N40" s="461">
        <v>13230</v>
      </c>
      <c r="O40" s="325">
        <f t="shared" si="7"/>
        <v>67032</v>
      </c>
      <c r="P40" s="221"/>
      <c r="Q40" s="49">
        <v>12369</v>
      </c>
      <c r="R40" s="49">
        <v>12329</v>
      </c>
      <c r="S40" s="49">
        <v>12810</v>
      </c>
      <c r="T40" s="49">
        <v>12327</v>
      </c>
      <c r="U40" s="49">
        <v>12193</v>
      </c>
      <c r="V40" s="324">
        <f t="shared" si="8"/>
        <v>62028</v>
      </c>
      <c r="W40" s="221"/>
      <c r="X40" s="571">
        <f t="shared" si="9"/>
        <v>12820.066666666668</v>
      </c>
    </row>
    <row r="41" spans="1:24">
      <c r="A41" s="337" t="s">
        <v>1409</v>
      </c>
      <c r="B41" s="335">
        <v>146</v>
      </c>
      <c r="C41">
        <v>24264</v>
      </c>
      <c r="D41">
        <v>24464</v>
      </c>
      <c r="E41">
        <v>25132</v>
      </c>
      <c r="F41">
        <v>23631</v>
      </c>
      <c r="G41">
        <v>22057</v>
      </c>
      <c r="H41" s="325">
        <f t="shared" si="6"/>
        <v>119548</v>
      </c>
      <c r="I41" s="221"/>
      <c r="J41" s="461">
        <v>19709</v>
      </c>
      <c r="K41" s="461">
        <v>20441</v>
      </c>
      <c r="L41" s="461">
        <v>20804</v>
      </c>
      <c r="M41" s="461">
        <v>19245</v>
      </c>
      <c r="N41" s="461">
        <v>19067</v>
      </c>
      <c r="O41" s="325">
        <f t="shared" si="7"/>
        <v>99266</v>
      </c>
      <c r="P41" s="221"/>
      <c r="Q41" s="49">
        <v>21582</v>
      </c>
      <c r="R41" s="49">
        <v>20619</v>
      </c>
      <c r="S41" s="49">
        <v>20395</v>
      </c>
      <c r="T41" s="49">
        <v>23021</v>
      </c>
      <c r="U41" s="49">
        <v>21326</v>
      </c>
      <c r="V41" s="324">
        <f t="shared" si="8"/>
        <v>106943</v>
      </c>
      <c r="W41" s="221"/>
      <c r="X41" s="571">
        <f t="shared" si="9"/>
        <v>21717.133333333335</v>
      </c>
    </row>
    <row r="42" spans="1:24">
      <c r="A42" s="337" t="s">
        <v>857</v>
      </c>
      <c r="B42" s="335">
        <v>146</v>
      </c>
      <c r="C42">
        <v>1753</v>
      </c>
      <c r="D42">
        <v>1866</v>
      </c>
      <c r="E42">
        <v>1949</v>
      </c>
      <c r="F42">
        <v>1780</v>
      </c>
      <c r="G42">
        <v>1806</v>
      </c>
      <c r="H42" s="325">
        <f t="shared" si="6"/>
        <v>9154</v>
      </c>
      <c r="I42" s="221"/>
      <c r="J42" s="461">
        <v>1679</v>
      </c>
      <c r="K42" s="461">
        <v>1163</v>
      </c>
      <c r="L42" s="461">
        <v>1236</v>
      </c>
      <c r="M42" s="461">
        <v>1291</v>
      </c>
      <c r="N42" s="461">
        <v>1299</v>
      </c>
      <c r="O42" s="325">
        <f t="shared" si="7"/>
        <v>6668</v>
      </c>
      <c r="P42" s="221"/>
      <c r="Q42" s="49">
        <v>1569</v>
      </c>
      <c r="R42" s="49">
        <v>1550</v>
      </c>
      <c r="S42" s="49">
        <v>1201</v>
      </c>
      <c r="T42" s="49">
        <v>1913</v>
      </c>
      <c r="U42" s="49">
        <v>1809</v>
      </c>
      <c r="V42" s="324">
        <f t="shared" si="8"/>
        <v>8042</v>
      </c>
      <c r="W42" s="221"/>
      <c r="X42" s="571">
        <f t="shared" si="9"/>
        <v>1590.9333333333334</v>
      </c>
    </row>
    <row r="43" spans="1:24">
      <c r="A43" s="337" t="s">
        <v>1028</v>
      </c>
      <c r="B43" s="335">
        <v>146</v>
      </c>
      <c r="C43">
        <v>5591</v>
      </c>
      <c r="D43">
        <v>5682</v>
      </c>
      <c r="E43">
        <v>5925</v>
      </c>
      <c r="F43">
        <v>5697</v>
      </c>
      <c r="G43">
        <v>4719</v>
      </c>
      <c r="H43" s="325">
        <f t="shared" si="6"/>
        <v>27614</v>
      </c>
      <c r="I43" s="221"/>
      <c r="J43" s="461">
        <v>4937</v>
      </c>
      <c r="K43" s="461">
        <v>5435</v>
      </c>
      <c r="L43" s="461">
        <v>5484</v>
      </c>
      <c r="M43" s="461">
        <v>5090</v>
      </c>
      <c r="N43" s="461">
        <v>4913</v>
      </c>
      <c r="O43" s="325">
        <f>SUM(J43:N43)</f>
        <v>25859</v>
      </c>
      <c r="P43" s="221"/>
      <c r="Q43" s="49">
        <v>5904</v>
      </c>
      <c r="R43" s="49">
        <v>5484</v>
      </c>
      <c r="S43" s="49">
        <v>5368</v>
      </c>
      <c r="T43" s="49">
        <v>6121</v>
      </c>
      <c r="U43" s="49">
        <v>6278</v>
      </c>
      <c r="V43" s="324">
        <f t="shared" si="8"/>
        <v>29155</v>
      </c>
      <c r="W43" s="221"/>
      <c r="X43" s="571">
        <f t="shared" si="9"/>
        <v>5508.5333333333338</v>
      </c>
    </row>
    <row r="44" spans="1:24">
      <c r="A44" s="337" t="s">
        <v>1204</v>
      </c>
      <c r="B44" s="335">
        <v>146</v>
      </c>
      <c r="C44" s="2">
        <v>1966</v>
      </c>
      <c r="D44" s="2">
        <v>2269</v>
      </c>
      <c r="E44" s="2">
        <v>2182</v>
      </c>
      <c r="F44" s="2">
        <v>2056</v>
      </c>
      <c r="G44" s="2">
        <v>1859</v>
      </c>
      <c r="H44" s="325">
        <f t="shared" si="6"/>
        <v>10332</v>
      </c>
      <c r="I44" s="221"/>
      <c r="J44" s="461">
        <v>1778</v>
      </c>
      <c r="K44" s="461">
        <v>2060</v>
      </c>
      <c r="L44" s="461">
        <v>2148</v>
      </c>
      <c r="M44" s="461">
        <v>1913</v>
      </c>
      <c r="N44" s="461">
        <v>1700</v>
      </c>
      <c r="O44" s="325">
        <f>SUM(J44:N44)</f>
        <v>9599</v>
      </c>
      <c r="P44" s="221"/>
      <c r="Q44" s="21">
        <v>2117</v>
      </c>
      <c r="R44" s="21">
        <v>1831</v>
      </c>
      <c r="S44" s="21">
        <v>1854</v>
      </c>
      <c r="T44" s="21">
        <v>2120</v>
      </c>
      <c r="U44" s="21">
        <v>1864</v>
      </c>
      <c r="V44" s="324">
        <f t="shared" si="8"/>
        <v>9786</v>
      </c>
      <c r="W44" s="221"/>
      <c r="X44" s="571">
        <f>AVERAGE(C44:G44,J44:N44,Q44:U44)</f>
        <v>1981.1333333333334</v>
      </c>
    </row>
    <row r="45" spans="1:24">
      <c r="A45" s="337" t="s">
        <v>1027</v>
      </c>
      <c r="B45" s="335">
        <v>146</v>
      </c>
      <c r="C45">
        <v>3255</v>
      </c>
      <c r="D45">
        <v>3315</v>
      </c>
      <c r="E45">
        <v>3510</v>
      </c>
      <c r="F45">
        <v>3331</v>
      </c>
      <c r="G45">
        <v>3297</v>
      </c>
      <c r="H45" s="325">
        <f t="shared" si="6"/>
        <v>16708</v>
      </c>
      <c r="I45" s="221"/>
      <c r="J45" s="461">
        <v>3051</v>
      </c>
      <c r="K45" s="461">
        <v>3163</v>
      </c>
      <c r="L45" s="461">
        <v>3292</v>
      </c>
      <c r="M45" s="461">
        <v>3161</v>
      </c>
      <c r="N45" s="461">
        <v>2871</v>
      </c>
      <c r="O45" s="325">
        <f t="shared" si="7"/>
        <v>15538</v>
      </c>
      <c r="P45" s="221"/>
      <c r="Q45" s="49">
        <v>3114</v>
      </c>
      <c r="R45" s="49">
        <v>2919</v>
      </c>
      <c r="S45" s="49">
        <v>3117</v>
      </c>
      <c r="T45" s="49">
        <v>3190</v>
      </c>
      <c r="U45" s="49">
        <v>3504</v>
      </c>
      <c r="V45" s="324">
        <f t="shared" si="8"/>
        <v>15844</v>
      </c>
      <c r="W45" s="221"/>
      <c r="X45" s="571">
        <f t="shared" si="9"/>
        <v>3206</v>
      </c>
    </row>
    <row r="46" spans="1:24">
      <c r="A46" s="337" t="s">
        <v>856</v>
      </c>
      <c r="B46" s="335">
        <v>146</v>
      </c>
      <c r="C46">
        <v>3921</v>
      </c>
      <c r="D46">
        <v>3880</v>
      </c>
      <c r="E46">
        <v>3766</v>
      </c>
      <c r="F46">
        <v>2732</v>
      </c>
      <c r="G46">
        <v>531</v>
      </c>
      <c r="H46" s="324">
        <f t="shared" si="6"/>
        <v>14830</v>
      </c>
      <c r="I46" s="221"/>
      <c r="J46" s="461">
        <v>1295</v>
      </c>
      <c r="K46" s="461">
        <v>3601</v>
      </c>
      <c r="L46" s="461">
        <v>3575</v>
      </c>
      <c r="M46" s="461">
        <v>3418</v>
      </c>
      <c r="N46" s="461">
        <v>3255</v>
      </c>
      <c r="O46" s="324">
        <f t="shared" si="7"/>
        <v>15144</v>
      </c>
      <c r="P46" s="435"/>
      <c r="Q46" s="49">
        <v>4097</v>
      </c>
      <c r="R46" s="49">
        <v>3930</v>
      </c>
      <c r="S46" s="49">
        <v>3184</v>
      </c>
      <c r="T46" s="49">
        <v>1187</v>
      </c>
      <c r="U46" s="49">
        <v>1855</v>
      </c>
      <c r="V46" s="324">
        <f t="shared" si="8"/>
        <v>14253</v>
      </c>
      <c r="W46" s="221"/>
      <c r="X46" s="571">
        <f t="shared" si="9"/>
        <v>2948.4666666666667</v>
      </c>
    </row>
    <row r="47" spans="1:24">
      <c r="A47" s="337" t="s">
        <v>1026</v>
      </c>
      <c r="B47" s="335">
        <v>146</v>
      </c>
      <c r="C47" s="461">
        <v>0</v>
      </c>
      <c r="D47" s="461">
        <v>0</v>
      </c>
      <c r="E47" s="461">
        <v>0</v>
      </c>
      <c r="F47" s="461">
        <v>0</v>
      </c>
      <c r="G47" s="461">
        <v>1</v>
      </c>
      <c r="H47" s="324">
        <f t="shared" si="6"/>
        <v>1</v>
      </c>
      <c r="I47" s="221"/>
      <c r="J47" s="461">
        <v>1</v>
      </c>
      <c r="K47" s="461">
        <v>0</v>
      </c>
      <c r="L47" s="461">
        <v>0</v>
      </c>
      <c r="M47" s="461">
        <v>1</v>
      </c>
      <c r="N47" s="461">
        <v>0</v>
      </c>
      <c r="O47" s="324">
        <f t="shared" si="7"/>
        <v>2</v>
      </c>
      <c r="P47" s="435"/>
      <c r="Q47" s="461">
        <v>0</v>
      </c>
      <c r="R47" s="461">
        <v>0</v>
      </c>
      <c r="S47" s="461">
        <v>0</v>
      </c>
      <c r="T47" s="461">
        <v>1</v>
      </c>
      <c r="U47" s="461">
        <v>0</v>
      </c>
      <c r="V47" s="324">
        <f t="shared" si="8"/>
        <v>1</v>
      </c>
      <c r="W47" s="221"/>
      <c r="X47" s="571">
        <f t="shared" si="9"/>
        <v>0.26666666666666666</v>
      </c>
    </row>
    <row r="48" spans="1:24">
      <c r="A48" s="337" t="s">
        <v>1026</v>
      </c>
      <c r="B48" s="335">
        <v>146</v>
      </c>
      <c r="C48" s="461">
        <v>0</v>
      </c>
      <c r="D48" s="461">
        <v>0</v>
      </c>
      <c r="E48" s="461">
        <v>0</v>
      </c>
      <c r="F48" s="461">
        <v>0</v>
      </c>
      <c r="G48" s="461">
        <v>0</v>
      </c>
      <c r="H48" s="324">
        <f>SUM(C48:G48)</f>
        <v>0</v>
      </c>
      <c r="I48" s="221"/>
      <c r="J48" s="461">
        <v>0</v>
      </c>
      <c r="K48" s="461">
        <v>0</v>
      </c>
      <c r="L48" s="461">
        <v>0</v>
      </c>
      <c r="M48" s="461">
        <v>0</v>
      </c>
      <c r="N48" s="461">
        <v>0</v>
      </c>
      <c r="O48" s="324">
        <f>SUM(J48:N48)</f>
        <v>0</v>
      </c>
      <c r="P48" s="435"/>
      <c r="Q48" s="461">
        <v>0</v>
      </c>
      <c r="R48" s="461">
        <v>0</v>
      </c>
      <c r="S48" s="461">
        <v>0</v>
      </c>
      <c r="T48" s="461">
        <v>0</v>
      </c>
      <c r="U48" s="461">
        <v>0</v>
      </c>
      <c r="V48" s="324">
        <f>SUM(Q48:U48)</f>
        <v>0</v>
      </c>
      <c r="W48" s="221"/>
      <c r="X48" s="571">
        <f>AVERAGE(C48:G48,J48:N48,Q48:U48)</f>
        <v>0</v>
      </c>
    </row>
    <row r="49" spans="1:30">
      <c r="A49" s="337" t="s">
        <v>853</v>
      </c>
      <c r="B49" s="335">
        <v>146</v>
      </c>
      <c r="C49" s="771">
        <v>1176</v>
      </c>
      <c r="D49" s="771">
        <v>916</v>
      </c>
      <c r="E49" s="771">
        <v>1297</v>
      </c>
      <c r="F49" s="771">
        <v>1174</v>
      </c>
      <c r="G49" s="771">
        <v>741</v>
      </c>
      <c r="H49" s="325">
        <f t="shared" si="6"/>
        <v>5304</v>
      </c>
      <c r="I49" s="221"/>
      <c r="J49">
        <v>912</v>
      </c>
      <c r="K49">
        <v>1120</v>
      </c>
      <c r="L49">
        <v>1011</v>
      </c>
      <c r="M49">
        <v>971</v>
      </c>
      <c r="N49">
        <v>1113</v>
      </c>
      <c r="O49" s="325">
        <f t="shared" si="7"/>
        <v>5127</v>
      </c>
      <c r="P49" s="221"/>
      <c r="Q49" s="49">
        <v>982</v>
      </c>
      <c r="R49" s="49">
        <v>1196</v>
      </c>
      <c r="S49" s="49">
        <v>1136</v>
      </c>
      <c r="T49" s="49">
        <v>747</v>
      </c>
      <c r="U49" s="49">
        <v>1000</v>
      </c>
      <c r="V49" s="324">
        <f t="shared" si="8"/>
        <v>5061</v>
      </c>
      <c r="W49" s="221"/>
      <c r="X49" s="571">
        <f t="shared" si="9"/>
        <v>1032.8</v>
      </c>
    </row>
    <row r="50" spans="1:30">
      <c r="A50" s="337" t="s">
        <v>1181</v>
      </c>
      <c r="B50" s="335">
        <v>146</v>
      </c>
      <c r="C50" s="771">
        <v>1395</v>
      </c>
      <c r="D50" s="771">
        <v>1274</v>
      </c>
      <c r="E50" s="771">
        <v>1396</v>
      </c>
      <c r="F50" s="771">
        <v>1249</v>
      </c>
      <c r="G50" s="771">
        <v>758</v>
      </c>
      <c r="H50" s="324">
        <f t="shared" si="6"/>
        <v>6072</v>
      </c>
      <c r="I50" s="435"/>
      <c r="J50">
        <v>734</v>
      </c>
      <c r="K50">
        <v>1412</v>
      </c>
      <c r="L50">
        <v>1276</v>
      </c>
      <c r="M50">
        <v>1197</v>
      </c>
      <c r="N50">
        <v>1422</v>
      </c>
      <c r="O50" s="325">
        <f t="shared" si="7"/>
        <v>6041</v>
      </c>
      <c r="P50" s="221"/>
      <c r="Q50" s="49">
        <v>918</v>
      </c>
      <c r="R50" s="49">
        <v>866</v>
      </c>
      <c r="S50" s="49">
        <v>505</v>
      </c>
      <c r="T50" s="49">
        <v>483</v>
      </c>
      <c r="U50" s="49">
        <v>743</v>
      </c>
      <c r="V50" s="324">
        <f t="shared" si="8"/>
        <v>3515</v>
      </c>
      <c r="W50" s="221"/>
      <c r="X50" s="571">
        <f t="shared" si="9"/>
        <v>1041.8666666666666</v>
      </c>
    </row>
    <row r="51" spans="1:30">
      <c r="A51" s="337" t="s">
        <v>1410</v>
      </c>
      <c r="B51" s="335">
        <v>148</v>
      </c>
      <c r="C51" s="771">
        <v>73831</v>
      </c>
      <c r="D51" s="771">
        <v>79812</v>
      </c>
      <c r="E51" s="771">
        <v>79716</v>
      </c>
      <c r="F51" s="771">
        <v>86496</v>
      </c>
      <c r="G51" s="771">
        <v>75359</v>
      </c>
      <c r="H51" s="324">
        <f t="shared" si="6"/>
        <v>395214</v>
      </c>
      <c r="I51" s="435"/>
      <c r="J51">
        <v>78900</v>
      </c>
      <c r="K51">
        <v>76003</v>
      </c>
      <c r="L51">
        <v>73034</v>
      </c>
      <c r="M51">
        <v>78431</v>
      </c>
      <c r="N51">
        <v>70767</v>
      </c>
      <c r="O51" s="325">
        <f t="shared" si="7"/>
        <v>377135</v>
      </c>
      <c r="P51" s="221"/>
      <c r="Q51" s="49">
        <v>74934</v>
      </c>
      <c r="R51" s="49">
        <v>74735</v>
      </c>
      <c r="S51" s="49">
        <v>78136</v>
      </c>
      <c r="T51" s="49">
        <v>82498</v>
      </c>
      <c r="U51" s="49">
        <v>77781</v>
      </c>
      <c r="V51" s="324">
        <f t="shared" si="8"/>
        <v>388084</v>
      </c>
      <c r="W51" s="221"/>
      <c r="X51" s="571">
        <f t="shared" si="9"/>
        <v>77362.2</v>
      </c>
    </row>
    <row r="52" spans="1:30">
      <c r="A52" s="337" t="s">
        <v>852</v>
      </c>
      <c r="B52" s="335">
        <v>146</v>
      </c>
      <c r="C52" s="771">
        <v>2538</v>
      </c>
      <c r="D52" s="771">
        <v>2596</v>
      </c>
      <c r="E52" s="771">
        <v>2639</v>
      </c>
      <c r="F52" s="771">
        <v>2536</v>
      </c>
      <c r="G52" s="771">
        <v>2187</v>
      </c>
      <c r="H52" s="325">
        <f t="shared" si="6"/>
        <v>12496</v>
      </c>
      <c r="I52" s="221"/>
      <c r="J52">
        <v>2082</v>
      </c>
      <c r="K52">
        <v>2215</v>
      </c>
      <c r="L52">
        <v>2378</v>
      </c>
      <c r="M52">
        <v>2317</v>
      </c>
      <c r="N52">
        <v>2327</v>
      </c>
      <c r="O52" s="325">
        <f t="shared" si="7"/>
        <v>11319</v>
      </c>
      <c r="P52" s="221"/>
      <c r="Q52" s="49">
        <v>2393</v>
      </c>
      <c r="R52" s="49">
        <v>2258</v>
      </c>
      <c r="S52" s="49">
        <v>2223</v>
      </c>
      <c r="T52" s="49">
        <v>2300</v>
      </c>
      <c r="U52" s="49">
        <v>2216</v>
      </c>
      <c r="V52" s="324">
        <f t="shared" si="8"/>
        <v>11390</v>
      </c>
      <c r="W52" s="221"/>
      <c r="X52" s="571">
        <f t="shared" si="9"/>
        <v>2347</v>
      </c>
    </row>
    <row r="53" spans="1:30">
      <c r="A53" s="337" t="s">
        <v>1125</v>
      </c>
      <c r="B53" s="321">
        <v>148</v>
      </c>
      <c r="C53" s="771">
        <f>(544221/645784)*23753</f>
        <v>20017.345448323278</v>
      </c>
      <c r="D53" s="771">
        <f>(544221/645784)*23718</f>
        <v>19987.84992814935</v>
      </c>
      <c r="E53" s="771">
        <f>(544221/645784)*24928</f>
        <v>21007.552197019439</v>
      </c>
      <c r="F53" s="771">
        <f>(544221/645784)*25926</f>
        <v>21848.595886550302</v>
      </c>
      <c r="G53" s="771">
        <f>(544221/645784)*28843</f>
        <v>24306.836810760255</v>
      </c>
      <c r="H53" s="325">
        <f t="shared" si="6"/>
        <v>107168.18027080262</v>
      </c>
      <c r="I53" s="221"/>
      <c r="J53" s="138">
        <f>(552172/613833)*20110</f>
        <v>18089.902172089151</v>
      </c>
      <c r="K53" s="138">
        <f>(552172/613833)*19006</f>
        <v>17096.801625197731</v>
      </c>
      <c r="L53" s="138">
        <f>(552172/613833)*23317</f>
        <v>20974.751315097103</v>
      </c>
      <c r="M53" s="138">
        <f>(552172/613833)*25326</f>
        <v>22781.942437112371</v>
      </c>
      <c r="N53" s="138">
        <f>(552172/613833)*27209</f>
        <v>24475.790561928079</v>
      </c>
      <c r="O53" s="325">
        <f t="shared" si="7"/>
        <v>103419.18811142445</v>
      </c>
      <c r="P53" s="221"/>
      <c r="Q53" s="138">
        <f>(552172/613833)*23127</f>
        <v>20803.837271700933</v>
      </c>
      <c r="R53" s="138">
        <f>(552172/613833)*21711</f>
        <v>19530.077874601073</v>
      </c>
      <c r="S53" s="138">
        <f>(552172/613833)*21405</f>
        <v>19254.816309973558</v>
      </c>
      <c r="T53" s="138">
        <f>(552172/613833)*15609</f>
        <v>14041.038438793612</v>
      </c>
      <c r="U53" s="138">
        <f>(552172/613833)*8108</f>
        <v>7293.5319150322639</v>
      </c>
      <c r="V53" s="324">
        <f t="shared" si="8"/>
        <v>80923.301810101431</v>
      </c>
      <c r="W53" s="221"/>
      <c r="X53" s="571">
        <f t="shared" si="9"/>
        <v>19434.044679488565</v>
      </c>
    </row>
    <row r="54" spans="1:30">
      <c r="A54" s="337" t="s">
        <v>1025</v>
      </c>
      <c r="B54" s="335">
        <v>146</v>
      </c>
      <c r="C54" s="771">
        <f>(101563/645784)*23753</f>
        <v>3735.6545516767219</v>
      </c>
      <c r="D54" s="771">
        <f>(101563/645784)*23718</f>
        <v>3730.15007185065</v>
      </c>
      <c r="E54" s="771">
        <f>(101563/645784)*24928</f>
        <v>3920.4478029805632</v>
      </c>
      <c r="F54" s="771">
        <f>(101563/645784)*25926</f>
        <v>4077.4041134496983</v>
      </c>
      <c r="G54" s="771">
        <f>(101563/645784)*28843</f>
        <v>4536.1631892397463</v>
      </c>
      <c r="H54" s="324">
        <f t="shared" si="6"/>
        <v>19999.819729197381</v>
      </c>
      <c r="I54" s="435"/>
      <c r="J54" s="138">
        <f>(61661/613833)*20110</f>
        <v>2020.0978279108488</v>
      </c>
      <c r="K54" s="138">
        <f>(61661/613833)*19006</f>
        <v>1909.1983748022672</v>
      </c>
      <c r="L54" s="138">
        <f>(61661/613833)*23317</f>
        <v>2342.2486849028969</v>
      </c>
      <c r="M54" s="138">
        <f>(61661/613833)*25326</f>
        <v>2544.0575628876259</v>
      </c>
      <c r="N54" s="138">
        <f>(61661/613833)*27209</f>
        <v>2733.2094380719186</v>
      </c>
      <c r="O54" s="325">
        <f t="shared" si="7"/>
        <v>11548.811888575559</v>
      </c>
      <c r="P54" s="221"/>
      <c r="Q54" s="138">
        <f>(61661/613833)*23127</f>
        <v>2323.1627282990648</v>
      </c>
      <c r="R54" s="138">
        <f>(61661/613833)*21711</f>
        <v>2180.9221253989276</v>
      </c>
      <c r="S54" s="138">
        <f>(61661/613833)*21405</f>
        <v>2150.1836900264402</v>
      </c>
      <c r="T54" s="138">
        <f>(61661/613833)*15609</f>
        <v>1567.9615612063867</v>
      </c>
      <c r="U54" s="138">
        <f>(61661/613833)*8108</f>
        <v>814.46808496773554</v>
      </c>
      <c r="V54" s="324">
        <f t="shared" si="8"/>
        <v>9036.6981898985541</v>
      </c>
      <c r="W54" s="221"/>
      <c r="X54" s="571">
        <f t="shared" si="9"/>
        <v>2705.6886538447666</v>
      </c>
      <c r="Z54" s="584"/>
      <c r="AA54" s="584"/>
      <c r="AB54" s="584"/>
      <c r="AC54" s="584"/>
      <c r="AD54" s="584"/>
    </row>
    <row r="55" spans="1:30">
      <c r="A55" s="337" t="s">
        <v>1024</v>
      </c>
      <c r="B55" s="335">
        <v>146</v>
      </c>
      <c r="C55">
        <v>2806</v>
      </c>
      <c r="D55">
        <v>3115</v>
      </c>
      <c r="E55">
        <v>3243</v>
      </c>
      <c r="F55">
        <v>3825</v>
      </c>
      <c r="G55">
        <v>3060</v>
      </c>
      <c r="H55" s="325">
        <f t="shared" si="6"/>
        <v>16049</v>
      </c>
      <c r="I55" s="221"/>
      <c r="J55" s="461">
        <v>3174</v>
      </c>
      <c r="K55" s="461">
        <v>3348</v>
      </c>
      <c r="L55" s="461">
        <v>3583</v>
      </c>
      <c r="M55" s="461">
        <v>3296</v>
      </c>
      <c r="N55" s="461">
        <v>3752</v>
      </c>
      <c r="O55" s="325">
        <f t="shared" si="7"/>
        <v>17153</v>
      </c>
      <c r="P55" s="221"/>
      <c r="Q55" s="49">
        <v>1976</v>
      </c>
      <c r="R55" s="49">
        <v>2094</v>
      </c>
      <c r="S55" s="49">
        <v>1135</v>
      </c>
      <c r="T55" s="49">
        <v>1484</v>
      </c>
      <c r="U55" s="49">
        <v>1797</v>
      </c>
      <c r="V55" s="324">
        <f t="shared" si="8"/>
        <v>8486</v>
      </c>
      <c r="W55" s="221"/>
      <c r="X55" s="571">
        <f t="shared" si="9"/>
        <v>2779.2</v>
      </c>
    </row>
    <row r="56" spans="1:30">
      <c r="A56" s="337" t="s">
        <v>1411</v>
      </c>
      <c r="B56" s="335">
        <v>148</v>
      </c>
      <c r="C56">
        <v>5318</v>
      </c>
      <c r="D56">
        <v>5833</v>
      </c>
      <c r="E56">
        <v>6283</v>
      </c>
      <c r="F56">
        <v>6294</v>
      </c>
      <c r="G56">
        <v>6011</v>
      </c>
      <c r="H56" s="325">
        <f t="shared" si="6"/>
        <v>29739</v>
      </c>
      <c r="I56" s="221"/>
      <c r="J56" s="461">
        <v>6200</v>
      </c>
      <c r="K56" s="461">
        <v>6028</v>
      </c>
      <c r="L56" s="461">
        <v>6389</v>
      </c>
      <c r="M56" s="461">
        <v>6372</v>
      </c>
      <c r="N56" s="461">
        <v>5496</v>
      </c>
      <c r="O56" s="325">
        <f t="shared" si="7"/>
        <v>30485</v>
      </c>
      <c r="P56" s="221"/>
      <c r="Q56" s="49">
        <v>6426</v>
      </c>
      <c r="R56" s="49">
        <v>6351</v>
      </c>
      <c r="S56" s="49">
        <v>6457</v>
      </c>
      <c r="T56" s="49">
        <v>6670</v>
      </c>
      <c r="U56" s="49">
        <v>6318</v>
      </c>
      <c r="V56" s="324">
        <f t="shared" si="8"/>
        <v>32222</v>
      </c>
      <c r="W56" s="221"/>
      <c r="X56" s="571">
        <f t="shared" si="9"/>
        <v>6163.0666666666666</v>
      </c>
    </row>
    <row r="57" spans="1:30">
      <c r="A57" s="337" t="s">
        <v>1203</v>
      </c>
      <c r="B57" s="335">
        <v>146</v>
      </c>
      <c r="C57">
        <v>2983</v>
      </c>
      <c r="D57">
        <v>3038</v>
      </c>
      <c r="E57">
        <v>3275</v>
      </c>
      <c r="F57">
        <v>2953</v>
      </c>
      <c r="G57">
        <v>2641</v>
      </c>
      <c r="H57" s="325">
        <f t="shared" si="6"/>
        <v>14890</v>
      </c>
      <c r="I57" s="221"/>
      <c r="J57" s="461">
        <v>2951</v>
      </c>
      <c r="K57" s="461">
        <v>3425</v>
      </c>
      <c r="L57" s="461">
        <v>3329</v>
      </c>
      <c r="M57" s="461">
        <v>3128</v>
      </c>
      <c r="N57" s="461">
        <v>2995</v>
      </c>
      <c r="O57" s="325">
        <f t="shared" si="7"/>
        <v>15828</v>
      </c>
      <c r="P57" s="221"/>
      <c r="Q57" s="49">
        <v>4032</v>
      </c>
      <c r="R57" s="49">
        <v>3502</v>
      </c>
      <c r="S57" s="49">
        <v>3464</v>
      </c>
      <c r="T57" s="49">
        <v>4439</v>
      </c>
      <c r="U57" s="49">
        <v>4105</v>
      </c>
      <c r="V57" s="324">
        <f t="shared" si="8"/>
        <v>19542</v>
      </c>
      <c r="W57" s="221"/>
      <c r="X57" s="571">
        <f t="shared" si="9"/>
        <v>3350.6666666666665</v>
      </c>
    </row>
    <row r="58" spans="1:30">
      <c r="A58" s="337" t="s">
        <v>1408</v>
      </c>
      <c r="B58" s="335">
        <v>146</v>
      </c>
      <c r="C58">
        <v>635</v>
      </c>
      <c r="D58">
        <v>672</v>
      </c>
      <c r="E58">
        <v>761</v>
      </c>
      <c r="F58">
        <v>700</v>
      </c>
      <c r="G58">
        <v>660</v>
      </c>
      <c r="H58" s="325">
        <f t="shared" si="6"/>
        <v>3428</v>
      </c>
      <c r="I58" s="221"/>
      <c r="J58" s="461">
        <v>377</v>
      </c>
      <c r="K58" s="461">
        <v>767</v>
      </c>
      <c r="L58" s="461">
        <v>676</v>
      </c>
      <c r="M58" s="461">
        <v>591</v>
      </c>
      <c r="N58" s="461">
        <v>649</v>
      </c>
      <c r="O58" s="325">
        <f t="shared" si="7"/>
        <v>3060</v>
      </c>
      <c r="P58" s="221"/>
      <c r="Q58" s="49">
        <v>735</v>
      </c>
      <c r="R58" s="49">
        <v>628</v>
      </c>
      <c r="S58" s="49">
        <v>544</v>
      </c>
      <c r="T58" s="49">
        <v>318</v>
      </c>
      <c r="U58" s="49">
        <v>327</v>
      </c>
      <c r="V58" s="324">
        <f t="shared" si="8"/>
        <v>2552</v>
      </c>
      <c r="W58" s="221"/>
      <c r="X58" s="571">
        <f t="shared" si="9"/>
        <v>602.66666666666663</v>
      </c>
    </row>
    <row r="59" spans="1:30">
      <c r="A59" s="337" t="s">
        <v>848</v>
      </c>
      <c r="B59" s="335">
        <v>146</v>
      </c>
      <c r="C59">
        <v>2280</v>
      </c>
      <c r="D59">
        <v>2604</v>
      </c>
      <c r="E59">
        <v>2365</v>
      </c>
      <c r="F59">
        <v>2405</v>
      </c>
      <c r="G59">
        <v>1290</v>
      </c>
      <c r="H59" s="325">
        <f t="shared" si="6"/>
        <v>10944</v>
      </c>
      <c r="I59" s="221"/>
      <c r="J59" s="461">
        <v>1760</v>
      </c>
      <c r="K59" s="461">
        <v>2639</v>
      </c>
      <c r="L59" s="461">
        <v>2499</v>
      </c>
      <c r="M59" s="461">
        <v>2545</v>
      </c>
      <c r="N59" s="461">
        <v>2743</v>
      </c>
      <c r="O59" s="325">
        <f t="shared" si="7"/>
        <v>12186</v>
      </c>
      <c r="P59" s="221"/>
      <c r="Q59" s="49">
        <v>2079</v>
      </c>
      <c r="R59" s="49">
        <v>2618</v>
      </c>
      <c r="S59" s="49">
        <v>2559</v>
      </c>
      <c r="T59" s="49">
        <v>1858</v>
      </c>
      <c r="U59" s="49">
        <v>2266</v>
      </c>
      <c r="V59" s="324">
        <f t="shared" si="8"/>
        <v>11380</v>
      </c>
      <c r="W59" s="221"/>
      <c r="X59" s="571">
        <f t="shared" si="9"/>
        <v>2300.6666666666665</v>
      </c>
    </row>
    <row r="60" spans="1:30">
      <c r="A60" s="337" t="s">
        <v>1023</v>
      </c>
      <c r="B60" s="335">
        <v>146</v>
      </c>
      <c r="C60">
        <v>11285</v>
      </c>
      <c r="D60">
        <v>11736</v>
      </c>
      <c r="E60">
        <v>12150</v>
      </c>
      <c r="F60">
        <v>11515</v>
      </c>
      <c r="G60">
        <v>10611</v>
      </c>
      <c r="H60" s="325">
        <f t="shared" si="6"/>
        <v>57297</v>
      </c>
      <c r="I60" s="221"/>
      <c r="J60" s="461">
        <v>11416</v>
      </c>
      <c r="K60" s="461">
        <v>12335</v>
      </c>
      <c r="L60" s="461">
        <v>12239</v>
      </c>
      <c r="M60" s="461">
        <v>11912</v>
      </c>
      <c r="N60" s="461">
        <v>11262</v>
      </c>
      <c r="O60" s="325">
        <f t="shared" si="7"/>
        <v>59164</v>
      </c>
      <c r="P60" s="221"/>
      <c r="Q60" s="49">
        <v>12654</v>
      </c>
      <c r="R60" s="49">
        <v>11856</v>
      </c>
      <c r="S60" s="49">
        <v>11577</v>
      </c>
      <c r="T60" s="49">
        <v>12679</v>
      </c>
      <c r="U60" s="49">
        <v>12810</v>
      </c>
      <c r="V60" s="324">
        <f t="shared" si="8"/>
        <v>61576</v>
      </c>
      <c r="W60" s="221"/>
      <c r="X60" s="571">
        <f t="shared" si="9"/>
        <v>11869.133333333333</v>
      </c>
    </row>
    <row r="61" spans="1:30">
      <c r="A61" s="337" t="s">
        <v>847</v>
      </c>
      <c r="B61" s="335">
        <v>146</v>
      </c>
      <c r="C61">
        <v>0</v>
      </c>
      <c r="D61">
        <v>0</v>
      </c>
      <c r="E61">
        <v>0</v>
      </c>
      <c r="F61">
        <v>0</v>
      </c>
      <c r="G61">
        <v>0</v>
      </c>
      <c r="H61" s="325">
        <f t="shared" si="6"/>
        <v>0</v>
      </c>
      <c r="I61" s="221"/>
      <c r="J61" s="461">
        <v>0</v>
      </c>
      <c r="K61" s="461">
        <v>0</v>
      </c>
      <c r="L61" s="461">
        <v>0</v>
      </c>
      <c r="M61" s="461">
        <v>0</v>
      </c>
      <c r="N61" s="461">
        <v>0</v>
      </c>
      <c r="O61" s="325">
        <f t="shared" si="7"/>
        <v>0</v>
      </c>
      <c r="P61" s="221"/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324">
        <f t="shared" si="8"/>
        <v>0</v>
      </c>
      <c r="W61" s="221"/>
      <c r="X61" s="571">
        <f t="shared" si="9"/>
        <v>0</v>
      </c>
    </row>
    <row r="62" spans="1:30">
      <c r="A62" s="337" t="s">
        <v>1212</v>
      </c>
      <c r="B62" s="335">
        <v>146</v>
      </c>
      <c r="C62">
        <v>1294</v>
      </c>
      <c r="D62">
        <v>1054</v>
      </c>
      <c r="E62">
        <v>898</v>
      </c>
      <c r="F62">
        <v>1355</v>
      </c>
      <c r="G62">
        <v>1346</v>
      </c>
      <c r="H62" s="325">
        <f t="shared" si="6"/>
        <v>5947</v>
      </c>
      <c r="I62" s="221"/>
      <c r="J62" s="461">
        <v>1722</v>
      </c>
      <c r="K62" s="461">
        <v>2527</v>
      </c>
      <c r="L62" s="461">
        <v>2139</v>
      </c>
      <c r="M62" s="461">
        <v>1596</v>
      </c>
      <c r="N62" s="461">
        <v>1535</v>
      </c>
      <c r="O62" s="325">
        <f t="shared" si="7"/>
        <v>9519</v>
      </c>
      <c r="P62" s="221"/>
      <c r="Q62" s="49">
        <v>1084</v>
      </c>
      <c r="R62" s="49">
        <v>1002</v>
      </c>
      <c r="S62" s="49">
        <v>2723</v>
      </c>
      <c r="T62" s="49">
        <v>1884</v>
      </c>
      <c r="U62" s="49">
        <v>1090</v>
      </c>
      <c r="V62" s="324">
        <f t="shared" si="8"/>
        <v>7783</v>
      </c>
      <c r="W62" s="221"/>
      <c r="X62" s="571">
        <f t="shared" si="9"/>
        <v>1549.9333333333334</v>
      </c>
    </row>
    <row r="63" spans="1:30">
      <c r="A63" s="337" t="s">
        <v>1211</v>
      </c>
      <c r="B63" s="335">
        <v>146</v>
      </c>
      <c r="C63">
        <v>1303</v>
      </c>
      <c r="D63">
        <v>2505</v>
      </c>
      <c r="E63">
        <v>2224</v>
      </c>
      <c r="F63">
        <v>1251</v>
      </c>
      <c r="G63">
        <v>355</v>
      </c>
      <c r="H63" s="325">
        <f t="shared" si="6"/>
        <v>7638</v>
      </c>
      <c r="I63" s="221"/>
      <c r="J63" s="461">
        <v>623</v>
      </c>
      <c r="K63" s="461">
        <v>2008</v>
      </c>
      <c r="L63" s="461">
        <v>2116</v>
      </c>
      <c r="M63" s="461">
        <v>1766</v>
      </c>
      <c r="N63" s="461">
        <v>1949</v>
      </c>
      <c r="O63" s="325">
        <f t="shared" si="7"/>
        <v>8462</v>
      </c>
      <c r="P63" s="221"/>
      <c r="Q63" s="49">
        <v>2124</v>
      </c>
      <c r="R63" s="49">
        <v>1656</v>
      </c>
      <c r="S63" s="49">
        <v>568</v>
      </c>
      <c r="T63" s="49">
        <v>432</v>
      </c>
      <c r="U63" s="49">
        <v>942</v>
      </c>
      <c r="V63" s="324">
        <f t="shared" si="8"/>
        <v>5722</v>
      </c>
      <c r="W63" s="221"/>
      <c r="X63" s="571">
        <f t="shared" si="9"/>
        <v>1454.8</v>
      </c>
    </row>
    <row r="64" spans="1:30">
      <c r="A64" s="337" t="s">
        <v>845</v>
      </c>
      <c r="B64" s="335">
        <v>146</v>
      </c>
      <c r="C64">
        <v>5622</v>
      </c>
      <c r="D64">
        <v>5415</v>
      </c>
      <c r="E64">
        <v>5757</v>
      </c>
      <c r="F64">
        <v>5099</v>
      </c>
      <c r="G64">
        <v>3405</v>
      </c>
      <c r="H64" s="325">
        <f t="shared" si="6"/>
        <v>25298</v>
      </c>
      <c r="I64" s="221"/>
      <c r="J64" s="461">
        <v>4053</v>
      </c>
      <c r="K64" s="461">
        <v>5670</v>
      </c>
      <c r="L64" s="461">
        <v>5763</v>
      </c>
      <c r="M64" s="461">
        <v>5879</v>
      </c>
      <c r="N64" s="461">
        <v>5601</v>
      </c>
      <c r="O64" s="325">
        <f t="shared" si="7"/>
        <v>26966</v>
      </c>
      <c r="P64" s="221"/>
      <c r="Q64" s="49">
        <v>5081</v>
      </c>
      <c r="R64" s="49">
        <v>5203</v>
      </c>
      <c r="S64" s="49">
        <v>4380</v>
      </c>
      <c r="T64" s="49">
        <v>2838</v>
      </c>
      <c r="U64" s="49">
        <v>3751</v>
      </c>
      <c r="V64" s="324">
        <f t="shared" si="8"/>
        <v>21253</v>
      </c>
      <c r="W64" s="221"/>
      <c r="X64" s="571">
        <f t="shared" si="9"/>
        <v>4901.1333333333332</v>
      </c>
    </row>
    <row r="65" spans="1:24">
      <c r="A65" s="337" t="s">
        <v>1412</v>
      </c>
      <c r="B65" s="335">
        <v>146</v>
      </c>
      <c r="C65">
        <v>4242</v>
      </c>
      <c r="D65">
        <v>4333</v>
      </c>
      <c r="E65">
        <v>4801</v>
      </c>
      <c r="F65">
        <v>4472</v>
      </c>
      <c r="G65">
        <v>3965</v>
      </c>
      <c r="H65" s="325">
        <f t="shared" si="6"/>
        <v>21813</v>
      </c>
      <c r="I65" s="221"/>
      <c r="J65" s="461">
        <v>2778</v>
      </c>
      <c r="K65" s="461">
        <v>3324</v>
      </c>
      <c r="L65" s="461">
        <v>3379</v>
      </c>
      <c r="M65" s="461">
        <v>3235</v>
      </c>
      <c r="N65" s="461">
        <v>3585</v>
      </c>
      <c r="O65" s="325">
        <f t="shared" si="7"/>
        <v>16301</v>
      </c>
      <c r="P65" s="221"/>
      <c r="Q65" s="49">
        <v>4061</v>
      </c>
      <c r="R65" s="49">
        <v>3493</v>
      </c>
      <c r="S65" s="49">
        <v>3158</v>
      </c>
      <c r="T65" s="49">
        <v>3662</v>
      </c>
      <c r="U65" s="49">
        <v>3578</v>
      </c>
      <c r="V65" s="324">
        <f t="shared" si="8"/>
        <v>17952</v>
      </c>
      <c r="W65" s="221"/>
      <c r="X65" s="571">
        <f t="shared" si="9"/>
        <v>3737.7333333333331</v>
      </c>
    </row>
    <row r="66" spans="1:24">
      <c r="A66" s="337" t="s">
        <v>1022</v>
      </c>
      <c r="B66" s="335">
        <v>146</v>
      </c>
      <c r="C66" s="324">
        <v>2882</v>
      </c>
      <c r="D66" s="324">
        <v>2962</v>
      </c>
      <c r="E66" s="324">
        <v>3187</v>
      </c>
      <c r="F66" s="324">
        <v>2960</v>
      </c>
      <c r="G66" s="324">
        <v>2546</v>
      </c>
      <c r="H66" s="324">
        <f>SUM(C66:G66)</f>
        <v>14537</v>
      </c>
      <c r="I66" s="435"/>
      <c r="J66" s="324">
        <v>2338</v>
      </c>
      <c r="K66" s="324">
        <v>2521</v>
      </c>
      <c r="L66" s="324">
        <v>2624</v>
      </c>
      <c r="M66" s="324">
        <v>2448</v>
      </c>
      <c r="N66" s="324">
        <v>2447</v>
      </c>
      <c r="O66" s="324">
        <f t="shared" si="7"/>
        <v>12378</v>
      </c>
      <c r="P66" s="221"/>
      <c r="Q66" s="324">
        <v>2338</v>
      </c>
      <c r="R66" s="324">
        <v>2521</v>
      </c>
      <c r="S66" s="324">
        <v>2624</v>
      </c>
      <c r="T66" s="324">
        <v>2448</v>
      </c>
      <c r="U66" s="324">
        <v>2447</v>
      </c>
      <c r="V66" s="324">
        <f t="shared" si="8"/>
        <v>12378</v>
      </c>
      <c r="W66" s="221"/>
      <c r="X66" s="571">
        <f>AVERAGE(C66:G66,J66:N66,Q66:U66)</f>
        <v>2619.5333333333333</v>
      </c>
    </row>
    <row r="67" spans="1:24">
      <c r="A67" s="337" t="s">
        <v>1021</v>
      </c>
      <c r="B67" s="335">
        <v>146</v>
      </c>
      <c r="C67">
        <v>2882</v>
      </c>
      <c r="D67">
        <v>2962</v>
      </c>
      <c r="E67">
        <v>3187</v>
      </c>
      <c r="F67">
        <v>2960</v>
      </c>
      <c r="G67">
        <v>2546</v>
      </c>
      <c r="H67" s="325">
        <f t="shared" si="6"/>
        <v>14537</v>
      </c>
      <c r="I67" s="221"/>
      <c r="J67" s="461">
        <v>2338</v>
      </c>
      <c r="K67" s="461">
        <v>2521</v>
      </c>
      <c r="L67" s="461">
        <v>2624</v>
      </c>
      <c r="M67" s="461">
        <v>2448</v>
      </c>
      <c r="N67" s="461">
        <v>2447</v>
      </c>
      <c r="O67" s="325">
        <f t="shared" si="7"/>
        <v>12378</v>
      </c>
      <c r="P67" s="221"/>
      <c r="Q67" s="49">
        <v>2835</v>
      </c>
      <c r="R67" s="49">
        <v>2641</v>
      </c>
      <c r="S67" s="49">
        <v>2623</v>
      </c>
      <c r="T67" s="49">
        <v>2789</v>
      </c>
      <c r="U67" s="49">
        <v>2758</v>
      </c>
      <c r="V67" s="324">
        <f t="shared" si="8"/>
        <v>13646</v>
      </c>
      <c r="W67" s="221"/>
      <c r="X67" s="571">
        <f t="shared" si="9"/>
        <v>2704.0666666666666</v>
      </c>
    </row>
    <row r="68" spans="1:24">
      <c r="A68" s="337" t="s">
        <v>1413</v>
      </c>
      <c r="B68" s="335">
        <v>148</v>
      </c>
      <c r="C68">
        <v>21835</v>
      </c>
      <c r="D68">
        <v>20442</v>
      </c>
      <c r="E68">
        <v>18128</v>
      </c>
      <c r="F68">
        <v>21638</v>
      </c>
      <c r="G68">
        <v>21591</v>
      </c>
      <c r="H68" s="325">
        <f t="shared" si="6"/>
        <v>103634</v>
      </c>
      <c r="I68" s="221"/>
      <c r="J68" s="461">
        <v>18374</v>
      </c>
      <c r="K68" s="461">
        <v>19897</v>
      </c>
      <c r="L68" s="461">
        <v>18335</v>
      </c>
      <c r="M68" s="461">
        <v>21156</v>
      </c>
      <c r="N68" s="461">
        <v>20030</v>
      </c>
      <c r="O68" s="325">
        <f t="shared" si="7"/>
        <v>97792</v>
      </c>
      <c r="P68" s="221"/>
      <c r="Q68" s="49">
        <v>19297</v>
      </c>
      <c r="R68" s="49">
        <v>13992</v>
      </c>
      <c r="S68" s="49">
        <v>7370</v>
      </c>
      <c r="T68" s="49">
        <v>2400</v>
      </c>
      <c r="U68" s="49">
        <v>2282</v>
      </c>
      <c r="V68" s="324">
        <f t="shared" si="8"/>
        <v>45341</v>
      </c>
      <c r="W68" s="221"/>
      <c r="X68" s="571">
        <f t="shared" si="9"/>
        <v>16451.133333333335</v>
      </c>
    </row>
    <row r="69" spans="1:24">
      <c r="A69" s="337" t="s">
        <v>1123</v>
      </c>
      <c r="B69" s="335">
        <v>146</v>
      </c>
      <c r="C69">
        <v>1997</v>
      </c>
      <c r="D69">
        <v>2161</v>
      </c>
      <c r="E69">
        <v>2045</v>
      </c>
      <c r="F69">
        <v>1941</v>
      </c>
      <c r="G69">
        <v>50</v>
      </c>
      <c r="H69" s="325">
        <f t="shared" si="6"/>
        <v>8194</v>
      </c>
      <c r="I69" s="221"/>
      <c r="J69" s="461">
        <v>343</v>
      </c>
      <c r="K69" s="461">
        <v>1789</v>
      </c>
      <c r="L69" s="461">
        <v>1902</v>
      </c>
      <c r="M69" s="461">
        <v>1922</v>
      </c>
      <c r="N69" s="461">
        <v>1785</v>
      </c>
      <c r="O69" s="325">
        <f t="shared" si="7"/>
        <v>7741</v>
      </c>
      <c r="P69" s="221"/>
      <c r="Q69" s="49">
        <v>2288</v>
      </c>
      <c r="R69" s="49">
        <v>1870</v>
      </c>
      <c r="S69" s="49">
        <v>2026</v>
      </c>
      <c r="T69" s="49">
        <v>203</v>
      </c>
      <c r="U69" s="49">
        <v>55</v>
      </c>
      <c r="V69" s="324">
        <f t="shared" si="8"/>
        <v>6442</v>
      </c>
      <c r="W69" s="221"/>
      <c r="X69" s="571">
        <f t="shared" si="9"/>
        <v>1491.8</v>
      </c>
    </row>
    <row r="70" spans="1:24">
      <c r="A70" s="337" t="s">
        <v>1020</v>
      </c>
      <c r="B70" s="335">
        <v>146</v>
      </c>
      <c r="C70">
        <v>2882</v>
      </c>
      <c r="D70">
        <v>3098</v>
      </c>
      <c r="E70">
        <v>3249</v>
      </c>
      <c r="F70">
        <v>3095</v>
      </c>
      <c r="G70">
        <v>2934</v>
      </c>
      <c r="H70" s="325">
        <f t="shared" si="6"/>
        <v>15258</v>
      </c>
      <c r="I70" s="221"/>
      <c r="J70" s="461">
        <v>2306</v>
      </c>
      <c r="K70" s="461">
        <v>2586</v>
      </c>
      <c r="L70" s="461">
        <v>2528</v>
      </c>
      <c r="M70" s="461">
        <v>2521</v>
      </c>
      <c r="N70" s="461">
        <v>2372</v>
      </c>
      <c r="O70" s="325">
        <f t="shared" si="7"/>
        <v>12313</v>
      </c>
      <c r="P70" s="221"/>
      <c r="Q70" s="49">
        <v>2656</v>
      </c>
      <c r="R70" s="49">
        <v>2503</v>
      </c>
      <c r="S70" s="49">
        <v>2355</v>
      </c>
      <c r="T70" s="49">
        <v>2692</v>
      </c>
      <c r="U70" s="49">
        <v>2636</v>
      </c>
      <c r="V70" s="324">
        <f t="shared" si="8"/>
        <v>12842</v>
      </c>
      <c r="W70" s="221"/>
      <c r="X70" s="571">
        <f t="shared" si="9"/>
        <v>2694.2</v>
      </c>
    </row>
    <row r="71" spans="1:24">
      <c r="A71" s="337" t="s">
        <v>1414</v>
      </c>
      <c r="B71" s="335">
        <v>148</v>
      </c>
      <c r="C71">
        <v>64075</v>
      </c>
      <c r="D71">
        <v>61636</v>
      </c>
      <c r="E71">
        <v>61276</v>
      </c>
      <c r="F71">
        <v>62627</v>
      </c>
      <c r="G71">
        <v>61604</v>
      </c>
      <c r="H71" s="325">
        <f t="shared" si="6"/>
        <v>311218</v>
      </c>
      <c r="I71" s="221"/>
      <c r="J71" s="461">
        <v>54111</v>
      </c>
      <c r="K71" s="461">
        <v>60524</v>
      </c>
      <c r="L71" s="461">
        <v>39961</v>
      </c>
      <c r="M71" s="461">
        <v>58436</v>
      </c>
      <c r="N71" s="461">
        <v>59027</v>
      </c>
      <c r="O71" s="325">
        <f t="shared" si="7"/>
        <v>272059</v>
      </c>
      <c r="P71" s="221"/>
      <c r="Q71" s="49">
        <v>65490</v>
      </c>
      <c r="R71" s="49">
        <v>54821</v>
      </c>
      <c r="S71" s="49">
        <v>14613</v>
      </c>
      <c r="T71" s="49">
        <v>14571</v>
      </c>
      <c r="U71" s="49">
        <v>14613</v>
      </c>
      <c r="V71" s="324">
        <f t="shared" si="8"/>
        <v>164108</v>
      </c>
      <c r="W71" s="221"/>
      <c r="X71" s="571">
        <f t="shared" si="9"/>
        <v>49825.666666666664</v>
      </c>
    </row>
    <row r="72" spans="1:24">
      <c r="C72" s="325"/>
      <c r="D72" s="325"/>
      <c r="E72" s="325"/>
      <c r="F72" s="325"/>
      <c r="G72" s="325"/>
      <c r="H72" s="325"/>
      <c r="I72" s="221"/>
      <c r="J72" s="325"/>
      <c r="K72" s="325"/>
      <c r="L72" s="325"/>
      <c r="M72" s="325"/>
      <c r="N72" s="325"/>
      <c r="O72" s="325"/>
      <c r="P72" s="221"/>
      <c r="Q72" s="324"/>
      <c r="R72" s="324"/>
      <c r="S72" s="324"/>
      <c r="T72" s="324"/>
      <c r="U72" s="324"/>
      <c r="V72" s="324"/>
      <c r="W72" s="221"/>
      <c r="X72" s="221"/>
    </row>
    <row r="73" spans="1:24">
      <c r="C73" s="328">
        <f>SUM(C30:C72)</f>
        <v>350167.97461928934</v>
      </c>
      <c r="D73" s="328">
        <f>SUM(D30:D72)</f>
        <v>357864.13705583755</v>
      </c>
      <c r="E73" s="328">
        <f>SUM(E30:E72)</f>
        <v>363073.53879622917</v>
      </c>
      <c r="F73" s="328">
        <f>SUM(F30:F72)</f>
        <v>368495.17984046409</v>
      </c>
      <c r="G73" s="328">
        <f>SUM(G30:G72)</f>
        <v>338143.94053662074</v>
      </c>
      <c r="H73" s="328">
        <f>IF(ROUND(SUM(H30:H72),0)&lt;&gt;ROUND(SUM(C73:G73),0),#VALUE!,SUM(C73:G73))</f>
        <v>1777744.7708484412</v>
      </c>
      <c r="I73" s="221"/>
      <c r="J73" s="328">
        <f>SUM(J30:J72)</f>
        <v>326258.75206611573</v>
      </c>
      <c r="K73" s="328">
        <f>SUM(K30:K72)</f>
        <v>348065.26446280989</v>
      </c>
      <c r="L73" s="328">
        <f>SUM(L30:L72)</f>
        <v>324364.56198347104</v>
      </c>
      <c r="M73" s="328">
        <f>SUM(M30:M72)</f>
        <v>348926.91322314052</v>
      </c>
      <c r="N73" s="328">
        <f>SUM(N30:N72)</f>
        <v>337885.80578512396</v>
      </c>
      <c r="O73" s="328">
        <f>IF(ROUND(SUM(O30:O72),0)&lt;&gt;ROUND(SUM(J73:N73),0),#VALUE!,SUM(J73:N73))</f>
        <v>1685501.297520661</v>
      </c>
      <c r="P73" s="221"/>
      <c r="Q73" s="327">
        <f>SUM(Q30:Q72)</f>
        <v>349734.31198686373</v>
      </c>
      <c r="R73" s="327">
        <f>SUM(R30:R72)</f>
        <v>327997.31198686373</v>
      </c>
      <c r="S73" s="327">
        <f>SUM(S30:S72)</f>
        <v>278315.16830870276</v>
      </c>
      <c r="T73" s="327">
        <f>SUM(T30:T72)</f>
        <v>270975.31198686373</v>
      </c>
      <c r="U73" s="327">
        <f>SUM(U30:U72)</f>
        <v>261837.84318555007</v>
      </c>
      <c r="V73" s="327">
        <f>IF(ROUND(SUM(V30:V72),0)&lt;&gt;ROUND(SUM(Q73:U73),0),#VALUE!,SUM(Q73:U73))</f>
        <v>1488859.9474548441</v>
      </c>
      <c r="W73" s="221"/>
      <c r="X73" s="328">
        <f>SUM(X1:X72)</f>
        <v>330140.40105492977</v>
      </c>
    </row>
    <row r="74" spans="1:24">
      <c r="A74" s="768" t="s">
        <v>1012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435"/>
      <c r="R74" s="435"/>
      <c r="S74" s="435"/>
      <c r="T74" s="435"/>
      <c r="U74" s="435"/>
      <c r="V74" s="435"/>
      <c r="W74" s="221"/>
      <c r="X74" s="221"/>
    </row>
    <row r="75" spans="1:24">
      <c r="A75" s="334" t="s">
        <v>1011</v>
      </c>
      <c r="B75" s="321">
        <v>132</v>
      </c>
      <c r="C75" s="325">
        <f t="shared" ref="C75:H77" si="10">SUMIF($B$3:$B$73,$B75,C$3:C$73)</f>
        <v>4522.0507614213202</v>
      </c>
      <c r="D75" s="325">
        <f t="shared" si="10"/>
        <v>5275.7258883248742</v>
      </c>
      <c r="E75" s="325">
        <f t="shared" si="10"/>
        <v>5814.0652646845538</v>
      </c>
      <c r="F75" s="325">
        <f t="shared" si="10"/>
        <v>6137.0688905003626</v>
      </c>
      <c r="G75" s="325">
        <f t="shared" si="10"/>
        <v>6352.4046410442352</v>
      </c>
      <c r="H75" s="325">
        <f t="shared" si="10"/>
        <v>28101.315445975342</v>
      </c>
      <c r="I75" s="221"/>
      <c r="J75" s="325">
        <f t="shared" ref="J75:O77" si="11">SUMIF($B$3:$B$73,$B75,J$3:J$73)</f>
        <v>5090.6776859504134</v>
      </c>
      <c r="K75" s="325">
        <f t="shared" si="11"/>
        <v>6302.7438016528922</v>
      </c>
      <c r="L75" s="325">
        <f t="shared" si="11"/>
        <v>6060.3305785123966</v>
      </c>
      <c r="M75" s="325">
        <f t="shared" si="11"/>
        <v>6181.5371900826449</v>
      </c>
      <c r="N75" s="325">
        <f t="shared" si="11"/>
        <v>5454.2975206611573</v>
      </c>
      <c r="O75" s="325">
        <f t="shared" si="11"/>
        <v>29089.586776859502</v>
      </c>
      <c r="P75" s="221"/>
      <c r="Q75" s="324">
        <f t="shared" ref="Q75:V77" si="12">SUMIF($B$3:$B$73,$B75,Q$3:Q$73)</f>
        <v>5455.7471264367814</v>
      </c>
      <c r="R75" s="324">
        <f t="shared" si="12"/>
        <v>5455.7471264367814</v>
      </c>
      <c r="S75" s="324">
        <f t="shared" si="12"/>
        <v>4691.9425287356316</v>
      </c>
      <c r="T75" s="324">
        <f t="shared" si="12"/>
        <v>5455.7471264367814</v>
      </c>
      <c r="U75" s="324">
        <f t="shared" si="12"/>
        <v>6001.3218390804595</v>
      </c>
      <c r="V75" s="324">
        <f t="shared" si="12"/>
        <v>27060.505747126437</v>
      </c>
      <c r="W75" s="221"/>
      <c r="X75" s="221"/>
    </row>
    <row r="76" spans="1:24">
      <c r="A76" s="334" t="s">
        <v>1010</v>
      </c>
      <c r="B76" s="321">
        <v>146</v>
      </c>
      <c r="C76" s="325">
        <f t="shared" si="10"/>
        <v>165091.62917096604</v>
      </c>
      <c r="D76" s="325">
        <f t="shared" si="10"/>
        <v>170153.28712768821</v>
      </c>
      <c r="E76" s="325">
        <f t="shared" si="10"/>
        <v>176662.98659920972</v>
      </c>
      <c r="F76" s="325">
        <f t="shared" si="10"/>
        <v>169591.5839539138</v>
      </c>
      <c r="G76" s="325">
        <f t="shared" si="10"/>
        <v>149272.10372586048</v>
      </c>
      <c r="H76" s="325">
        <f t="shared" si="10"/>
        <v>830771.59057763836</v>
      </c>
      <c r="I76" s="221"/>
      <c r="J76" s="325">
        <f t="shared" si="11"/>
        <v>150583.84989402656</v>
      </c>
      <c r="K76" s="325">
        <f t="shared" si="11"/>
        <v>168516.4628376122</v>
      </c>
      <c r="L76" s="325">
        <f t="shared" si="11"/>
        <v>165670.81066837395</v>
      </c>
      <c r="M76" s="325">
        <f t="shared" si="11"/>
        <v>161749.97078602813</v>
      </c>
      <c r="N76" s="325">
        <f t="shared" si="11"/>
        <v>158090.01522319589</v>
      </c>
      <c r="O76" s="325">
        <f t="shared" si="11"/>
        <v>804611.1094092367</v>
      </c>
      <c r="P76" s="221"/>
      <c r="Q76" s="324">
        <f t="shared" si="12"/>
        <v>162783.47471516277</v>
      </c>
      <c r="R76" s="324">
        <f t="shared" si="12"/>
        <v>158568.23411226261</v>
      </c>
      <c r="S76" s="324">
        <f t="shared" si="12"/>
        <v>152484.35199872922</v>
      </c>
      <c r="T76" s="324">
        <f t="shared" si="12"/>
        <v>150795.27354807011</v>
      </c>
      <c r="U76" s="324">
        <f t="shared" si="12"/>
        <v>153550.31127051782</v>
      </c>
      <c r="V76" s="324">
        <f t="shared" si="12"/>
        <v>778181.64564474253</v>
      </c>
      <c r="W76" s="221"/>
      <c r="X76" s="221"/>
    </row>
    <row r="77" spans="1:24">
      <c r="A77" s="334" t="s">
        <v>1019</v>
      </c>
      <c r="B77" s="321">
        <v>148</v>
      </c>
      <c r="C77" s="325">
        <f t="shared" si="10"/>
        <v>185076.34544832329</v>
      </c>
      <c r="D77" s="325">
        <f t="shared" si="10"/>
        <v>187710.84992814934</v>
      </c>
      <c r="E77" s="325">
        <f t="shared" si="10"/>
        <v>186410.55219701945</v>
      </c>
      <c r="F77" s="325">
        <f t="shared" si="10"/>
        <v>198903.59588655032</v>
      </c>
      <c r="G77" s="325">
        <f t="shared" si="10"/>
        <v>188871.83681076026</v>
      </c>
      <c r="H77" s="325">
        <f t="shared" si="10"/>
        <v>946973.1802708027</v>
      </c>
      <c r="I77" s="221"/>
      <c r="J77" s="325">
        <f t="shared" si="11"/>
        <v>175674.90217208915</v>
      </c>
      <c r="K77" s="325">
        <f t="shared" si="11"/>
        <v>179548.80162519772</v>
      </c>
      <c r="L77" s="325">
        <f t="shared" si="11"/>
        <v>158693.75131509709</v>
      </c>
      <c r="M77" s="325">
        <f t="shared" si="11"/>
        <v>187176.94243711239</v>
      </c>
      <c r="N77" s="325">
        <f t="shared" si="11"/>
        <v>179795.79056192806</v>
      </c>
      <c r="O77" s="325">
        <f t="shared" si="11"/>
        <v>880890.18811142445</v>
      </c>
      <c r="P77" s="221"/>
      <c r="Q77" s="324">
        <f t="shared" si="12"/>
        <v>186950.83727170093</v>
      </c>
      <c r="R77" s="324">
        <f t="shared" si="12"/>
        <v>169429.07787460106</v>
      </c>
      <c r="S77" s="324">
        <f t="shared" si="12"/>
        <v>125830.81630997355</v>
      </c>
      <c r="T77" s="324">
        <f t="shared" si="12"/>
        <v>120180.03843879361</v>
      </c>
      <c r="U77" s="324">
        <f t="shared" si="12"/>
        <v>108287.53191503226</v>
      </c>
      <c r="V77" s="324">
        <f t="shared" si="12"/>
        <v>710678.30181010137</v>
      </c>
      <c r="W77" s="221"/>
      <c r="X77" s="221"/>
    </row>
    <row r="78" spans="1:24" ht="13.8" thickBot="1">
      <c r="A78" s="770" t="s">
        <v>1009</v>
      </c>
      <c r="B78" s="321"/>
      <c r="C78" s="458">
        <f>SUM(C75:C77)</f>
        <v>354690.02538071066</v>
      </c>
      <c r="D78" s="458">
        <f>SUM(D75:D77)</f>
        <v>363139.86294416245</v>
      </c>
      <c r="E78" s="458">
        <f>SUM(E75:E77)</f>
        <v>368887.60406091373</v>
      </c>
      <c r="F78" s="458">
        <f>SUM(F75:F77)</f>
        <v>374632.24873096449</v>
      </c>
      <c r="G78" s="458">
        <f>SUM(G75:G77)</f>
        <v>344496.345177665</v>
      </c>
      <c r="H78" s="458">
        <f>IF(ROUND(SUM(H75:H77),0)&lt;&gt;ROUND(SUM(C78:G78),0),#VALUE!,SUM(C78:G78))</f>
        <v>1805846.0862944163</v>
      </c>
      <c r="I78" s="221"/>
      <c r="J78" s="458">
        <f>SUM(J75:J77)</f>
        <v>331349.42975206615</v>
      </c>
      <c r="K78" s="458">
        <f>SUM(K75:K77)</f>
        <v>354368.00826446281</v>
      </c>
      <c r="L78" s="458">
        <f>SUM(L75:L77)</f>
        <v>330424.89256198343</v>
      </c>
      <c r="M78" s="458">
        <f>SUM(M75:M77)</f>
        <v>355108.45041322318</v>
      </c>
      <c r="N78" s="458">
        <f>SUM(N75:N77)</f>
        <v>343340.1033057851</v>
      </c>
      <c r="O78" s="458">
        <f>IF(ROUND(SUM(O75:O77),0)&lt;&gt;ROUND(SUM(J78:N78),0),#VALUE!,SUM(J78:N78))</f>
        <v>1714590.8842975209</v>
      </c>
      <c r="P78" s="221"/>
      <c r="Q78" s="459">
        <f>SUM(Q75:Q77)</f>
        <v>355190.05911330052</v>
      </c>
      <c r="R78" s="459">
        <f>SUM(R75:R77)</f>
        <v>333453.05911330046</v>
      </c>
      <c r="S78" s="459">
        <f>SUM(S75:S77)</f>
        <v>283007.11083743843</v>
      </c>
      <c r="T78" s="459">
        <f>SUM(T75:T77)</f>
        <v>276431.05911330052</v>
      </c>
      <c r="U78" s="459">
        <f>SUM(U75:U77)</f>
        <v>267839.16502463055</v>
      </c>
      <c r="V78" s="459">
        <f>IF(ROUND(SUM(V75:V77),0)&lt;&gt;ROUND(SUM(Q78:U78),0),#VALUE!,SUM(Q78:U78))</f>
        <v>1515920.4532019703</v>
      </c>
      <c r="W78" s="221"/>
      <c r="X78" s="221"/>
    </row>
    <row r="79" spans="1:24" ht="13.8" thickTop="1">
      <c r="H79" s="318">
        <f>ROUND(H78-H22-H11,0)</f>
        <v>0</v>
      </c>
      <c r="O79" s="318">
        <f>ROUND(O78-O22-O11,0)</f>
        <v>0</v>
      </c>
      <c r="V79" s="317">
        <f>ROUND(V78-V22-V11,0)</f>
        <v>0</v>
      </c>
    </row>
    <row r="81" spans="4:14">
      <c r="D81" s="49"/>
      <c r="E81" s="49"/>
      <c r="F81" s="49"/>
      <c r="G81" s="49"/>
      <c r="J81" s="461"/>
      <c r="K81" s="461"/>
      <c r="L81" s="461"/>
      <c r="M81" s="461"/>
      <c r="N81" s="461"/>
    </row>
  </sheetData>
  <conditionalFormatting sqref="V79 H79 O79 V8 H8 O8">
    <cfRule type="expression" dxfId="2" priority="1" stopIfTrue="1">
      <formula>ABS(H8)&gt;0.1</formula>
    </cfRule>
  </conditionalFormatting>
  <pageMargins left="0.25" right="0.39" top="0.5" bottom="0.5" header="0.5" footer="0.5"/>
  <pageSetup scale="53" fitToHeight="2" orientation="landscape" r:id="rId1"/>
  <headerFooter alignWithMargins="0">
    <oddFooter>&amp;R&amp;F
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>
    <tabColor theme="5" tint="0.39997558519241921"/>
    <pageSetUpPr autoPageBreaks="0" fitToPage="1"/>
  </sheetPr>
  <dimension ref="A1:Y76"/>
  <sheetViews>
    <sheetView showGridLines="0" zoomScale="75" workbookViewId="0">
      <pane xSplit="3" ySplit="8" topLeftCell="D9" activePane="bottomRight" state="frozen"/>
      <selection activeCell="N53" sqref="N53"/>
      <selection pane="topRight" activeCell="N53" sqref="N53"/>
      <selection pane="bottomLeft" activeCell="N53" sqref="N53"/>
      <selection pane="bottomRight" activeCell="M38" sqref="M38"/>
    </sheetView>
  </sheetViews>
  <sheetFormatPr defaultColWidth="9.21875" defaultRowHeight="13.2" outlineLevelRow="1"/>
  <cols>
    <col min="1" max="1" width="27.77734375" style="218" customWidth="1"/>
    <col min="2" max="3" width="2.77734375" style="218" customWidth="1"/>
    <col min="4" max="4" width="11.21875" style="218" bestFit="1" customWidth="1"/>
    <col min="5" max="5" width="11.77734375" style="218" customWidth="1"/>
    <col min="6" max="18" width="11.21875" style="218" bestFit="1" customWidth="1"/>
    <col min="19" max="19" width="1.77734375" style="218" customWidth="1"/>
    <col min="20" max="21" width="10.44140625" style="218" bestFit="1" customWidth="1"/>
    <col min="22" max="22" width="11" style="218" bestFit="1" customWidth="1"/>
    <col min="23" max="23" width="1.77734375" style="218" customWidth="1"/>
    <col min="24" max="24" width="3.21875" style="218" customWidth="1"/>
    <col min="25" max="25" width="36" style="218" bestFit="1" customWidth="1"/>
    <col min="26" max="16384" width="9.21875" style="218"/>
  </cols>
  <sheetData>
    <row r="1" spans="1:24" ht="15.6">
      <c r="A1" s="387" t="s">
        <v>898</v>
      </c>
      <c r="B1" s="387"/>
      <c r="C1" s="387"/>
    </row>
    <row r="3" spans="1:24">
      <c r="A3" s="326" t="s">
        <v>1088</v>
      </c>
      <c r="B3" s="326"/>
      <c r="C3" s="326"/>
    </row>
    <row r="4" spans="1:24">
      <c r="A4" s="326"/>
      <c r="B4" s="326"/>
      <c r="C4" s="326"/>
      <c r="D4" s="560" t="s">
        <v>667</v>
      </c>
      <c r="E4" s="561"/>
      <c r="F4" s="386"/>
      <c r="G4" s="385"/>
      <c r="H4" s="386"/>
      <c r="I4" s="385"/>
      <c r="J4" s="386"/>
      <c r="K4" s="385"/>
      <c r="L4" s="386"/>
      <c r="M4" s="385"/>
    </row>
    <row r="5" spans="1:24">
      <c r="A5" s="220"/>
      <c r="B5" s="220"/>
      <c r="C5" s="220"/>
      <c r="D5" s="562" t="s">
        <v>1082</v>
      </c>
      <c r="E5" s="563" t="s">
        <v>1087</v>
      </c>
      <c r="F5" s="384"/>
      <c r="G5" s="383" t="s">
        <v>120</v>
      </c>
      <c r="H5" s="384"/>
      <c r="I5" s="383" t="s">
        <v>120</v>
      </c>
      <c r="J5" s="384"/>
      <c r="K5" s="383" t="s">
        <v>120</v>
      </c>
      <c r="L5" s="384"/>
      <c r="M5" s="383" t="s">
        <v>120</v>
      </c>
      <c r="N5" s="220"/>
      <c r="O5" s="220"/>
      <c r="P5" s="220"/>
      <c r="Q5" s="220"/>
      <c r="R5" s="220"/>
      <c r="T5" s="220"/>
      <c r="U5" s="220"/>
      <c r="V5" s="220"/>
      <c r="W5" s="220"/>
      <c r="X5" s="220"/>
    </row>
    <row r="6" spans="1:24">
      <c r="A6" s="220"/>
      <c r="B6" s="220"/>
      <c r="C6" s="220"/>
      <c r="D6" s="562" t="s">
        <v>1086</v>
      </c>
      <c r="E6" s="563" t="s">
        <v>1085</v>
      </c>
      <c r="F6" s="581">
        <v>42370</v>
      </c>
      <c r="G6" s="381">
        <f>F6</f>
        <v>42370</v>
      </c>
      <c r="H6" s="382">
        <v>42736</v>
      </c>
      <c r="I6" s="381">
        <f>H6</f>
        <v>42736</v>
      </c>
      <c r="J6" s="558">
        <v>43132</v>
      </c>
      <c r="K6" s="381">
        <f>J6</f>
        <v>43132</v>
      </c>
      <c r="L6" s="558">
        <v>43497</v>
      </c>
      <c r="M6" s="381">
        <f>L6</f>
        <v>43497</v>
      </c>
      <c r="N6" s="380"/>
      <c r="O6" s="380"/>
      <c r="P6" s="380"/>
      <c r="Q6" s="380"/>
      <c r="R6" s="380"/>
      <c r="T6" s="380"/>
      <c r="U6" s="380"/>
      <c r="V6" s="380"/>
      <c r="W6" s="380"/>
      <c r="X6" s="380"/>
    </row>
    <row r="7" spans="1:24">
      <c r="A7" s="335"/>
      <c r="B7" s="335"/>
      <c r="C7" s="335"/>
      <c r="D7" s="564" t="s">
        <v>1083</v>
      </c>
      <c r="E7" s="565" t="s">
        <v>1084</v>
      </c>
      <c r="F7" s="379" t="s">
        <v>1083</v>
      </c>
      <c r="G7" s="378" t="s">
        <v>1082</v>
      </c>
      <c r="H7" s="379" t="s">
        <v>1083</v>
      </c>
      <c r="I7" s="378" t="s">
        <v>1082</v>
      </c>
      <c r="J7" s="379" t="s">
        <v>1083</v>
      </c>
      <c r="K7" s="378" t="s">
        <v>1082</v>
      </c>
      <c r="L7" s="379" t="s">
        <v>1083</v>
      </c>
      <c r="M7" s="378" t="s">
        <v>1082</v>
      </c>
      <c r="N7" s="377"/>
      <c r="O7" s="377"/>
      <c r="P7" s="377"/>
      <c r="Q7" s="377"/>
      <c r="R7" s="377"/>
      <c r="T7" s="376"/>
      <c r="U7" s="376"/>
      <c r="V7" s="376"/>
      <c r="W7" s="376"/>
      <c r="X7" s="376"/>
    </row>
    <row r="8" spans="1:24">
      <c r="A8" s="218" t="s">
        <v>1081</v>
      </c>
      <c r="D8" s="566"/>
      <c r="E8" s="567"/>
      <c r="F8" s="375">
        <v>1</v>
      </c>
      <c r="G8" s="374">
        <v>2</v>
      </c>
      <c r="H8" s="375">
        <v>3</v>
      </c>
      <c r="I8" s="374">
        <v>4</v>
      </c>
      <c r="J8" s="375">
        <v>5</v>
      </c>
      <c r="K8" s="374">
        <v>6</v>
      </c>
      <c r="L8" s="375">
        <v>7</v>
      </c>
      <c r="M8" s="374">
        <v>8</v>
      </c>
      <c r="N8" s="223"/>
      <c r="O8" s="223"/>
      <c r="P8" s="223"/>
      <c r="Q8" s="223"/>
      <c r="R8" s="223"/>
      <c r="T8" s="223"/>
      <c r="U8" s="223"/>
      <c r="V8" s="223"/>
      <c r="W8" s="223"/>
      <c r="X8" s="223"/>
    </row>
    <row r="9" spans="1:24">
      <c r="D9" s="568"/>
      <c r="E9" s="569"/>
      <c r="F9" s="373"/>
      <c r="G9" s="372"/>
      <c r="H9" s="373"/>
      <c r="I9" s="372"/>
      <c r="J9" s="373"/>
      <c r="K9" s="372"/>
      <c r="L9" s="373"/>
      <c r="M9" s="372"/>
      <c r="N9" s="223"/>
      <c r="O9" s="223"/>
      <c r="P9" s="223"/>
      <c r="Q9" s="223"/>
      <c r="R9" s="223"/>
      <c r="T9" s="223"/>
      <c r="U9" s="223"/>
      <c r="V9" s="223"/>
      <c r="W9" s="223"/>
      <c r="X9" s="223"/>
    </row>
    <row r="10" spans="1:24">
      <c r="A10" s="218" t="s">
        <v>1071</v>
      </c>
      <c r="D10" s="758">
        <v>0.1032</v>
      </c>
      <c r="E10" s="371">
        <v>13</v>
      </c>
      <c r="F10" s="367">
        <v>140660</v>
      </c>
      <c r="G10" s="366">
        <v>18188569</v>
      </c>
      <c r="H10" s="367">
        <v>144268</v>
      </c>
      <c r="I10" s="366">
        <f>23342481+42098</f>
        <v>23384579</v>
      </c>
      <c r="J10" s="367">
        <f>148086+184</f>
        <v>148270</v>
      </c>
      <c r="K10" s="366">
        <f>14748774+20048</f>
        <v>14768822</v>
      </c>
      <c r="L10" s="367">
        <f>149368+165</f>
        <v>149533</v>
      </c>
      <c r="M10" s="366">
        <f>18481223+22522</f>
        <v>18503745</v>
      </c>
      <c r="T10" s="357"/>
      <c r="U10" s="357"/>
      <c r="V10" s="357"/>
      <c r="W10" s="357"/>
      <c r="X10" s="357"/>
    </row>
    <row r="11" spans="1:24">
      <c r="A11" s="218" t="s">
        <v>1070</v>
      </c>
      <c r="D11" s="758">
        <v>0.24729999999999999</v>
      </c>
      <c r="E11" s="371">
        <v>11</v>
      </c>
      <c r="F11" s="367">
        <v>12048</v>
      </c>
      <c r="G11" s="366">
        <v>3643384</v>
      </c>
      <c r="H11" s="367">
        <f>12049+80</f>
        <v>12129</v>
      </c>
      <c r="I11" s="366">
        <f>4649882+12755</f>
        <v>4662637</v>
      </c>
      <c r="J11" s="367">
        <f>12009+26</f>
        <v>12035</v>
      </c>
      <c r="K11" s="366">
        <f>2601005+9915</f>
        <v>2610920</v>
      </c>
      <c r="L11" s="367">
        <f>11933+26</f>
        <v>11959</v>
      </c>
      <c r="M11" s="366">
        <f>3384272+9734</f>
        <v>3394006</v>
      </c>
      <c r="T11" s="357"/>
      <c r="U11" s="357"/>
      <c r="V11" s="357"/>
      <c r="W11" s="357"/>
      <c r="X11" s="357"/>
    </row>
    <row r="12" spans="1:24">
      <c r="A12" s="218" t="s">
        <v>1069</v>
      </c>
      <c r="D12" s="758">
        <v>0.4778</v>
      </c>
      <c r="E12" s="371">
        <v>5</v>
      </c>
      <c r="F12" s="367">
        <v>82</v>
      </c>
      <c r="G12" s="366">
        <v>56768</v>
      </c>
      <c r="H12" s="367">
        <v>79</v>
      </c>
      <c r="I12" s="366">
        <v>50774</v>
      </c>
      <c r="J12" s="367">
        <v>73</v>
      </c>
      <c r="K12" s="366">
        <v>28727</v>
      </c>
      <c r="L12" s="367">
        <v>69</v>
      </c>
      <c r="M12" s="366">
        <v>34636</v>
      </c>
      <c r="T12" s="358"/>
      <c r="U12" s="358"/>
      <c r="V12" s="358"/>
      <c r="W12" s="358"/>
      <c r="X12" s="358"/>
    </row>
    <row r="13" spans="1:24">
      <c r="D13" s="758"/>
      <c r="E13" s="371"/>
      <c r="F13" s="367"/>
      <c r="G13" s="371"/>
      <c r="H13" s="367"/>
      <c r="I13" s="371"/>
      <c r="J13" s="367"/>
      <c r="K13" s="371"/>
      <c r="L13" s="367"/>
      <c r="M13" s="371"/>
    </row>
    <row r="14" spans="1:24" outlineLevel="1">
      <c r="A14" s="218" t="s">
        <v>1068</v>
      </c>
      <c r="D14" s="759">
        <v>0.83030000000000004</v>
      </c>
      <c r="E14" s="760">
        <v>320</v>
      </c>
      <c r="F14" s="367">
        <v>273</v>
      </c>
      <c r="G14" s="366">
        <v>428159</v>
      </c>
      <c r="H14" s="367">
        <v>280</v>
      </c>
      <c r="I14" s="366">
        <v>483139</v>
      </c>
      <c r="J14" s="367">
        <v>282</v>
      </c>
      <c r="K14" s="366">
        <v>372441</v>
      </c>
      <c r="L14" s="367">
        <v>292</v>
      </c>
      <c r="M14" s="366">
        <v>420665</v>
      </c>
      <c r="O14" s="222"/>
      <c r="T14" s="357"/>
      <c r="U14" s="357"/>
      <c r="V14" s="357"/>
      <c r="W14" s="357"/>
      <c r="X14" s="357"/>
    </row>
    <row r="15" spans="1:24" outlineLevel="1">
      <c r="A15" s="218" t="s">
        <v>1067</v>
      </c>
      <c r="D15" s="758">
        <v>1.9956</v>
      </c>
      <c r="E15" s="371">
        <v>562</v>
      </c>
      <c r="F15" s="367">
        <f>2304+17+2</f>
        <v>2323</v>
      </c>
      <c r="G15" s="366">
        <f>6520636+190273+178861</f>
        <v>6889770</v>
      </c>
      <c r="H15" s="367">
        <f>2495+17+20+2</f>
        <v>2534</v>
      </c>
      <c r="I15" s="366">
        <f>8554779+69529+198052+188258</f>
        <v>9010618</v>
      </c>
      <c r="J15" s="367">
        <f>2661+1+17+18+2</f>
        <v>2699</v>
      </c>
      <c r="K15" s="366">
        <f>5906311+41911+17942+240890+162389</f>
        <v>6369443</v>
      </c>
      <c r="L15" s="367">
        <f>2679+1+20</f>
        <v>2700</v>
      </c>
      <c r="M15" s="366">
        <f>7561126+52637+22382</f>
        <v>7636145</v>
      </c>
      <c r="T15" s="357"/>
      <c r="U15" s="357"/>
      <c r="V15" s="357"/>
      <c r="W15" s="357"/>
      <c r="X15" s="357"/>
    </row>
    <row r="16" spans="1:24" outlineLevel="1">
      <c r="A16" s="218" t="s">
        <v>1064</v>
      </c>
      <c r="D16" s="759">
        <v>2.5266999999999999</v>
      </c>
      <c r="E16" s="760">
        <v>2196</v>
      </c>
      <c r="F16" s="367">
        <f>50+2</f>
        <v>52</v>
      </c>
      <c r="G16" s="366">
        <f>247622+32094</f>
        <v>279716</v>
      </c>
      <c r="H16" s="367">
        <f>52+2</f>
        <v>54</v>
      </c>
      <c r="I16" s="366">
        <f>336790+34823</f>
        <v>371613</v>
      </c>
      <c r="J16" s="367">
        <f>53+2+1</f>
        <v>56</v>
      </c>
      <c r="K16" s="366">
        <f>222756+4429+47472</f>
        <v>274657</v>
      </c>
      <c r="L16" s="367">
        <v>56</v>
      </c>
      <c r="M16" s="366">
        <f>325265</f>
        <v>325265</v>
      </c>
      <c r="T16" s="357"/>
      <c r="U16" s="357"/>
      <c r="V16" s="357"/>
      <c r="W16" s="357"/>
      <c r="X16" s="357"/>
    </row>
    <row r="17" spans="1:24">
      <c r="A17" s="284" t="s">
        <v>1050</v>
      </c>
      <c r="B17" s="284"/>
      <c r="D17" s="758">
        <v>1.8827</v>
      </c>
      <c r="E17" s="371">
        <v>568</v>
      </c>
      <c r="F17" s="369">
        <f t="shared" ref="F17:M17" si="0">SUM(F14:F16)</f>
        <v>2648</v>
      </c>
      <c r="G17" s="368">
        <f t="shared" si="0"/>
        <v>7597645</v>
      </c>
      <c r="H17" s="369">
        <f t="shared" si="0"/>
        <v>2868</v>
      </c>
      <c r="I17" s="368">
        <f t="shared" si="0"/>
        <v>9865370</v>
      </c>
      <c r="J17" s="369">
        <f>SUM(J14:J16)</f>
        <v>3037</v>
      </c>
      <c r="K17" s="368">
        <f>SUM(K14:K16)</f>
        <v>7016541</v>
      </c>
      <c r="L17" s="369">
        <f t="shared" si="0"/>
        <v>3048</v>
      </c>
      <c r="M17" s="368">
        <f t="shared" si="0"/>
        <v>8382075</v>
      </c>
      <c r="T17" s="357"/>
      <c r="U17" s="357"/>
      <c r="V17" s="357"/>
      <c r="W17" s="357"/>
      <c r="X17" s="357"/>
    </row>
    <row r="18" spans="1:24">
      <c r="D18" s="761"/>
      <c r="E18" s="762"/>
      <c r="F18" s="369"/>
      <c r="G18" s="368"/>
      <c r="H18" s="369"/>
      <c r="I18" s="368"/>
      <c r="J18" s="369"/>
      <c r="K18" s="368"/>
      <c r="L18" s="369"/>
      <c r="M18" s="368"/>
    </row>
    <row r="19" spans="1:24" outlineLevel="1">
      <c r="A19" s="218" t="s">
        <v>1063</v>
      </c>
      <c r="D19" s="763" t="s">
        <v>1095</v>
      </c>
      <c r="E19" s="764" t="s">
        <v>1095</v>
      </c>
      <c r="F19" s="367">
        <v>0</v>
      </c>
      <c r="G19" s="366">
        <v>0</v>
      </c>
      <c r="H19" s="367">
        <v>0</v>
      </c>
      <c r="I19" s="366">
        <v>0</v>
      </c>
      <c r="J19" s="367">
        <v>0</v>
      </c>
      <c r="K19" s="366">
        <v>0</v>
      </c>
      <c r="L19" s="367">
        <v>0</v>
      </c>
      <c r="M19" s="366">
        <v>0</v>
      </c>
      <c r="T19" s="358"/>
      <c r="U19" s="358"/>
      <c r="V19" s="358"/>
      <c r="W19" s="358"/>
      <c r="X19" s="358"/>
    </row>
    <row r="20" spans="1:24" outlineLevel="1">
      <c r="A20" s="218" t="s">
        <v>1062</v>
      </c>
      <c r="D20" s="759">
        <v>0</v>
      </c>
      <c r="E20" s="760">
        <v>0</v>
      </c>
      <c r="F20" s="367">
        <v>0</v>
      </c>
      <c r="G20" s="366">
        <v>0</v>
      </c>
      <c r="H20" s="367">
        <v>0</v>
      </c>
      <c r="I20" s="366">
        <v>0</v>
      </c>
      <c r="J20" s="367">
        <v>0</v>
      </c>
      <c r="K20" s="366">
        <v>0</v>
      </c>
      <c r="L20" s="367">
        <v>0</v>
      </c>
      <c r="M20" s="366">
        <v>0</v>
      </c>
      <c r="T20" s="358"/>
      <c r="U20" s="358"/>
      <c r="V20" s="358"/>
      <c r="W20" s="358"/>
      <c r="X20" s="358"/>
    </row>
    <row r="21" spans="1:24" outlineLevel="1">
      <c r="A21" s="218" t="s">
        <v>1061</v>
      </c>
      <c r="D21" s="763" t="s">
        <v>1095</v>
      </c>
      <c r="E21" s="764" t="s">
        <v>1095</v>
      </c>
      <c r="F21" s="367">
        <f>2-2</f>
        <v>0</v>
      </c>
      <c r="G21" s="371">
        <f>34052-34052</f>
        <v>0</v>
      </c>
      <c r="H21" s="367">
        <f>2-2</f>
        <v>0</v>
      </c>
      <c r="I21" s="371">
        <f>32094-32094</f>
        <v>0</v>
      </c>
      <c r="J21" s="367">
        <f>2-2</f>
        <v>0</v>
      </c>
      <c r="K21" s="371">
        <f>34823-34823</f>
        <v>0</v>
      </c>
      <c r="L21" s="367">
        <v>0</v>
      </c>
      <c r="M21" s="371">
        <v>0</v>
      </c>
      <c r="T21" s="358"/>
      <c r="U21" s="358"/>
      <c r="V21" s="358"/>
      <c r="W21" s="358"/>
      <c r="X21" s="358"/>
    </row>
    <row r="22" spans="1:24">
      <c r="A22" s="284" t="s">
        <v>1049</v>
      </c>
      <c r="B22" s="284"/>
      <c r="D22" s="765"/>
      <c r="E22" s="766"/>
      <c r="F22" s="393">
        <f t="shared" ref="F22:M22" si="1">SUM(F19:F21)</f>
        <v>0</v>
      </c>
      <c r="G22" s="392">
        <f t="shared" si="1"/>
        <v>0</v>
      </c>
      <c r="H22" s="393">
        <f t="shared" si="1"/>
        <v>0</v>
      </c>
      <c r="I22" s="392">
        <f t="shared" si="1"/>
        <v>0</v>
      </c>
      <c r="J22" s="393">
        <f t="shared" si="1"/>
        <v>0</v>
      </c>
      <c r="K22" s="392">
        <f t="shared" si="1"/>
        <v>0</v>
      </c>
      <c r="L22" s="393">
        <f t="shared" si="1"/>
        <v>0</v>
      </c>
      <c r="M22" s="392">
        <f t="shared" si="1"/>
        <v>0</v>
      </c>
    </row>
    <row r="23" spans="1:24">
      <c r="T23" s="365" t="s">
        <v>1080</v>
      </c>
      <c r="U23" s="364"/>
      <c r="V23" s="363"/>
    </row>
    <row r="24" spans="1:24">
      <c r="A24" s="218" t="s">
        <v>1079</v>
      </c>
      <c r="D24" s="391">
        <v>42738</v>
      </c>
      <c r="E24" s="362">
        <f>D24+1</f>
        <v>42739</v>
      </c>
      <c r="F24" s="362">
        <f>E24+1</f>
        <v>42740</v>
      </c>
      <c r="G24" s="362">
        <f>F24+1</f>
        <v>42741</v>
      </c>
      <c r="H24" s="362">
        <f>G24+1</f>
        <v>42742</v>
      </c>
      <c r="I24" s="390">
        <v>43149</v>
      </c>
      <c r="J24" s="362">
        <f>I24+1</f>
        <v>43150</v>
      </c>
      <c r="K24" s="362">
        <f>J24+1</f>
        <v>43151</v>
      </c>
      <c r="L24" s="362">
        <f>K24+1</f>
        <v>43152</v>
      </c>
      <c r="M24" s="362">
        <f>L24+1</f>
        <v>43153</v>
      </c>
      <c r="N24" s="390">
        <v>43502</v>
      </c>
      <c r="O24" s="557">
        <f>N24+1</f>
        <v>43503</v>
      </c>
      <c r="P24" s="557">
        <f>O24+1</f>
        <v>43504</v>
      </c>
      <c r="Q24" s="557">
        <f>P24+1</f>
        <v>43505</v>
      </c>
      <c r="R24" s="557">
        <f>Q24+1</f>
        <v>43506</v>
      </c>
      <c r="T24" s="774">
        <v>2017</v>
      </c>
      <c r="U24" s="774">
        <v>2018</v>
      </c>
      <c r="V24" s="774">
        <v>2019</v>
      </c>
      <c r="W24" s="220"/>
      <c r="X24" s="220"/>
    </row>
    <row r="25" spans="1:24">
      <c r="A25" s="287" t="s">
        <v>1078</v>
      </c>
      <c r="B25" s="287"/>
      <c r="C25" s="287"/>
      <c r="D25" s="389">
        <v>62</v>
      </c>
      <c r="E25" s="389">
        <v>72</v>
      </c>
      <c r="F25" s="389">
        <v>82</v>
      </c>
      <c r="G25" s="389">
        <v>67</v>
      </c>
      <c r="H25" s="389">
        <v>57</v>
      </c>
      <c r="I25" s="389">
        <v>62</v>
      </c>
      <c r="J25" s="389">
        <v>72</v>
      </c>
      <c r="K25" s="389">
        <v>82</v>
      </c>
      <c r="L25" s="389">
        <v>67</v>
      </c>
      <c r="M25" s="389">
        <v>57</v>
      </c>
      <c r="N25" s="389">
        <v>62</v>
      </c>
      <c r="O25" s="389">
        <v>72</v>
      </c>
      <c r="P25" s="389">
        <v>82</v>
      </c>
      <c r="Q25" s="389">
        <v>67</v>
      </c>
      <c r="R25" s="389">
        <v>57</v>
      </c>
      <c r="T25" s="360">
        <f>SUM(D25:H25)</f>
        <v>340</v>
      </c>
      <c r="U25" s="360">
        <f>SUM(I25:M25)</f>
        <v>340</v>
      </c>
      <c r="V25" s="360">
        <f>SUM(N25:R25)</f>
        <v>340</v>
      </c>
      <c r="W25" s="360"/>
      <c r="X25" s="360"/>
    </row>
    <row r="26" spans="1:24">
      <c r="A26" s="287" t="s">
        <v>1077</v>
      </c>
      <c r="B26" s="287"/>
      <c r="C26" s="287"/>
      <c r="D26" s="389">
        <v>1379</v>
      </c>
      <c r="E26" s="361">
        <f t="shared" ref="E26:H27" si="2">D26</f>
        <v>1379</v>
      </c>
      <c r="F26" s="361">
        <f t="shared" si="2"/>
        <v>1379</v>
      </c>
      <c r="G26" s="361">
        <f t="shared" si="2"/>
        <v>1379</v>
      </c>
      <c r="H26" s="361">
        <f t="shared" si="2"/>
        <v>1379</v>
      </c>
      <c r="I26" s="389">
        <v>968</v>
      </c>
      <c r="J26" s="361">
        <f t="shared" ref="J26:M27" si="3">I26</f>
        <v>968</v>
      </c>
      <c r="K26" s="361">
        <f t="shared" si="3"/>
        <v>968</v>
      </c>
      <c r="L26" s="361">
        <f t="shared" si="3"/>
        <v>968</v>
      </c>
      <c r="M26" s="361">
        <f t="shared" si="3"/>
        <v>968</v>
      </c>
      <c r="N26" s="389">
        <v>1218</v>
      </c>
      <c r="O26" s="388">
        <f>$N$26</f>
        <v>1218</v>
      </c>
      <c r="P26" s="388">
        <f>$N$26</f>
        <v>1218</v>
      </c>
      <c r="Q26" s="388">
        <f>$N$26</f>
        <v>1218</v>
      </c>
      <c r="R26" s="388">
        <f>$N$26</f>
        <v>1218</v>
      </c>
      <c r="T26" s="360">
        <f>AVERAGE(D26:H26)</f>
        <v>1379</v>
      </c>
      <c r="U26" s="360">
        <f>AVERAGE(I26:M26)</f>
        <v>968</v>
      </c>
      <c r="V26" s="360">
        <f>AVERAGE(N26:R26)</f>
        <v>1218</v>
      </c>
      <c r="W26" s="360"/>
      <c r="X26" s="360"/>
    </row>
    <row r="27" spans="1:24">
      <c r="A27" s="287" t="s">
        <v>1076</v>
      </c>
      <c r="B27" s="287"/>
      <c r="C27" s="287"/>
      <c r="D27" s="389">
        <v>31</v>
      </c>
      <c r="E27" s="361">
        <f t="shared" si="2"/>
        <v>31</v>
      </c>
      <c r="F27" s="361">
        <f t="shared" si="2"/>
        <v>31</v>
      </c>
      <c r="G27" s="361">
        <f t="shared" si="2"/>
        <v>31</v>
      </c>
      <c r="H27" s="361">
        <f t="shared" si="2"/>
        <v>31</v>
      </c>
      <c r="I27" s="389">
        <v>28</v>
      </c>
      <c r="J27" s="361">
        <f t="shared" si="3"/>
        <v>28</v>
      </c>
      <c r="K27" s="361">
        <f t="shared" si="3"/>
        <v>28</v>
      </c>
      <c r="L27" s="361">
        <f t="shared" si="3"/>
        <v>28</v>
      </c>
      <c r="M27" s="361">
        <f t="shared" si="3"/>
        <v>28</v>
      </c>
      <c r="N27" s="389">
        <v>28</v>
      </c>
      <c r="O27" s="388">
        <f>N27</f>
        <v>28</v>
      </c>
      <c r="P27" s="388">
        <f>O27</f>
        <v>28</v>
      </c>
      <c r="Q27" s="388">
        <f>P27</f>
        <v>28</v>
      </c>
      <c r="R27" s="388">
        <f>Q27</f>
        <v>28</v>
      </c>
      <c r="T27" s="360">
        <f>AVERAGE(D27:H27)</f>
        <v>31</v>
      </c>
      <c r="U27" s="360">
        <f>AVERAGE(I27:M27)</f>
        <v>28</v>
      </c>
      <c r="V27" s="360">
        <f>AVERAGE(N27:R27)</f>
        <v>28</v>
      </c>
      <c r="W27" s="360"/>
      <c r="X27" s="360"/>
    </row>
    <row r="29" spans="1:24" outlineLevel="1">
      <c r="A29" s="218" t="s">
        <v>1075</v>
      </c>
      <c r="D29" s="220">
        <f>F8</f>
        <v>1</v>
      </c>
      <c r="E29" s="220">
        <f t="shared" ref="E29:H30" si="4">D29</f>
        <v>1</v>
      </c>
      <c r="F29" s="220">
        <f t="shared" si="4"/>
        <v>1</v>
      </c>
      <c r="G29" s="220">
        <f t="shared" si="4"/>
        <v>1</v>
      </c>
      <c r="H29" s="220">
        <f>G29</f>
        <v>1</v>
      </c>
      <c r="I29" s="220">
        <f>H8</f>
        <v>3</v>
      </c>
      <c r="J29" s="220">
        <f>I29</f>
        <v>3</v>
      </c>
      <c r="K29" s="220">
        <f t="shared" ref="J29:M30" si="5">J29</f>
        <v>3</v>
      </c>
      <c r="L29" s="220">
        <f t="shared" si="5"/>
        <v>3</v>
      </c>
      <c r="M29" s="220">
        <f t="shared" si="5"/>
        <v>3</v>
      </c>
      <c r="N29" s="220">
        <f>L8</f>
        <v>7</v>
      </c>
      <c r="O29" s="220">
        <f>N29</f>
        <v>7</v>
      </c>
      <c r="P29" s="220">
        <v>7</v>
      </c>
      <c r="Q29" s="220">
        <v>7</v>
      </c>
      <c r="R29" s="220">
        <v>7</v>
      </c>
    </row>
    <row r="30" spans="1:24" outlineLevel="1">
      <c r="A30" s="218" t="s">
        <v>1074</v>
      </c>
      <c r="D30" s="220">
        <f>G8</f>
        <v>2</v>
      </c>
      <c r="E30" s="220">
        <f t="shared" si="4"/>
        <v>2</v>
      </c>
      <c r="F30" s="220">
        <f t="shared" si="4"/>
        <v>2</v>
      </c>
      <c r="G30" s="220">
        <f t="shared" si="4"/>
        <v>2</v>
      </c>
      <c r="H30" s="220">
        <f t="shared" si="4"/>
        <v>2</v>
      </c>
      <c r="I30" s="220">
        <f>I8</f>
        <v>4</v>
      </c>
      <c r="J30" s="220">
        <f t="shared" si="5"/>
        <v>4</v>
      </c>
      <c r="K30" s="220">
        <f t="shared" si="5"/>
        <v>4</v>
      </c>
      <c r="L30" s="220">
        <f t="shared" si="5"/>
        <v>4</v>
      </c>
      <c r="M30" s="220">
        <f t="shared" si="5"/>
        <v>4</v>
      </c>
      <c r="N30" s="220">
        <f>M8</f>
        <v>8</v>
      </c>
      <c r="O30" s="220">
        <f>N30</f>
        <v>8</v>
      </c>
      <c r="P30" s="220">
        <v>8</v>
      </c>
      <c r="Q30" s="220">
        <v>8</v>
      </c>
      <c r="R30" s="220">
        <f>Q30</f>
        <v>8</v>
      </c>
    </row>
    <row r="31" spans="1:24" outlineLevel="1">
      <c r="A31" s="218" t="s">
        <v>1073</v>
      </c>
      <c r="D31" s="220">
        <f t="shared" ref="D31:R31" si="6">MATCH(D24,PkDys,0)</f>
        <v>1</v>
      </c>
      <c r="E31" s="220">
        <f>MATCH(E24,PkDys,0)</f>
        <v>2</v>
      </c>
      <c r="F31" s="220">
        <f t="shared" si="6"/>
        <v>3</v>
      </c>
      <c r="G31" s="220">
        <f t="shared" si="6"/>
        <v>4</v>
      </c>
      <c r="H31" s="220">
        <f t="shared" si="6"/>
        <v>5</v>
      </c>
      <c r="I31" s="220">
        <f>MATCH(I24,PkDys,0)</f>
        <v>8</v>
      </c>
      <c r="J31" s="220">
        <f t="shared" si="6"/>
        <v>9</v>
      </c>
      <c r="K31" s="220">
        <f t="shared" si="6"/>
        <v>10</v>
      </c>
      <c r="L31" s="220">
        <f t="shared" si="6"/>
        <v>11</v>
      </c>
      <c r="M31" s="220">
        <f t="shared" si="6"/>
        <v>12</v>
      </c>
      <c r="N31" s="220">
        <f t="shared" si="6"/>
        <v>15</v>
      </c>
      <c r="O31" s="220">
        <f t="shared" si="6"/>
        <v>16</v>
      </c>
      <c r="P31" s="220">
        <f t="shared" si="6"/>
        <v>17</v>
      </c>
      <c r="Q31" s="220">
        <f t="shared" si="6"/>
        <v>18</v>
      </c>
      <c r="R31" s="220">
        <f t="shared" si="6"/>
        <v>19</v>
      </c>
    </row>
    <row r="32" spans="1:24" outlineLevel="1"/>
    <row r="33" spans="1:25">
      <c r="A33" s="326" t="s">
        <v>1072</v>
      </c>
      <c r="B33" s="326"/>
      <c r="C33" s="326"/>
      <c r="D33" s="287"/>
    </row>
    <row r="34" spans="1:25">
      <c r="A34" s="218" t="s">
        <v>1071</v>
      </c>
      <c r="B34" s="335" t="s">
        <v>1066</v>
      </c>
      <c r="D34" s="287">
        <v>0</v>
      </c>
      <c r="E34" s="287">
        <v>0</v>
      </c>
      <c r="F34" s="287">
        <v>0</v>
      </c>
      <c r="G34" s="287">
        <v>0</v>
      </c>
      <c r="H34" s="287">
        <v>0</v>
      </c>
      <c r="I34" s="287">
        <v>0</v>
      </c>
      <c r="J34" s="287">
        <v>0</v>
      </c>
      <c r="K34" s="287">
        <v>0</v>
      </c>
      <c r="L34" s="287">
        <v>0</v>
      </c>
      <c r="M34" s="287">
        <v>0</v>
      </c>
      <c r="N34" s="287">
        <f>((N25*$D$10)+($E$10/(365.25/12)))*$L$10</f>
        <v>1020638.197713347</v>
      </c>
      <c r="O34" s="287">
        <f>((O25*$D$10)+($E$10/(365.25/12)))*$L$10</f>
        <v>1174956.253713347</v>
      </c>
      <c r="P34" s="287">
        <f>((P25*$D$10)+($E$10/(365.25/12)))*$L$10</f>
        <v>1329274.3097133471</v>
      </c>
      <c r="Q34" s="287">
        <f>((Q25*$D$10)+($E$10/(365.25/12)))*$L$10</f>
        <v>1097797.2257133471</v>
      </c>
      <c r="R34" s="287">
        <f>((R25*$D$10)+($E$10/(365.25/12)))*$L$10</f>
        <v>943479.16971334699</v>
      </c>
      <c r="T34" s="357">
        <f>SUM(D34:H34)</f>
        <v>0</v>
      </c>
      <c r="U34" s="357">
        <f>SUM(I34:M34)</f>
        <v>0</v>
      </c>
      <c r="V34" s="357">
        <f>SUM(N34:R34)</f>
        <v>5566145.1565667354</v>
      </c>
      <c r="W34" s="357"/>
      <c r="X34" s="357">
        <f>MATCH($A34,$A$9:$A$23,0)</f>
        <v>2</v>
      </c>
      <c r="Y34" s="322" t="s">
        <v>1065</v>
      </c>
    </row>
    <row r="35" spans="1:25">
      <c r="A35" s="218" t="s">
        <v>1070</v>
      </c>
      <c r="B35" s="335" t="s">
        <v>1066</v>
      </c>
      <c r="D35" s="287">
        <v>0</v>
      </c>
      <c r="E35" s="287">
        <v>0</v>
      </c>
      <c r="F35" s="287">
        <v>0</v>
      </c>
      <c r="G35" s="287">
        <v>0</v>
      </c>
      <c r="H35" s="287">
        <v>0</v>
      </c>
      <c r="I35" s="287">
        <v>0</v>
      </c>
      <c r="J35" s="287">
        <v>0</v>
      </c>
      <c r="K35" s="287">
        <v>0</v>
      </c>
      <c r="L35" s="287">
        <v>0</v>
      </c>
      <c r="M35" s="287">
        <v>0</v>
      </c>
      <c r="N35" s="287">
        <f t="shared" ref="N35:S35" si="7">((N25*$D$11)+($E$11/(365.25/12)))*$L$11</f>
        <v>187684.50179835726</v>
      </c>
      <c r="O35" s="287">
        <f t="shared" si="7"/>
        <v>217259.10879835725</v>
      </c>
      <c r="P35" s="287">
        <f t="shared" si="7"/>
        <v>246833.7157983573</v>
      </c>
      <c r="Q35" s="287">
        <f t="shared" si="7"/>
        <v>202471.80529835727</v>
      </c>
      <c r="R35" s="287">
        <f t="shared" si="7"/>
        <v>172897.19829835728</v>
      </c>
      <c r="S35" s="287">
        <f t="shared" si="7"/>
        <v>4321.9383983572898</v>
      </c>
      <c r="T35" s="357">
        <f>SUM(D35:H35)</f>
        <v>0</v>
      </c>
      <c r="U35" s="354">
        <f>SUM(I35:M35)</f>
        <v>0</v>
      </c>
      <c r="V35" s="354">
        <f>SUM(N35:R35)</f>
        <v>1027146.3299917864</v>
      </c>
      <c r="W35" s="357"/>
      <c r="X35" s="357">
        <f>MATCH($A35,$A$9:$A$23,0)</f>
        <v>3</v>
      </c>
      <c r="Y35" s="322" t="s">
        <v>1065</v>
      </c>
    </row>
    <row r="36" spans="1:25">
      <c r="A36" s="218" t="s">
        <v>1069</v>
      </c>
      <c r="B36" s="335" t="s">
        <v>1066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0</v>
      </c>
      <c r="M36" s="287">
        <v>0</v>
      </c>
      <c r="N36" s="287">
        <f>((N25*$D$12)+($E$12/(365.25/12)))*$L$12</f>
        <v>2055.3631022587269</v>
      </c>
      <c r="O36" s="287">
        <f>((O25*$D$12)+($E$12/(365.25/12)))*$L$12</f>
        <v>2385.0451022587272</v>
      </c>
      <c r="P36" s="287">
        <f>((P25*$D$12)+($E$12/(365.25/12)))*$L$12</f>
        <v>2714.727102258727</v>
      </c>
      <c r="Q36" s="287">
        <f>((Q25*$D$12)+($E$12/(365.25/12)))*$L$12</f>
        <v>2220.2041022587268</v>
      </c>
      <c r="R36" s="287">
        <f>((R25*$D$12)+($E$12/(365.25/12)))*$L$12</f>
        <v>1890.522102258727</v>
      </c>
      <c r="T36" s="357">
        <f>SUM(D36:H36)</f>
        <v>0</v>
      </c>
      <c r="U36" s="354">
        <f>SUM(I36:M36)</f>
        <v>0</v>
      </c>
      <c r="V36" s="354">
        <f>SUM(N36:R36)</f>
        <v>11265.861511293635</v>
      </c>
      <c r="W36" s="357"/>
      <c r="X36" s="357">
        <f>MATCH($A36,$A$9:$A$23,0)</f>
        <v>4</v>
      </c>
      <c r="Y36" s="322" t="s">
        <v>1065</v>
      </c>
    </row>
    <row r="37" spans="1:25">
      <c r="A37" s="322" t="s">
        <v>1051</v>
      </c>
      <c r="B37" s="335"/>
      <c r="C37" s="335" t="s">
        <v>1058</v>
      </c>
      <c r="D37" s="314">
        <f t="shared" ref="D37:K37" si="8">D34+D35+D36</f>
        <v>0</v>
      </c>
      <c r="E37" s="314">
        <f t="shared" si="8"/>
        <v>0</v>
      </c>
      <c r="F37" s="314">
        <f t="shared" si="8"/>
        <v>0</v>
      </c>
      <c r="G37" s="314">
        <f t="shared" si="8"/>
        <v>0</v>
      </c>
      <c r="H37" s="314">
        <f t="shared" si="8"/>
        <v>0</v>
      </c>
      <c r="I37" s="314">
        <f t="shared" si="8"/>
        <v>0</v>
      </c>
      <c r="J37" s="314">
        <f t="shared" si="8"/>
        <v>0</v>
      </c>
      <c r="K37" s="314">
        <f t="shared" si="8"/>
        <v>0</v>
      </c>
      <c r="L37" s="314">
        <f t="shared" ref="L37:R37" si="9">L34+L35+L36</f>
        <v>0</v>
      </c>
      <c r="M37" s="314">
        <f t="shared" si="9"/>
        <v>0</v>
      </c>
      <c r="N37" s="314">
        <f t="shared" si="9"/>
        <v>1210378.0626139629</v>
      </c>
      <c r="O37" s="314">
        <f t="shared" si="9"/>
        <v>1394600.4076139629</v>
      </c>
      <c r="P37" s="314">
        <f t="shared" si="9"/>
        <v>1578822.7526139631</v>
      </c>
      <c r="Q37" s="314">
        <f t="shared" si="9"/>
        <v>1302489.235113963</v>
      </c>
      <c r="R37" s="314">
        <f t="shared" si="9"/>
        <v>1118266.8901139628</v>
      </c>
      <c r="T37" s="314">
        <f>SUM(T34:T36)</f>
        <v>0</v>
      </c>
      <c r="U37" s="352">
        <f>SUM(U34:U36)</f>
        <v>0</v>
      </c>
      <c r="V37" s="352">
        <f>SUM(V34:V36)</f>
        <v>6604557.3480698159</v>
      </c>
      <c r="W37" s="350"/>
      <c r="X37" s="350"/>
    </row>
    <row r="38" spans="1:25">
      <c r="B38" s="335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T38" s="225"/>
      <c r="U38" s="284"/>
      <c r="V38" s="284"/>
      <c r="W38" s="225"/>
      <c r="X38" s="225"/>
    </row>
    <row r="39" spans="1:25" outlineLevel="1">
      <c r="A39" s="218" t="s">
        <v>1068</v>
      </c>
      <c r="B39" s="335" t="s">
        <v>1060</v>
      </c>
      <c r="D39" s="287">
        <v>0</v>
      </c>
      <c r="E39" s="287">
        <v>0</v>
      </c>
      <c r="F39" s="287">
        <v>0</v>
      </c>
      <c r="G39" s="287">
        <v>0</v>
      </c>
      <c r="H39" s="287">
        <v>0</v>
      </c>
      <c r="I39" s="287">
        <v>0</v>
      </c>
      <c r="J39" s="287">
        <v>0</v>
      </c>
      <c r="K39" s="287">
        <v>0</v>
      </c>
      <c r="L39" s="287">
        <v>0</v>
      </c>
      <c r="M39" s="287">
        <v>0</v>
      </c>
      <c r="N39" s="287">
        <f t="shared" ref="N39:S39" si="10">$M$14*(N25/N26)</f>
        <v>21413.160919540231</v>
      </c>
      <c r="O39" s="287">
        <f t="shared" si="10"/>
        <v>24866.896551724138</v>
      </c>
      <c r="P39" s="287">
        <f t="shared" si="10"/>
        <v>28320.632183908045</v>
      </c>
      <c r="Q39" s="287">
        <f t="shared" si="10"/>
        <v>23140.028735632186</v>
      </c>
      <c r="R39" s="287">
        <f t="shared" si="10"/>
        <v>19686.293103448275</v>
      </c>
      <c r="S39" s="287" t="e">
        <f t="shared" si="10"/>
        <v>#DIV/0!</v>
      </c>
      <c r="T39" s="357">
        <f>SUM(D39:H39)</f>
        <v>0</v>
      </c>
      <c r="U39" s="354">
        <f>SUM(I39:M39)</f>
        <v>0</v>
      </c>
      <c r="V39" s="354">
        <f>SUM(N39:R39)</f>
        <v>117427.01149425287</v>
      </c>
      <c r="W39" s="357"/>
      <c r="X39" s="357">
        <f>MATCH($A39,$A$9:$A$23,0)</f>
        <v>6</v>
      </c>
      <c r="Y39" s="322" t="s">
        <v>1059</v>
      </c>
    </row>
    <row r="40" spans="1:25" outlineLevel="1">
      <c r="A40" s="218" t="s">
        <v>1067</v>
      </c>
      <c r="B40" s="335" t="s">
        <v>1066</v>
      </c>
      <c r="D40" s="287">
        <v>0</v>
      </c>
      <c r="E40" s="287">
        <v>0</v>
      </c>
      <c r="F40" s="287">
        <v>0</v>
      </c>
      <c r="G40" s="287">
        <v>0</v>
      </c>
      <c r="H40" s="287">
        <v>0</v>
      </c>
      <c r="I40" s="287">
        <v>0</v>
      </c>
      <c r="J40" s="287">
        <v>0</v>
      </c>
      <c r="K40" s="287">
        <v>0</v>
      </c>
      <c r="L40" s="287">
        <v>0</v>
      </c>
      <c r="M40" s="287">
        <v>0</v>
      </c>
      <c r="N40" s="287">
        <f t="shared" ref="N40:S40" si="11">((N25*$D$15)+($E$15/(365.25/12)))*$L$15</f>
        <v>383916.41741273098</v>
      </c>
      <c r="O40" s="287">
        <f t="shared" si="11"/>
        <v>437797.61741273105</v>
      </c>
      <c r="P40" s="287">
        <f t="shared" si="11"/>
        <v>491678.81741273106</v>
      </c>
      <c r="Q40" s="287">
        <f t="shared" si="11"/>
        <v>410857.01741273102</v>
      </c>
      <c r="R40" s="287">
        <f t="shared" si="11"/>
        <v>356975.81741273106</v>
      </c>
      <c r="S40" s="287">
        <f t="shared" si="11"/>
        <v>49852.977412731001</v>
      </c>
      <c r="T40" s="357">
        <f>SUM(D40:H40)</f>
        <v>0</v>
      </c>
      <c r="U40" s="354">
        <f>SUM(I40:M40)</f>
        <v>0</v>
      </c>
      <c r="V40" s="354">
        <f>SUM(N40:R40)</f>
        <v>2081225.6870636551</v>
      </c>
      <c r="W40" s="357"/>
      <c r="X40" s="357">
        <f>MATCH($A40,$A$9:$A$23,0)</f>
        <v>7</v>
      </c>
      <c r="Y40" s="322" t="s">
        <v>1065</v>
      </c>
    </row>
    <row r="41" spans="1:25" outlineLevel="1">
      <c r="A41" s="218" t="s">
        <v>1064</v>
      </c>
      <c r="B41" s="335" t="s">
        <v>1060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0</v>
      </c>
      <c r="L41" s="287">
        <v>0</v>
      </c>
      <c r="M41" s="287">
        <v>0</v>
      </c>
      <c r="N41" s="287">
        <f t="shared" ref="N41:S41" si="12">$M$16*(N25/N26)</f>
        <v>16557.003284072249</v>
      </c>
      <c r="O41" s="287">
        <f t="shared" si="12"/>
        <v>19227.487684729062</v>
      </c>
      <c r="P41" s="287">
        <f t="shared" si="12"/>
        <v>21897.972085385878</v>
      </c>
      <c r="Q41" s="287">
        <f t="shared" si="12"/>
        <v>17892.245484400657</v>
      </c>
      <c r="R41" s="287">
        <f t="shared" si="12"/>
        <v>15221.761083743842</v>
      </c>
      <c r="S41" s="287" t="e">
        <f t="shared" si="12"/>
        <v>#DIV/0!</v>
      </c>
      <c r="T41" s="357">
        <f>SUM(D41:H41)</f>
        <v>0</v>
      </c>
      <c r="U41" s="354">
        <f>SUM(I41:M41)</f>
        <v>0</v>
      </c>
      <c r="V41" s="354">
        <f>SUM(N41:R41)</f>
        <v>90796.469622331686</v>
      </c>
      <c r="W41" s="357"/>
      <c r="X41" s="357">
        <f>MATCH($A41,$A$9:$A$23,0)</f>
        <v>8</v>
      </c>
      <c r="Y41" s="322" t="s">
        <v>1059</v>
      </c>
    </row>
    <row r="42" spans="1:25" outlineLevel="1">
      <c r="A42" s="322" t="str">
        <f>IF(C42="x","Total Schedule 111/112","Sch 111/112")</f>
        <v>Sch 111/112</v>
      </c>
      <c r="B42" s="335"/>
      <c r="C42" s="335"/>
      <c r="D42" s="314">
        <f>D39+D40+D41</f>
        <v>0</v>
      </c>
      <c r="E42" s="314">
        <f>E39+E40+E41</f>
        <v>0</v>
      </c>
      <c r="F42" s="314">
        <f>F39+F40+F41</f>
        <v>0</v>
      </c>
      <c r="G42" s="314">
        <f>G39+G40+G41</f>
        <v>0</v>
      </c>
      <c r="H42" s="314">
        <f>H39+H40+H41</f>
        <v>0</v>
      </c>
      <c r="I42" s="314">
        <f t="shared" ref="I42:R42" si="13">I39+I40+I41</f>
        <v>0</v>
      </c>
      <c r="J42" s="314">
        <f t="shared" si="13"/>
        <v>0</v>
      </c>
      <c r="K42" s="314">
        <f t="shared" si="13"/>
        <v>0</v>
      </c>
      <c r="L42" s="314">
        <f t="shared" si="13"/>
        <v>0</v>
      </c>
      <c r="M42" s="314">
        <f t="shared" si="13"/>
        <v>0</v>
      </c>
      <c r="N42" s="314">
        <f t="shared" si="13"/>
        <v>421886.58161634346</v>
      </c>
      <c r="O42" s="314">
        <f t="shared" si="13"/>
        <v>481892.00164918421</v>
      </c>
      <c r="P42" s="314">
        <f t="shared" si="13"/>
        <v>541897.42168202496</v>
      </c>
      <c r="Q42" s="314">
        <f t="shared" si="13"/>
        <v>451889.29163276387</v>
      </c>
      <c r="R42" s="314">
        <f t="shared" si="13"/>
        <v>391883.87159992318</v>
      </c>
      <c r="T42" s="314">
        <f>SUM(T39:T41)</f>
        <v>0</v>
      </c>
      <c r="U42" s="352">
        <f>SUM(U39:U41)</f>
        <v>0</v>
      </c>
      <c r="V42" s="352">
        <f>SUM(V39:V41)</f>
        <v>2289449.1681802399</v>
      </c>
      <c r="W42" s="350"/>
      <c r="X42" s="357"/>
    </row>
    <row r="43" spans="1:25">
      <c r="A43" s="322" t="str">
        <f>IF(C43="x","Total Schedule 111/112","Sch 111/112")</f>
        <v>Total Schedule 111/112</v>
      </c>
      <c r="B43" s="335" t="s">
        <v>1066</v>
      </c>
      <c r="C43" s="335" t="s">
        <v>1058</v>
      </c>
      <c r="D43" s="287">
        <v>0</v>
      </c>
      <c r="E43" s="287">
        <v>0</v>
      </c>
      <c r="F43" s="287">
        <v>0</v>
      </c>
      <c r="G43" s="287">
        <v>0</v>
      </c>
      <c r="H43" s="287">
        <v>0</v>
      </c>
      <c r="I43" s="287">
        <v>0</v>
      </c>
      <c r="J43" s="287">
        <v>0</v>
      </c>
      <c r="K43" s="287">
        <v>0</v>
      </c>
      <c r="L43" s="287">
        <v>0</v>
      </c>
      <c r="M43" s="287">
        <v>0</v>
      </c>
      <c r="N43" s="287">
        <f>((N25*$D$17)+($E$17/(365.25/12)))*$L$17</f>
        <v>412664.42526160169</v>
      </c>
      <c r="O43" s="287">
        <f>((O25*$D$17)+($E$17/(365.25/12)))*$L$17</f>
        <v>470049.12126160169</v>
      </c>
      <c r="P43" s="287">
        <f>((P25*$D$17)+($E$17/(365.25/12)))*$L$17</f>
        <v>527433.81726160168</v>
      </c>
      <c r="Q43" s="287">
        <f>((Q25*$D$17)+($E$17/(365.25/12)))*$L$17</f>
        <v>441356.77326160169</v>
      </c>
      <c r="R43" s="287">
        <f>((R25*$D$17)+($E$17/(365.25/12)))*$L$17</f>
        <v>383972.07726160163</v>
      </c>
      <c r="T43" s="357">
        <f>SUM(D43:H43)</f>
        <v>0</v>
      </c>
      <c r="U43" s="354">
        <f>SUM(I43:M43)</f>
        <v>0</v>
      </c>
      <c r="V43" s="354">
        <f>SUM(N43:R43)</f>
        <v>2235476.2143080081</v>
      </c>
      <c r="W43" s="357"/>
      <c r="X43" s="357">
        <f>MATCH("Total Schedule 111/112",$A$9:$A$23,0)</f>
        <v>9</v>
      </c>
      <c r="Y43" s="322" t="s">
        <v>1065</v>
      </c>
    </row>
    <row r="44" spans="1:25">
      <c r="B44" s="335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</row>
    <row r="45" spans="1:25" outlineLevel="1">
      <c r="A45" s="218" t="s">
        <v>1063</v>
      </c>
      <c r="B45" s="335" t="s">
        <v>1094</v>
      </c>
      <c r="D45" s="287">
        <f>$I$19/D27</f>
        <v>0</v>
      </c>
      <c r="E45" s="287">
        <f>$I$19/E27</f>
        <v>0</v>
      </c>
      <c r="F45" s="287">
        <f>$I$19/F27</f>
        <v>0</v>
      </c>
      <c r="G45" s="287">
        <f>$I$19/G27</f>
        <v>0</v>
      </c>
      <c r="H45" s="287">
        <f>$I$19/H27</f>
        <v>0</v>
      </c>
      <c r="I45" s="287">
        <f>$K$19/I27</f>
        <v>0</v>
      </c>
      <c r="J45" s="287">
        <f>$K$19/J27</f>
        <v>0</v>
      </c>
      <c r="K45" s="287">
        <f>$K$19/K27</f>
        <v>0</v>
      </c>
      <c r="L45" s="287">
        <f>$K$19/L27</f>
        <v>0</v>
      </c>
      <c r="M45" s="287">
        <f>$K$19/M27</f>
        <v>0</v>
      </c>
      <c r="N45" s="287">
        <f t="shared" ref="N45:S45" si="14">$M$19/N27</f>
        <v>0</v>
      </c>
      <c r="O45" s="287">
        <f t="shared" si="14"/>
        <v>0</v>
      </c>
      <c r="P45" s="287">
        <f t="shared" si="14"/>
        <v>0</v>
      </c>
      <c r="Q45" s="287">
        <f t="shared" si="14"/>
        <v>0</v>
      </c>
      <c r="R45" s="287">
        <f t="shared" si="14"/>
        <v>0</v>
      </c>
      <c r="S45" s="287" t="e">
        <f t="shared" si="14"/>
        <v>#DIV/0!</v>
      </c>
      <c r="T45" s="357">
        <f>SUM(D45:H45)</f>
        <v>0</v>
      </c>
      <c r="U45" s="354">
        <f>SUM(I45:M45)</f>
        <v>0</v>
      </c>
      <c r="V45" s="354">
        <f>SUM(N45:R45)</f>
        <v>0</v>
      </c>
      <c r="W45" s="357"/>
      <c r="X45" s="357">
        <f>MATCH($A45,$A$9:$A$23,0)</f>
        <v>11</v>
      </c>
      <c r="Y45" s="322" t="s">
        <v>1093</v>
      </c>
    </row>
    <row r="46" spans="1:25" outlineLevel="1">
      <c r="A46" s="218" t="s">
        <v>1062</v>
      </c>
      <c r="B46" s="335" t="s">
        <v>1094</v>
      </c>
      <c r="D46" s="287">
        <f>$I$20/D27</f>
        <v>0</v>
      </c>
      <c r="E46" s="287">
        <f>$I$20/E27</f>
        <v>0</v>
      </c>
      <c r="F46" s="287">
        <f>$I$20/F27</f>
        <v>0</v>
      </c>
      <c r="G46" s="287">
        <f>$I$20/G27</f>
        <v>0</v>
      </c>
      <c r="H46" s="287">
        <f>$I$20/H27</f>
        <v>0</v>
      </c>
      <c r="I46" s="287">
        <f>$K$20/I27</f>
        <v>0</v>
      </c>
      <c r="J46" s="287">
        <f>$K$20/J27</f>
        <v>0</v>
      </c>
      <c r="K46" s="287">
        <f>$K$20/K27</f>
        <v>0</v>
      </c>
      <c r="L46" s="287">
        <f>$K$20/L27</f>
        <v>0</v>
      </c>
      <c r="M46" s="287">
        <f>$K$20/M27</f>
        <v>0</v>
      </c>
      <c r="N46" s="287">
        <f>$M$20/N27</f>
        <v>0</v>
      </c>
      <c r="O46" s="287">
        <f>$M$20/O27</f>
        <v>0</v>
      </c>
      <c r="P46" s="287">
        <f>$M$20/P27</f>
        <v>0</v>
      </c>
      <c r="Q46" s="287">
        <f>$M$20/Q27</f>
        <v>0</v>
      </c>
      <c r="R46" s="287">
        <f>$M$20/R27</f>
        <v>0</v>
      </c>
      <c r="T46" s="357">
        <f>SUM(D46:H46)</f>
        <v>0</v>
      </c>
      <c r="U46" s="354">
        <f>SUM(I46:M46)</f>
        <v>0</v>
      </c>
      <c r="V46" s="354">
        <f>SUM(N46:R46)</f>
        <v>0</v>
      </c>
      <c r="W46" s="357"/>
      <c r="X46" s="357">
        <f>MATCH($A46,$A$9:$A$23,0)</f>
        <v>12</v>
      </c>
      <c r="Y46" s="322" t="s">
        <v>1093</v>
      </c>
    </row>
    <row r="47" spans="1:25" outlineLevel="1">
      <c r="A47" s="218" t="s">
        <v>1061</v>
      </c>
      <c r="B47" s="335" t="s">
        <v>1094</v>
      </c>
      <c r="D47" s="287">
        <f>$I$21/D27</f>
        <v>0</v>
      </c>
      <c r="E47" s="287">
        <f>$I$21/E27</f>
        <v>0</v>
      </c>
      <c r="F47" s="287">
        <f>$I$21/F27</f>
        <v>0</v>
      </c>
      <c r="G47" s="287">
        <f>$I$21/G27</f>
        <v>0</v>
      </c>
      <c r="H47" s="287">
        <f>$I$21/H27</f>
        <v>0</v>
      </c>
      <c r="I47" s="287">
        <f>$K$21/I27</f>
        <v>0</v>
      </c>
      <c r="J47" s="287">
        <f>$K$21/J27</f>
        <v>0</v>
      </c>
      <c r="K47" s="287">
        <f>$K$21/K27</f>
        <v>0</v>
      </c>
      <c r="L47" s="287">
        <f>$K$21/L27</f>
        <v>0</v>
      </c>
      <c r="M47" s="287">
        <f>$K$21/M27</f>
        <v>0</v>
      </c>
      <c r="N47" s="287">
        <f>$M$21/N27</f>
        <v>0</v>
      </c>
      <c r="O47" s="287">
        <f>$M$21/O27</f>
        <v>0</v>
      </c>
      <c r="P47" s="287">
        <f>$M$21/P27</f>
        <v>0</v>
      </c>
      <c r="Q47" s="287">
        <f>$M$21/Q27</f>
        <v>0</v>
      </c>
      <c r="R47" s="287">
        <f>$M$21/R27</f>
        <v>0</v>
      </c>
      <c r="T47" s="357">
        <f>SUM(D47:H47)</f>
        <v>0</v>
      </c>
      <c r="U47" s="354">
        <f>SUM(I47:M47)</f>
        <v>0</v>
      </c>
      <c r="V47" s="354">
        <f>SUM(N47:R47)</f>
        <v>0</v>
      </c>
      <c r="W47" s="357"/>
      <c r="X47" s="357">
        <f>MATCH($A47,$A$9:$A$23,0)</f>
        <v>13</v>
      </c>
      <c r="Y47" s="322" t="s">
        <v>1093</v>
      </c>
    </row>
    <row r="48" spans="1:25" outlineLevel="1">
      <c r="A48" s="322" t="str">
        <f>IF(C48="x","Total Schedule 121/122","Sch 121/122")</f>
        <v>Sch 121/122</v>
      </c>
      <c r="B48" s="335"/>
      <c r="C48" s="335"/>
      <c r="D48" s="314">
        <f>SUM(D45:D47)</f>
        <v>0</v>
      </c>
      <c r="E48" s="314">
        <f>SUM(E45:E47)</f>
        <v>0</v>
      </c>
      <c r="F48" s="314">
        <f>SUM(F45:F47)</f>
        <v>0</v>
      </c>
      <c r="G48" s="314">
        <f>SUM(G45:G47)</f>
        <v>0</v>
      </c>
      <c r="H48" s="314">
        <f>SUM(H45:H47)</f>
        <v>0</v>
      </c>
      <c r="I48" s="314">
        <f t="shared" ref="I48:R48" si="15">SUM(I45:I47)</f>
        <v>0</v>
      </c>
      <c r="J48" s="314">
        <f t="shared" si="15"/>
        <v>0</v>
      </c>
      <c r="K48" s="314">
        <f t="shared" si="15"/>
        <v>0</v>
      </c>
      <c r="L48" s="314">
        <f t="shared" si="15"/>
        <v>0</v>
      </c>
      <c r="M48" s="314">
        <f t="shared" si="15"/>
        <v>0</v>
      </c>
      <c r="N48" s="314">
        <f t="shared" si="15"/>
        <v>0</v>
      </c>
      <c r="O48" s="314">
        <f t="shared" si="15"/>
        <v>0</v>
      </c>
      <c r="P48" s="314">
        <f t="shared" si="15"/>
        <v>0</v>
      </c>
      <c r="Q48" s="314">
        <f t="shared" si="15"/>
        <v>0</v>
      </c>
      <c r="R48" s="314">
        <f t="shared" si="15"/>
        <v>0</v>
      </c>
      <c r="T48" s="314">
        <f>SUM(T45:T47)</f>
        <v>0</v>
      </c>
      <c r="U48" s="314">
        <f>SUM(U45:U47)</f>
        <v>0</v>
      </c>
      <c r="V48" s="314">
        <f>SUM(V45:V47)</f>
        <v>0</v>
      </c>
      <c r="W48" s="350"/>
      <c r="X48" s="357"/>
    </row>
    <row r="49" spans="1:25">
      <c r="A49" s="322" t="str">
        <f>IF(C49="x","Total Schedule 121/122","Sch 121/122")</f>
        <v>Total Schedule 121/122</v>
      </c>
      <c r="B49" s="335" t="s">
        <v>1060</v>
      </c>
      <c r="C49" s="335" t="s">
        <v>1058</v>
      </c>
      <c r="D49" s="350">
        <f>$I$22*(D25/D26)</f>
        <v>0</v>
      </c>
      <c r="E49" s="350">
        <f>$I$22*(E25/E26)</f>
        <v>0</v>
      </c>
      <c r="F49" s="350">
        <f>$I$22*(F25/F26)</f>
        <v>0</v>
      </c>
      <c r="G49" s="350">
        <f>$I$22*(G25/G26)</f>
        <v>0</v>
      </c>
      <c r="H49" s="350">
        <f>$I$22*(H25/H26)</f>
        <v>0</v>
      </c>
      <c r="I49" s="350">
        <f>$K$22*(I25/I26)</f>
        <v>0</v>
      </c>
      <c r="J49" s="350">
        <f>$K$22*(J25/J26)</f>
        <v>0</v>
      </c>
      <c r="K49" s="350">
        <f>$K$22*(K25/K26)</f>
        <v>0</v>
      </c>
      <c r="L49" s="350">
        <f>$K$22*(L25/L26)</f>
        <v>0</v>
      </c>
      <c r="M49" s="350">
        <f>$K$22*(M25/M26)</f>
        <v>0</v>
      </c>
      <c r="N49" s="350">
        <f>$M$22*(N25/N26)</f>
        <v>0</v>
      </c>
      <c r="O49" s="350">
        <f>$M$22*(O25/O26)</f>
        <v>0</v>
      </c>
      <c r="P49" s="350">
        <f>$M$22*(P25/P26)</f>
        <v>0</v>
      </c>
      <c r="Q49" s="350">
        <f>$M$22*(Q25/Q26)</f>
        <v>0</v>
      </c>
      <c r="R49" s="350">
        <f>$M$22*(R25/R26)</f>
        <v>0</v>
      </c>
      <c r="T49" s="357">
        <f>SUM(D49:H49)</f>
        <v>0</v>
      </c>
      <c r="U49" s="354">
        <f>SUM(I49:M49)</f>
        <v>0</v>
      </c>
      <c r="V49" s="354">
        <f>SUM(N49:R49)</f>
        <v>0</v>
      </c>
      <c r="W49" s="357"/>
      <c r="X49" s="357">
        <f>MATCH("Total Schedule 121/122",$A$9:$A$23,0)</f>
        <v>14</v>
      </c>
      <c r="Y49" s="322" t="s">
        <v>1059</v>
      </c>
    </row>
    <row r="51" spans="1:25">
      <c r="A51" s="218" t="s">
        <v>1057</v>
      </c>
      <c r="D51" s="287">
        <f>SUMIF($C34:$C50,"x",D34:D50)</f>
        <v>0</v>
      </c>
      <c r="E51" s="287">
        <f>SUMIF($C34:$C50,"x",E34:E50)</f>
        <v>0</v>
      </c>
      <c r="F51" s="287">
        <f t="shared" ref="F51:R51" si="16">SUMIF($C34:$C50,"x",F34:F50)</f>
        <v>0</v>
      </c>
      <c r="G51" s="287">
        <f t="shared" si="16"/>
        <v>0</v>
      </c>
      <c r="H51" s="287">
        <f t="shared" si="16"/>
        <v>0</v>
      </c>
      <c r="I51" s="287">
        <f t="shared" si="16"/>
        <v>0</v>
      </c>
      <c r="J51" s="287">
        <f t="shared" si="16"/>
        <v>0</v>
      </c>
      <c r="K51" s="287">
        <f t="shared" si="16"/>
        <v>0</v>
      </c>
      <c r="L51" s="287">
        <f t="shared" si="16"/>
        <v>0</v>
      </c>
      <c r="M51" s="287">
        <f t="shared" si="16"/>
        <v>0</v>
      </c>
      <c r="N51" s="287">
        <f t="shared" si="16"/>
        <v>1623042.4878755645</v>
      </c>
      <c r="O51" s="287">
        <f t="shared" si="16"/>
        <v>1864649.5288755647</v>
      </c>
      <c r="P51" s="287">
        <f t="shared" si="16"/>
        <v>2106256.5698755649</v>
      </c>
      <c r="Q51" s="287">
        <f t="shared" si="16"/>
        <v>1743846.0083755646</v>
      </c>
      <c r="R51" s="287">
        <f t="shared" si="16"/>
        <v>1502238.9673755644</v>
      </c>
      <c r="T51" s="287">
        <f>T37+T43+T49</f>
        <v>0</v>
      </c>
      <c r="U51" s="287">
        <f>U37+U43+U49</f>
        <v>0</v>
      </c>
      <c r="V51" s="287">
        <f>V37+V43+V49</f>
        <v>8840033.5623778235</v>
      </c>
      <c r="W51" s="287"/>
      <c r="X51" s="287"/>
    </row>
    <row r="53" spans="1:25">
      <c r="A53" s="218" t="s">
        <v>1056</v>
      </c>
    </row>
    <row r="54" spans="1:25">
      <c r="A54" s="322" t="s">
        <v>1055</v>
      </c>
      <c r="B54" s="322"/>
      <c r="C54" s="322"/>
      <c r="D54" s="325">
        <f>INDEX(WAFirm,D$31)</f>
        <v>1562484.9746192894</v>
      </c>
      <c r="E54" s="325">
        <f>INDEX(WAFirm,E$31)</f>
        <v>1633064.1370558375</v>
      </c>
      <c r="F54" s="325">
        <f t="shared" ref="F54:P54" si="17">INDEX(WAFirm,F$31)</f>
        <v>1711440.3959390863</v>
      </c>
      <c r="G54" s="325">
        <f t="shared" si="17"/>
        <v>1600635.7512690355</v>
      </c>
      <c r="H54" s="325">
        <f t="shared" si="17"/>
        <v>1489048.6548223351</v>
      </c>
      <c r="I54" s="325">
        <f t="shared" si="17"/>
        <v>1317172.5702479337</v>
      </c>
      <c r="J54" s="325">
        <f t="shared" si="17"/>
        <v>1420592.9917355371</v>
      </c>
      <c r="K54" s="325">
        <f t="shared" si="17"/>
        <v>1462451.1074380167</v>
      </c>
      <c r="L54" s="325">
        <f t="shared" si="17"/>
        <v>1346466.5495867769</v>
      </c>
      <c r="M54" s="325">
        <f t="shared" si="17"/>
        <v>1267599.896694215</v>
      </c>
      <c r="N54" s="325">
        <f>INDEX(WAFirm,N$31)</f>
        <v>1387242.9408866996</v>
      </c>
      <c r="O54" s="325">
        <f t="shared" si="17"/>
        <v>1289743.9408866996</v>
      </c>
      <c r="P54" s="325">
        <f t="shared" si="17"/>
        <v>1234792.8891625616</v>
      </c>
      <c r="Q54" s="325">
        <f>INDEX(WAFirm,Q$31)</f>
        <v>1493380.9408866996</v>
      </c>
      <c r="R54" s="325">
        <f>INDEX(WAFirm,R$31)</f>
        <v>1448450.8349753695</v>
      </c>
      <c r="T54" s="287">
        <f>SUM(D54:H54)</f>
        <v>7996673.9137055837</v>
      </c>
      <c r="U54" s="354">
        <f>SUM(I54:M54)</f>
        <v>6814283.1157024791</v>
      </c>
      <c r="V54" s="354">
        <f>SUM(N54:R54)</f>
        <v>6853611.5467980299</v>
      </c>
      <c r="W54" s="287"/>
      <c r="X54" s="287"/>
    </row>
    <row r="56" spans="1:25">
      <c r="A56" s="218" t="s">
        <v>1054</v>
      </c>
      <c r="D56" s="287">
        <v>0</v>
      </c>
      <c r="E56" s="287">
        <v>0</v>
      </c>
      <c r="F56" s="287">
        <v>0</v>
      </c>
      <c r="G56" s="287">
        <v>0</v>
      </c>
      <c r="H56" s="287">
        <v>0</v>
      </c>
      <c r="I56" s="287">
        <v>0</v>
      </c>
      <c r="J56" s="287">
        <v>0</v>
      </c>
      <c r="K56" s="287">
        <v>0</v>
      </c>
      <c r="L56" s="287">
        <v>0</v>
      </c>
      <c r="M56" s="287">
        <v>0</v>
      </c>
      <c r="N56" s="287">
        <v>0</v>
      </c>
      <c r="O56" s="287">
        <v>0</v>
      </c>
      <c r="P56" s="287">
        <v>0</v>
      </c>
      <c r="Q56" s="287">
        <v>0</v>
      </c>
      <c r="R56" s="287">
        <v>0</v>
      </c>
      <c r="S56" s="287">
        <v>0</v>
      </c>
      <c r="T56" s="287">
        <v>0</v>
      </c>
      <c r="U56" s="287">
        <v>0</v>
      </c>
      <c r="V56" s="287">
        <v>0</v>
      </c>
      <c r="W56" s="287"/>
      <c r="X56" s="287"/>
    </row>
    <row r="57" spans="1:25">
      <c r="A57" s="218" t="s">
        <v>1053</v>
      </c>
      <c r="D57" s="219">
        <f>D56/D54</f>
        <v>0</v>
      </c>
      <c r="E57" s="219">
        <f>E56/E54</f>
        <v>0</v>
      </c>
      <c r="F57" s="219">
        <f>F56/F54</f>
        <v>0</v>
      </c>
      <c r="G57" s="219">
        <f t="shared" ref="G57:R57" si="18">G56/G54</f>
        <v>0</v>
      </c>
      <c r="H57" s="219">
        <f t="shared" si="18"/>
        <v>0</v>
      </c>
      <c r="I57" s="219">
        <f t="shared" si="18"/>
        <v>0</v>
      </c>
      <c r="J57" s="219">
        <f>J56/J54</f>
        <v>0</v>
      </c>
      <c r="K57" s="219">
        <f>K56/K54</f>
        <v>0</v>
      </c>
      <c r="L57" s="219">
        <f>L56/L54</f>
        <v>0</v>
      </c>
      <c r="M57" s="219">
        <f>M56/M54</f>
        <v>0</v>
      </c>
      <c r="N57" s="219">
        <f>N56/N54</f>
        <v>0</v>
      </c>
      <c r="O57" s="219">
        <f t="shared" si="18"/>
        <v>0</v>
      </c>
      <c r="P57" s="219">
        <f t="shared" si="18"/>
        <v>0</v>
      </c>
      <c r="Q57" s="219">
        <f t="shared" si="18"/>
        <v>0</v>
      </c>
      <c r="R57" s="219">
        <f t="shared" si="18"/>
        <v>0</v>
      </c>
      <c r="T57" s="219">
        <f>T56/T54</f>
        <v>0</v>
      </c>
      <c r="U57" s="219">
        <f>U56/U54</f>
        <v>0</v>
      </c>
      <c r="V57" s="219">
        <f>V56/V54</f>
        <v>0</v>
      </c>
      <c r="W57" s="219"/>
      <c r="X57" s="219"/>
    </row>
    <row r="58" spans="1:25"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T58" s="219"/>
      <c r="U58" s="219"/>
      <c r="V58" s="219"/>
      <c r="W58" s="219"/>
      <c r="X58" s="219"/>
    </row>
    <row r="59" spans="1:25">
      <c r="A59" s="359" t="s">
        <v>1052</v>
      </c>
      <c r="B59" s="359"/>
      <c r="C59" s="359"/>
      <c r="D59" s="287"/>
    </row>
    <row r="60" spans="1:25">
      <c r="A60" s="218" t="s">
        <v>1051</v>
      </c>
      <c r="D60" s="287">
        <v>0</v>
      </c>
      <c r="E60" s="287">
        <v>0</v>
      </c>
      <c r="F60" s="287">
        <v>0</v>
      </c>
      <c r="G60" s="287">
        <v>0</v>
      </c>
      <c r="H60" s="287">
        <v>0</v>
      </c>
      <c r="I60" s="287">
        <v>0</v>
      </c>
      <c r="J60" s="287">
        <v>0</v>
      </c>
      <c r="K60" s="287">
        <v>0</v>
      </c>
      <c r="L60" s="287">
        <v>0</v>
      </c>
      <c r="M60" s="287">
        <v>0</v>
      </c>
      <c r="N60" s="287">
        <f>N37+(N56*(N37/N51))</f>
        <v>1210378.0626139629</v>
      </c>
      <c r="O60" s="287">
        <f t="shared" ref="O60:R60" si="19">O37+(O56*(O37/O51))</f>
        <v>1394600.4076139629</v>
      </c>
      <c r="P60" s="287">
        <f t="shared" si="19"/>
        <v>1578822.7526139631</v>
      </c>
      <c r="Q60" s="287">
        <f t="shared" si="19"/>
        <v>1302489.235113963</v>
      </c>
      <c r="R60" s="287">
        <f t="shared" si="19"/>
        <v>1118266.8901139628</v>
      </c>
      <c r="T60" s="287">
        <f>SUM(D60:H60)</f>
        <v>0</v>
      </c>
      <c r="U60" s="354">
        <f>SUM(I60:M60)</f>
        <v>0</v>
      </c>
      <c r="V60" s="354">
        <f>SUM(N60:R60)</f>
        <v>6604557.348069815</v>
      </c>
      <c r="W60" s="348"/>
      <c r="X60" s="357">
        <f>MATCH($A60,$A$33:$A$51,0)</f>
        <v>5</v>
      </c>
    </row>
    <row r="61" spans="1:25">
      <c r="A61" s="218" t="s">
        <v>1050</v>
      </c>
      <c r="D61" s="287">
        <v>0</v>
      </c>
      <c r="E61" s="287">
        <v>0</v>
      </c>
      <c r="F61" s="287">
        <v>0</v>
      </c>
      <c r="G61" s="287">
        <v>0</v>
      </c>
      <c r="H61" s="287">
        <v>0</v>
      </c>
      <c r="I61" s="287">
        <v>0</v>
      </c>
      <c r="J61" s="287">
        <v>0</v>
      </c>
      <c r="K61" s="287">
        <v>0</v>
      </c>
      <c r="L61" s="287">
        <v>0</v>
      </c>
      <c r="M61" s="287">
        <v>0</v>
      </c>
      <c r="N61" s="287">
        <f t="shared" ref="N61:R61" si="20">N43+(N56*(N43/N51))</f>
        <v>412664.42526160169</v>
      </c>
      <c r="O61" s="287">
        <f t="shared" si="20"/>
        <v>470049.12126160169</v>
      </c>
      <c r="P61" s="287">
        <f t="shared" si="20"/>
        <v>527433.81726160168</v>
      </c>
      <c r="Q61" s="287">
        <f t="shared" si="20"/>
        <v>441356.77326160169</v>
      </c>
      <c r="R61" s="287">
        <f t="shared" si="20"/>
        <v>383972.07726160163</v>
      </c>
      <c r="T61" s="287">
        <f>SUM(D61:H61)</f>
        <v>0</v>
      </c>
      <c r="U61" s="354">
        <f>SUM(I61:M61)</f>
        <v>0</v>
      </c>
      <c r="V61" s="354">
        <f>SUM(N61:R61)</f>
        <v>2235476.2143080081</v>
      </c>
      <c r="W61" s="348"/>
      <c r="X61" s="357">
        <f>MATCH($A61,$A$33:$A$51,0)</f>
        <v>11</v>
      </c>
    </row>
    <row r="62" spans="1:25">
      <c r="A62" s="218" t="s">
        <v>1049</v>
      </c>
      <c r="D62" s="287">
        <v>0</v>
      </c>
      <c r="E62" s="287">
        <v>0</v>
      </c>
      <c r="F62" s="287">
        <v>0</v>
      </c>
      <c r="G62" s="287">
        <v>0</v>
      </c>
      <c r="H62" s="287">
        <v>0</v>
      </c>
      <c r="I62" s="287">
        <v>0</v>
      </c>
      <c r="J62" s="287">
        <v>0</v>
      </c>
      <c r="K62" s="287">
        <v>0</v>
      </c>
      <c r="L62" s="287">
        <v>0</v>
      </c>
      <c r="M62" s="287">
        <v>0</v>
      </c>
      <c r="N62" s="287">
        <f t="shared" ref="N62:R62" si="21">N49+(N56*(N49/N51))</f>
        <v>0</v>
      </c>
      <c r="O62" s="287">
        <f t="shared" si="21"/>
        <v>0</v>
      </c>
      <c r="P62" s="287">
        <f t="shared" si="21"/>
        <v>0</v>
      </c>
      <c r="Q62" s="287">
        <f t="shared" si="21"/>
        <v>0</v>
      </c>
      <c r="R62" s="287">
        <f t="shared" si="21"/>
        <v>0</v>
      </c>
      <c r="T62" s="287">
        <f>SUM(D62:H62)</f>
        <v>0</v>
      </c>
      <c r="U62" s="354">
        <f>SUM(I62:M62)</f>
        <v>0</v>
      </c>
      <c r="V62" s="354">
        <f>SUM(N62:R62)</f>
        <v>0</v>
      </c>
      <c r="W62" s="348"/>
      <c r="X62" s="357">
        <f>MATCH($A62,$A$33:$A$51,0)</f>
        <v>17</v>
      </c>
    </row>
    <row r="63" spans="1:25">
      <c r="A63" s="322" t="s">
        <v>1048</v>
      </c>
      <c r="B63" s="322"/>
      <c r="D63" s="355">
        <f>SUM(D60:D62)</f>
        <v>0</v>
      </c>
      <c r="E63" s="355">
        <f>SUM(E60:E62)</f>
        <v>0</v>
      </c>
      <c r="F63" s="355">
        <f t="shared" ref="F63:R63" si="22">SUM(F60:F62)</f>
        <v>0</v>
      </c>
      <c r="G63" s="355">
        <f t="shared" si="22"/>
        <v>0</v>
      </c>
      <c r="H63" s="355">
        <f t="shared" si="22"/>
        <v>0</v>
      </c>
      <c r="I63" s="355">
        <f t="shared" si="22"/>
        <v>0</v>
      </c>
      <c r="J63" s="355">
        <f t="shared" si="22"/>
        <v>0</v>
      </c>
      <c r="K63" s="355">
        <f t="shared" si="22"/>
        <v>0</v>
      </c>
      <c r="L63" s="355">
        <f t="shared" si="22"/>
        <v>0</v>
      </c>
      <c r="M63" s="355">
        <f t="shared" si="22"/>
        <v>0</v>
      </c>
      <c r="N63" s="355">
        <f>SUM(N60:N62)</f>
        <v>1623042.4878755645</v>
      </c>
      <c r="O63" s="355">
        <f t="shared" si="22"/>
        <v>1864649.5288755647</v>
      </c>
      <c r="P63" s="355">
        <f t="shared" si="22"/>
        <v>2106256.5698755649</v>
      </c>
      <c r="Q63" s="355">
        <f t="shared" si="22"/>
        <v>1743846.0083755646</v>
      </c>
      <c r="R63" s="355">
        <f t="shared" si="22"/>
        <v>1502238.9673755644</v>
      </c>
      <c r="T63" s="314">
        <f>SUM(T60:T62)</f>
        <v>0</v>
      </c>
      <c r="U63" s="314">
        <f>SUM(U60:U62)</f>
        <v>0</v>
      </c>
      <c r="V63" s="314">
        <f>SUM(V60:V62)</f>
        <v>8840033.5623778235</v>
      </c>
      <c r="W63" s="349"/>
      <c r="X63" s="349"/>
    </row>
    <row r="64" spans="1:25">
      <c r="T64" s="287"/>
      <c r="U64" s="287"/>
      <c r="V64" s="287"/>
    </row>
    <row r="65" spans="1:24">
      <c r="A65" s="218" t="s">
        <v>864</v>
      </c>
      <c r="D65" s="356">
        <f t="shared" ref="D65:I65" si="23">INDEX(_WA132,D$31)</f>
        <v>4522.0507614213202</v>
      </c>
      <c r="E65" s="356">
        <f t="shared" si="23"/>
        <v>5275.7258883248742</v>
      </c>
      <c r="F65" s="356">
        <f t="shared" si="23"/>
        <v>5814.0652646845538</v>
      </c>
      <c r="G65" s="356">
        <f t="shared" si="23"/>
        <v>6137.0688905003626</v>
      </c>
      <c r="H65" s="356">
        <f t="shared" si="23"/>
        <v>6352.4046410442352</v>
      </c>
      <c r="I65" s="356">
        <f t="shared" si="23"/>
        <v>5090.6776859504134</v>
      </c>
      <c r="J65" s="356">
        <f t="shared" ref="J65:R65" si="24">INDEX(_WA132,J$31)</f>
        <v>6302.7438016528922</v>
      </c>
      <c r="K65" s="356">
        <f t="shared" si="24"/>
        <v>6060.3305785123966</v>
      </c>
      <c r="L65" s="356">
        <f t="shared" si="24"/>
        <v>6181.5371900826449</v>
      </c>
      <c r="M65" s="356">
        <f t="shared" si="24"/>
        <v>5454.2975206611573</v>
      </c>
      <c r="N65" s="356">
        <f t="shared" si="24"/>
        <v>5455.7471264367814</v>
      </c>
      <c r="O65" s="356">
        <f t="shared" si="24"/>
        <v>5455.7471264367814</v>
      </c>
      <c r="P65" s="356">
        <f t="shared" si="24"/>
        <v>4691.9425287356316</v>
      </c>
      <c r="Q65" s="356">
        <f t="shared" si="24"/>
        <v>5455.7471264367814</v>
      </c>
      <c r="R65" s="356">
        <f t="shared" si="24"/>
        <v>6001.3218390804595</v>
      </c>
      <c r="T65" s="287">
        <f>SUM(D65:H65)</f>
        <v>28101.315445975346</v>
      </c>
      <c r="U65" s="354">
        <f>SUM(I65:M65)</f>
        <v>29089.586776859505</v>
      </c>
      <c r="V65" s="354">
        <f>SUM(N65:R65)</f>
        <v>27060.505747126437</v>
      </c>
      <c r="W65" s="348"/>
      <c r="X65" s="348"/>
    </row>
    <row r="66" spans="1:24">
      <c r="A66" s="218" t="s">
        <v>1047</v>
      </c>
      <c r="D66" s="355">
        <f>SUM(D63:D65)</f>
        <v>4522.0507614213202</v>
      </c>
      <c r="E66" s="355">
        <f>SUM(E63:E65)</f>
        <v>5275.7258883248742</v>
      </c>
      <c r="F66" s="355">
        <f t="shared" ref="F66:R66" si="25">SUM(F63:F65)</f>
        <v>5814.0652646845538</v>
      </c>
      <c r="G66" s="355">
        <f t="shared" si="25"/>
        <v>6137.0688905003626</v>
      </c>
      <c r="H66" s="355">
        <f t="shared" si="25"/>
        <v>6352.4046410442352</v>
      </c>
      <c r="I66" s="355">
        <f t="shared" si="25"/>
        <v>5090.6776859504134</v>
      </c>
      <c r="J66" s="355">
        <f t="shared" si="25"/>
        <v>6302.7438016528922</v>
      </c>
      <c r="K66" s="355">
        <f t="shared" si="25"/>
        <v>6060.3305785123966</v>
      </c>
      <c r="L66" s="355">
        <f t="shared" si="25"/>
        <v>6181.5371900826449</v>
      </c>
      <c r="M66" s="355">
        <f t="shared" si="25"/>
        <v>5454.2975206611573</v>
      </c>
      <c r="N66" s="355">
        <f t="shared" si="25"/>
        <v>1628498.2350020013</v>
      </c>
      <c r="O66" s="355">
        <f t="shared" si="25"/>
        <v>1870105.2760020015</v>
      </c>
      <c r="P66" s="355">
        <f t="shared" si="25"/>
        <v>2110948.5124043007</v>
      </c>
      <c r="Q66" s="355">
        <f t="shared" si="25"/>
        <v>1749301.7555020014</v>
      </c>
      <c r="R66" s="355">
        <f t="shared" si="25"/>
        <v>1508240.2892146448</v>
      </c>
      <c r="T66" s="314">
        <f>SUM(T63:T65)</f>
        <v>28101.315445975346</v>
      </c>
      <c r="U66" s="314">
        <f>SUM(U63:U65)</f>
        <v>29089.586776859505</v>
      </c>
      <c r="V66" s="314">
        <f>SUM(V63:V65)</f>
        <v>8867094.0681249499</v>
      </c>
      <c r="W66" s="349"/>
      <c r="X66" s="349"/>
    </row>
    <row r="67" spans="1:24">
      <c r="T67" s="287"/>
      <c r="U67" s="287"/>
      <c r="V67" s="287"/>
    </row>
    <row r="68" spans="1:24">
      <c r="A68" s="218" t="s">
        <v>863</v>
      </c>
      <c r="D68" s="348">
        <f>INDEX(_WA146,D$31)</f>
        <v>165091.62917096604</v>
      </c>
      <c r="E68" s="348">
        <f>INDEX(_WA146,E$31)</f>
        <v>170153.28712768821</v>
      </c>
      <c r="F68" s="348">
        <f t="shared" ref="F68:R68" si="26">INDEX(_WA146,F$31)</f>
        <v>176662.98659920972</v>
      </c>
      <c r="G68" s="348">
        <f t="shared" si="26"/>
        <v>169591.5839539138</v>
      </c>
      <c r="H68" s="348">
        <f t="shared" si="26"/>
        <v>149272.10372586048</v>
      </c>
      <c r="I68" s="348">
        <f>INDEX(_WA146,I$31)</f>
        <v>150583.84989402656</v>
      </c>
      <c r="J68" s="348">
        <f t="shared" si="26"/>
        <v>168516.4628376122</v>
      </c>
      <c r="K68" s="348">
        <f t="shared" si="26"/>
        <v>165670.81066837395</v>
      </c>
      <c r="L68" s="348">
        <f t="shared" si="26"/>
        <v>161749.97078602813</v>
      </c>
      <c r="M68" s="348">
        <f t="shared" si="26"/>
        <v>158090.01522319589</v>
      </c>
      <c r="N68" s="348">
        <f t="shared" si="26"/>
        <v>162783.47471516277</v>
      </c>
      <c r="O68" s="348">
        <f t="shared" si="26"/>
        <v>158568.23411226261</v>
      </c>
      <c r="P68" s="348">
        <f t="shared" si="26"/>
        <v>152484.35199872922</v>
      </c>
      <c r="Q68" s="348">
        <f t="shared" si="26"/>
        <v>150795.27354807011</v>
      </c>
      <c r="R68" s="348">
        <f t="shared" si="26"/>
        <v>153550.31127051782</v>
      </c>
      <c r="T68" s="287">
        <f>SUM(D68:H68)</f>
        <v>830771.59057763824</v>
      </c>
      <c r="U68" s="354">
        <f>SUM(I68:M68)</f>
        <v>804611.1094092367</v>
      </c>
      <c r="V68" s="354">
        <f>SUM(N68:R68)</f>
        <v>778181.64564474253</v>
      </c>
      <c r="W68" s="348"/>
      <c r="X68" s="348"/>
    </row>
    <row r="69" spans="1:24">
      <c r="A69" s="218" t="s">
        <v>1092</v>
      </c>
      <c r="D69" s="348">
        <f>INDEX(_WA148,D$31)</f>
        <v>185076.34544832329</v>
      </c>
      <c r="E69" s="348">
        <f>INDEX(_WA148,E$31)</f>
        <v>187710.84992814934</v>
      </c>
      <c r="F69" s="348">
        <f t="shared" ref="F69:M69" si="27">INDEX(_WA148,F$31)</f>
        <v>186410.55219701945</v>
      </c>
      <c r="G69" s="348">
        <f t="shared" si="27"/>
        <v>198903.59588655032</v>
      </c>
      <c r="H69" s="348">
        <f t="shared" si="27"/>
        <v>188871.83681076026</v>
      </c>
      <c r="I69" s="348">
        <f t="shared" si="27"/>
        <v>175674.90217208915</v>
      </c>
      <c r="J69" s="348">
        <f t="shared" si="27"/>
        <v>179548.80162519772</v>
      </c>
      <c r="K69" s="348">
        <f t="shared" si="27"/>
        <v>158693.75131509709</v>
      </c>
      <c r="L69" s="348">
        <f t="shared" si="27"/>
        <v>187176.94243711239</v>
      </c>
      <c r="M69" s="348">
        <f t="shared" si="27"/>
        <v>179795.79056192806</v>
      </c>
      <c r="N69" s="348">
        <f>INDEX(_WA148,N$31)</f>
        <v>186950.83727170093</v>
      </c>
      <c r="O69" s="348">
        <f>INDEX(_WA148,O$31)</f>
        <v>169429.07787460106</v>
      </c>
      <c r="P69" s="348">
        <f>INDEX(_WA148,P$31)</f>
        <v>125830.81630997355</v>
      </c>
      <c r="Q69" s="348">
        <f>INDEX(_WA148,Q$31)</f>
        <v>120180.03843879361</v>
      </c>
      <c r="R69" s="348">
        <f>INDEX(_WA148,R$31)</f>
        <v>108287.53191503226</v>
      </c>
      <c r="T69" s="287">
        <f>SUM(D69:H69)</f>
        <v>946973.1802708027</v>
      </c>
      <c r="U69" s="354">
        <f>SUM(I69:M69)</f>
        <v>880890.18811142433</v>
      </c>
      <c r="V69" s="354">
        <f>SUM(N69:R69)</f>
        <v>710678.30181010137</v>
      </c>
      <c r="W69" s="348"/>
      <c r="X69" s="348"/>
    </row>
    <row r="70" spans="1:24">
      <c r="A70" s="322" t="s">
        <v>1044</v>
      </c>
      <c r="B70" s="322"/>
      <c r="C70" s="322"/>
      <c r="D70" s="353">
        <f>SUM(D68:D69)</f>
        <v>350167.97461928934</v>
      </c>
      <c r="E70" s="353">
        <f>SUM(E68:E69)</f>
        <v>357864.13705583755</v>
      </c>
      <c r="F70" s="353">
        <f t="shared" ref="F70:R70" si="28">SUM(F68:F69)</f>
        <v>363073.53879622917</v>
      </c>
      <c r="G70" s="353">
        <f t="shared" si="28"/>
        <v>368495.17984046414</v>
      </c>
      <c r="H70" s="353">
        <f t="shared" si="28"/>
        <v>338143.94053662074</v>
      </c>
      <c r="I70" s="353">
        <f t="shared" si="28"/>
        <v>326258.75206611573</v>
      </c>
      <c r="J70" s="353">
        <f t="shared" si="28"/>
        <v>348065.26446280989</v>
      </c>
      <c r="K70" s="353">
        <f t="shared" si="28"/>
        <v>324364.56198347104</v>
      </c>
      <c r="L70" s="353">
        <f t="shared" si="28"/>
        <v>348926.91322314052</v>
      </c>
      <c r="M70" s="353">
        <f t="shared" si="28"/>
        <v>337885.80578512396</v>
      </c>
      <c r="N70" s="353">
        <f t="shared" si="28"/>
        <v>349734.31198686373</v>
      </c>
      <c r="O70" s="353">
        <f t="shared" si="28"/>
        <v>327997.31198686367</v>
      </c>
      <c r="P70" s="353">
        <f t="shared" si="28"/>
        <v>278315.16830870276</v>
      </c>
      <c r="Q70" s="353">
        <f t="shared" si="28"/>
        <v>270975.31198686373</v>
      </c>
      <c r="R70" s="353">
        <f t="shared" si="28"/>
        <v>261837.84318555007</v>
      </c>
      <c r="T70" s="314">
        <f>SUM(D70:H70)</f>
        <v>1777744.7708484412</v>
      </c>
      <c r="U70" s="352">
        <f>SUM(I70:M70)</f>
        <v>1685501.297520661</v>
      </c>
      <c r="V70" s="352">
        <f>SUM(N70:R70)</f>
        <v>1488859.9474548441</v>
      </c>
      <c r="W70" s="349"/>
      <c r="X70" s="349"/>
    </row>
    <row r="71" spans="1:24"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T71" s="350"/>
      <c r="U71" s="350"/>
      <c r="V71" s="350"/>
      <c r="W71" s="349"/>
      <c r="X71" s="349"/>
    </row>
    <row r="72" spans="1:24">
      <c r="A72" s="218" t="s">
        <v>1091</v>
      </c>
      <c r="D72" s="348">
        <f>D66+D70</f>
        <v>354690.02538071066</v>
      </c>
      <c r="E72" s="348">
        <f>E66+E70</f>
        <v>363139.86294416245</v>
      </c>
      <c r="F72" s="348">
        <f t="shared" ref="F72:R72" si="29">F66+F70</f>
        <v>368887.60406091373</v>
      </c>
      <c r="G72" s="348">
        <f t="shared" si="29"/>
        <v>374632.24873096449</v>
      </c>
      <c r="H72" s="348">
        <f t="shared" si="29"/>
        <v>344496.34517766495</v>
      </c>
      <c r="I72" s="348">
        <f t="shared" si="29"/>
        <v>331349.42975206615</v>
      </c>
      <c r="J72" s="348">
        <f t="shared" si="29"/>
        <v>354368.00826446281</v>
      </c>
      <c r="K72" s="348">
        <f t="shared" si="29"/>
        <v>330424.89256198343</v>
      </c>
      <c r="L72" s="348">
        <f t="shared" si="29"/>
        <v>355108.45041322318</v>
      </c>
      <c r="M72" s="348">
        <f t="shared" si="29"/>
        <v>343340.1033057851</v>
      </c>
      <c r="N72" s="348">
        <f>N66+N70</f>
        <v>1978232.5469888649</v>
      </c>
      <c r="O72" s="348">
        <f t="shared" si="29"/>
        <v>2198102.5879888651</v>
      </c>
      <c r="P72" s="348">
        <f t="shared" si="29"/>
        <v>2389263.6807130035</v>
      </c>
      <c r="Q72" s="348">
        <f>Q66+Q70</f>
        <v>2020277.067488865</v>
      </c>
      <c r="R72" s="348">
        <f t="shared" si="29"/>
        <v>1770078.1324001949</v>
      </c>
      <c r="T72" s="287">
        <f>T66+T70</f>
        <v>1805846.0862944166</v>
      </c>
      <c r="U72" s="287">
        <f>U66+U70</f>
        <v>1714590.8842975206</v>
      </c>
      <c r="V72" s="287">
        <f>V66+V70</f>
        <v>10355954.015579794</v>
      </c>
      <c r="W72" s="348"/>
      <c r="X72" s="348"/>
    </row>
    <row r="74" spans="1:24">
      <c r="A74" s="218" t="s">
        <v>1043</v>
      </c>
    </row>
    <row r="75" spans="1:24">
      <c r="A75" s="218" t="s">
        <v>1042</v>
      </c>
    </row>
    <row r="76" spans="1:24">
      <c r="A76" s="218" t="s">
        <v>1090</v>
      </c>
    </row>
  </sheetData>
  <printOptions horizontalCentered="1"/>
  <pageMargins left="0.2" right="0.32" top="0.4" bottom="0.5" header="0.5" footer="0.5"/>
  <pageSetup scale="44" orientation="landscape" r:id="rId1"/>
  <headerFooter alignWithMargins="0">
    <oddFooter>&amp;R&amp;F
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theme="5" tint="0.39997558519241921"/>
    <pageSetUpPr fitToPage="1"/>
  </sheetPr>
  <dimension ref="A1:R82"/>
  <sheetViews>
    <sheetView showGridLines="0" view="pageLayout" topLeftCell="A4" zoomScaleNormal="75" workbookViewId="0">
      <selection activeCell="R24" sqref="R24"/>
    </sheetView>
  </sheetViews>
  <sheetFormatPr defaultColWidth="9.21875" defaultRowHeight="13.2"/>
  <cols>
    <col min="1" max="1" width="28.5546875" style="218" customWidth="1"/>
    <col min="2" max="12" width="10" style="218" bestFit="1" customWidth="1"/>
    <col min="13" max="13" width="10.44140625" style="218" customWidth="1"/>
    <col min="14" max="14" width="11" style="218" customWidth="1"/>
    <col min="15" max="15" width="12.21875" style="218" bestFit="1" customWidth="1"/>
    <col min="16" max="16" width="11.5546875" style="218" bestFit="1" customWidth="1"/>
    <col min="17" max="17" width="15.21875" style="218" customWidth="1"/>
    <col min="18" max="18" width="10.6640625" style="218" bestFit="1" customWidth="1"/>
    <col min="19" max="16384" width="9.21875" style="218"/>
  </cols>
  <sheetData>
    <row r="1" spans="1:18">
      <c r="F1" s="372"/>
      <c r="G1" s="373"/>
      <c r="K1" s="372"/>
      <c r="L1" s="373"/>
      <c r="P1" s="372"/>
      <c r="Q1" s="373"/>
    </row>
    <row r="2" spans="1:18" ht="13.8">
      <c r="B2" s="426" t="str">
        <f>'Demand - Firm Peak'!C1</f>
        <v>2016-2017 Heating Season</v>
      </c>
      <c r="C2" s="425"/>
      <c r="D2" s="425"/>
      <c r="E2" s="425"/>
      <c r="F2" s="424"/>
      <c r="G2" s="426" t="str">
        <f>'Demand - Firm Peak'!J1</f>
        <v>2017-2018 Heating Season</v>
      </c>
      <c r="H2" s="425"/>
      <c r="I2" s="425"/>
      <c r="J2" s="425"/>
      <c r="K2" s="424"/>
      <c r="L2" s="426" t="str">
        <f>'Demand - Firm Peak'!Q1</f>
        <v>2018-2019 Heating Season</v>
      </c>
      <c r="M2" s="425"/>
      <c r="N2" s="425"/>
      <c r="O2" s="425"/>
      <c r="P2" s="424"/>
      <c r="Q2" s="373"/>
    </row>
    <row r="3" spans="1:18">
      <c r="B3" s="310">
        <f>'Demand - Firm Peak by Sch'!D24</f>
        <v>42738</v>
      </c>
      <c r="C3" s="310">
        <f>'Demand - Firm Peak by Sch'!E24</f>
        <v>42739</v>
      </c>
      <c r="D3" s="310">
        <f>'Demand - Firm Peak by Sch'!F24</f>
        <v>42740</v>
      </c>
      <c r="E3" s="310">
        <f>'Demand - Firm Peak by Sch'!G24</f>
        <v>42741</v>
      </c>
      <c r="F3" s="422">
        <f>'Demand - Firm Peak by Sch'!H24</f>
        <v>42742</v>
      </c>
      <c r="G3" s="423">
        <f>'Demand - Firm Peak by Sch'!I24</f>
        <v>43149</v>
      </c>
      <c r="H3" s="310">
        <f>'Demand - Firm Peak by Sch'!J24</f>
        <v>43150</v>
      </c>
      <c r="I3" s="310">
        <f>'Demand - Firm Peak by Sch'!K24</f>
        <v>43151</v>
      </c>
      <c r="J3" s="310">
        <f>'Demand - Firm Peak by Sch'!L24</f>
        <v>43152</v>
      </c>
      <c r="K3" s="422">
        <f>'Demand - Firm Peak by Sch'!M24</f>
        <v>43153</v>
      </c>
      <c r="L3" s="423">
        <f>'Demand - Firm Peak by Sch'!N24</f>
        <v>43502</v>
      </c>
      <c r="M3" s="310">
        <f>'Demand - Firm Peak by Sch'!O24</f>
        <v>43503</v>
      </c>
      <c r="N3" s="310">
        <f>'Demand - Firm Peak by Sch'!P24</f>
        <v>43504</v>
      </c>
      <c r="O3" s="310">
        <f>'Demand - Firm Peak by Sch'!Q24</f>
        <v>43505</v>
      </c>
      <c r="P3" s="422">
        <f>'Demand - Firm Peak by Sch'!R24</f>
        <v>43506</v>
      </c>
      <c r="Q3" s="373"/>
    </row>
    <row r="4" spans="1:18">
      <c r="F4" s="372"/>
      <c r="G4" s="373"/>
      <c r="K4" s="372"/>
      <c r="L4" s="373"/>
      <c r="P4" s="372"/>
      <c r="Q4" s="373"/>
    </row>
    <row r="5" spans="1:18">
      <c r="A5" s="224" t="s">
        <v>898</v>
      </c>
      <c r="F5" s="372"/>
      <c r="G5" s="373"/>
      <c r="K5" s="372"/>
      <c r="L5" s="373"/>
      <c r="P5" s="372"/>
      <c r="Q5" s="775" t="s">
        <v>1415</v>
      </c>
      <c r="R5" s="220" t="s">
        <v>1111</v>
      </c>
    </row>
    <row r="6" spans="1:18">
      <c r="A6" s="218" t="s">
        <v>1052</v>
      </c>
      <c r="B6" s="316"/>
      <c r="C6" s="316"/>
      <c r="D6" s="316"/>
      <c r="E6" s="316"/>
      <c r="F6" s="418"/>
      <c r="G6" s="419"/>
      <c r="H6" s="316"/>
      <c r="I6" s="316"/>
      <c r="J6" s="316"/>
      <c r="K6" s="418"/>
      <c r="L6" s="419"/>
      <c r="M6" s="316"/>
      <c r="N6" s="316"/>
      <c r="O6" s="316"/>
      <c r="P6" s="418"/>
      <c r="Q6" s="776" t="s">
        <v>1110</v>
      </c>
      <c r="R6" s="220" t="s">
        <v>1109</v>
      </c>
    </row>
    <row r="7" spans="1:18">
      <c r="F7" s="372"/>
      <c r="G7" s="373"/>
      <c r="K7" s="372"/>
      <c r="L7" s="373"/>
      <c r="P7" s="372"/>
      <c r="Q7" s="373"/>
    </row>
    <row r="8" spans="1:18">
      <c r="A8" s="218" t="s">
        <v>892</v>
      </c>
      <c r="B8" s="411">
        <f>'Demand - Firm Peak by Sch'!D60</f>
        <v>0</v>
      </c>
      <c r="C8" s="411">
        <f>'Demand - Firm Peak by Sch'!E60</f>
        <v>0</v>
      </c>
      <c r="D8" s="411">
        <f>'Demand - Firm Peak by Sch'!F60</f>
        <v>0</v>
      </c>
      <c r="E8" s="411">
        <f>'Demand - Firm Peak by Sch'!G60</f>
        <v>0</v>
      </c>
      <c r="F8" s="410">
        <f>'Demand - Firm Peak by Sch'!H60</f>
        <v>0</v>
      </c>
      <c r="G8" s="412">
        <f>'Demand - Firm Peak by Sch'!I60</f>
        <v>0</v>
      </c>
      <c r="H8" s="411">
        <f>'Demand - Firm Peak by Sch'!J60</f>
        <v>0</v>
      </c>
      <c r="I8" s="411">
        <f>'Demand - Firm Peak by Sch'!K60</f>
        <v>0</v>
      </c>
      <c r="J8" s="411">
        <f>'Demand - Firm Peak by Sch'!L60</f>
        <v>0</v>
      </c>
      <c r="K8" s="410">
        <f>'Demand - Firm Peak by Sch'!M60</f>
        <v>0</v>
      </c>
      <c r="L8" s="412">
        <f>'Demand - Firm Peak by Sch'!N60</f>
        <v>1210378.0626139629</v>
      </c>
      <c r="M8" s="411">
        <f>'Demand - Firm Peak by Sch'!O60</f>
        <v>1394600.4076139629</v>
      </c>
      <c r="N8" s="411">
        <f>'Demand - Firm Peak by Sch'!P60</f>
        <v>1578822.7526139631</v>
      </c>
      <c r="O8" s="411">
        <f>'Demand - Firm Peak by Sch'!Q60</f>
        <v>1302489.235113963</v>
      </c>
      <c r="P8" s="410">
        <f>'Demand - Firm Peak by Sch'!R60</f>
        <v>1118266.8901139628</v>
      </c>
      <c r="Q8" s="413">
        <f>AVERAGE(L8:P8)</f>
        <v>1320911.469613963</v>
      </c>
      <c r="R8" s="404">
        <f>Q8/Q$23</f>
        <v>0.62788009904534758</v>
      </c>
    </row>
    <row r="9" spans="1:18">
      <c r="A9" s="218" t="s">
        <v>957</v>
      </c>
      <c r="B9" s="411">
        <f>'Demand - Firm Peak by Sch'!D61</f>
        <v>0</v>
      </c>
      <c r="C9" s="411">
        <f>'Demand - Firm Peak by Sch'!E61</f>
        <v>0</v>
      </c>
      <c r="D9" s="411">
        <f>'Demand - Firm Peak by Sch'!F61</f>
        <v>0</v>
      </c>
      <c r="E9" s="411">
        <f>'Demand - Firm Peak by Sch'!G61</f>
        <v>0</v>
      </c>
      <c r="F9" s="410">
        <f>'Demand - Firm Peak by Sch'!H61</f>
        <v>0</v>
      </c>
      <c r="G9" s="412">
        <f>'Demand - Firm Peak by Sch'!I61</f>
        <v>0</v>
      </c>
      <c r="H9" s="411">
        <f>'Demand - Firm Peak by Sch'!J61</f>
        <v>0</v>
      </c>
      <c r="I9" s="411">
        <f>'Demand - Firm Peak by Sch'!K61</f>
        <v>0</v>
      </c>
      <c r="J9" s="411">
        <f>'Demand - Firm Peak by Sch'!L61</f>
        <v>0</v>
      </c>
      <c r="K9" s="410">
        <f>'Demand - Firm Peak by Sch'!M61</f>
        <v>0</v>
      </c>
      <c r="L9" s="412">
        <f>'Demand - Firm Peak by Sch'!N61</f>
        <v>412664.42526160169</v>
      </c>
      <c r="M9" s="411">
        <f>'Demand - Firm Peak by Sch'!O61</f>
        <v>470049.12126160169</v>
      </c>
      <c r="N9" s="411">
        <f>'Demand - Firm Peak by Sch'!P61</f>
        <v>527433.81726160168</v>
      </c>
      <c r="O9" s="411">
        <f>'Demand - Firm Peak by Sch'!Q61</f>
        <v>441356.77326160169</v>
      </c>
      <c r="P9" s="410">
        <f>'Demand - Firm Peak by Sch'!R61</f>
        <v>383972.07726160163</v>
      </c>
      <c r="Q9" s="413">
        <f>AVERAGE(L9:P9)</f>
        <v>447095.24286160164</v>
      </c>
      <c r="R9" s="404">
        <f>Q9/Q$23</f>
        <v>0.21252158969645965</v>
      </c>
    </row>
    <row r="10" spans="1:18">
      <c r="A10" s="218" t="s">
        <v>923</v>
      </c>
      <c r="B10" s="411">
        <f>'Demand - Firm Peak by Sch'!D62</f>
        <v>0</v>
      </c>
      <c r="C10" s="411">
        <f>'Demand - Firm Peak by Sch'!E62</f>
        <v>0</v>
      </c>
      <c r="D10" s="411">
        <f>'Demand - Firm Peak by Sch'!F62</f>
        <v>0</v>
      </c>
      <c r="E10" s="411">
        <f>'Demand - Firm Peak by Sch'!G62</f>
        <v>0</v>
      </c>
      <c r="F10" s="410">
        <f>'Demand - Firm Peak by Sch'!H62</f>
        <v>0</v>
      </c>
      <c r="G10" s="412">
        <f>'Demand - Firm Peak by Sch'!I62</f>
        <v>0</v>
      </c>
      <c r="H10" s="411">
        <f>'Demand - Firm Peak by Sch'!J62</f>
        <v>0</v>
      </c>
      <c r="I10" s="411">
        <f>'Demand - Firm Peak by Sch'!K62</f>
        <v>0</v>
      </c>
      <c r="J10" s="411">
        <f>'Demand - Firm Peak by Sch'!L62</f>
        <v>0</v>
      </c>
      <c r="K10" s="410">
        <f>'Demand - Firm Peak by Sch'!M62</f>
        <v>0</v>
      </c>
      <c r="L10" s="412">
        <f>'Demand - Firm Peak by Sch'!N62</f>
        <v>0</v>
      </c>
      <c r="M10" s="411">
        <f>'Demand - Firm Peak by Sch'!O62</f>
        <v>0</v>
      </c>
      <c r="N10" s="411">
        <f>'Demand - Firm Peak by Sch'!P62</f>
        <v>0</v>
      </c>
      <c r="O10" s="411">
        <f>'Demand - Firm Peak by Sch'!Q62</f>
        <v>0</v>
      </c>
      <c r="P10" s="410">
        <f>'Demand - Firm Peak by Sch'!R62</f>
        <v>0</v>
      </c>
      <c r="Q10" s="413">
        <f>AVERAGE(L10:P10)</f>
        <v>0</v>
      </c>
      <c r="R10" s="404">
        <f>Q10/Q$23</f>
        <v>0</v>
      </c>
    </row>
    <row r="11" spans="1:18">
      <c r="A11" s="322" t="s">
        <v>1048</v>
      </c>
      <c r="B11" s="314">
        <f t="shared" ref="B11:R11" si="0">SUM(B8:B10)</f>
        <v>0</v>
      </c>
      <c r="C11" s="314">
        <f t="shared" si="0"/>
        <v>0</v>
      </c>
      <c r="D11" s="314">
        <f t="shared" si="0"/>
        <v>0</v>
      </c>
      <c r="E11" s="314">
        <f t="shared" si="0"/>
        <v>0</v>
      </c>
      <c r="F11" s="409">
        <f t="shared" si="0"/>
        <v>0</v>
      </c>
      <c r="G11" s="408">
        <f t="shared" si="0"/>
        <v>0</v>
      </c>
      <c r="H11" s="314">
        <f t="shared" si="0"/>
        <v>0</v>
      </c>
      <c r="I11" s="314">
        <f t="shared" si="0"/>
        <v>0</v>
      </c>
      <c r="J11" s="314">
        <f t="shared" si="0"/>
        <v>0</v>
      </c>
      <c r="K11" s="409">
        <f t="shared" si="0"/>
        <v>0</v>
      </c>
      <c r="L11" s="408">
        <f t="shared" si="0"/>
        <v>1623042.4878755645</v>
      </c>
      <c r="M11" s="314">
        <f t="shared" si="0"/>
        <v>1864649.5288755647</v>
      </c>
      <c r="N11" s="314">
        <f t="shared" si="0"/>
        <v>2106256.5698755649</v>
      </c>
      <c r="O11" s="314">
        <f t="shared" si="0"/>
        <v>1743846.0083755646</v>
      </c>
      <c r="P11" s="409">
        <f t="shared" si="0"/>
        <v>1502238.9673755644</v>
      </c>
      <c r="Q11" s="408">
        <f>SUM(Q8:Q10)</f>
        <v>1768006.7124755648</v>
      </c>
      <c r="R11" s="407">
        <f t="shared" si="0"/>
        <v>0.84040168874180721</v>
      </c>
    </row>
    <row r="12" spans="1:18">
      <c r="B12" s="287"/>
      <c r="C12" s="287"/>
      <c r="D12" s="287"/>
      <c r="E12" s="287"/>
      <c r="F12" s="405"/>
      <c r="G12" s="406"/>
      <c r="H12" s="287"/>
      <c r="I12" s="287"/>
      <c r="J12" s="287"/>
      <c r="K12" s="405"/>
      <c r="L12" s="406"/>
      <c r="M12" s="287"/>
      <c r="N12" s="287"/>
      <c r="O12" s="287"/>
      <c r="P12" s="405"/>
      <c r="Q12" s="406"/>
    </row>
    <row r="13" spans="1:18">
      <c r="B13" s="287"/>
      <c r="C13" s="287"/>
      <c r="D13" s="287"/>
      <c r="E13" s="287"/>
      <c r="F13" s="405"/>
      <c r="G13" s="406"/>
      <c r="H13" s="287"/>
      <c r="I13" s="287"/>
      <c r="J13" s="287"/>
      <c r="K13" s="405"/>
      <c r="L13" s="406"/>
      <c r="M13" s="287"/>
      <c r="N13" s="287"/>
      <c r="O13" s="287"/>
      <c r="P13" s="405"/>
      <c r="Q13" s="775" t="s">
        <v>1112</v>
      </c>
      <c r="R13" s="220" t="s">
        <v>1111</v>
      </c>
    </row>
    <row r="14" spans="1:18">
      <c r="B14" s="287"/>
      <c r="C14" s="287"/>
      <c r="D14" s="287"/>
      <c r="E14" s="287"/>
      <c r="F14" s="405"/>
      <c r="G14" s="406"/>
      <c r="H14" s="287"/>
      <c r="I14" s="287"/>
      <c r="J14" s="287"/>
      <c r="K14" s="405"/>
      <c r="L14" s="406"/>
      <c r="M14" s="287"/>
      <c r="N14" s="287"/>
      <c r="O14" s="287"/>
      <c r="P14" s="405"/>
      <c r="Q14" s="776" t="s">
        <v>1110</v>
      </c>
      <c r="R14" s="220" t="s">
        <v>1109</v>
      </c>
    </row>
    <row r="15" spans="1:18">
      <c r="B15" s="287"/>
      <c r="C15" s="287"/>
      <c r="D15" s="287"/>
      <c r="E15" s="287"/>
      <c r="F15" s="405"/>
      <c r="G15" s="406"/>
      <c r="H15" s="287"/>
      <c r="I15" s="287"/>
      <c r="J15" s="287"/>
      <c r="K15" s="405"/>
      <c r="L15" s="406"/>
      <c r="M15" s="287"/>
      <c r="N15" s="287"/>
      <c r="O15" s="287"/>
      <c r="P15" s="405"/>
      <c r="Q15" s="384"/>
      <c r="R15" s="220"/>
    </row>
    <row r="16" spans="1:18">
      <c r="A16" s="218" t="s">
        <v>864</v>
      </c>
      <c r="B16" s="411">
        <f>'Demand - Firm Peak by Sch'!D65</f>
        <v>4522.0507614213202</v>
      </c>
      <c r="C16" s="411">
        <f>'Demand - Firm Peak by Sch'!E65</f>
        <v>5275.7258883248742</v>
      </c>
      <c r="D16" s="411">
        <f>'Demand - Firm Peak by Sch'!F65</f>
        <v>5814.0652646845538</v>
      </c>
      <c r="E16" s="411">
        <f>'Demand - Firm Peak by Sch'!G65</f>
        <v>6137.0688905003626</v>
      </c>
      <c r="F16" s="410">
        <f>'Demand - Firm Peak by Sch'!H65</f>
        <v>6352.4046410442352</v>
      </c>
      <c r="G16" s="412">
        <f>'Demand - Firm Peak by Sch'!I65</f>
        <v>5090.6776859504134</v>
      </c>
      <c r="H16" s="411">
        <f>'Demand - Firm Peak by Sch'!J65</f>
        <v>6302.7438016528922</v>
      </c>
      <c r="I16" s="411">
        <f>'Demand - Firm Peak by Sch'!K65</f>
        <v>6060.3305785123966</v>
      </c>
      <c r="J16" s="411">
        <f>'Demand - Firm Peak by Sch'!L65</f>
        <v>6181.5371900826449</v>
      </c>
      <c r="K16" s="410">
        <f>'Demand - Firm Peak by Sch'!M65</f>
        <v>5454.2975206611573</v>
      </c>
      <c r="L16" s="412">
        <f>'Demand - Firm Peak by Sch'!N65</f>
        <v>5455.7471264367814</v>
      </c>
      <c r="M16" s="411">
        <f>'Demand - Firm Peak by Sch'!O65</f>
        <v>5455.7471264367814</v>
      </c>
      <c r="N16" s="411">
        <f>'Demand - Firm Peak by Sch'!P65</f>
        <v>4691.9425287356316</v>
      </c>
      <c r="O16" s="411">
        <f>'Demand - Firm Peak by Sch'!Q65</f>
        <v>5455.7471264367814</v>
      </c>
      <c r="P16" s="410">
        <f>'Demand - Firm Peak by Sch'!R65</f>
        <v>6001.3218390804595</v>
      </c>
      <c r="Q16" s="413">
        <f>AVERAGE(B16:P16)</f>
        <v>5616.7605313307513</v>
      </c>
      <c r="R16" s="404">
        <f>Q16/Q$23</f>
        <v>2.6698626212675837E-3</v>
      </c>
    </row>
    <row r="17" spans="1:18">
      <c r="A17" s="322" t="s">
        <v>1047</v>
      </c>
      <c r="B17" s="417">
        <f t="shared" ref="B17:P17" si="1">B11+B16</f>
        <v>4522.0507614213202</v>
      </c>
      <c r="C17" s="417">
        <f t="shared" si="1"/>
        <v>5275.7258883248742</v>
      </c>
      <c r="D17" s="417">
        <f t="shared" si="1"/>
        <v>5814.0652646845538</v>
      </c>
      <c r="E17" s="417">
        <f t="shared" si="1"/>
        <v>6137.0688905003626</v>
      </c>
      <c r="F17" s="416">
        <f t="shared" si="1"/>
        <v>6352.4046410442352</v>
      </c>
      <c r="G17" s="415">
        <f t="shared" si="1"/>
        <v>5090.6776859504134</v>
      </c>
      <c r="H17" s="417">
        <f t="shared" si="1"/>
        <v>6302.7438016528922</v>
      </c>
      <c r="I17" s="417">
        <f t="shared" si="1"/>
        <v>6060.3305785123966</v>
      </c>
      <c r="J17" s="417">
        <f t="shared" si="1"/>
        <v>6181.5371900826449</v>
      </c>
      <c r="K17" s="416">
        <f t="shared" si="1"/>
        <v>5454.2975206611573</v>
      </c>
      <c r="L17" s="415">
        <f t="shared" si="1"/>
        <v>1628498.2350020013</v>
      </c>
      <c r="M17" s="417">
        <f t="shared" si="1"/>
        <v>1870105.2760020015</v>
      </c>
      <c r="N17" s="417">
        <f t="shared" si="1"/>
        <v>2110948.5124043007</v>
      </c>
      <c r="O17" s="417">
        <f t="shared" si="1"/>
        <v>1749301.7555020014</v>
      </c>
      <c r="P17" s="416">
        <f t="shared" si="1"/>
        <v>1508240.2892146448</v>
      </c>
      <c r="Q17" s="415">
        <f>SUM(Q11:Q16)</f>
        <v>1773623.4730068955</v>
      </c>
      <c r="R17" s="414">
        <f>SUM(R11:R16)</f>
        <v>0.84307155136307477</v>
      </c>
    </row>
    <row r="18" spans="1:18">
      <c r="B18" s="287"/>
      <c r="C18" s="287"/>
      <c r="D18" s="287"/>
      <c r="E18" s="287"/>
      <c r="F18" s="405"/>
      <c r="G18" s="406"/>
      <c r="H18" s="287"/>
      <c r="I18" s="287"/>
      <c r="J18" s="287"/>
      <c r="K18" s="405"/>
      <c r="L18" s="406"/>
      <c r="M18" s="287"/>
      <c r="N18" s="287"/>
      <c r="O18" s="287"/>
      <c r="P18" s="405"/>
      <c r="Q18" s="406"/>
    </row>
    <row r="19" spans="1:18">
      <c r="A19" s="218" t="s">
        <v>863</v>
      </c>
      <c r="B19" s="411">
        <f>'Demand - Firm Peak by Sch'!D68</f>
        <v>165091.62917096604</v>
      </c>
      <c r="C19" s="411">
        <f>'Demand - Firm Peak by Sch'!E68</f>
        <v>170153.28712768821</v>
      </c>
      <c r="D19" s="411">
        <f>'Demand - Firm Peak by Sch'!F68</f>
        <v>176662.98659920972</v>
      </c>
      <c r="E19" s="411">
        <f>'Demand - Firm Peak by Sch'!G68</f>
        <v>169591.5839539138</v>
      </c>
      <c r="F19" s="410">
        <f>'Demand - Firm Peak by Sch'!H68</f>
        <v>149272.10372586048</v>
      </c>
      <c r="G19" s="412">
        <f>'Demand - Firm Peak by Sch'!I68</f>
        <v>150583.84989402656</v>
      </c>
      <c r="H19" s="411">
        <f>'Demand - Firm Peak by Sch'!J68</f>
        <v>168516.4628376122</v>
      </c>
      <c r="I19" s="411">
        <f>'Demand - Firm Peak by Sch'!K68</f>
        <v>165670.81066837395</v>
      </c>
      <c r="J19" s="411">
        <f>'Demand - Firm Peak by Sch'!L68</f>
        <v>161749.97078602813</v>
      </c>
      <c r="K19" s="410">
        <f>'Demand - Firm Peak by Sch'!M68</f>
        <v>158090.01522319589</v>
      </c>
      <c r="L19" s="412">
        <f>'Demand - Firm Peak by Sch'!N68</f>
        <v>162783.47471516277</v>
      </c>
      <c r="M19" s="411">
        <f>'Demand - Firm Peak by Sch'!O68</f>
        <v>158568.23411226261</v>
      </c>
      <c r="N19" s="411">
        <f>'Demand - Firm Peak by Sch'!P68</f>
        <v>152484.35199872922</v>
      </c>
      <c r="O19" s="411">
        <f>'Demand - Firm Peak by Sch'!Q68</f>
        <v>150795.27354807011</v>
      </c>
      <c r="P19" s="410">
        <f>'Demand - Firm Peak by Sch'!R68</f>
        <v>153550.31127051782</v>
      </c>
      <c r="Q19" s="413">
        <f>AVERAGE(B19:P19)</f>
        <v>160904.28970877451</v>
      </c>
      <c r="R19" s="404">
        <f>Q19/Q$23</f>
        <v>7.6484006447981187E-2</v>
      </c>
    </row>
    <row r="20" spans="1:18">
      <c r="A20" s="218" t="s">
        <v>1092</v>
      </c>
      <c r="B20" s="411">
        <f>'Demand - Firm Peak by Sch'!D69</f>
        <v>185076.34544832329</v>
      </c>
      <c r="C20" s="411">
        <f>'Demand - Firm Peak by Sch'!E69</f>
        <v>187710.84992814934</v>
      </c>
      <c r="D20" s="411">
        <f>'Demand - Firm Peak by Sch'!F69</f>
        <v>186410.55219701945</v>
      </c>
      <c r="E20" s="411">
        <f>'Demand - Firm Peak by Sch'!G69</f>
        <v>198903.59588655032</v>
      </c>
      <c r="F20" s="410">
        <f>'Demand - Firm Peak by Sch'!H69</f>
        <v>188871.83681076026</v>
      </c>
      <c r="G20" s="412">
        <f>'Demand - Firm Peak by Sch'!I69</f>
        <v>175674.90217208915</v>
      </c>
      <c r="H20" s="411">
        <f>'Demand - Firm Peak by Sch'!J69</f>
        <v>179548.80162519772</v>
      </c>
      <c r="I20" s="411">
        <f>'Demand - Firm Peak by Sch'!K69</f>
        <v>158693.75131509709</v>
      </c>
      <c r="J20" s="411">
        <f>'Demand - Firm Peak by Sch'!L69</f>
        <v>187176.94243711239</v>
      </c>
      <c r="K20" s="410">
        <f>'Demand - Firm Peak by Sch'!M69</f>
        <v>179795.79056192806</v>
      </c>
      <c r="L20" s="412">
        <f>'Demand - Firm Peak by Sch'!N69</f>
        <v>186950.83727170093</v>
      </c>
      <c r="M20" s="411">
        <f>'Demand - Firm Peak by Sch'!O69</f>
        <v>169429.07787460106</v>
      </c>
      <c r="N20" s="411">
        <f>'Demand - Firm Peak by Sch'!P69</f>
        <v>125830.81630997355</v>
      </c>
      <c r="O20" s="411">
        <f>'Demand - Firm Peak by Sch'!Q69</f>
        <v>120180.03843879361</v>
      </c>
      <c r="P20" s="410">
        <f>'Demand - Firm Peak by Sch'!R69</f>
        <v>108287.53191503226</v>
      </c>
      <c r="Q20" s="370">
        <f>AVERAGE(B20:P20)</f>
        <v>169236.11134615526</v>
      </c>
      <c r="R20" s="404">
        <f>Q20/Q$23</f>
        <v>8.0444442188943949E-2</v>
      </c>
    </row>
    <row r="21" spans="1:18">
      <c r="A21" s="322" t="s">
        <v>1044</v>
      </c>
      <c r="B21" s="314">
        <f t="shared" ref="B21:R21" si="2">SUM(B19:B20)</f>
        <v>350167.97461928934</v>
      </c>
      <c r="C21" s="314">
        <f t="shared" si="2"/>
        <v>357864.13705583755</v>
      </c>
      <c r="D21" s="314">
        <f t="shared" si="2"/>
        <v>363073.53879622917</v>
      </c>
      <c r="E21" s="314">
        <f t="shared" si="2"/>
        <v>368495.17984046414</v>
      </c>
      <c r="F21" s="409">
        <f t="shared" si="2"/>
        <v>338143.94053662074</v>
      </c>
      <c r="G21" s="408">
        <f t="shared" si="2"/>
        <v>326258.75206611573</v>
      </c>
      <c r="H21" s="314">
        <f t="shared" si="2"/>
        <v>348065.26446280989</v>
      </c>
      <c r="I21" s="314">
        <f t="shared" si="2"/>
        <v>324364.56198347104</v>
      </c>
      <c r="J21" s="314">
        <f t="shared" si="2"/>
        <v>348926.91322314052</v>
      </c>
      <c r="K21" s="409">
        <f t="shared" si="2"/>
        <v>337885.80578512396</v>
      </c>
      <c r="L21" s="408">
        <f t="shared" si="2"/>
        <v>349734.31198686373</v>
      </c>
      <c r="M21" s="314">
        <f t="shared" si="2"/>
        <v>327997.31198686367</v>
      </c>
      <c r="N21" s="314">
        <f t="shared" si="2"/>
        <v>278315.16830870276</v>
      </c>
      <c r="O21" s="314">
        <f t="shared" si="2"/>
        <v>270975.31198686373</v>
      </c>
      <c r="P21" s="409">
        <f t="shared" si="2"/>
        <v>261837.84318555007</v>
      </c>
      <c r="Q21" s="408">
        <f>SUM(Q19:Q20)</f>
        <v>330140.40105492977</v>
      </c>
      <c r="R21" s="407">
        <f t="shared" si="2"/>
        <v>0.15692844863692512</v>
      </c>
    </row>
    <row r="22" spans="1:18">
      <c r="B22" s="287"/>
      <c r="C22" s="287"/>
      <c r="D22" s="287"/>
      <c r="E22" s="287"/>
      <c r="F22" s="405"/>
      <c r="G22" s="406"/>
      <c r="H22" s="287"/>
      <c r="I22" s="287"/>
      <c r="J22" s="287"/>
      <c r="K22" s="405"/>
      <c r="L22" s="406"/>
      <c r="M22" s="287"/>
      <c r="N22" s="287"/>
      <c r="O22" s="287"/>
      <c r="P22" s="405"/>
      <c r="Q22" s="406"/>
    </row>
    <row r="23" spans="1:18">
      <c r="A23" s="218" t="s">
        <v>1114</v>
      </c>
      <c r="B23" s="287">
        <f t="shared" ref="B23:P23" si="3">B17+B21</f>
        <v>354690.02538071066</v>
      </c>
      <c r="C23" s="287">
        <f t="shared" si="3"/>
        <v>363139.86294416245</v>
      </c>
      <c r="D23" s="287">
        <f t="shared" si="3"/>
        <v>368887.60406091373</v>
      </c>
      <c r="E23" s="287">
        <f t="shared" si="3"/>
        <v>374632.24873096449</v>
      </c>
      <c r="F23" s="405">
        <f t="shared" si="3"/>
        <v>344496.34517766495</v>
      </c>
      <c r="G23" s="406">
        <f t="shared" si="3"/>
        <v>331349.42975206615</v>
      </c>
      <c r="H23" s="287">
        <f t="shared" si="3"/>
        <v>354368.00826446281</v>
      </c>
      <c r="I23" s="287">
        <f t="shared" si="3"/>
        <v>330424.89256198343</v>
      </c>
      <c r="J23" s="287">
        <f t="shared" si="3"/>
        <v>355108.45041322318</v>
      </c>
      <c r="K23" s="405">
        <f t="shared" si="3"/>
        <v>343340.1033057851</v>
      </c>
      <c r="L23" s="406">
        <f t="shared" si="3"/>
        <v>1978232.5469888649</v>
      </c>
      <c r="M23" s="287">
        <f t="shared" si="3"/>
        <v>2198102.5879888651</v>
      </c>
      <c r="N23" s="287">
        <f t="shared" si="3"/>
        <v>2389263.6807130035</v>
      </c>
      <c r="O23" s="287">
        <f t="shared" si="3"/>
        <v>2020277.067488865</v>
      </c>
      <c r="P23" s="405">
        <f t="shared" si="3"/>
        <v>1770078.1324001949</v>
      </c>
      <c r="Q23" s="406">
        <f>Q17+Q21</f>
        <v>2103763.8740618252</v>
      </c>
      <c r="R23" s="404">
        <f>R17+R21</f>
        <v>0.99999999999999989</v>
      </c>
    </row>
    <row r="24" spans="1:18">
      <c r="A24" s="334" t="s">
        <v>1126</v>
      </c>
      <c r="B24" s="287"/>
      <c r="C24" s="287"/>
      <c r="D24" s="287"/>
      <c r="E24" s="287"/>
      <c r="F24" s="405"/>
      <c r="G24" s="406"/>
      <c r="H24" s="287"/>
      <c r="I24" s="287"/>
      <c r="J24" s="287"/>
      <c r="K24" s="405"/>
      <c r="L24" s="406"/>
      <c r="M24" s="287"/>
      <c r="N24" s="287"/>
      <c r="O24" s="287"/>
      <c r="P24" s="405"/>
      <c r="Q24" s="370">
        <f>Q23-Q20</f>
        <v>1934527.76271567</v>
      </c>
      <c r="R24" s="404">
        <f>R23-R20</f>
        <v>0.91955555781105591</v>
      </c>
    </row>
    <row r="25" spans="1:18">
      <c r="F25" s="405"/>
      <c r="G25" s="406"/>
      <c r="H25" s="287"/>
      <c r="I25" s="287"/>
      <c r="J25" s="287"/>
      <c r="K25" s="405"/>
      <c r="L25" s="406"/>
      <c r="N25" s="386"/>
      <c r="O25" s="299"/>
      <c r="P25" s="299"/>
      <c r="Q25" s="299"/>
      <c r="R25" s="385"/>
    </row>
    <row r="26" spans="1:18">
      <c r="F26" s="405"/>
      <c r="G26" s="406"/>
      <c r="H26" s="287"/>
      <c r="I26" s="287"/>
      <c r="J26" s="287"/>
      <c r="K26" s="405"/>
      <c r="L26" s="406"/>
      <c r="N26" s="373"/>
      <c r="O26" s="402" t="s">
        <v>1104</v>
      </c>
      <c r="P26" s="402" t="s">
        <v>1113</v>
      </c>
      <c r="Q26" s="402" t="s">
        <v>120</v>
      </c>
      <c r="R26" s="401" t="s">
        <v>1102</v>
      </c>
    </row>
    <row r="27" spans="1:18">
      <c r="F27" s="405"/>
      <c r="G27" s="406"/>
      <c r="H27" s="287"/>
      <c r="I27" s="287"/>
      <c r="J27" s="287"/>
      <c r="K27" s="405"/>
      <c r="L27" s="406"/>
      <c r="N27" s="373" t="s">
        <v>1101</v>
      </c>
      <c r="O27" s="350">
        <f>Q23</f>
        <v>2103763.8740618252</v>
      </c>
      <c r="P27" s="350">
        <f>Q20</f>
        <v>169236.11134615526</v>
      </c>
      <c r="Q27" s="350">
        <f>O27-P27</f>
        <v>1934527.76271567</v>
      </c>
      <c r="R27" s="398">
        <f>(Q27-Q28)/Q27</f>
        <v>0.64835487469081621</v>
      </c>
    </row>
    <row r="28" spans="1:18">
      <c r="F28" s="405"/>
      <c r="G28" s="406"/>
      <c r="H28" s="287"/>
      <c r="I28" s="287"/>
      <c r="J28" s="287"/>
      <c r="K28" s="405"/>
      <c r="L28" s="406"/>
      <c r="N28" s="373" t="s">
        <v>1100</v>
      </c>
      <c r="O28" s="421">
        <f>O31/365</f>
        <v>806014.01369863015</v>
      </c>
      <c r="P28" s="420">
        <f>P31/365</f>
        <v>125746.75616438357</v>
      </c>
      <c r="Q28" s="350">
        <f>O28-P28</f>
        <v>680267.25753424654</v>
      </c>
      <c r="R28" s="398">
        <f>Q28/Q27</f>
        <v>0.35164512530918368</v>
      </c>
    </row>
    <row r="29" spans="1:18">
      <c r="F29" s="405"/>
      <c r="G29" s="406"/>
      <c r="H29" s="287"/>
      <c r="I29" s="287"/>
      <c r="J29" s="287"/>
      <c r="K29" s="405"/>
      <c r="L29" s="406"/>
      <c r="N29" s="397"/>
      <c r="O29" s="396"/>
      <c r="P29" s="396"/>
      <c r="Q29" s="396"/>
      <c r="R29" s="395"/>
    </row>
    <row r="30" spans="1:18">
      <c r="F30" s="405"/>
      <c r="G30" s="406"/>
      <c r="H30" s="287"/>
      <c r="I30" s="287"/>
      <c r="J30" s="287"/>
      <c r="K30" s="405"/>
      <c r="L30" s="350"/>
      <c r="N30" s="223"/>
      <c r="O30" s="223"/>
      <c r="P30" s="223"/>
      <c r="Q30" s="223"/>
      <c r="R30" s="223"/>
    </row>
    <row r="31" spans="1:18">
      <c r="F31" s="405"/>
      <c r="G31" s="406"/>
      <c r="H31" s="287"/>
      <c r="I31" s="287"/>
      <c r="J31" s="350"/>
      <c r="K31" s="372"/>
      <c r="M31" s="350" t="s">
        <v>1099</v>
      </c>
      <c r="N31" s="223"/>
      <c r="O31" s="734">
        <v>294195115</v>
      </c>
      <c r="P31" s="734">
        <v>45897566</v>
      </c>
      <c r="Q31" s="28" t="s">
        <v>541</v>
      </c>
      <c r="R31" s="309"/>
    </row>
    <row r="32" spans="1:18">
      <c r="F32" s="405"/>
      <c r="G32" s="406"/>
      <c r="H32" s="287"/>
      <c r="I32" s="287"/>
      <c r="J32" s="287"/>
      <c r="K32" s="405"/>
      <c r="L32" s="406"/>
      <c r="N32" s="223" t="s">
        <v>1097</v>
      </c>
      <c r="O32" s="350">
        <v>365</v>
      </c>
      <c r="P32" s="350">
        <v>365</v>
      </c>
      <c r="Q32" s="223"/>
      <c r="R32" s="223"/>
    </row>
    <row r="33" spans="1:18">
      <c r="F33" s="405"/>
      <c r="G33" s="406"/>
      <c r="H33" s="287"/>
      <c r="I33" s="287"/>
      <c r="J33" s="287"/>
      <c r="K33" s="405"/>
      <c r="L33" s="406"/>
      <c r="M33" s="218" t="s">
        <v>1096</v>
      </c>
      <c r="N33" s="223"/>
      <c r="O33" s="350">
        <f>O31/O32</f>
        <v>806014.01369863015</v>
      </c>
      <c r="P33" s="350">
        <f>P31/P32</f>
        <v>125746.75616438357</v>
      </c>
      <c r="Q33" s="223"/>
      <c r="R33" s="223"/>
    </row>
    <row r="34" spans="1:18" hidden="1">
      <c r="F34" s="405"/>
      <c r="G34" s="406"/>
      <c r="H34" s="287"/>
      <c r="I34" s="287"/>
      <c r="J34" s="287"/>
      <c r="K34" s="405"/>
      <c r="L34" s="406"/>
      <c r="P34" s="385"/>
      <c r="Q34" s="386"/>
    </row>
    <row r="35" spans="1:18" hidden="1">
      <c r="F35" s="405"/>
      <c r="G35" s="406"/>
      <c r="H35" s="287"/>
      <c r="I35" s="287"/>
      <c r="J35" s="287"/>
      <c r="K35" s="405"/>
      <c r="L35" s="406"/>
      <c r="P35" s="372"/>
      <c r="Q35" s="373"/>
    </row>
    <row r="36" spans="1:18" hidden="1">
      <c r="A36" s="224" t="s">
        <v>1089</v>
      </c>
      <c r="F36" s="405"/>
      <c r="G36" s="406"/>
      <c r="H36" s="287"/>
      <c r="I36" s="287"/>
      <c r="J36" s="287"/>
      <c r="K36" s="405"/>
      <c r="L36" s="406"/>
      <c r="P36" s="372"/>
      <c r="Q36" s="384" t="s">
        <v>1112</v>
      </c>
      <c r="R36" s="220" t="s">
        <v>1111</v>
      </c>
    </row>
    <row r="37" spans="1:18" hidden="1">
      <c r="A37" s="218" t="s">
        <v>1052</v>
      </c>
      <c r="B37" s="316"/>
      <c r="C37" s="316"/>
      <c r="D37" s="316"/>
      <c r="E37" s="316"/>
      <c r="F37" s="418"/>
      <c r="G37" s="419"/>
      <c r="H37" s="316"/>
      <c r="I37" s="316"/>
      <c r="J37" s="316"/>
      <c r="K37" s="418"/>
      <c r="L37" s="419"/>
      <c r="M37" s="316"/>
      <c r="N37" s="316"/>
      <c r="O37" s="316"/>
      <c r="P37" s="418"/>
      <c r="Q37" s="384" t="s">
        <v>1110</v>
      </c>
      <c r="R37" s="220" t="s">
        <v>1109</v>
      </c>
    </row>
    <row r="38" spans="1:18" hidden="1">
      <c r="F38" s="372"/>
      <c r="G38" s="373"/>
      <c r="K38" s="372"/>
      <c r="L38" s="373"/>
      <c r="P38" s="372"/>
      <c r="Q38" s="373"/>
    </row>
    <row r="39" spans="1:18" hidden="1">
      <c r="A39" s="218" t="s">
        <v>892</v>
      </c>
      <c r="B39" s="411" t="e">
        <f>'Demand - Firm Peak by Sch'!#REF!</f>
        <v>#REF!</v>
      </c>
      <c r="C39" s="411" t="e">
        <f>'Demand - Firm Peak by Sch'!#REF!</f>
        <v>#REF!</v>
      </c>
      <c r="D39" s="411" t="e">
        <f>'Demand - Firm Peak by Sch'!#REF!</f>
        <v>#REF!</v>
      </c>
      <c r="E39" s="411" t="e">
        <f>'Demand - Firm Peak by Sch'!#REF!</f>
        <v>#REF!</v>
      </c>
      <c r="F39" s="410" t="e">
        <f>'Demand - Firm Peak by Sch'!#REF!</f>
        <v>#REF!</v>
      </c>
      <c r="G39" s="412" t="e">
        <f>'Demand - Firm Peak by Sch'!#REF!</f>
        <v>#REF!</v>
      </c>
      <c r="H39" s="411" t="e">
        <f>'Demand - Firm Peak by Sch'!#REF!</f>
        <v>#REF!</v>
      </c>
      <c r="I39" s="411" t="e">
        <f>'Demand - Firm Peak by Sch'!#REF!</f>
        <v>#REF!</v>
      </c>
      <c r="J39" s="411" t="e">
        <f>'Demand - Firm Peak by Sch'!#REF!</f>
        <v>#REF!</v>
      </c>
      <c r="K39" s="410" t="e">
        <f>'Demand - Firm Peak by Sch'!#REF!</f>
        <v>#REF!</v>
      </c>
      <c r="L39" s="412" t="e">
        <f>'Demand - Firm Peak by Sch'!#REF!</f>
        <v>#REF!</v>
      </c>
      <c r="M39" s="411" t="e">
        <f>'Demand - Firm Peak by Sch'!#REF!</f>
        <v>#REF!</v>
      </c>
      <c r="N39" s="411" t="e">
        <f>'Demand - Firm Peak by Sch'!#REF!</f>
        <v>#REF!</v>
      </c>
      <c r="O39" s="411" t="e">
        <f>'Demand - Firm Peak by Sch'!#REF!</f>
        <v>#REF!</v>
      </c>
      <c r="P39" s="410" t="e">
        <f>'Demand - Firm Peak by Sch'!#REF!</f>
        <v>#REF!</v>
      </c>
      <c r="Q39" s="413" t="e">
        <f>AVERAGE(B39:P39)</f>
        <v>#REF!</v>
      </c>
      <c r="R39" s="404" t="e">
        <f>Q39/Q$51</f>
        <v>#REF!</v>
      </c>
    </row>
    <row r="40" spans="1:18" hidden="1">
      <c r="A40" s="218" t="s">
        <v>1108</v>
      </c>
      <c r="B40" s="411" t="e">
        <f>SUM('Demand - Firm Peak by Sch'!#REF!)</f>
        <v>#REF!</v>
      </c>
      <c r="C40" s="411" t="e">
        <f>SUM('Demand - Firm Peak by Sch'!#REF!)</f>
        <v>#REF!</v>
      </c>
      <c r="D40" s="411" t="e">
        <f>SUM('Demand - Firm Peak by Sch'!#REF!)</f>
        <v>#REF!</v>
      </c>
      <c r="E40" s="411" t="e">
        <f>SUM('Demand - Firm Peak by Sch'!#REF!)</f>
        <v>#REF!</v>
      </c>
      <c r="F40" s="410" t="e">
        <f>SUM('Demand - Firm Peak by Sch'!#REF!)</f>
        <v>#REF!</v>
      </c>
      <c r="G40" s="412" t="e">
        <f>SUM('Demand - Firm Peak by Sch'!#REF!)</f>
        <v>#REF!</v>
      </c>
      <c r="H40" s="411" t="e">
        <f>SUM('Demand - Firm Peak by Sch'!#REF!)</f>
        <v>#REF!</v>
      </c>
      <c r="I40" s="411" t="e">
        <f>SUM('Demand - Firm Peak by Sch'!#REF!)</f>
        <v>#REF!</v>
      </c>
      <c r="J40" s="411" t="e">
        <f>SUM('Demand - Firm Peak by Sch'!#REF!)</f>
        <v>#REF!</v>
      </c>
      <c r="K40" s="410" t="e">
        <f>SUM('Demand - Firm Peak by Sch'!#REF!)</f>
        <v>#REF!</v>
      </c>
      <c r="L40" s="412" t="e">
        <f>SUM('Demand - Firm Peak by Sch'!#REF!)</f>
        <v>#REF!</v>
      </c>
      <c r="M40" s="411" t="e">
        <f>SUM('Demand - Firm Peak by Sch'!#REF!)</f>
        <v>#REF!</v>
      </c>
      <c r="N40" s="411" t="e">
        <f>SUM('Demand - Firm Peak by Sch'!#REF!)</f>
        <v>#REF!</v>
      </c>
      <c r="O40" s="411" t="e">
        <f>SUM('Demand - Firm Peak by Sch'!#REF!)</f>
        <v>#REF!</v>
      </c>
      <c r="P40" s="410" t="e">
        <f>SUM('Demand - Firm Peak by Sch'!#REF!)</f>
        <v>#REF!</v>
      </c>
      <c r="Q40" s="413" t="e">
        <f>AVERAGE(B40:P40)</f>
        <v>#REF!</v>
      </c>
      <c r="R40" s="404" t="e">
        <f>Q40/Q$51</f>
        <v>#REF!</v>
      </c>
    </row>
    <row r="41" spans="1:18" hidden="1">
      <c r="A41" s="322" t="s">
        <v>1048</v>
      </c>
      <c r="B41" s="314" t="e">
        <f t="shared" ref="B41:R41" si="4">SUM(B39:B40)</f>
        <v>#REF!</v>
      </c>
      <c r="C41" s="314" t="e">
        <f t="shared" si="4"/>
        <v>#REF!</v>
      </c>
      <c r="D41" s="314" t="e">
        <f t="shared" si="4"/>
        <v>#REF!</v>
      </c>
      <c r="E41" s="314" t="e">
        <f t="shared" si="4"/>
        <v>#REF!</v>
      </c>
      <c r="F41" s="409" t="e">
        <f t="shared" si="4"/>
        <v>#REF!</v>
      </c>
      <c r="G41" s="408" t="e">
        <f t="shared" si="4"/>
        <v>#REF!</v>
      </c>
      <c r="H41" s="314" t="e">
        <f t="shared" si="4"/>
        <v>#REF!</v>
      </c>
      <c r="I41" s="314" t="e">
        <f t="shared" si="4"/>
        <v>#REF!</v>
      </c>
      <c r="J41" s="314" t="e">
        <f t="shared" si="4"/>
        <v>#REF!</v>
      </c>
      <c r="K41" s="409" t="e">
        <f t="shared" si="4"/>
        <v>#REF!</v>
      </c>
      <c r="L41" s="408" t="e">
        <f t="shared" si="4"/>
        <v>#REF!</v>
      </c>
      <c r="M41" s="314" t="e">
        <f t="shared" si="4"/>
        <v>#REF!</v>
      </c>
      <c r="N41" s="314" t="e">
        <f t="shared" si="4"/>
        <v>#REF!</v>
      </c>
      <c r="O41" s="314" t="e">
        <f t="shared" si="4"/>
        <v>#REF!</v>
      </c>
      <c r="P41" s="409" t="e">
        <f t="shared" si="4"/>
        <v>#REF!</v>
      </c>
      <c r="Q41" s="408" t="e">
        <f t="shared" si="4"/>
        <v>#REF!</v>
      </c>
      <c r="R41" s="407" t="e">
        <f t="shared" si="4"/>
        <v>#REF!</v>
      </c>
    </row>
    <row r="42" spans="1:18" hidden="1">
      <c r="B42" s="287"/>
      <c r="C42" s="287"/>
      <c r="D42" s="287"/>
      <c r="E42" s="287"/>
      <c r="F42" s="405"/>
      <c r="G42" s="406"/>
      <c r="H42" s="287"/>
      <c r="I42" s="287"/>
      <c r="J42" s="287"/>
      <c r="K42" s="405"/>
      <c r="L42" s="406"/>
      <c r="M42" s="287"/>
      <c r="N42" s="287"/>
      <c r="O42" s="287"/>
      <c r="P42" s="405"/>
      <c r="Q42" s="406"/>
    </row>
    <row r="43" spans="1:18" hidden="1">
      <c r="A43" s="218" t="s">
        <v>864</v>
      </c>
      <c r="B43" s="411" t="e">
        <f>'Demand - Firm Peak by Sch'!#REF!</f>
        <v>#REF!</v>
      </c>
      <c r="C43" s="411" t="e">
        <f>'Demand - Firm Peak by Sch'!#REF!</f>
        <v>#REF!</v>
      </c>
      <c r="D43" s="411" t="e">
        <f>'Demand - Firm Peak by Sch'!#REF!</f>
        <v>#REF!</v>
      </c>
      <c r="E43" s="411" t="e">
        <f>'Demand - Firm Peak by Sch'!#REF!</f>
        <v>#REF!</v>
      </c>
      <c r="F43" s="410" t="e">
        <f>'Demand - Firm Peak by Sch'!#REF!</f>
        <v>#REF!</v>
      </c>
      <c r="G43" s="412" t="e">
        <f>'Demand - Firm Peak by Sch'!#REF!</f>
        <v>#REF!</v>
      </c>
      <c r="H43" s="411" t="e">
        <f>'Demand - Firm Peak by Sch'!#REF!</f>
        <v>#REF!</v>
      </c>
      <c r="I43" s="411" t="e">
        <f>'Demand - Firm Peak by Sch'!#REF!</f>
        <v>#REF!</v>
      </c>
      <c r="J43" s="411" t="e">
        <f>'Demand - Firm Peak by Sch'!#REF!</f>
        <v>#REF!</v>
      </c>
      <c r="K43" s="410" t="e">
        <f>'Demand - Firm Peak by Sch'!#REF!</f>
        <v>#REF!</v>
      </c>
      <c r="L43" s="412" t="e">
        <f>'Demand - Firm Peak by Sch'!#REF!</f>
        <v>#REF!</v>
      </c>
      <c r="M43" s="411" t="e">
        <f>'Demand - Firm Peak by Sch'!#REF!</f>
        <v>#REF!</v>
      </c>
      <c r="N43" s="411" t="e">
        <f>'Demand - Firm Peak by Sch'!#REF!</f>
        <v>#REF!</v>
      </c>
      <c r="O43" s="411" t="e">
        <f>'Demand - Firm Peak by Sch'!#REF!</f>
        <v>#REF!</v>
      </c>
      <c r="P43" s="410" t="e">
        <f>'Demand - Firm Peak by Sch'!#REF!</f>
        <v>#REF!</v>
      </c>
      <c r="Q43" s="413" t="e">
        <f>AVERAGE(B43:P43)</f>
        <v>#REF!</v>
      </c>
      <c r="R43" s="404" t="e">
        <f>Q43/Q$51</f>
        <v>#REF!</v>
      </c>
    </row>
    <row r="44" spans="1:18" hidden="1">
      <c r="A44" s="322" t="s">
        <v>1047</v>
      </c>
      <c r="B44" s="417" t="e">
        <f t="shared" ref="B44:P44" si="5">B41+B43</f>
        <v>#REF!</v>
      </c>
      <c r="C44" s="417" t="e">
        <f t="shared" si="5"/>
        <v>#REF!</v>
      </c>
      <c r="D44" s="417" t="e">
        <f t="shared" si="5"/>
        <v>#REF!</v>
      </c>
      <c r="E44" s="417" t="e">
        <f t="shared" si="5"/>
        <v>#REF!</v>
      </c>
      <c r="F44" s="416" t="e">
        <f t="shared" si="5"/>
        <v>#REF!</v>
      </c>
      <c r="G44" s="415" t="e">
        <f t="shared" si="5"/>
        <v>#REF!</v>
      </c>
      <c r="H44" s="417" t="e">
        <f t="shared" si="5"/>
        <v>#REF!</v>
      </c>
      <c r="I44" s="417" t="e">
        <f t="shared" si="5"/>
        <v>#REF!</v>
      </c>
      <c r="J44" s="417" t="e">
        <f t="shared" si="5"/>
        <v>#REF!</v>
      </c>
      <c r="K44" s="416" t="e">
        <f t="shared" si="5"/>
        <v>#REF!</v>
      </c>
      <c r="L44" s="415" t="e">
        <f t="shared" si="5"/>
        <v>#REF!</v>
      </c>
      <c r="M44" s="417" t="e">
        <f t="shared" si="5"/>
        <v>#REF!</v>
      </c>
      <c r="N44" s="417" t="e">
        <f t="shared" si="5"/>
        <v>#REF!</v>
      </c>
      <c r="O44" s="417" t="e">
        <f t="shared" si="5"/>
        <v>#REF!</v>
      </c>
      <c r="P44" s="416" t="e">
        <f t="shared" si="5"/>
        <v>#REF!</v>
      </c>
      <c r="Q44" s="415" t="e">
        <f>SUM(Q41:Q43)</f>
        <v>#REF!</v>
      </c>
      <c r="R44" s="414" t="e">
        <f>SUM(R41:R43)</f>
        <v>#REF!</v>
      </c>
    </row>
    <row r="45" spans="1:18" hidden="1">
      <c r="B45" s="287"/>
      <c r="C45" s="287"/>
      <c r="D45" s="287"/>
      <c r="E45" s="287"/>
      <c r="F45" s="405"/>
      <c r="G45" s="406"/>
      <c r="H45" s="287"/>
      <c r="I45" s="287"/>
      <c r="J45" s="287"/>
      <c r="K45" s="405"/>
      <c r="L45" s="406"/>
      <c r="M45" s="287"/>
      <c r="N45" s="287"/>
      <c r="O45" s="287"/>
      <c r="P45" s="405"/>
      <c r="Q45" s="406"/>
    </row>
    <row r="46" spans="1:18" hidden="1">
      <c r="A46" s="218" t="s">
        <v>863</v>
      </c>
      <c r="B46" s="411" t="e">
        <f>'Demand - Firm Peak by Sch'!#REF!</f>
        <v>#REF!</v>
      </c>
      <c r="C46" s="411" t="e">
        <f>'Demand - Firm Peak by Sch'!#REF!</f>
        <v>#REF!</v>
      </c>
      <c r="D46" s="411" t="e">
        <f>'Demand - Firm Peak by Sch'!#REF!</f>
        <v>#REF!</v>
      </c>
      <c r="E46" s="411" t="e">
        <f>'Demand - Firm Peak by Sch'!#REF!</f>
        <v>#REF!</v>
      </c>
      <c r="F46" s="410" t="e">
        <f>'Demand - Firm Peak by Sch'!#REF!</f>
        <v>#REF!</v>
      </c>
      <c r="G46" s="412" t="e">
        <f>'Demand - Firm Peak by Sch'!#REF!</f>
        <v>#REF!</v>
      </c>
      <c r="H46" s="411" t="e">
        <f>'Demand - Firm Peak by Sch'!#REF!</f>
        <v>#REF!</v>
      </c>
      <c r="I46" s="411" t="e">
        <f>'Demand - Firm Peak by Sch'!#REF!</f>
        <v>#REF!</v>
      </c>
      <c r="J46" s="411" t="e">
        <f>'Demand - Firm Peak by Sch'!#REF!</f>
        <v>#REF!</v>
      </c>
      <c r="K46" s="410" t="e">
        <f>'Demand - Firm Peak by Sch'!#REF!</f>
        <v>#REF!</v>
      </c>
      <c r="L46" s="412" t="e">
        <f>'Demand - Firm Peak by Sch'!#REF!</f>
        <v>#REF!</v>
      </c>
      <c r="M46" s="411" t="e">
        <f>'Demand - Firm Peak by Sch'!#REF!</f>
        <v>#REF!</v>
      </c>
      <c r="N46" s="411" t="e">
        <f>'Demand - Firm Peak by Sch'!#REF!</f>
        <v>#REF!</v>
      </c>
      <c r="O46" s="411" t="e">
        <f>'Demand - Firm Peak by Sch'!#REF!</f>
        <v>#REF!</v>
      </c>
      <c r="P46" s="410" t="e">
        <f>'Demand - Firm Peak by Sch'!#REF!</f>
        <v>#REF!</v>
      </c>
      <c r="Q46" s="413" t="e">
        <f>AVERAGE(B46:P46)</f>
        <v>#REF!</v>
      </c>
      <c r="R46" s="404" t="e">
        <f>Q46/Q$51</f>
        <v>#REF!</v>
      </c>
    </row>
    <row r="47" spans="1:18" hidden="1">
      <c r="A47" s="218" t="s">
        <v>1046</v>
      </c>
      <c r="B47" s="411" t="e">
        <f>'Demand - Firm Peak by Sch'!#REF!</f>
        <v>#REF!</v>
      </c>
      <c r="C47" s="411" t="e">
        <f>'Demand - Firm Peak by Sch'!#REF!</f>
        <v>#REF!</v>
      </c>
      <c r="D47" s="411" t="e">
        <f>'Demand - Firm Peak by Sch'!#REF!</f>
        <v>#REF!</v>
      </c>
      <c r="E47" s="411" t="e">
        <f>'Demand - Firm Peak by Sch'!#REF!</f>
        <v>#REF!</v>
      </c>
      <c r="F47" s="410" t="e">
        <f>'Demand - Firm Peak by Sch'!#REF!</f>
        <v>#REF!</v>
      </c>
      <c r="G47" s="412" t="e">
        <f>'Demand - Firm Peak by Sch'!#REF!</f>
        <v>#REF!</v>
      </c>
      <c r="H47" s="411" t="e">
        <f>'Demand - Firm Peak by Sch'!#REF!</f>
        <v>#REF!</v>
      </c>
      <c r="I47" s="411" t="e">
        <f>'Demand - Firm Peak by Sch'!#REF!</f>
        <v>#REF!</v>
      </c>
      <c r="J47" s="411" t="e">
        <f>'Demand - Firm Peak by Sch'!#REF!</f>
        <v>#REF!</v>
      </c>
      <c r="K47" s="410" t="e">
        <f>'Demand - Firm Peak by Sch'!#REF!</f>
        <v>#REF!</v>
      </c>
      <c r="L47" s="412" t="e">
        <f>'Demand - Firm Peak by Sch'!#REF!</f>
        <v>#REF!</v>
      </c>
      <c r="M47" s="411" t="e">
        <f>'Demand - Firm Peak by Sch'!#REF!</f>
        <v>#REF!</v>
      </c>
      <c r="N47" s="411" t="e">
        <f>'Demand - Firm Peak by Sch'!#REF!</f>
        <v>#REF!</v>
      </c>
      <c r="O47" s="411" t="e">
        <f>'Demand - Firm Peak by Sch'!#REF!</f>
        <v>#REF!</v>
      </c>
      <c r="P47" s="410" t="e">
        <f>'Demand - Firm Peak by Sch'!#REF!</f>
        <v>#REF!</v>
      </c>
      <c r="Q47" s="370" t="e">
        <f>AVERAGE(B47:P47)</f>
        <v>#REF!</v>
      </c>
      <c r="R47" s="404" t="e">
        <f>Q47/Q$51</f>
        <v>#REF!</v>
      </c>
    </row>
    <row r="48" spans="1:18" hidden="1">
      <c r="A48" s="218" t="s">
        <v>1045</v>
      </c>
      <c r="B48" s="411" t="e">
        <f>'Demand - Firm Peak by Sch'!#REF!</f>
        <v>#REF!</v>
      </c>
      <c r="C48" s="411" t="e">
        <f>'Demand - Firm Peak by Sch'!#REF!</f>
        <v>#REF!</v>
      </c>
      <c r="D48" s="411" t="e">
        <f>'Demand - Firm Peak by Sch'!#REF!</f>
        <v>#REF!</v>
      </c>
      <c r="E48" s="411" t="e">
        <f>'Demand - Firm Peak by Sch'!#REF!</f>
        <v>#REF!</v>
      </c>
      <c r="F48" s="410" t="e">
        <f>'Demand - Firm Peak by Sch'!#REF!</f>
        <v>#REF!</v>
      </c>
      <c r="G48" s="412" t="e">
        <f>'Demand - Firm Peak by Sch'!#REF!</f>
        <v>#REF!</v>
      </c>
      <c r="H48" s="411" t="e">
        <f>'Demand - Firm Peak by Sch'!#REF!</f>
        <v>#REF!</v>
      </c>
      <c r="I48" s="411" t="e">
        <f>'Demand - Firm Peak by Sch'!#REF!</f>
        <v>#REF!</v>
      </c>
      <c r="J48" s="411" t="e">
        <f>'Demand - Firm Peak by Sch'!#REF!</f>
        <v>#REF!</v>
      </c>
      <c r="K48" s="410" t="e">
        <f>'Demand - Firm Peak by Sch'!#REF!</f>
        <v>#REF!</v>
      </c>
      <c r="L48" s="412" t="e">
        <f>'Demand - Firm Peak by Sch'!#REF!</f>
        <v>#REF!</v>
      </c>
      <c r="M48" s="411" t="e">
        <f>'Demand - Firm Peak by Sch'!#REF!</f>
        <v>#REF!</v>
      </c>
      <c r="N48" s="411" t="e">
        <f>'Demand - Firm Peak by Sch'!#REF!</f>
        <v>#REF!</v>
      </c>
      <c r="O48" s="411" t="e">
        <f>'Demand - Firm Peak by Sch'!#REF!</f>
        <v>#REF!</v>
      </c>
      <c r="P48" s="410" t="e">
        <f>'Demand - Firm Peak by Sch'!#REF!</f>
        <v>#REF!</v>
      </c>
      <c r="Q48" s="406" t="e">
        <f>AVERAGE(B48:P48)</f>
        <v>#REF!</v>
      </c>
      <c r="R48" s="404" t="e">
        <f>Q48/Q$51</f>
        <v>#REF!</v>
      </c>
    </row>
    <row r="49" spans="1:18" hidden="1">
      <c r="A49" s="322" t="s">
        <v>1044</v>
      </c>
      <c r="B49" s="314" t="e">
        <f t="shared" ref="B49:R49" si="6">SUM(B46:B48)</f>
        <v>#REF!</v>
      </c>
      <c r="C49" s="314" t="e">
        <f t="shared" si="6"/>
        <v>#REF!</v>
      </c>
      <c r="D49" s="314" t="e">
        <f t="shared" si="6"/>
        <v>#REF!</v>
      </c>
      <c r="E49" s="314" t="e">
        <f t="shared" si="6"/>
        <v>#REF!</v>
      </c>
      <c r="F49" s="409" t="e">
        <f t="shared" si="6"/>
        <v>#REF!</v>
      </c>
      <c r="G49" s="408" t="e">
        <f t="shared" si="6"/>
        <v>#REF!</v>
      </c>
      <c r="H49" s="314" t="e">
        <f t="shared" si="6"/>
        <v>#REF!</v>
      </c>
      <c r="I49" s="314" t="e">
        <f t="shared" si="6"/>
        <v>#REF!</v>
      </c>
      <c r="J49" s="314" t="e">
        <f t="shared" si="6"/>
        <v>#REF!</v>
      </c>
      <c r="K49" s="409" t="e">
        <f t="shared" si="6"/>
        <v>#REF!</v>
      </c>
      <c r="L49" s="408" t="e">
        <f t="shared" si="6"/>
        <v>#REF!</v>
      </c>
      <c r="M49" s="314" t="e">
        <f t="shared" si="6"/>
        <v>#REF!</v>
      </c>
      <c r="N49" s="314" t="e">
        <f t="shared" si="6"/>
        <v>#REF!</v>
      </c>
      <c r="O49" s="314" t="e">
        <f t="shared" si="6"/>
        <v>#REF!</v>
      </c>
      <c r="P49" s="409" t="e">
        <f t="shared" si="6"/>
        <v>#REF!</v>
      </c>
      <c r="Q49" s="408" t="e">
        <f t="shared" si="6"/>
        <v>#REF!</v>
      </c>
      <c r="R49" s="407" t="e">
        <f t="shared" si="6"/>
        <v>#REF!</v>
      </c>
    </row>
    <row r="50" spans="1:18" hidden="1">
      <c r="B50" s="287"/>
      <c r="C50" s="287"/>
      <c r="D50" s="287"/>
      <c r="E50" s="287"/>
      <c r="F50" s="405"/>
      <c r="G50" s="406"/>
      <c r="H50" s="287"/>
      <c r="I50" s="287"/>
      <c r="J50" s="287"/>
      <c r="K50" s="405"/>
      <c r="L50" s="406"/>
      <c r="M50" s="287"/>
      <c r="N50" s="287"/>
      <c r="O50" s="287"/>
      <c r="P50" s="405"/>
      <c r="Q50" s="406"/>
    </row>
    <row r="51" spans="1:18" hidden="1">
      <c r="A51" s="218" t="s">
        <v>1107</v>
      </c>
      <c r="B51" s="287" t="e">
        <f t="shared" ref="B51:R51" si="7">B44+B49</f>
        <v>#REF!</v>
      </c>
      <c r="C51" s="287" t="e">
        <f t="shared" si="7"/>
        <v>#REF!</v>
      </c>
      <c r="D51" s="287" t="e">
        <f t="shared" si="7"/>
        <v>#REF!</v>
      </c>
      <c r="E51" s="287" t="e">
        <f t="shared" si="7"/>
        <v>#REF!</v>
      </c>
      <c r="F51" s="405" t="e">
        <f t="shared" si="7"/>
        <v>#REF!</v>
      </c>
      <c r="G51" s="406" t="e">
        <f t="shared" si="7"/>
        <v>#REF!</v>
      </c>
      <c r="H51" s="287" t="e">
        <f t="shared" si="7"/>
        <v>#REF!</v>
      </c>
      <c r="I51" s="287" t="e">
        <f t="shared" si="7"/>
        <v>#REF!</v>
      </c>
      <c r="J51" s="287" t="e">
        <f t="shared" si="7"/>
        <v>#REF!</v>
      </c>
      <c r="K51" s="405" t="e">
        <f t="shared" si="7"/>
        <v>#REF!</v>
      </c>
      <c r="L51" s="406" t="e">
        <f t="shared" si="7"/>
        <v>#REF!</v>
      </c>
      <c r="M51" s="287" t="e">
        <f t="shared" si="7"/>
        <v>#REF!</v>
      </c>
      <c r="N51" s="287" t="e">
        <f t="shared" si="7"/>
        <v>#REF!</v>
      </c>
      <c r="O51" s="287" t="e">
        <f t="shared" si="7"/>
        <v>#REF!</v>
      </c>
      <c r="P51" s="405" t="e">
        <f t="shared" si="7"/>
        <v>#REF!</v>
      </c>
      <c r="Q51" s="406" t="e">
        <f t="shared" si="7"/>
        <v>#REF!</v>
      </c>
      <c r="R51" s="404" t="e">
        <f t="shared" si="7"/>
        <v>#REF!</v>
      </c>
    </row>
    <row r="52" spans="1:18" hidden="1">
      <c r="A52" s="322" t="s">
        <v>1106</v>
      </c>
      <c r="B52" s="287"/>
      <c r="C52" s="287"/>
      <c r="D52" s="287"/>
      <c r="E52" s="287"/>
      <c r="F52" s="405"/>
      <c r="G52" s="406"/>
      <c r="H52" s="287"/>
      <c r="I52" s="287"/>
      <c r="J52" s="287"/>
      <c r="K52" s="405"/>
      <c r="L52" s="406"/>
      <c r="M52" s="287"/>
      <c r="N52" s="287"/>
      <c r="O52" s="287"/>
      <c r="P52" s="405"/>
      <c r="Q52" s="370" t="e">
        <f>Q51-Q47-Q48</f>
        <v>#REF!</v>
      </c>
      <c r="R52" s="404" t="e">
        <f>R51-R47-R48</f>
        <v>#REF!</v>
      </c>
    </row>
    <row r="53" spans="1:18" hidden="1">
      <c r="N53" s="386"/>
      <c r="O53" s="299"/>
      <c r="P53" s="403" t="s">
        <v>1105</v>
      </c>
      <c r="Q53" s="299"/>
      <c r="R53" s="385"/>
    </row>
    <row r="54" spans="1:18" hidden="1">
      <c r="N54" s="373"/>
      <c r="O54" s="402" t="s">
        <v>1104</v>
      </c>
      <c r="P54" s="402" t="s">
        <v>1103</v>
      </c>
      <c r="Q54" s="402" t="s">
        <v>120</v>
      </c>
      <c r="R54" s="401" t="s">
        <v>1102</v>
      </c>
    </row>
    <row r="55" spans="1:18" hidden="1">
      <c r="N55" s="373" t="s">
        <v>1101</v>
      </c>
      <c r="O55" s="350" t="e">
        <f>Q51</f>
        <v>#REF!</v>
      </c>
      <c r="P55" s="350" t="e">
        <f>Q47+Q48</f>
        <v>#REF!</v>
      </c>
      <c r="Q55" s="350" t="e">
        <f>O55-P55</f>
        <v>#REF!</v>
      </c>
      <c r="R55" s="398" t="e">
        <f>(Q55-Q56)/Q55</f>
        <v>#REF!</v>
      </c>
    </row>
    <row r="56" spans="1:18" hidden="1">
      <c r="N56" s="373" t="s">
        <v>1100</v>
      </c>
      <c r="O56" s="400">
        <f>123263299/365</f>
        <v>337707.66849315068</v>
      </c>
      <c r="P56" s="399">
        <f>45713336/365</f>
        <v>125242.01643835616</v>
      </c>
      <c r="Q56" s="350">
        <f>O56-P56</f>
        <v>212465.65205479451</v>
      </c>
      <c r="R56" s="398" t="e">
        <f>Q56/Q55</f>
        <v>#REF!</v>
      </c>
    </row>
    <row r="57" spans="1:18" hidden="1">
      <c r="N57" s="397"/>
      <c r="O57" s="396"/>
      <c r="P57" s="396"/>
      <c r="Q57" s="396"/>
      <c r="R57" s="395"/>
    </row>
    <row r="58" spans="1:18" hidden="1"/>
    <row r="59" spans="1:18" hidden="1">
      <c r="M59" s="350" t="s">
        <v>1099</v>
      </c>
      <c r="N59" s="223"/>
      <c r="O59" s="394">
        <v>123263299</v>
      </c>
      <c r="P59" s="394">
        <f>927886+44785450</f>
        <v>45713336</v>
      </c>
    </row>
    <row r="60" spans="1:18" hidden="1">
      <c r="N60" s="223" t="s">
        <v>1097</v>
      </c>
      <c r="O60" s="350">
        <v>365</v>
      </c>
      <c r="P60" s="350">
        <v>365</v>
      </c>
    </row>
    <row r="61" spans="1:18" hidden="1">
      <c r="M61" s="218" t="s">
        <v>1096</v>
      </c>
      <c r="N61" s="223"/>
      <c r="O61" s="350">
        <f>O59/O60</f>
        <v>337707.66849315068</v>
      </c>
      <c r="P61" s="350">
        <f>P59/P60</f>
        <v>125242.01643835616</v>
      </c>
    </row>
    <row r="65" spans="14:18" hidden="1">
      <c r="N65" s="442"/>
      <c r="O65" s="445"/>
      <c r="P65" s="445"/>
      <c r="Q65" s="445"/>
      <c r="R65" s="441"/>
    </row>
    <row r="66" spans="14:18" hidden="1">
      <c r="N66" s="444"/>
      <c r="O66" s="402" t="s">
        <v>1104</v>
      </c>
      <c r="P66" s="402" t="s">
        <v>1113</v>
      </c>
      <c r="Q66" s="402" t="s">
        <v>120</v>
      </c>
      <c r="R66" s="401" t="s">
        <v>1102</v>
      </c>
    </row>
    <row r="67" spans="14:18" hidden="1">
      <c r="N67" s="444" t="s">
        <v>1101</v>
      </c>
      <c r="O67" s="443">
        <f>Q23</f>
        <v>2103763.8740618252</v>
      </c>
      <c r="P67" s="443">
        <v>0</v>
      </c>
      <c r="Q67" s="443">
        <f>O67-P67</f>
        <v>2103763.8740618252</v>
      </c>
      <c r="R67" s="398">
        <f>(Q67-Q68)/Q67</f>
        <v>0.61687049405291627</v>
      </c>
    </row>
    <row r="68" spans="14:18" hidden="1">
      <c r="N68" s="444" t="s">
        <v>1100</v>
      </c>
      <c r="O68" s="421">
        <f>O31/365</f>
        <v>806014.01369863015</v>
      </c>
      <c r="P68" s="421">
        <v>0</v>
      </c>
      <c r="Q68" s="443">
        <f>O68-P68</f>
        <v>806014.01369863015</v>
      </c>
      <c r="R68" s="398">
        <f>Q68/Q67</f>
        <v>0.38312950594708384</v>
      </c>
    </row>
    <row r="69" spans="14:18" hidden="1">
      <c r="N69" s="427"/>
      <c r="O69" s="428"/>
      <c r="P69" s="428"/>
      <c r="Q69" s="428"/>
      <c r="R69" s="429"/>
    </row>
    <row r="70" spans="14:18" hidden="1"/>
    <row r="71" spans="14:18" hidden="1"/>
    <row r="79" spans="14:18" hidden="1">
      <c r="N79" s="225" t="s">
        <v>1098</v>
      </c>
      <c r="O79" s="291">
        <v>243774.44399999999</v>
      </c>
      <c r="P79" s="291">
        <v>36418.563999999998</v>
      </c>
    </row>
    <row r="80" spans="14:18" hidden="1">
      <c r="N80" s="225" t="s">
        <v>1097</v>
      </c>
      <c r="O80" s="291">
        <v>365</v>
      </c>
      <c r="P80" s="291">
        <v>365</v>
      </c>
    </row>
    <row r="81" spans="14:16" hidden="1">
      <c r="N81" s="225" t="s">
        <v>1096</v>
      </c>
      <c r="O81" s="287">
        <f>O79/O80*1000</f>
        <v>667875.18904109579</v>
      </c>
      <c r="P81" s="287">
        <f>P79/P80*1000</f>
        <v>99776.887671232864</v>
      </c>
    </row>
    <row r="82" spans="14:16" hidden="1"/>
  </sheetData>
  <printOptions horizontalCentered="1"/>
  <pageMargins left="0.25" right="0.25" top="0.75" bottom="0.7" header="0.5" footer="0.5"/>
  <pageSetup scale="65" orientation="landscape" r:id="rId1"/>
  <headerFooter alignWithMargins="0">
    <oddHeader>&amp;CNatural Gas Demand and Peak and Average Analysis</oddHeader>
    <oddFooter>&amp;R&amp;F
&amp;A</oddFooter>
  </headerFooter>
  <rowBreaks count="1" manualBreakCount="1">
    <brk id="3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8A72-607F-4BCB-875E-0FC97A2A0DB8}">
  <sheetPr>
    <tabColor rgb="FF92D050"/>
  </sheetPr>
  <dimension ref="A2:V41"/>
  <sheetViews>
    <sheetView zoomScaleNormal="100" workbookViewId="0">
      <selection activeCell="M1" sqref="M1:M1048576"/>
    </sheetView>
  </sheetViews>
  <sheetFormatPr defaultRowHeight="13.2"/>
  <cols>
    <col min="1" max="1" width="3.88671875" customWidth="1"/>
    <col min="2" max="2" width="33.33203125" bestFit="1" customWidth="1"/>
    <col min="3" max="3" width="2.44140625" customWidth="1"/>
    <col min="4" max="6" width="11.21875" bestFit="1" customWidth="1"/>
    <col min="7" max="8" width="11.21875" hidden="1" customWidth="1"/>
    <col min="9" max="12" width="11.21875" bestFit="1" customWidth="1"/>
    <col min="13" max="13" width="11.21875" hidden="1" customWidth="1"/>
    <col min="14" max="15" width="11.21875" bestFit="1" customWidth="1"/>
    <col min="16" max="16" width="12.21875" bestFit="1" customWidth="1"/>
    <col min="17" max="17" width="2.77734375" customWidth="1"/>
    <col min="18" max="20" width="12.77734375" customWidth="1"/>
    <col min="21" max="22" width="13.33203125" customWidth="1"/>
  </cols>
  <sheetData>
    <row r="2" spans="1:22">
      <c r="D2" s="1" t="s">
        <v>1455</v>
      </c>
      <c r="E2" s="1" t="s">
        <v>1455</v>
      </c>
      <c r="F2" s="1" t="s">
        <v>1455</v>
      </c>
      <c r="G2" s="1"/>
      <c r="H2" s="1"/>
      <c r="I2" s="1" t="s">
        <v>1456</v>
      </c>
      <c r="J2" s="1" t="s">
        <v>1456</v>
      </c>
      <c r="K2" s="1" t="s">
        <v>1456</v>
      </c>
      <c r="L2" s="1" t="s">
        <v>1456</v>
      </c>
      <c r="M2" s="1"/>
      <c r="N2" s="1" t="s">
        <v>1455</v>
      </c>
      <c r="O2" s="1" t="s">
        <v>1455</v>
      </c>
    </row>
    <row r="3" spans="1:22" ht="26.4">
      <c r="A3" s="782"/>
      <c r="B3" s="782"/>
      <c r="C3" s="782"/>
      <c r="D3" s="782" t="s">
        <v>1420</v>
      </c>
      <c r="E3" s="782" t="s">
        <v>1421</v>
      </c>
      <c r="F3" s="782" t="s">
        <v>1422</v>
      </c>
      <c r="G3" s="782" t="s">
        <v>1423</v>
      </c>
      <c r="H3" s="782" t="s">
        <v>1424</v>
      </c>
      <c r="I3" s="782" t="s">
        <v>1425</v>
      </c>
      <c r="J3" s="782" t="s">
        <v>1426</v>
      </c>
      <c r="K3" s="782" t="s">
        <v>1427</v>
      </c>
      <c r="L3" s="782" t="s">
        <v>1428</v>
      </c>
      <c r="M3" s="782" t="s">
        <v>1429</v>
      </c>
      <c r="N3" s="782" t="s">
        <v>1430</v>
      </c>
      <c r="O3" s="782" t="s">
        <v>1431</v>
      </c>
      <c r="P3" s="782" t="s">
        <v>1432</v>
      </c>
      <c r="R3" s="788" t="s">
        <v>1457</v>
      </c>
      <c r="S3" s="784" t="s">
        <v>1453</v>
      </c>
      <c r="T3" s="788" t="s">
        <v>1458</v>
      </c>
      <c r="U3" s="784" t="s">
        <v>1454</v>
      </c>
      <c r="V3" s="118" t="s">
        <v>1461</v>
      </c>
    </row>
    <row r="4" spans="1:22">
      <c r="A4" s="782" t="s">
        <v>1433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</row>
    <row r="5" spans="1:22">
      <c r="A5" s="782"/>
      <c r="B5" s="782" t="s">
        <v>1434</v>
      </c>
      <c r="C5" s="782"/>
      <c r="D5" s="782">
        <v>21191020.06749</v>
      </c>
      <c r="E5" s="782">
        <v>21932387.537940003</v>
      </c>
      <c r="F5" s="782">
        <v>23941573.434899997</v>
      </c>
      <c r="G5" s="782">
        <v>11880514.80683</v>
      </c>
      <c r="H5" s="782">
        <v>6587646.7046499997</v>
      </c>
      <c r="I5" s="782">
        <v>3080579.9128</v>
      </c>
      <c r="J5" s="782">
        <v>2535595.96147</v>
      </c>
      <c r="K5" s="782">
        <v>2142554.12733</v>
      </c>
      <c r="L5" s="782">
        <v>2443888.1403299998</v>
      </c>
      <c r="M5" s="782">
        <v>7606580.9282399993</v>
      </c>
      <c r="N5" s="782">
        <v>13945184.24609</v>
      </c>
      <c r="O5" s="782">
        <v>20275965.084459998</v>
      </c>
      <c r="P5" s="782">
        <v>137563490.95253</v>
      </c>
      <c r="R5" s="785">
        <f>SUM(D5:F5,N5:O5)</f>
        <v>101286130.37088001</v>
      </c>
      <c r="S5" s="785">
        <f t="shared" ref="S5:S10" si="0">AVERAGE(D5:F5,N5:O5)</f>
        <v>20257226.074176002</v>
      </c>
      <c r="T5" s="785">
        <f>SUM(I5:L5)</f>
        <v>10202618.141929999</v>
      </c>
      <c r="U5" s="785">
        <f t="shared" ref="U5:U10" si="1">AVERAGE(I5:L5)</f>
        <v>2550654.5354824997</v>
      </c>
      <c r="V5" s="785">
        <f>S5-U5</f>
        <v>17706571.538693503</v>
      </c>
    </row>
    <row r="6" spans="1:22">
      <c r="A6" s="782"/>
      <c r="B6" s="782" t="s">
        <v>1435</v>
      </c>
      <c r="C6" s="782"/>
      <c r="D6" s="782">
        <v>7925020.0882400004</v>
      </c>
      <c r="E6" s="782">
        <v>8382073.8379899999</v>
      </c>
      <c r="F6" s="782">
        <v>8896947.8489899989</v>
      </c>
      <c r="G6" s="782">
        <v>5362314.0007799994</v>
      </c>
      <c r="H6" s="782">
        <v>3301881.1222300003</v>
      </c>
      <c r="I6" s="782">
        <v>2366158.6159600001</v>
      </c>
      <c r="J6" s="782">
        <v>1935589.2532299999</v>
      </c>
      <c r="K6" s="782">
        <v>1732053.42031</v>
      </c>
      <c r="L6" s="782">
        <v>1984701.5849299999</v>
      </c>
      <c r="M6" s="782">
        <v>3670233.1733500003</v>
      </c>
      <c r="N6" s="782">
        <v>5701042.6331899995</v>
      </c>
      <c r="O6" s="782">
        <v>7768208.0773600005</v>
      </c>
      <c r="P6" s="782">
        <v>59026223.656560004</v>
      </c>
      <c r="R6" s="785">
        <f t="shared" ref="R6:R41" si="2">SUM(D6:F6,N6:O6)</f>
        <v>38673292.485770002</v>
      </c>
      <c r="S6" s="785">
        <f t="shared" si="0"/>
        <v>7734658.4971540002</v>
      </c>
      <c r="T6" s="785">
        <f t="shared" ref="T6:T41" si="3">SUM(I6:L6)</f>
        <v>8018502.8744299999</v>
      </c>
      <c r="U6" s="785">
        <f t="shared" si="1"/>
        <v>2004625.7186075</v>
      </c>
      <c r="V6" s="785">
        <f t="shared" ref="V6:V41" si="4">S6-U6</f>
        <v>5730032.7785465</v>
      </c>
    </row>
    <row r="7" spans="1:22">
      <c r="A7" s="782"/>
      <c r="B7" s="782" t="s">
        <v>1436</v>
      </c>
      <c r="C7" s="782"/>
      <c r="D7" s="782">
        <v>231361.99300000002</v>
      </c>
      <c r="E7" s="782">
        <v>225916.48</v>
      </c>
      <c r="F7" s="782">
        <v>234273.06400000001</v>
      </c>
      <c r="G7" s="782">
        <v>165410.63399999999</v>
      </c>
      <c r="H7" s="782">
        <v>148388.50200000001</v>
      </c>
      <c r="I7" s="782">
        <v>-15471.10874</v>
      </c>
      <c r="J7" s="782">
        <v>108174.516</v>
      </c>
      <c r="K7" s="782">
        <v>134708.69</v>
      </c>
      <c r="L7" s="782">
        <v>111145.38400000001</v>
      </c>
      <c r="M7" s="782">
        <v>168114.41799999998</v>
      </c>
      <c r="N7" s="782">
        <v>449639.375</v>
      </c>
      <c r="O7" s="782">
        <v>741224.02899999998</v>
      </c>
      <c r="P7" s="782">
        <v>2702885.9762599999</v>
      </c>
      <c r="R7" s="785">
        <f t="shared" si="2"/>
        <v>1882414.9410000001</v>
      </c>
      <c r="S7" s="785">
        <f t="shared" si="0"/>
        <v>376482.98820000002</v>
      </c>
      <c r="T7" s="785">
        <f t="shared" si="3"/>
        <v>338557.48126000003</v>
      </c>
      <c r="U7" s="785">
        <f t="shared" si="1"/>
        <v>84639.370315000007</v>
      </c>
      <c r="V7" s="785">
        <f t="shared" si="4"/>
        <v>291843.61788500001</v>
      </c>
    </row>
    <row r="8" spans="1:22">
      <c r="A8" s="782"/>
      <c r="B8" s="782" t="s">
        <v>1437</v>
      </c>
      <c r="C8" s="782"/>
      <c r="D8" s="782">
        <v>141223.598</v>
      </c>
      <c r="E8" s="782">
        <v>142095.962</v>
      </c>
      <c r="F8" s="782">
        <v>133435.25399999999</v>
      </c>
      <c r="G8" s="782">
        <v>97799.154999999999</v>
      </c>
      <c r="H8" s="782">
        <v>74295.216</v>
      </c>
      <c r="I8" s="782">
        <v>52474.186000000002</v>
      </c>
      <c r="J8" s="782">
        <v>38599.68</v>
      </c>
      <c r="K8" s="782">
        <v>36912.334999999999</v>
      </c>
      <c r="L8" s="782">
        <v>11737.691999999999</v>
      </c>
      <c r="M8" s="782">
        <v>107004.38</v>
      </c>
      <c r="N8" s="782">
        <v>95173.206999999995</v>
      </c>
      <c r="O8" s="782">
        <v>62449.625</v>
      </c>
      <c r="P8" s="782">
        <v>993200.29</v>
      </c>
      <c r="R8" s="785">
        <f t="shared" si="2"/>
        <v>574377.64599999995</v>
      </c>
      <c r="S8" s="785">
        <f t="shared" si="0"/>
        <v>114875.52919999999</v>
      </c>
      <c r="T8" s="785">
        <f t="shared" si="3"/>
        <v>139723.89300000001</v>
      </c>
      <c r="U8" s="785">
        <f t="shared" si="1"/>
        <v>34930.973250000003</v>
      </c>
      <c r="V8" s="785">
        <f t="shared" si="4"/>
        <v>79944.55594999998</v>
      </c>
    </row>
    <row r="9" spans="1:22">
      <c r="A9" s="782"/>
      <c r="B9" s="782" t="s">
        <v>1438</v>
      </c>
      <c r="C9" s="782"/>
      <c r="D9" s="783">
        <v>3545563</v>
      </c>
      <c r="E9" s="783">
        <v>3917949</v>
      </c>
      <c r="F9" s="783">
        <v>4055434</v>
      </c>
      <c r="G9" s="783">
        <v>3694851</v>
      </c>
      <c r="H9" s="783">
        <v>3110140</v>
      </c>
      <c r="I9" s="783">
        <v>2599480</v>
      </c>
      <c r="J9" s="783">
        <v>2420678</v>
      </c>
      <c r="K9" s="783">
        <v>2424503</v>
      </c>
      <c r="L9" s="783">
        <v>2325589</v>
      </c>
      <c r="M9" s="783">
        <v>2566070</v>
      </c>
      <c r="N9" s="783">
        <v>3210635</v>
      </c>
      <c r="O9" s="783">
        <v>3207391</v>
      </c>
      <c r="P9" s="783">
        <v>37078283</v>
      </c>
      <c r="R9" s="786">
        <f t="shared" si="2"/>
        <v>17936972</v>
      </c>
      <c r="S9" s="786">
        <f t="shared" si="0"/>
        <v>3587394.4</v>
      </c>
      <c r="T9" s="786">
        <f t="shared" si="3"/>
        <v>9770250</v>
      </c>
      <c r="U9" s="786">
        <f t="shared" si="1"/>
        <v>2442562.5</v>
      </c>
      <c r="V9" s="786">
        <v>0</v>
      </c>
    </row>
    <row r="10" spans="1:22">
      <c r="A10" s="782" t="s">
        <v>1440</v>
      </c>
      <c r="B10" s="782"/>
      <c r="C10" s="782"/>
      <c r="D10" s="782">
        <f t="shared" ref="D10:P10" si="5">SUM(D5:D9)</f>
        <v>33034188.746730004</v>
      </c>
      <c r="E10" s="782">
        <f t="shared" si="5"/>
        <v>34600422.817930005</v>
      </c>
      <c r="F10" s="782">
        <f t="shared" si="5"/>
        <v>37261663.601889998</v>
      </c>
      <c r="G10" s="782">
        <f t="shared" si="5"/>
        <v>21200889.596609998</v>
      </c>
      <c r="H10" s="782">
        <f t="shared" si="5"/>
        <v>13222351.544880001</v>
      </c>
      <c r="I10" s="782">
        <f t="shared" si="5"/>
        <v>8083221.6060199998</v>
      </c>
      <c r="J10" s="782">
        <f t="shared" si="5"/>
        <v>7038637.4106999999</v>
      </c>
      <c r="K10" s="782">
        <f t="shared" si="5"/>
        <v>6470731.5726399999</v>
      </c>
      <c r="L10" s="782">
        <f t="shared" si="5"/>
        <v>6877061.8012599992</v>
      </c>
      <c r="M10" s="782">
        <f t="shared" si="5"/>
        <v>14118002.899590001</v>
      </c>
      <c r="N10" s="782">
        <f t="shared" si="5"/>
        <v>23401674.461279999</v>
      </c>
      <c r="O10" s="782">
        <f t="shared" si="5"/>
        <v>32055237.815819997</v>
      </c>
      <c r="P10" s="782">
        <f t="shared" si="5"/>
        <v>237364083.87535</v>
      </c>
      <c r="R10" s="785">
        <f t="shared" si="2"/>
        <v>160353187.44365001</v>
      </c>
      <c r="S10" s="785">
        <f t="shared" si="0"/>
        <v>32070637.488730002</v>
      </c>
      <c r="T10" s="785">
        <f t="shared" si="3"/>
        <v>28469652.390619997</v>
      </c>
      <c r="U10" s="785">
        <f t="shared" si="1"/>
        <v>7117413.0976549992</v>
      </c>
      <c r="V10" s="785">
        <f t="shared" si="4"/>
        <v>24953224.391075004</v>
      </c>
    </row>
    <row r="11" spans="1:22">
      <c r="A11" s="782"/>
      <c r="B11" s="782"/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R11" s="785"/>
      <c r="S11" s="785"/>
      <c r="T11" s="785"/>
      <c r="U11" s="785"/>
      <c r="V11" s="785"/>
    </row>
    <row r="12" spans="1:22">
      <c r="A12" s="782" t="s">
        <v>1441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R12" s="785"/>
      <c r="S12" s="785"/>
      <c r="T12" s="785"/>
      <c r="U12" s="785"/>
      <c r="V12" s="785"/>
    </row>
    <row r="13" spans="1:22">
      <c r="A13" s="782"/>
      <c r="B13" s="782" t="s">
        <v>1442</v>
      </c>
      <c r="C13" s="782"/>
      <c r="D13" s="782">
        <v>699411.99300000002</v>
      </c>
      <c r="E13" s="782">
        <v>723633.48</v>
      </c>
      <c r="F13" s="782">
        <v>790216.06400000001</v>
      </c>
      <c r="G13" s="782">
        <v>569309.63399999996</v>
      </c>
      <c r="H13" s="782">
        <v>363199.50199999998</v>
      </c>
      <c r="I13" s="782">
        <v>60334.891260000004</v>
      </c>
      <c r="J13" s="782">
        <v>149501.516</v>
      </c>
      <c r="K13" s="782">
        <v>163382.69</v>
      </c>
      <c r="L13" s="782">
        <v>137254.38400000002</v>
      </c>
      <c r="M13" s="782">
        <v>244358.41799999998</v>
      </c>
      <c r="N13" s="782">
        <v>501938.375</v>
      </c>
      <c r="O13" s="782">
        <v>741224.02899999998</v>
      </c>
      <c r="P13" s="782">
        <v>5143764.9762599999</v>
      </c>
      <c r="R13" s="785">
        <f t="shared" si="2"/>
        <v>3456423.9410000001</v>
      </c>
      <c r="S13" s="785">
        <f>AVERAGE(D13:F13,N13:O13)</f>
        <v>691284.78820000007</v>
      </c>
      <c r="T13" s="785">
        <f t="shared" si="3"/>
        <v>510473.48126000003</v>
      </c>
      <c r="U13" s="785">
        <f>AVERAGE(I13:L13)</f>
        <v>127618.37031500001</v>
      </c>
      <c r="V13" s="785">
        <f t="shared" si="4"/>
        <v>563666.41788500012</v>
      </c>
    </row>
    <row r="14" spans="1:22">
      <c r="A14" s="782"/>
      <c r="B14" s="782" t="s">
        <v>1443</v>
      </c>
      <c r="C14" s="782"/>
      <c r="D14" s="782">
        <v>-231361.99300000002</v>
      </c>
      <c r="E14" s="782">
        <v>-225916.48</v>
      </c>
      <c r="F14" s="782">
        <v>-234273.06400000001</v>
      </c>
      <c r="G14" s="782">
        <v>-165410.63399999999</v>
      </c>
      <c r="H14" s="782">
        <v>-148388.50200000001</v>
      </c>
      <c r="I14" s="782">
        <v>15471.10874</v>
      </c>
      <c r="J14" s="782">
        <v>-108174.516</v>
      </c>
      <c r="K14" s="782">
        <v>-134708.69</v>
      </c>
      <c r="L14" s="782">
        <v>-111145.38400000001</v>
      </c>
      <c r="M14" s="782">
        <v>-168114.41799999998</v>
      </c>
      <c r="N14" s="782">
        <v>-449639.375</v>
      </c>
      <c r="O14" s="782">
        <v>-741224.02899999998</v>
      </c>
      <c r="P14" s="782">
        <v>-2702885.9762599999</v>
      </c>
      <c r="R14" s="785">
        <f t="shared" si="2"/>
        <v>-1882414.9410000001</v>
      </c>
      <c r="S14" s="785">
        <f>AVERAGE(D14:F14,N14:O14)</f>
        <v>-376482.98820000002</v>
      </c>
      <c r="T14" s="785">
        <f t="shared" si="3"/>
        <v>-338557.48126000003</v>
      </c>
      <c r="U14" s="785">
        <f>AVERAGE(I14:L14)</f>
        <v>-84639.370315000007</v>
      </c>
      <c r="V14" s="785">
        <f t="shared" si="4"/>
        <v>-291843.61788500001</v>
      </c>
    </row>
    <row r="15" spans="1:22">
      <c r="A15" s="782"/>
      <c r="B15" s="782" t="s">
        <v>1444</v>
      </c>
      <c r="C15" s="782"/>
      <c r="D15" s="782">
        <v>-468050</v>
      </c>
      <c r="E15" s="782">
        <v>-497717</v>
      </c>
      <c r="F15" s="782">
        <v>-555943</v>
      </c>
      <c r="G15" s="782">
        <v>-403899</v>
      </c>
      <c r="H15" s="782">
        <v>-214811</v>
      </c>
      <c r="I15" s="782">
        <v>-75806</v>
      </c>
      <c r="J15" s="782">
        <v>-41327</v>
      </c>
      <c r="K15" s="782">
        <v>-28674</v>
      </c>
      <c r="L15" s="782">
        <v>-26109</v>
      </c>
      <c r="M15" s="782">
        <v>-76244</v>
      </c>
      <c r="N15" s="782">
        <v>-52299</v>
      </c>
      <c r="O15" s="782">
        <v>0</v>
      </c>
      <c r="P15" s="782">
        <v>-2440879</v>
      </c>
      <c r="R15" s="785">
        <f t="shared" si="2"/>
        <v>-1574009</v>
      </c>
      <c r="S15" s="785">
        <f>AVERAGE(D15:F15,N15:O15)</f>
        <v>-314801.8</v>
      </c>
      <c r="T15" s="785">
        <f t="shared" si="3"/>
        <v>-171916</v>
      </c>
      <c r="U15" s="785">
        <f>AVERAGE(I15:L15)</f>
        <v>-42979</v>
      </c>
      <c r="V15" s="785">
        <f t="shared" si="4"/>
        <v>-271822.8</v>
      </c>
    </row>
    <row r="16" spans="1:22">
      <c r="A16" s="782"/>
      <c r="B16" s="782" t="s">
        <v>1445</v>
      </c>
      <c r="C16" s="782"/>
      <c r="D16" s="783">
        <v>-375510</v>
      </c>
      <c r="E16" s="783">
        <v>17076</v>
      </c>
      <c r="F16" s="783">
        <v>208914</v>
      </c>
      <c r="G16" s="783">
        <v>581758</v>
      </c>
      <c r="H16" s="783">
        <v>510719</v>
      </c>
      <c r="I16" s="783">
        <v>178791</v>
      </c>
      <c r="J16" s="783">
        <v>-2275</v>
      </c>
      <c r="K16" s="783">
        <v>97383</v>
      </c>
      <c r="L16" s="783">
        <v>-240621</v>
      </c>
      <c r="M16" s="783">
        <v>-644784</v>
      </c>
      <c r="N16" s="783">
        <v>4649</v>
      </c>
      <c r="O16" s="783">
        <v>49722</v>
      </c>
      <c r="P16" s="783">
        <v>385822</v>
      </c>
      <c r="R16" s="786">
        <f t="shared" si="2"/>
        <v>-95149</v>
      </c>
      <c r="S16" s="786">
        <f>AVERAGE(D16:F16,N16:O16)</f>
        <v>-19029.8</v>
      </c>
      <c r="T16" s="786">
        <f t="shared" si="3"/>
        <v>33278</v>
      </c>
      <c r="U16" s="786">
        <f>AVERAGE(I16:L16)</f>
        <v>8319.5</v>
      </c>
      <c r="V16" s="786">
        <v>0</v>
      </c>
    </row>
    <row r="17" spans="1:22">
      <c r="A17" s="782" t="s">
        <v>1447</v>
      </c>
      <c r="B17" s="782"/>
      <c r="C17" s="782"/>
      <c r="D17" s="782">
        <f t="shared" ref="D17:P17" si="6">SUM(D13:D16)</f>
        <v>-375510</v>
      </c>
      <c r="E17" s="782">
        <f t="shared" si="6"/>
        <v>17076</v>
      </c>
      <c r="F17" s="782">
        <f t="shared" si="6"/>
        <v>208914</v>
      </c>
      <c r="G17" s="782">
        <f t="shared" si="6"/>
        <v>581758</v>
      </c>
      <c r="H17" s="782">
        <f t="shared" si="6"/>
        <v>510719</v>
      </c>
      <c r="I17" s="782">
        <f t="shared" si="6"/>
        <v>178791</v>
      </c>
      <c r="J17" s="782">
        <f t="shared" si="6"/>
        <v>-2275</v>
      </c>
      <c r="K17" s="782">
        <f t="shared" si="6"/>
        <v>97383</v>
      </c>
      <c r="L17" s="782">
        <f t="shared" si="6"/>
        <v>-240621</v>
      </c>
      <c r="M17" s="782">
        <f t="shared" si="6"/>
        <v>-644784</v>
      </c>
      <c r="N17" s="782">
        <f t="shared" si="6"/>
        <v>4649</v>
      </c>
      <c r="O17" s="782">
        <f t="shared" si="6"/>
        <v>49722</v>
      </c>
      <c r="P17" s="782">
        <f t="shared" si="6"/>
        <v>385822</v>
      </c>
      <c r="R17" s="785">
        <f t="shared" si="2"/>
        <v>-95149</v>
      </c>
      <c r="S17" s="785">
        <f>AVERAGE(D17:F17,N17:O17)</f>
        <v>-19029.8</v>
      </c>
      <c r="T17" s="785">
        <f t="shared" si="3"/>
        <v>33278</v>
      </c>
      <c r="U17" s="785">
        <f>AVERAGE(I17:L17)</f>
        <v>8319.5</v>
      </c>
      <c r="V17" s="785">
        <f t="shared" si="4"/>
        <v>-27349.3</v>
      </c>
    </row>
    <row r="18" spans="1:22">
      <c r="A18" s="782"/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R18" s="785"/>
      <c r="S18" s="785"/>
      <c r="T18" s="785"/>
      <c r="U18" s="785"/>
      <c r="V18" s="785"/>
    </row>
    <row r="19" spans="1:22">
      <c r="A19" s="782" t="s">
        <v>1448</v>
      </c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R19" s="785"/>
      <c r="S19" s="785"/>
      <c r="T19" s="785"/>
      <c r="U19" s="785"/>
      <c r="V19" s="785"/>
    </row>
    <row r="20" spans="1:22">
      <c r="A20" s="782"/>
      <c r="B20" s="782" t="s">
        <v>1434</v>
      </c>
      <c r="C20" s="782"/>
      <c r="D20" s="782">
        <v>-93241</v>
      </c>
      <c r="E20" s="782">
        <v>1486231</v>
      </c>
      <c r="F20" s="782">
        <v>-5446055</v>
      </c>
      <c r="G20" s="782">
        <v>-3192365</v>
      </c>
      <c r="H20" s="782">
        <v>-2270339</v>
      </c>
      <c r="I20" s="782">
        <v>-580614</v>
      </c>
      <c r="J20" s="782">
        <v>-140496</v>
      </c>
      <c r="K20" s="782">
        <v>76639</v>
      </c>
      <c r="L20" s="782">
        <v>1229004</v>
      </c>
      <c r="M20" s="782">
        <v>5155347</v>
      </c>
      <c r="N20" s="782">
        <v>3384088</v>
      </c>
      <c r="O20" s="782">
        <v>-650710</v>
      </c>
      <c r="P20" s="782">
        <v>-1042511</v>
      </c>
      <c r="R20" s="785">
        <f t="shared" si="2"/>
        <v>-1319687</v>
      </c>
      <c r="S20" s="785">
        <f t="shared" ref="S20:S25" si="7">AVERAGE(D20:F20,N20:O20)</f>
        <v>-263937.40000000002</v>
      </c>
      <c r="T20" s="785">
        <f t="shared" si="3"/>
        <v>584533</v>
      </c>
      <c r="U20" s="785">
        <f t="shared" ref="U20:U25" si="8">AVERAGE(I20:L20)</f>
        <v>146133.25</v>
      </c>
      <c r="V20" s="785">
        <f t="shared" si="4"/>
        <v>-410070.65</v>
      </c>
    </row>
    <row r="21" spans="1:22">
      <c r="A21" s="782"/>
      <c r="B21" s="782" t="s">
        <v>1435</v>
      </c>
      <c r="C21" s="782"/>
      <c r="D21" s="782">
        <v>96210</v>
      </c>
      <c r="E21" s="782">
        <v>621953</v>
      </c>
      <c r="F21" s="782">
        <v>-2060505</v>
      </c>
      <c r="G21" s="782">
        <v>-822261</v>
      </c>
      <c r="H21" s="782">
        <v>-899239</v>
      </c>
      <c r="I21" s="782">
        <v>49856</v>
      </c>
      <c r="J21" s="782">
        <v>-114282</v>
      </c>
      <c r="K21" s="782">
        <v>101369</v>
      </c>
      <c r="L21" s="782">
        <v>869634</v>
      </c>
      <c r="M21" s="782">
        <v>1650435</v>
      </c>
      <c r="N21" s="782">
        <v>820942</v>
      </c>
      <c r="O21" s="782">
        <v>-476695</v>
      </c>
      <c r="P21" s="782">
        <v>-162583</v>
      </c>
      <c r="R21" s="785">
        <f t="shared" si="2"/>
        <v>-998095</v>
      </c>
      <c r="S21" s="785">
        <f t="shared" si="7"/>
        <v>-199619</v>
      </c>
      <c r="T21" s="785">
        <f t="shared" si="3"/>
        <v>906577</v>
      </c>
      <c r="U21" s="785">
        <f t="shared" si="8"/>
        <v>226644.25</v>
      </c>
      <c r="V21" s="785">
        <f t="shared" si="4"/>
        <v>-426263.25</v>
      </c>
    </row>
    <row r="22" spans="1:22">
      <c r="A22" s="782"/>
      <c r="B22" s="782" t="s">
        <v>1436</v>
      </c>
      <c r="C22" s="782"/>
      <c r="D22" s="782">
        <v>-42200</v>
      </c>
      <c r="E22" s="782">
        <v>8351</v>
      </c>
      <c r="F22" s="782">
        <v>-60022</v>
      </c>
      <c r="G22" s="782">
        <v>-14015</v>
      </c>
      <c r="H22" s="782">
        <v>-15288</v>
      </c>
      <c r="I22" s="782">
        <v>-49537</v>
      </c>
      <c r="J22" s="782">
        <v>57023</v>
      </c>
      <c r="K22" s="782">
        <v>28693</v>
      </c>
      <c r="L22" s="782">
        <v>34057</v>
      </c>
      <c r="M22" s="782">
        <v>55942</v>
      </c>
      <c r="N22" s="782">
        <v>186983</v>
      </c>
      <c r="O22" s="782">
        <v>23835</v>
      </c>
      <c r="P22" s="782">
        <v>213822</v>
      </c>
      <c r="R22" s="785">
        <f t="shared" si="2"/>
        <v>116947</v>
      </c>
      <c r="S22" s="785">
        <f t="shared" si="7"/>
        <v>23389.4</v>
      </c>
      <c r="T22" s="785">
        <f t="shared" si="3"/>
        <v>70236</v>
      </c>
      <c r="U22" s="785">
        <f t="shared" si="8"/>
        <v>17559</v>
      </c>
      <c r="V22" s="785">
        <f t="shared" si="4"/>
        <v>5830.4000000000015</v>
      </c>
    </row>
    <row r="23" spans="1:22">
      <c r="A23" s="782"/>
      <c r="B23" s="782" t="s">
        <v>1437</v>
      </c>
      <c r="C23" s="782"/>
      <c r="D23" s="782">
        <v>0</v>
      </c>
      <c r="E23" s="782">
        <v>0</v>
      </c>
      <c r="F23" s="782">
        <v>0</v>
      </c>
      <c r="G23" s="782">
        <v>0</v>
      </c>
      <c r="H23" s="782">
        <v>0</v>
      </c>
      <c r="I23" s="782">
        <v>0</v>
      </c>
      <c r="J23" s="782">
        <v>0</v>
      </c>
      <c r="K23" s="782">
        <v>0</v>
      </c>
      <c r="L23" s="782">
        <v>0</v>
      </c>
      <c r="M23" s="782">
        <v>0</v>
      </c>
      <c r="N23" s="782">
        <v>0</v>
      </c>
      <c r="O23" s="782">
        <v>0</v>
      </c>
      <c r="P23" s="782">
        <v>0</v>
      </c>
      <c r="R23" s="785">
        <f t="shared" si="2"/>
        <v>0</v>
      </c>
      <c r="S23" s="785">
        <f t="shared" si="7"/>
        <v>0</v>
      </c>
      <c r="T23" s="785">
        <f t="shared" si="3"/>
        <v>0</v>
      </c>
      <c r="U23" s="785">
        <f t="shared" si="8"/>
        <v>0</v>
      </c>
      <c r="V23" s="785">
        <f t="shared" si="4"/>
        <v>0</v>
      </c>
    </row>
    <row r="24" spans="1:22">
      <c r="A24" s="782"/>
      <c r="B24" s="782" t="s">
        <v>1438</v>
      </c>
      <c r="C24" s="782"/>
      <c r="D24" s="783">
        <v>375510</v>
      </c>
      <c r="E24" s="783">
        <v>-17076</v>
      </c>
      <c r="F24" s="783">
        <v>-208914</v>
      </c>
      <c r="G24" s="783">
        <v>-581758</v>
      </c>
      <c r="H24" s="783">
        <v>-510719</v>
      </c>
      <c r="I24" s="783">
        <v>-178791</v>
      </c>
      <c r="J24" s="783">
        <v>2275</v>
      </c>
      <c r="K24" s="783">
        <v>-97383</v>
      </c>
      <c r="L24" s="783">
        <v>240621</v>
      </c>
      <c r="M24" s="783">
        <v>644784</v>
      </c>
      <c r="N24" s="783">
        <v>-4649</v>
      </c>
      <c r="O24" s="783">
        <v>-49722</v>
      </c>
      <c r="P24" s="783">
        <v>-385822</v>
      </c>
      <c r="R24" s="786">
        <f t="shared" si="2"/>
        <v>95149</v>
      </c>
      <c r="S24" s="786">
        <f t="shared" si="7"/>
        <v>19029.8</v>
      </c>
      <c r="T24" s="786">
        <f t="shared" si="3"/>
        <v>-33278</v>
      </c>
      <c r="U24" s="786">
        <f t="shared" si="8"/>
        <v>-8319.5</v>
      </c>
      <c r="V24" s="786">
        <v>0</v>
      </c>
    </row>
    <row r="25" spans="1:22">
      <c r="A25" s="782" t="s">
        <v>1448</v>
      </c>
      <c r="B25" s="782"/>
      <c r="C25" s="782"/>
      <c r="D25" s="782">
        <f t="shared" ref="D25:P25" si="9">SUM(D20:D24)</f>
        <v>336279</v>
      </c>
      <c r="E25" s="782">
        <f t="shared" si="9"/>
        <v>2099459</v>
      </c>
      <c r="F25" s="782">
        <f t="shared" si="9"/>
        <v>-7775496</v>
      </c>
      <c r="G25" s="782">
        <f t="shared" si="9"/>
        <v>-4610399</v>
      </c>
      <c r="H25" s="782">
        <f t="shared" si="9"/>
        <v>-3695585</v>
      </c>
      <c r="I25" s="782">
        <f t="shared" si="9"/>
        <v>-759086</v>
      </c>
      <c r="J25" s="782">
        <f t="shared" si="9"/>
        <v>-195480</v>
      </c>
      <c r="K25" s="782">
        <f t="shared" si="9"/>
        <v>109318</v>
      </c>
      <c r="L25" s="782">
        <f t="shared" si="9"/>
        <v>2373316</v>
      </c>
      <c r="M25" s="782">
        <f t="shared" si="9"/>
        <v>7506508</v>
      </c>
      <c r="N25" s="782">
        <f t="shared" si="9"/>
        <v>4387364</v>
      </c>
      <c r="O25" s="782">
        <f t="shared" si="9"/>
        <v>-1153292</v>
      </c>
      <c r="P25" s="782">
        <f t="shared" si="9"/>
        <v>-1377094</v>
      </c>
      <c r="R25" s="785">
        <f t="shared" si="2"/>
        <v>-2105686</v>
      </c>
      <c r="S25" s="785">
        <f t="shared" si="7"/>
        <v>-421137.2</v>
      </c>
      <c r="T25" s="785">
        <f t="shared" si="3"/>
        <v>1528068</v>
      </c>
      <c r="U25" s="785">
        <f t="shared" si="8"/>
        <v>382017</v>
      </c>
      <c r="V25" s="785">
        <f t="shared" si="4"/>
        <v>-803154.2</v>
      </c>
    </row>
    <row r="26" spans="1:22">
      <c r="A26" s="782"/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R26" s="785"/>
      <c r="S26" s="785"/>
      <c r="T26" s="785"/>
      <c r="U26" s="785"/>
      <c r="V26" s="785"/>
    </row>
    <row r="27" spans="1:22">
      <c r="A27" s="782" t="s">
        <v>1449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R27" s="785"/>
      <c r="S27" s="785"/>
      <c r="T27" s="785"/>
      <c r="U27" s="785"/>
      <c r="V27" s="785"/>
    </row>
    <row r="28" spans="1:22">
      <c r="A28" s="782"/>
      <c r="B28" s="782" t="s">
        <v>1434</v>
      </c>
      <c r="C28" s="782"/>
      <c r="D28" s="782">
        <v>955672</v>
      </c>
      <c r="E28" s="782">
        <v>-5579988</v>
      </c>
      <c r="F28" s="782">
        <v>-3103187</v>
      </c>
      <c r="G28" s="782">
        <v>647284</v>
      </c>
      <c r="H28" s="782">
        <v>1858877</v>
      </c>
      <c r="I28" s="782">
        <v>637272</v>
      </c>
      <c r="J28" s="782">
        <v>323996</v>
      </c>
      <c r="K28" s="782">
        <v>486920</v>
      </c>
      <c r="L28" s="782">
        <v>-901358</v>
      </c>
      <c r="M28" s="782">
        <v>-2606962</v>
      </c>
      <c r="N28" s="782">
        <v>-188880</v>
      </c>
      <c r="O28" s="782">
        <v>3044978</v>
      </c>
      <c r="P28" s="782">
        <v>-4425376</v>
      </c>
      <c r="R28" s="785">
        <f t="shared" si="2"/>
        <v>-4871405</v>
      </c>
      <c r="S28" s="785">
        <f t="shared" ref="S28:S33" si="10">AVERAGE(D28:F28,N28:O28)</f>
        <v>-974281</v>
      </c>
      <c r="T28" s="785">
        <f t="shared" si="3"/>
        <v>546830</v>
      </c>
      <c r="U28" s="785">
        <f t="shared" ref="U28:U33" si="11">AVERAGE(I28:L28)</f>
        <v>136707.5</v>
      </c>
      <c r="V28" s="785">
        <f t="shared" si="4"/>
        <v>-1110988.5</v>
      </c>
    </row>
    <row r="29" spans="1:22">
      <c r="A29" s="782"/>
      <c r="B29" s="782" t="s">
        <v>1435</v>
      </c>
      <c r="C29" s="782"/>
      <c r="D29" s="782">
        <v>297166</v>
      </c>
      <c r="E29" s="782">
        <v>-1736842</v>
      </c>
      <c r="F29" s="782">
        <v>-965494</v>
      </c>
      <c r="G29" s="782">
        <v>233134</v>
      </c>
      <c r="H29" s="782">
        <v>655578</v>
      </c>
      <c r="I29" s="782">
        <v>226858</v>
      </c>
      <c r="J29" s="782">
        <v>112785</v>
      </c>
      <c r="K29" s="782">
        <v>168868</v>
      </c>
      <c r="L29" s="782">
        <v>-312423</v>
      </c>
      <c r="M29" s="782">
        <v>-912947</v>
      </c>
      <c r="N29" s="782">
        <v>-66251</v>
      </c>
      <c r="O29" s="782">
        <v>938940</v>
      </c>
      <c r="P29" s="782">
        <v>-1360628</v>
      </c>
      <c r="R29" s="785">
        <f t="shared" si="2"/>
        <v>-1532481</v>
      </c>
      <c r="S29" s="785">
        <f t="shared" si="10"/>
        <v>-306496.2</v>
      </c>
      <c r="T29" s="785">
        <f t="shared" si="3"/>
        <v>196088</v>
      </c>
      <c r="U29" s="785">
        <f t="shared" si="11"/>
        <v>49022</v>
      </c>
      <c r="V29" s="785">
        <f t="shared" si="4"/>
        <v>-355518.2</v>
      </c>
    </row>
    <row r="30" spans="1:22">
      <c r="A30" s="782"/>
      <c r="B30" s="782" t="s">
        <v>1436</v>
      </c>
      <c r="C30" s="782"/>
      <c r="D30" s="782">
        <v>407</v>
      </c>
      <c r="E30" s="782">
        <v>-2419</v>
      </c>
      <c r="F30" s="782">
        <v>-1952</v>
      </c>
      <c r="G30" s="782">
        <v>480</v>
      </c>
      <c r="H30" s="782">
        <v>1349</v>
      </c>
      <c r="I30" s="782">
        <v>-469</v>
      </c>
      <c r="J30" s="782">
        <v>165</v>
      </c>
      <c r="K30" s="782">
        <v>310</v>
      </c>
      <c r="L30" s="782">
        <v>-585</v>
      </c>
      <c r="M30" s="782">
        <v>-1553</v>
      </c>
      <c r="N30" s="782">
        <v>-137</v>
      </c>
      <c r="O30" s="782">
        <v>2554</v>
      </c>
      <c r="P30" s="782">
        <v>-1850</v>
      </c>
      <c r="R30" s="785">
        <f t="shared" si="2"/>
        <v>-1547</v>
      </c>
      <c r="S30" s="785">
        <f t="shared" si="10"/>
        <v>-309.39999999999998</v>
      </c>
      <c r="T30" s="785">
        <f t="shared" si="3"/>
        <v>-579</v>
      </c>
      <c r="U30" s="785">
        <f t="shared" si="11"/>
        <v>-144.75</v>
      </c>
      <c r="V30" s="785">
        <f t="shared" si="4"/>
        <v>-164.64999999999998</v>
      </c>
    </row>
    <row r="31" spans="1:22">
      <c r="A31" s="782"/>
      <c r="B31" s="782" t="s">
        <v>1437</v>
      </c>
      <c r="C31" s="782"/>
      <c r="D31" s="782">
        <v>0</v>
      </c>
      <c r="E31" s="782">
        <v>0</v>
      </c>
      <c r="F31" s="782">
        <v>0</v>
      </c>
      <c r="G31" s="782">
        <v>0</v>
      </c>
      <c r="H31" s="782">
        <v>0</v>
      </c>
      <c r="I31" s="782">
        <v>0</v>
      </c>
      <c r="J31" s="782">
        <v>0</v>
      </c>
      <c r="K31" s="782">
        <v>0</v>
      </c>
      <c r="L31" s="782">
        <v>0</v>
      </c>
      <c r="M31" s="782">
        <v>0</v>
      </c>
      <c r="N31" s="782">
        <v>0</v>
      </c>
      <c r="O31" s="782">
        <v>0</v>
      </c>
      <c r="P31" s="782">
        <v>0</v>
      </c>
      <c r="R31" s="787">
        <f t="shared" si="2"/>
        <v>0</v>
      </c>
      <c r="S31" s="787">
        <f t="shared" si="10"/>
        <v>0</v>
      </c>
      <c r="T31" s="787">
        <f t="shared" si="3"/>
        <v>0</v>
      </c>
      <c r="U31" s="785">
        <f t="shared" si="11"/>
        <v>0</v>
      </c>
      <c r="V31" s="785">
        <f t="shared" si="4"/>
        <v>0</v>
      </c>
    </row>
    <row r="32" spans="1:22">
      <c r="A32" s="782"/>
      <c r="B32" s="782" t="s">
        <v>1438</v>
      </c>
      <c r="C32" s="782"/>
      <c r="D32" s="783">
        <v>0</v>
      </c>
      <c r="E32" s="783">
        <v>0</v>
      </c>
      <c r="F32" s="783">
        <v>0</v>
      </c>
      <c r="G32" s="783">
        <v>0</v>
      </c>
      <c r="H32" s="783">
        <v>0</v>
      </c>
      <c r="I32" s="783">
        <v>0</v>
      </c>
      <c r="J32" s="783">
        <v>0</v>
      </c>
      <c r="K32" s="783">
        <v>0</v>
      </c>
      <c r="L32" s="783">
        <v>0</v>
      </c>
      <c r="M32" s="783">
        <v>0</v>
      </c>
      <c r="N32" s="783">
        <v>0</v>
      </c>
      <c r="O32" s="783">
        <v>0</v>
      </c>
      <c r="P32" s="783">
        <v>0</v>
      </c>
      <c r="R32" s="786">
        <f t="shared" si="2"/>
        <v>0</v>
      </c>
      <c r="S32" s="786">
        <f t="shared" si="10"/>
        <v>0</v>
      </c>
      <c r="T32" s="786">
        <f t="shared" si="3"/>
        <v>0</v>
      </c>
      <c r="U32" s="786">
        <f t="shared" si="11"/>
        <v>0</v>
      </c>
      <c r="V32" s="786">
        <f t="shared" si="4"/>
        <v>0</v>
      </c>
    </row>
    <row r="33" spans="1:22">
      <c r="A33" s="782" t="s">
        <v>1450</v>
      </c>
      <c r="B33" s="782"/>
      <c r="C33" s="782"/>
      <c r="D33" s="782">
        <f t="shared" ref="D33:P33" si="12">SUM(D28:D32)</f>
        <v>1253245</v>
      </c>
      <c r="E33" s="782">
        <f t="shared" si="12"/>
        <v>-7319249</v>
      </c>
      <c r="F33" s="782">
        <f t="shared" si="12"/>
        <v>-4070633</v>
      </c>
      <c r="G33" s="782">
        <f t="shared" si="12"/>
        <v>880898</v>
      </c>
      <c r="H33" s="782">
        <f t="shared" si="12"/>
        <v>2515804</v>
      </c>
      <c r="I33" s="782">
        <f t="shared" si="12"/>
        <v>863661</v>
      </c>
      <c r="J33" s="782">
        <f t="shared" si="12"/>
        <v>436946</v>
      </c>
      <c r="K33" s="782">
        <f t="shared" si="12"/>
        <v>656098</v>
      </c>
      <c r="L33" s="782">
        <f t="shared" si="12"/>
        <v>-1214366</v>
      </c>
      <c r="M33" s="782">
        <f t="shared" si="12"/>
        <v>-3521462</v>
      </c>
      <c r="N33" s="782">
        <f t="shared" si="12"/>
        <v>-255268</v>
      </c>
      <c r="O33" s="782">
        <f t="shared" si="12"/>
        <v>3986472</v>
      </c>
      <c r="P33" s="782">
        <f t="shared" si="12"/>
        <v>-5787854</v>
      </c>
      <c r="R33" s="785">
        <f t="shared" si="2"/>
        <v>-6405433</v>
      </c>
      <c r="S33" s="785">
        <f t="shared" si="10"/>
        <v>-1281086.6000000001</v>
      </c>
      <c r="T33" s="785">
        <f t="shared" si="3"/>
        <v>742339</v>
      </c>
      <c r="U33" s="785">
        <f t="shared" si="11"/>
        <v>185584.75</v>
      </c>
      <c r="V33" s="785">
        <f t="shared" si="4"/>
        <v>-1466671.35</v>
      </c>
    </row>
    <row r="34" spans="1:22">
      <c r="A34" s="782"/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R34" s="785"/>
      <c r="S34" s="785"/>
      <c r="T34" s="785"/>
      <c r="U34" s="785"/>
      <c r="V34" s="785"/>
    </row>
    <row r="35" spans="1:22">
      <c r="A35" s="782" t="s">
        <v>1451</v>
      </c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R35" s="785"/>
      <c r="S35" s="785"/>
      <c r="T35" s="785"/>
      <c r="U35" s="785"/>
      <c r="V35" s="785"/>
    </row>
    <row r="36" spans="1:22">
      <c r="A36" s="782"/>
      <c r="B36" s="782" t="s">
        <v>1434</v>
      </c>
      <c r="C36" s="782"/>
      <c r="D36" s="782">
        <v>22053451.06749</v>
      </c>
      <c r="E36" s="782">
        <v>17838630.537940003</v>
      </c>
      <c r="F36" s="782">
        <v>15392331.434899997</v>
      </c>
      <c r="G36" s="782">
        <v>9335433.8068300001</v>
      </c>
      <c r="H36" s="782">
        <v>6176184.7046499997</v>
      </c>
      <c r="I36" s="782">
        <v>3137237.9128</v>
      </c>
      <c r="J36" s="782">
        <v>2719095.96147</v>
      </c>
      <c r="K36" s="782">
        <v>2706113.12733</v>
      </c>
      <c r="L36" s="782">
        <v>2771534.1403299998</v>
      </c>
      <c r="M36" s="782">
        <v>10154965.928239999</v>
      </c>
      <c r="N36" s="782">
        <v>17140392.246089999</v>
      </c>
      <c r="O36" s="782">
        <v>22670233.084459998</v>
      </c>
      <c r="P36" s="782">
        <v>132095603.95253</v>
      </c>
      <c r="R36" s="785">
        <f t="shared" si="2"/>
        <v>95095038.370880008</v>
      </c>
      <c r="S36" s="785">
        <f t="shared" ref="S36:S41" si="13">AVERAGE(D36:F36,N36:O36)</f>
        <v>19019007.674176</v>
      </c>
      <c r="T36" s="785">
        <f t="shared" si="3"/>
        <v>11333981.141929999</v>
      </c>
      <c r="U36" s="785">
        <f t="shared" ref="U36:U41" si="14">AVERAGE(I36:L36)</f>
        <v>2833495.2854824997</v>
      </c>
      <c r="V36" s="785">
        <f t="shared" si="4"/>
        <v>16185512.3886935</v>
      </c>
    </row>
    <row r="37" spans="1:22">
      <c r="A37" s="782"/>
      <c r="B37" s="782" t="s">
        <v>1435</v>
      </c>
      <c r="C37" s="782"/>
      <c r="D37" s="782">
        <v>8976015.0812400002</v>
      </c>
      <c r="E37" s="782">
        <v>7996750.3179900013</v>
      </c>
      <c r="F37" s="782">
        <v>6599190.9129899992</v>
      </c>
      <c r="G37" s="782">
        <v>5328961.634779999</v>
      </c>
      <c r="H37" s="782">
        <v>3407480.6242300002</v>
      </c>
      <c r="I37" s="782">
        <v>2653201.50722</v>
      </c>
      <c r="J37" s="782">
        <v>2140781.7692299997</v>
      </c>
      <c r="K37" s="782">
        <v>2194676.1103099999</v>
      </c>
      <c r="L37" s="782">
        <v>2712638.96893</v>
      </c>
      <c r="M37" s="782">
        <v>4706468.5913500004</v>
      </c>
      <c r="N37" s="782">
        <v>7144518.0081899995</v>
      </c>
      <c r="O37" s="782">
        <v>8998066.1063599996</v>
      </c>
      <c r="P37" s="782">
        <v>62858749.63282001</v>
      </c>
      <c r="R37" s="785">
        <f t="shared" si="2"/>
        <v>39714540.426770002</v>
      </c>
      <c r="S37" s="785">
        <f t="shared" si="13"/>
        <v>7942908.0853540003</v>
      </c>
      <c r="T37" s="785">
        <f t="shared" si="3"/>
        <v>9701298.3556900006</v>
      </c>
      <c r="U37" s="785">
        <f t="shared" si="14"/>
        <v>2425324.5889225001</v>
      </c>
      <c r="V37" s="785">
        <f t="shared" si="4"/>
        <v>5517583.4964314997</v>
      </c>
    </row>
    <row r="38" spans="1:22">
      <c r="A38" s="782"/>
      <c r="B38" s="782" t="s">
        <v>1436</v>
      </c>
      <c r="C38" s="782"/>
      <c r="D38" s="782">
        <v>0</v>
      </c>
      <c r="E38" s="782">
        <v>0</v>
      </c>
      <c r="F38" s="782">
        <v>0</v>
      </c>
      <c r="G38" s="782">
        <v>0</v>
      </c>
      <c r="H38" s="782">
        <v>0</v>
      </c>
      <c r="I38" s="782">
        <v>0</v>
      </c>
      <c r="J38" s="782">
        <v>0</v>
      </c>
      <c r="K38" s="782">
        <v>0</v>
      </c>
      <c r="L38" s="782">
        <v>0</v>
      </c>
      <c r="M38" s="782">
        <v>0</v>
      </c>
      <c r="N38" s="782">
        <v>0</v>
      </c>
      <c r="O38" s="782">
        <v>0</v>
      </c>
      <c r="P38" s="782">
        <v>0</v>
      </c>
      <c r="R38" s="785">
        <f t="shared" si="2"/>
        <v>0</v>
      </c>
      <c r="S38" s="785">
        <f t="shared" si="13"/>
        <v>0</v>
      </c>
      <c r="T38" s="785">
        <f t="shared" si="3"/>
        <v>0</v>
      </c>
      <c r="U38" s="785">
        <f t="shared" si="14"/>
        <v>0</v>
      </c>
      <c r="V38" s="785">
        <f t="shared" si="4"/>
        <v>0</v>
      </c>
    </row>
    <row r="39" spans="1:22">
      <c r="A39" s="782"/>
      <c r="B39" s="782" t="s">
        <v>1437</v>
      </c>
      <c r="C39" s="782"/>
      <c r="D39" s="782">
        <v>141223.598</v>
      </c>
      <c r="E39" s="782">
        <v>142095.962</v>
      </c>
      <c r="F39" s="782">
        <v>133435.25399999999</v>
      </c>
      <c r="G39" s="782">
        <v>97799.154999999999</v>
      </c>
      <c r="H39" s="782">
        <v>74295.216</v>
      </c>
      <c r="I39" s="782">
        <v>52474.186000000002</v>
      </c>
      <c r="J39" s="782">
        <v>38599.68</v>
      </c>
      <c r="K39" s="782">
        <v>36912.334999999999</v>
      </c>
      <c r="L39" s="782">
        <v>11737.691999999999</v>
      </c>
      <c r="M39" s="782">
        <v>107004.38</v>
      </c>
      <c r="N39" s="782">
        <v>95173.206999999995</v>
      </c>
      <c r="O39" s="782">
        <v>62449.625</v>
      </c>
      <c r="P39" s="782">
        <v>993200.29</v>
      </c>
      <c r="R39" s="785">
        <f t="shared" si="2"/>
        <v>574377.64599999995</v>
      </c>
      <c r="S39" s="787">
        <f t="shared" si="13"/>
        <v>114875.52919999999</v>
      </c>
      <c r="T39" s="785">
        <f t="shared" si="3"/>
        <v>139723.89300000001</v>
      </c>
      <c r="U39" s="787">
        <f t="shared" si="14"/>
        <v>34930.973250000003</v>
      </c>
      <c r="V39" s="785">
        <f t="shared" si="4"/>
        <v>79944.55594999998</v>
      </c>
    </row>
    <row r="40" spans="1:22">
      <c r="A40" s="782"/>
      <c r="B40" s="782" t="s">
        <v>1438</v>
      </c>
      <c r="C40" s="782"/>
      <c r="D40" s="783">
        <v>3077513</v>
      </c>
      <c r="E40" s="783">
        <v>3420232</v>
      </c>
      <c r="F40" s="783">
        <v>3499491</v>
      </c>
      <c r="G40" s="783">
        <v>3290952</v>
      </c>
      <c r="H40" s="783">
        <v>2895329</v>
      </c>
      <c r="I40" s="783">
        <v>2523674</v>
      </c>
      <c r="J40" s="783">
        <v>2379351</v>
      </c>
      <c r="K40" s="783">
        <v>2395829</v>
      </c>
      <c r="L40" s="783">
        <v>2299480</v>
      </c>
      <c r="M40" s="783">
        <v>2489826</v>
      </c>
      <c r="N40" s="783">
        <v>3158336</v>
      </c>
      <c r="O40" s="783">
        <v>3207391</v>
      </c>
      <c r="P40" s="783">
        <v>34637404</v>
      </c>
      <c r="R40" s="786">
        <f t="shared" si="2"/>
        <v>16362963</v>
      </c>
      <c r="S40" s="786">
        <f t="shared" si="13"/>
        <v>3272592.6</v>
      </c>
      <c r="T40" s="786">
        <f t="shared" si="3"/>
        <v>9598334</v>
      </c>
      <c r="U40" s="786">
        <f t="shared" si="14"/>
        <v>2399583.5</v>
      </c>
      <c r="V40" s="789">
        <v>0</v>
      </c>
    </row>
    <row r="41" spans="1:22">
      <c r="A41" s="782" t="s">
        <v>1452</v>
      </c>
      <c r="B41" s="782"/>
      <c r="C41" s="782"/>
      <c r="D41" s="782">
        <f t="shared" ref="D41:P41" si="15">SUM(D36:D40)</f>
        <v>34248202.74673</v>
      </c>
      <c r="E41" s="782">
        <f t="shared" si="15"/>
        <v>29397708.817930005</v>
      </c>
      <c r="F41" s="782">
        <f t="shared" si="15"/>
        <v>25624448.601889998</v>
      </c>
      <c r="G41" s="782">
        <f t="shared" si="15"/>
        <v>18053146.596609998</v>
      </c>
      <c r="H41" s="782">
        <f t="shared" si="15"/>
        <v>12553289.544880001</v>
      </c>
      <c r="I41" s="782">
        <f t="shared" si="15"/>
        <v>8366587.6060199998</v>
      </c>
      <c r="J41" s="782">
        <f t="shared" si="15"/>
        <v>7277828.410699999</v>
      </c>
      <c r="K41" s="782">
        <f t="shared" si="15"/>
        <v>7333530.5726399999</v>
      </c>
      <c r="L41" s="782">
        <f t="shared" si="15"/>
        <v>7795390.8012600001</v>
      </c>
      <c r="M41" s="782">
        <f t="shared" si="15"/>
        <v>17458264.899590001</v>
      </c>
      <c r="N41" s="782">
        <f t="shared" si="15"/>
        <v>27538419.461279996</v>
      </c>
      <c r="O41" s="782">
        <f t="shared" si="15"/>
        <v>34938139.815819994</v>
      </c>
      <c r="P41" s="782">
        <f t="shared" si="15"/>
        <v>230584957.87535</v>
      </c>
      <c r="R41" s="785">
        <f t="shared" si="2"/>
        <v>151746919.44365001</v>
      </c>
      <c r="S41" s="785">
        <f t="shared" si="13"/>
        <v>30349383.888730001</v>
      </c>
      <c r="T41" s="785">
        <f t="shared" si="3"/>
        <v>30773337.390620001</v>
      </c>
      <c r="U41" s="785">
        <f t="shared" si="14"/>
        <v>7693334.3476550002</v>
      </c>
      <c r="V41" s="785">
        <f t="shared" si="4"/>
        <v>22656049.541074999</v>
      </c>
    </row>
  </sheetData>
  <pageMargins left="0.7" right="0.7" top="0.75" bottom="0.75" header="0.3" footer="0.3"/>
  <pageSetup orientation="portrait" r:id="rId1"/>
  <headerFooter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15DB-4CE0-4485-952F-200F9C8D6085}">
  <sheetPr codeName="Sheet8">
    <pageSetUpPr fitToPage="1"/>
  </sheetPr>
  <dimension ref="A1:M249"/>
  <sheetViews>
    <sheetView view="pageLayout" topLeftCell="C1" zoomScaleNormal="100" workbookViewId="0">
      <selection activeCell="E12" sqref="E12"/>
    </sheetView>
  </sheetViews>
  <sheetFormatPr defaultColWidth="8.77734375" defaultRowHeight="15.6"/>
  <cols>
    <col min="1" max="1" width="8.77734375" style="732" bestFit="1" customWidth="1"/>
    <col min="2" max="2" width="18.109375" style="732" customWidth="1"/>
    <col min="3" max="3" width="62.5546875" style="732" customWidth="1"/>
    <col min="4" max="4" width="28.5546875" style="732" customWidth="1"/>
    <col min="5" max="5" width="20.33203125" style="601" customWidth="1"/>
    <col min="6" max="6" width="20.44140625" style="601" customWidth="1"/>
    <col min="7" max="7" width="8.21875" style="601" hidden="1" customWidth="1"/>
    <col min="8" max="9" width="19.77734375" style="601" customWidth="1"/>
    <col min="10" max="10" width="22" style="601" customWidth="1"/>
    <col min="11" max="11" width="21" style="601" customWidth="1"/>
    <col min="12" max="12" width="17.77734375" style="601" customWidth="1"/>
    <col min="13" max="16384" width="8.77734375" style="601"/>
  </cols>
  <sheetData>
    <row r="1" spans="1:13">
      <c r="A1" s="702" t="s">
        <v>468</v>
      </c>
      <c r="B1" s="702" t="s">
        <v>1295</v>
      </c>
      <c r="C1" s="611"/>
      <c r="D1" s="601"/>
    </row>
    <row r="2" spans="1:13" s="602" customFormat="1" ht="31.2">
      <c r="A2" s="701" t="s">
        <v>1241</v>
      </c>
      <c r="B2" s="623"/>
      <c r="C2" s="616"/>
      <c r="D2" s="613" t="s">
        <v>1256</v>
      </c>
      <c r="E2" s="681" t="s">
        <v>892</v>
      </c>
      <c r="F2" s="681" t="s">
        <v>891</v>
      </c>
      <c r="G2" s="681" t="s">
        <v>890</v>
      </c>
      <c r="H2" s="681" t="s">
        <v>1366</v>
      </c>
      <c r="I2" s="681" t="s">
        <v>863</v>
      </c>
      <c r="J2" s="681" t="s">
        <v>120</v>
      </c>
      <c r="K2" s="702"/>
      <c r="L2" s="702"/>
      <c r="M2" s="702"/>
    </row>
    <row r="3" spans="1:13">
      <c r="A3" s="640">
        <v>1</v>
      </c>
      <c r="B3" s="682"/>
      <c r="C3" s="682"/>
      <c r="D3" s="683"/>
      <c r="E3" s="730"/>
      <c r="F3" s="730"/>
      <c r="G3" s="730"/>
      <c r="H3" s="730"/>
      <c r="I3" s="730"/>
      <c r="J3" s="730"/>
    </row>
    <row r="4" spans="1:13">
      <c r="A4" s="640">
        <v>2</v>
      </c>
      <c r="B4" s="809" t="s">
        <v>1296</v>
      </c>
      <c r="C4" s="624" t="s">
        <v>1242</v>
      </c>
      <c r="D4" s="626">
        <v>480</v>
      </c>
      <c r="E4" s="643">
        <f>-Detail!I420</f>
        <v>79468609.307138771</v>
      </c>
      <c r="F4" s="643"/>
      <c r="G4" s="643"/>
      <c r="H4" s="643"/>
      <c r="I4" s="643"/>
      <c r="J4" s="643">
        <f>SUM(E4:I4)</f>
        <v>79468609.307138771</v>
      </c>
    </row>
    <row r="5" spans="1:13">
      <c r="A5" s="640">
        <v>3</v>
      </c>
      <c r="B5" s="809"/>
      <c r="C5" s="624" t="s">
        <v>1243</v>
      </c>
      <c r="D5" s="653">
        <v>481</v>
      </c>
      <c r="E5" s="643"/>
      <c r="F5" s="643">
        <f>-Detail!J420</f>
        <v>20145536.166025911</v>
      </c>
      <c r="G5" s="643">
        <f>-Detail!K420</f>
        <v>0</v>
      </c>
      <c r="H5" s="643">
        <f>-Detail!L420</f>
        <v>216984.02763022837</v>
      </c>
      <c r="I5" s="643">
        <f>-Detail!M420</f>
        <v>3580870.4992050868</v>
      </c>
      <c r="J5" s="643">
        <f>SUM(E5:I5)</f>
        <v>23943390.692861225</v>
      </c>
    </row>
    <row r="6" spans="1:13">
      <c r="A6" s="640">
        <v>4</v>
      </c>
      <c r="B6" s="809"/>
      <c r="C6" s="624" t="s">
        <v>1338</v>
      </c>
      <c r="D6" s="653">
        <v>484</v>
      </c>
      <c r="E6" s="643"/>
      <c r="F6" s="643"/>
      <c r="G6" s="643"/>
      <c r="H6" s="643"/>
      <c r="I6" s="643"/>
      <c r="J6" s="643">
        <f>SUM(E6:I6)</f>
        <v>0</v>
      </c>
    </row>
    <row r="7" spans="1:13">
      <c r="A7" s="640">
        <v>5</v>
      </c>
      <c r="B7" s="809"/>
      <c r="C7" s="624" t="s">
        <v>1339</v>
      </c>
      <c r="D7" s="626">
        <v>499</v>
      </c>
      <c r="E7" s="643"/>
      <c r="F7" s="643"/>
      <c r="G7" s="643"/>
      <c r="H7" s="643"/>
      <c r="I7" s="643"/>
      <c r="J7" s="643">
        <f>SUM(E7:I7)</f>
        <v>0</v>
      </c>
    </row>
    <row r="8" spans="1:13">
      <c r="A8" s="640">
        <v>6</v>
      </c>
      <c r="B8" s="809"/>
      <c r="C8" s="624" t="s">
        <v>700</v>
      </c>
      <c r="D8" s="626">
        <v>489.9</v>
      </c>
      <c r="E8" s="643"/>
      <c r="F8" s="643"/>
      <c r="G8" s="643"/>
      <c r="H8" s="643"/>
      <c r="I8" s="643"/>
      <c r="J8" s="643">
        <f>SUM(E8:I8)</f>
        <v>0</v>
      </c>
    </row>
    <row r="9" spans="1:13">
      <c r="A9" s="640">
        <v>7</v>
      </c>
      <c r="B9" s="809"/>
      <c r="C9" s="625" t="s">
        <v>1258</v>
      </c>
      <c r="D9" s="625"/>
      <c r="E9" s="643">
        <f t="shared" ref="E9:J9" si="0">SUM(E4:E8)</f>
        <v>79468609.307138771</v>
      </c>
      <c r="F9" s="643">
        <f t="shared" si="0"/>
        <v>20145536.166025911</v>
      </c>
      <c r="G9" s="643">
        <f t="shared" si="0"/>
        <v>0</v>
      </c>
      <c r="H9" s="643">
        <f t="shared" si="0"/>
        <v>216984.02763022837</v>
      </c>
      <c r="I9" s="643">
        <f t="shared" si="0"/>
        <v>3580870.4992050868</v>
      </c>
      <c r="J9" s="643">
        <f t="shared" si="0"/>
        <v>103412000</v>
      </c>
    </row>
    <row r="10" spans="1:13">
      <c r="A10" s="640">
        <v>8</v>
      </c>
      <c r="B10" s="809"/>
      <c r="C10" s="628" t="s">
        <v>390</v>
      </c>
      <c r="D10" s="629" t="s">
        <v>394</v>
      </c>
      <c r="E10" s="643">
        <f>-Detail!I423</f>
        <v>0</v>
      </c>
      <c r="F10" s="643">
        <f>-Detail!J423</f>
        <v>0</v>
      </c>
      <c r="G10" s="643">
        <f>-Detail!K423</f>
        <v>0</v>
      </c>
      <c r="H10" s="643">
        <f>-Detail!L423</f>
        <v>0</v>
      </c>
      <c r="I10" s="643">
        <f>-Detail!M423</f>
        <v>0</v>
      </c>
      <c r="J10" s="643">
        <f t="shared" ref="J10:J15" si="1">SUM(E10:I10)</f>
        <v>0</v>
      </c>
    </row>
    <row r="11" spans="1:13">
      <c r="A11" s="640">
        <v>9</v>
      </c>
      <c r="B11" s="809"/>
      <c r="C11" s="628" t="s">
        <v>80</v>
      </c>
      <c r="D11" s="629">
        <v>488</v>
      </c>
      <c r="E11" s="643">
        <f>-Detail!I424</f>
        <v>5547.1125389882636</v>
      </c>
      <c r="F11" s="643">
        <f>-Detail!J424</f>
        <v>1027.3505106330495</v>
      </c>
      <c r="G11" s="643">
        <f>-Detail!K424</f>
        <v>0</v>
      </c>
      <c r="H11" s="643">
        <f>-Detail!L424</f>
        <v>13.557467681210856</v>
      </c>
      <c r="I11" s="643">
        <f>-Detail!M424</f>
        <v>411.97948269747536</v>
      </c>
      <c r="J11" s="643">
        <f t="shared" si="1"/>
        <v>7000</v>
      </c>
    </row>
    <row r="12" spans="1:13">
      <c r="A12" s="640">
        <v>10</v>
      </c>
      <c r="B12" s="809"/>
      <c r="C12" s="628" t="s">
        <v>1349</v>
      </c>
      <c r="D12" s="629">
        <v>489.3</v>
      </c>
      <c r="E12" s="643">
        <f>-Detail!I426</f>
        <v>-839274.94453925488</v>
      </c>
      <c r="F12" s="643">
        <f>-Detail!J426</f>
        <v>-293313.52577653091</v>
      </c>
      <c r="G12" s="643">
        <f>-Detail!K426</f>
        <v>0</v>
      </c>
      <c r="H12" s="643">
        <f>-Detail!L426</f>
        <v>-4248.7994418993876</v>
      </c>
      <c r="I12" s="643">
        <f>-Detail!M426</f>
        <v>-16162.730242314867</v>
      </c>
      <c r="J12" s="643">
        <f t="shared" si="1"/>
        <v>-1153000.0000000002</v>
      </c>
    </row>
    <row r="13" spans="1:13">
      <c r="A13" s="640">
        <v>11</v>
      </c>
      <c r="B13" s="809"/>
      <c r="C13" s="628" t="s">
        <v>1350</v>
      </c>
      <c r="D13" s="629">
        <v>493</v>
      </c>
      <c r="E13" s="643">
        <f>-Detail!I425</f>
        <v>2421.4842729338575</v>
      </c>
      <c r="F13" s="643">
        <f>-Detail!J425</f>
        <v>424.17716453817138</v>
      </c>
      <c r="G13" s="643">
        <f>-Detail!K425</f>
        <v>0</v>
      </c>
      <c r="H13" s="643">
        <f>-Detail!L425</f>
        <v>5.6058671987686006</v>
      </c>
      <c r="I13" s="643">
        <f>-Detail!M425</f>
        <v>148.73269532920287</v>
      </c>
      <c r="J13" s="643">
        <f t="shared" si="1"/>
        <v>3000</v>
      </c>
    </row>
    <row r="14" spans="1:13">
      <c r="A14" s="640">
        <v>12</v>
      </c>
      <c r="B14" s="809"/>
      <c r="C14" s="628" t="s">
        <v>1341</v>
      </c>
      <c r="D14" s="629">
        <v>495</v>
      </c>
      <c r="E14" s="643">
        <f>-Detail!I427</f>
        <v>2867844.5405779984</v>
      </c>
      <c r="F14" s="643">
        <f>-Detail!J427</f>
        <v>502367.15520137426</v>
      </c>
      <c r="G14" s="643">
        <f>-Detail!K427</f>
        <v>0</v>
      </c>
      <c r="H14" s="643">
        <f>-Detail!L427</f>
        <v>6639.2153857416133</v>
      </c>
      <c r="I14" s="643">
        <f>-Detail!M427</f>
        <v>176149.08883488592</v>
      </c>
      <c r="J14" s="643">
        <f t="shared" si="1"/>
        <v>3553000</v>
      </c>
    </row>
    <row r="15" spans="1:13">
      <c r="A15" s="640">
        <v>13</v>
      </c>
      <c r="B15" s="809"/>
      <c r="C15" s="628" t="s">
        <v>1351</v>
      </c>
      <c r="D15" s="629">
        <v>496</v>
      </c>
      <c r="E15" s="643">
        <f>-Detail!I428</f>
        <v>-28250.649850895003</v>
      </c>
      <c r="F15" s="643">
        <f>-Detail!J428</f>
        <v>-4948.7335862786658</v>
      </c>
      <c r="G15" s="643">
        <f>-Detail!K428</f>
        <v>0</v>
      </c>
      <c r="H15" s="643">
        <f>-Detail!L428</f>
        <v>-65.401783985633685</v>
      </c>
      <c r="I15" s="643">
        <f>-Detail!M428</f>
        <v>-1735.2147788407001</v>
      </c>
      <c r="J15" s="643">
        <f t="shared" si="1"/>
        <v>-35000</v>
      </c>
    </row>
    <row r="16" spans="1:13">
      <c r="A16" s="640">
        <v>14</v>
      </c>
      <c r="B16" s="809"/>
      <c r="C16" s="627" t="s">
        <v>1259</v>
      </c>
      <c r="D16" s="627"/>
      <c r="E16" s="643">
        <f>SUM(E10:E15)</f>
        <v>2008287.5429997707</v>
      </c>
      <c r="F16" s="643">
        <f t="shared" ref="F16:I16" si="2">SUM(F10:F15)</f>
        <v>205556.42351373591</v>
      </c>
      <c r="G16" s="643">
        <f t="shared" si="2"/>
        <v>0</v>
      </c>
      <c r="H16" s="643">
        <f t="shared" si="2"/>
        <v>2344.1774947365716</v>
      </c>
      <c r="I16" s="643">
        <f t="shared" si="2"/>
        <v>158811.85599175704</v>
      </c>
      <c r="J16" s="643">
        <f>SUM(J10:J15)</f>
        <v>2375000</v>
      </c>
    </row>
    <row r="17" spans="1:10">
      <c r="A17" s="640">
        <v>15</v>
      </c>
      <c r="B17" s="605"/>
      <c r="C17" s="631" t="s">
        <v>1257</v>
      </c>
      <c r="D17" s="631"/>
      <c r="E17" s="643">
        <f>E16+E9</f>
        <v>81476896.850138545</v>
      </c>
      <c r="F17" s="643">
        <f>F16+F9</f>
        <v>20351092.589539647</v>
      </c>
      <c r="G17" s="643">
        <f t="shared" ref="G17:I17" si="3">G16+G9</f>
        <v>0</v>
      </c>
      <c r="H17" s="643">
        <f t="shared" si="3"/>
        <v>219328.20512496494</v>
      </c>
      <c r="I17" s="643">
        <f t="shared" si="3"/>
        <v>3739682.3551968439</v>
      </c>
      <c r="J17" s="643">
        <f>J16+J9</f>
        <v>105787000</v>
      </c>
    </row>
    <row r="18" spans="1:10">
      <c r="A18" s="640">
        <v>16</v>
      </c>
      <c r="B18" s="810" t="s">
        <v>283</v>
      </c>
      <c r="C18" s="628" t="s">
        <v>1352</v>
      </c>
      <c r="D18" s="654" t="s">
        <v>1353</v>
      </c>
      <c r="E18" s="643">
        <f>Detail!I175</f>
        <v>743.03274753938524</v>
      </c>
      <c r="F18" s="643">
        <f>Detail!J175</f>
        <v>253.2972158481291</v>
      </c>
      <c r="G18" s="643">
        <f>Detail!K175</f>
        <v>0</v>
      </c>
      <c r="H18" s="643">
        <f>Detail!L175</f>
        <v>3.6700366124856116</v>
      </c>
      <c r="I18" s="643">
        <f>Detail!M175</f>
        <v>0</v>
      </c>
      <c r="J18" s="643">
        <f>SUM(E18:I18)</f>
        <v>1000</v>
      </c>
    </row>
    <row r="19" spans="1:10">
      <c r="A19" s="640">
        <v>17</v>
      </c>
      <c r="B19" s="810"/>
      <c r="C19" s="628" t="s">
        <v>760</v>
      </c>
      <c r="D19" s="654">
        <v>808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f>SUM(E19:I19)</f>
        <v>0</v>
      </c>
    </row>
    <row r="20" spans="1:10">
      <c r="A20" s="640">
        <v>18</v>
      </c>
      <c r="B20" s="810"/>
      <c r="C20" s="630" t="s">
        <v>1354</v>
      </c>
      <c r="D20" s="654"/>
      <c r="E20" s="643">
        <f t="shared" ref="E20:J20" si="4">SUM(E18:E19)</f>
        <v>743.03274753938524</v>
      </c>
      <c r="F20" s="643">
        <f t="shared" si="4"/>
        <v>253.2972158481291</v>
      </c>
      <c r="G20" s="643">
        <f t="shared" si="4"/>
        <v>0</v>
      </c>
      <c r="H20" s="643">
        <f t="shared" si="4"/>
        <v>3.6700366124856116</v>
      </c>
      <c r="I20" s="643">
        <f t="shared" si="4"/>
        <v>0</v>
      </c>
      <c r="J20" s="643">
        <f t="shared" si="4"/>
        <v>1000</v>
      </c>
    </row>
    <row r="21" spans="1:10">
      <c r="A21" s="640">
        <v>19</v>
      </c>
      <c r="B21" s="810"/>
      <c r="C21" s="628" t="s">
        <v>1355</v>
      </c>
      <c r="D21" s="654">
        <v>811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f>SUM(E21:I21)</f>
        <v>0</v>
      </c>
    </row>
    <row r="22" spans="1:10">
      <c r="A22" s="640">
        <v>20</v>
      </c>
      <c r="B22" s="810"/>
      <c r="C22" s="628" t="s">
        <v>755</v>
      </c>
      <c r="D22" s="654">
        <v>813.01</v>
      </c>
      <c r="E22" s="643">
        <f>Detail!I176</f>
        <v>61467.976488146094</v>
      </c>
      <c r="F22" s="643">
        <f>Detail!J176</f>
        <v>22267.63490331405</v>
      </c>
      <c r="G22" s="643">
        <f>Detail!K176</f>
        <v>0</v>
      </c>
      <c r="H22" s="643">
        <f>Detail!L176</f>
        <v>264.38860853985028</v>
      </c>
      <c r="I22" s="643">
        <f>Detail!M176</f>
        <v>0</v>
      </c>
      <c r="J22" s="643">
        <f>SUM(E22:I22)</f>
        <v>84000</v>
      </c>
    </row>
    <row r="23" spans="1:10">
      <c r="A23" s="640">
        <v>21</v>
      </c>
      <c r="B23" s="810"/>
      <c r="C23" s="628" t="s">
        <v>286</v>
      </c>
      <c r="D23" s="654">
        <v>813</v>
      </c>
      <c r="E23" s="643">
        <f>Detail!I177</f>
        <v>603017.13583471265</v>
      </c>
      <c r="F23" s="643">
        <f>Detail!J177</f>
        <v>270189.8875059181</v>
      </c>
      <c r="G23" s="643">
        <f>Detail!K177</f>
        <v>0</v>
      </c>
      <c r="H23" s="643">
        <f>Detail!L177</f>
        <v>4353.7481495920838</v>
      </c>
      <c r="I23" s="643">
        <f>Detail!M177</f>
        <v>33439.228509777131</v>
      </c>
      <c r="J23" s="643">
        <f>SUM(E23:I23)</f>
        <v>911000</v>
      </c>
    </row>
    <row r="24" spans="1:10">
      <c r="A24" s="640">
        <v>22</v>
      </c>
      <c r="B24" s="810"/>
      <c r="C24" s="625" t="s">
        <v>1260</v>
      </c>
      <c r="D24" s="655"/>
      <c r="E24" s="643">
        <f t="shared" ref="E24:J24" si="5">SUM(E21:E23)</f>
        <v>664485.11232285877</v>
      </c>
      <c r="F24" s="643">
        <f t="shared" si="5"/>
        <v>292457.52240923216</v>
      </c>
      <c r="G24" s="643">
        <f t="shared" si="5"/>
        <v>0</v>
      </c>
      <c r="H24" s="643">
        <f t="shared" si="5"/>
        <v>4618.1367581319337</v>
      </c>
      <c r="I24" s="643">
        <f t="shared" si="5"/>
        <v>33439.228509777131</v>
      </c>
      <c r="J24" s="643">
        <f t="shared" si="5"/>
        <v>995000</v>
      </c>
    </row>
    <row r="25" spans="1:10">
      <c r="A25" s="640">
        <v>23</v>
      </c>
      <c r="B25" s="607"/>
      <c r="C25" s="632" t="s">
        <v>287</v>
      </c>
      <c r="D25" s="664"/>
      <c r="E25" s="643">
        <f>E24+E20</f>
        <v>665228.14507039811</v>
      </c>
      <c r="F25" s="643">
        <f t="shared" ref="F25:J25" si="6">F24+F20</f>
        <v>292710.81962508027</v>
      </c>
      <c r="G25" s="643">
        <f t="shared" si="6"/>
        <v>0</v>
      </c>
      <c r="H25" s="643">
        <f t="shared" si="6"/>
        <v>4621.8067947444197</v>
      </c>
      <c r="I25" s="643">
        <f t="shared" si="6"/>
        <v>33439.228509777131</v>
      </c>
      <c r="J25" s="643">
        <f t="shared" si="6"/>
        <v>996000</v>
      </c>
    </row>
    <row r="26" spans="1:10">
      <c r="A26" s="640">
        <v>24</v>
      </c>
      <c r="B26" s="810" t="s">
        <v>1356</v>
      </c>
      <c r="C26" s="628" t="s">
        <v>1</v>
      </c>
      <c r="D26" s="656">
        <v>814</v>
      </c>
      <c r="E26" s="643">
        <f>Detail!I181</f>
        <v>10190.67582267959</v>
      </c>
      <c r="F26" s="643">
        <f>Detail!J181</f>
        <v>3561.4825332796463</v>
      </c>
      <c r="G26" s="643">
        <f>Detail!K181</f>
        <v>0</v>
      </c>
      <c r="H26" s="643">
        <f>Detail!L181</f>
        <v>51.58993251222153</v>
      </c>
      <c r="I26" s="643">
        <f>Detail!M181</f>
        <v>196.25171152854131</v>
      </c>
      <c r="J26" s="643">
        <f>SUM(E26:I26)</f>
        <v>13999.999999999998</v>
      </c>
    </row>
    <row r="27" spans="1:10">
      <c r="A27" s="640">
        <v>25</v>
      </c>
      <c r="B27" s="810"/>
      <c r="C27" s="628" t="s">
        <v>290</v>
      </c>
      <c r="D27" s="656">
        <v>815</v>
      </c>
      <c r="E27" s="643">
        <f>Detail!I182</f>
        <v>0</v>
      </c>
      <c r="F27" s="643">
        <f>Detail!J182</f>
        <v>0</v>
      </c>
      <c r="G27" s="643">
        <f>Detail!K182</f>
        <v>0</v>
      </c>
      <c r="H27" s="643">
        <f>Detail!L182</f>
        <v>0</v>
      </c>
      <c r="I27" s="643">
        <f>Detail!M182</f>
        <v>0</v>
      </c>
      <c r="J27" s="643">
        <f t="shared" ref="J27:J36" si="7">SUM(E27:I27)</f>
        <v>0</v>
      </c>
    </row>
    <row r="28" spans="1:10">
      <c r="A28" s="640">
        <v>26</v>
      </c>
      <c r="B28" s="810"/>
      <c r="C28" s="628" t="s">
        <v>291</v>
      </c>
      <c r="D28" s="656">
        <v>816</v>
      </c>
      <c r="E28" s="643">
        <f>Detail!I183</f>
        <v>0</v>
      </c>
      <c r="F28" s="643">
        <f>Detail!J183</f>
        <v>0</v>
      </c>
      <c r="G28" s="643">
        <f>Detail!K183</f>
        <v>0</v>
      </c>
      <c r="H28" s="643">
        <f>Detail!L183</f>
        <v>0</v>
      </c>
      <c r="I28" s="643">
        <f>Detail!M183</f>
        <v>0</v>
      </c>
      <c r="J28" s="643">
        <f t="shared" si="7"/>
        <v>0</v>
      </c>
    </row>
    <row r="29" spans="1:10">
      <c r="A29" s="640">
        <v>27</v>
      </c>
      <c r="B29" s="810"/>
      <c r="C29" s="628" t="s">
        <v>292</v>
      </c>
      <c r="D29" s="656">
        <v>817</v>
      </c>
      <c r="E29" s="643">
        <f>Detail!I184</f>
        <v>0</v>
      </c>
      <c r="F29" s="643">
        <f>Detail!J184</f>
        <v>0</v>
      </c>
      <c r="G29" s="643">
        <f>Detail!K184</f>
        <v>0</v>
      </c>
      <c r="H29" s="643">
        <f>Detail!L184</f>
        <v>0</v>
      </c>
      <c r="I29" s="643">
        <f>Detail!M184</f>
        <v>0</v>
      </c>
      <c r="J29" s="643">
        <f t="shared" si="7"/>
        <v>0</v>
      </c>
    </row>
    <row r="30" spans="1:10">
      <c r="A30" s="640">
        <v>28</v>
      </c>
      <c r="B30" s="810"/>
      <c r="C30" s="628" t="s">
        <v>293</v>
      </c>
      <c r="D30" s="656">
        <v>818</v>
      </c>
      <c r="E30" s="643">
        <f>Detail!I185</f>
        <v>0</v>
      </c>
      <c r="F30" s="643">
        <f>Detail!J185</f>
        <v>0</v>
      </c>
      <c r="G30" s="643">
        <f>Detail!K185</f>
        <v>0</v>
      </c>
      <c r="H30" s="643">
        <f>Detail!L185</f>
        <v>0</v>
      </c>
      <c r="I30" s="643">
        <f>Detail!M185</f>
        <v>0</v>
      </c>
      <c r="J30" s="643">
        <f t="shared" si="7"/>
        <v>0</v>
      </c>
    </row>
    <row r="31" spans="1:10">
      <c r="A31" s="640">
        <v>29</v>
      </c>
      <c r="B31" s="810"/>
      <c r="C31" s="628" t="s">
        <v>294</v>
      </c>
      <c r="D31" s="656">
        <v>819</v>
      </c>
      <c r="E31" s="643">
        <f>Detail!I186</f>
        <v>0</v>
      </c>
      <c r="F31" s="643">
        <f>Detail!J186</f>
        <v>0</v>
      </c>
      <c r="G31" s="643">
        <f>Detail!K186</f>
        <v>0</v>
      </c>
      <c r="H31" s="643">
        <f>Detail!L186</f>
        <v>0</v>
      </c>
      <c r="I31" s="643">
        <f>Detail!M186</f>
        <v>0</v>
      </c>
      <c r="J31" s="643">
        <f t="shared" si="7"/>
        <v>0</v>
      </c>
    </row>
    <row r="32" spans="1:10">
      <c r="A32" s="640">
        <v>30</v>
      </c>
      <c r="B32" s="810"/>
      <c r="C32" s="628" t="s">
        <v>295</v>
      </c>
      <c r="D32" s="656">
        <v>820</v>
      </c>
      <c r="E32" s="643">
        <f>Detail!I187</f>
        <v>0</v>
      </c>
      <c r="F32" s="643">
        <f>Detail!J187</f>
        <v>0</v>
      </c>
      <c r="G32" s="643">
        <f>Detail!K187</f>
        <v>0</v>
      </c>
      <c r="H32" s="643">
        <f>Detail!L187</f>
        <v>0</v>
      </c>
      <c r="I32" s="643">
        <f>Detail!M187</f>
        <v>0</v>
      </c>
      <c r="J32" s="643">
        <f t="shared" si="7"/>
        <v>0</v>
      </c>
    </row>
    <row r="33" spans="1:10">
      <c r="A33" s="640">
        <v>31</v>
      </c>
      <c r="B33" s="810"/>
      <c r="C33" s="628" t="s">
        <v>296</v>
      </c>
      <c r="D33" s="656">
        <v>821</v>
      </c>
      <c r="E33" s="643">
        <f>Detail!I188</f>
        <v>0</v>
      </c>
      <c r="F33" s="643">
        <f>Detail!J188</f>
        <v>0</v>
      </c>
      <c r="G33" s="643">
        <f>Detail!K188</f>
        <v>0</v>
      </c>
      <c r="H33" s="643">
        <f>Detail!L188</f>
        <v>0</v>
      </c>
      <c r="I33" s="643">
        <f>Detail!M188</f>
        <v>0</v>
      </c>
      <c r="J33" s="643">
        <f t="shared" si="7"/>
        <v>0</v>
      </c>
    </row>
    <row r="34" spans="1:10">
      <c r="A34" s="640">
        <v>32</v>
      </c>
      <c r="B34" s="810"/>
      <c r="C34" s="628" t="s">
        <v>297</v>
      </c>
      <c r="D34" s="656">
        <v>824</v>
      </c>
      <c r="E34" s="643">
        <f>Detail!I189</f>
        <v>348666.6942188231</v>
      </c>
      <c r="F34" s="643">
        <f>Detail!J189</f>
        <v>121853.58096006791</v>
      </c>
      <c r="G34" s="643">
        <f>Detail!K189</f>
        <v>0</v>
      </c>
      <c r="H34" s="643">
        <f>Detail!L189</f>
        <v>1765.1126909538652</v>
      </c>
      <c r="I34" s="643">
        <f>Detail!M189</f>
        <v>6714.612130155092</v>
      </c>
      <c r="J34" s="643">
        <f t="shared" si="7"/>
        <v>479000</v>
      </c>
    </row>
    <row r="35" spans="1:10">
      <c r="A35" s="640">
        <v>33</v>
      </c>
      <c r="B35" s="810"/>
      <c r="C35" s="628" t="s">
        <v>298</v>
      </c>
      <c r="D35" s="656">
        <v>825</v>
      </c>
      <c r="E35" s="643">
        <f>Detail!I190</f>
        <v>0</v>
      </c>
      <c r="F35" s="643">
        <f>Detail!J190</f>
        <v>0</v>
      </c>
      <c r="G35" s="643">
        <f>Detail!K190</f>
        <v>0</v>
      </c>
      <c r="H35" s="643">
        <f>Detail!L190</f>
        <v>0</v>
      </c>
      <c r="I35" s="643">
        <f>Detail!M190</f>
        <v>0</v>
      </c>
      <c r="J35" s="643">
        <f t="shared" si="7"/>
        <v>0</v>
      </c>
    </row>
    <row r="36" spans="1:10">
      <c r="A36" s="640">
        <v>34</v>
      </c>
      <c r="B36" s="810"/>
      <c r="C36" s="628" t="s">
        <v>2</v>
      </c>
      <c r="D36" s="656">
        <v>826</v>
      </c>
      <c r="E36" s="643">
        <f>Detail!I191</f>
        <v>0</v>
      </c>
      <c r="F36" s="643">
        <f>Detail!J191</f>
        <v>0</v>
      </c>
      <c r="G36" s="643">
        <f>Detail!K191</f>
        <v>0</v>
      </c>
      <c r="H36" s="643">
        <f>Detail!L191</f>
        <v>0</v>
      </c>
      <c r="I36" s="643">
        <f>Detail!M191</f>
        <v>0</v>
      </c>
      <c r="J36" s="643">
        <f t="shared" si="7"/>
        <v>0</v>
      </c>
    </row>
    <row r="37" spans="1:10">
      <c r="A37" s="640">
        <v>35</v>
      </c>
      <c r="B37" s="810"/>
      <c r="C37" s="665" t="s">
        <v>1261</v>
      </c>
      <c r="D37" s="666"/>
      <c r="E37" s="643">
        <f t="shared" ref="E37:J37" si="8">SUM(E26:E36)</f>
        <v>358857.3700415027</v>
      </c>
      <c r="F37" s="643">
        <f t="shared" si="8"/>
        <v>125415.06349334755</v>
      </c>
      <c r="G37" s="643">
        <f t="shared" si="8"/>
        <v>0</v>
      </c>
      <c r="H37" s="643">
        <f t="shared" si="8"/>
        <v>1816.7026234660868</v>
      </c>
      <c r="I37" s="643">
        <f t="shared" si="8"/>
        <v>6910.8638416836329</v>
      </c>
      <c r="J37" s="643">
        <f t="shared" si="8"/>
        <v>493000</v>
      </c>
    </row>
    <row r="38" spans="1:10">
      <c r="A38" s="640">
        <v>36</v>
      </c>
      <c r="B38" s="809" t="s">
        <v>1357</v>
      </c>
      <c r="C38" s="628" t="s">
        <v>1</v>
      </c>
      <c r="D38" s="656">
        <v>830</v>
      </c>
      <c r="E38" s="643">
        <f>Detail!I193</f>
        <v>0</v>
      </c>
      <c r="F38" s="643">
        <f>Detail!J193</f>
        <v>0</v>
      </c>
      <c r="G38" s="643">
        <f>Detail!K193</f>
        <v>0</v>
      </c>
      <c r="H38" s="643">
        <f>Detail!L193</f>
        <v>0</v>
      </c>
      <c r="I38" s="643">
        <f>Detail!M193</f>
        <v>0</v>
      </c>
      <c r="J38" s="643">
        <f>SUM(E38:I38)</f>
        <v>0</v>
      </c>
    </row>
    <row r="39" spans="1:10">
      <c r="A39" s="640">
        <v>37</v>
      </c>
      <c r="B39" s="809"/>
      <c r="C39" s="628" t="s">
        <v>290</v>
      </c>
      <c r="D39" s="656">
        <v>831</v>
      </c>
      <c r="E39" s="643">
        <f>Detail!I194</f>
        <v>0</v>
      </c>
      <c r="F39" s="643">
        <f>Detail!J194</f>
        <v>0</v>
      </c>
      <c r="G39" s="643">
        <f>Detail!K194</f>
        <v>0</v>
      </c>
      <c r="H39" s="643">
        <f>Detail!L194</f>
        <v>0</v>
      </c>
      <c r="I39" s="643">
        <f>Detail!M194</f>
        <v>0</v>
      </c>
      <c r="J39" s="643">
        <f t="shared" ref="J39:J45" si="9">SUM(E39:I39)</f>
        <v>0</v>
      </c>
    </row>
    <row r="40" spans="1:10">
      <c r="A40" s="640">
        <v>38</v>
      </c>
      <c r="B40" s="809"/>
      <c r="C40" s="628" t="s">
        <v>291</v>
      </c>
      <c r="D40" s="656">
        <v>832</v>
      </c>
      <c r="E40" s="643">
        <f>Detail!I195</f>
        <v>0</v>
      </c>
      <c r="F40" s="643">
        <f>Detail!J195</f>
        <v>0</v>
      </c>
      <c r="G40" s="643">
        <f>Detail!K195</f>
        <v>0</v>
      </c>
      <c r="H40" s="643">
        <f>Detail!L195</f>
        <v>0</v>
      </c>
      <c r="I40" s="643">
        <f>Detail!M195</f>
        <v>0</v>
      </c>
      <c r="J40" s="643">
        <f t="shared" si="9"/>
        <v>0</v>
      </c>
    </row>
    <row r="41" spans="1:10">
      <c r="A41" s="640">
        <v>39</v>
      </c>
      <c r="B41" s="809"/>
      <c r="C41" s="628" t="s">
        <v>292</v>
      </c>
      <c r="D41" s="656">
        <v>833</v>
      </c>
      <c r="E41" s="643">
        <f>Detail!I196</f>
        <v>0</v>
      </c>
      <c r="F41" s="643">
        <f>Detail!J196</f>
        <v>0</v>
      </c>
      <c r="G41" s="643">
        <f>Detail!K196</f>
        <v>0</v>
      </c>
      <c r="H41" s="643">
        <f>Detail!L196</f>
        <v>0</v>
      </c>
      <c r="I41" s="643">
        <f>Detail!M196</f>
        <v>0</v>
      </c>
      <c r="J41" s="643">
        <f t="shared" si="9"/>
        <v>0</v>
      </c>
    </row>
    <row r="42" spans="1:10">
      <c r="A42" s="640">
        <v>40</v>
      </c>
      <c r="B42" s="809"/>
      <c r="C42" s="628" t="s">
        <v>293</v>
      </c>
      <c r="D42" s="656">
        <v>834</v>
      </c>
      <c r="E42" s="643">
        <f>Detail!I197</f>
        <v>0</v>
      </c>
      <c r="F42" s="643">
        <f>Detail!J197</f>
        <v>0</v>
      </c>
      <c r="G42" s="643">
        <f>Detail!K197</f>
        <v>0</v>
      </c>
      <c r="H42" s="643">
        <f>Detail!L197</f>
        <v>0</v>
      </c>
      <c r="I42" s="643">
        <f>Detail!M197</f>
        <v>0</v>
      </c>
      <c r="J42" s="643">
        <f t="shared" si="9"/>
        <v>0</v>
      </c>
    </row>
    <row r="43" spans="1:10">
      <c r="A43" s="640">
        <v>41</v>
      </c>
      <c r="B43" s="809"/>
      <c r="C43" s="628" t="s">
        <v>294</v>
      </c>
      <c r="D43" s="656">
        <v>835</v>
      </c>
      <c r="E43" s="643">
        <f>Detail!I198</f>
        <v>0</v>
      </c>
      <c r="F43" s="643">
        <f>Detail!J198</f>
        <v>0</v>
      </c>
      <c r="G43" s="643">
        <f>Detail!K198</f>
        <v>0</v>
      </c>
      <c r="H43" s="643">
        <f>Detail!L198</f>
        <v>0</v>
      </c>
      <c r="I43" s="643">
        <f>Detail!M198</f>
        <v>0</v>
      </c>
      <c r="J43" s="643">
        <f t="shared" si="9"/>
        <v>0</v>
      </c>
    </row>
    <row r="44" spans="1:10" ht="15.45" customHeight="1">
      <c r="A44" s="640">
        <v>42</v>
      </c>
      <c r="B44" s="809"/>
      <c r="C44" s="628" t="s">
        <v>318</v>
      </c>
      <c r="D44" s="656">
        <v>836</v>
      </c>
      <c r="E44" s="643">
        <f>Detail!I199</f>
        <v>0</v>
      </c>
      <c r="F44" s="643">
        <f>Detail!J199</f>
        <v>0</v>
      </c>
      <c r="G44" s="643">
        <f>Detail!K199</f>
        <v>0</v>
      </c>
      <c r="H44" s="643">
        <f>Detail!L199</f>
        <v>0</v>
      </c>
      <c r="I44" s="643">
        <f>Detail!M199</f>
        <v>0</v>
      </c>
      <c r="J44" s="643">
        <f t="shared" si="9"/>
        <v>0</v>
      </c>
    </row>
    <row r="45" spans="1:10">
      <c r="A45" s="640">
        <v>43</v>
      </c>
      <c r="B45" s="809"/>
      <c r="C45" s="628" t="s">
        <v>243</v>
      </c>
      <c r="D45" s="656">
        <v>837</v>
      </c>
      <c r="E45" s="643">
        <f>Detail!I200</f>
        <v>1011788.5281089022</v>
      </c>
      <c r="F45" s="643">
        <f>Detail!J200</f>
        <v>353604.33723276493</v>
      </c>
      <c r="G45" s="643">
        <f>Detail!K200</f>
        <v>0</v>
      </c>
      <c r="H45" s="643">
        <f>Detail!L200</f>
        <v>5122.1432994277093</v>
      </c>
      <c r="I45" s="643">
        <f>Detail!M200</f>
        <v>19484.991358905176</v>
      </c>
      <c r="J45" s="643">
        <f t="shared" si="9"/>
        <v>1390000</v>
      </c>
    </row>
    <row r="46" spans="1:10">
      <c r="A46" s="640">
        <v>44</v>
      </c>
      <c r="B46" s="809"/>
      <c r="C46" s="665" t="s">
        <v>1262</v>
      </c>
      <c r="D46" s="666"/>
      <c r="E46" s="643">
        <f t="shared" ref="E46:J46" si="10">SUM(E38:E45)</f>
        <v>1011788.5281089022</v>
      </c>
      <c r="F46" s="643">
        <f t="shared" si="10"/>
        <v>353604.33723276493</v>
      </c>
      <c r="G46" s="643">
        <f t="shared" si="10"/>
        <v>0</v>
      </c>
      <c r="H46" s="643">
        <f t="shared" si="10"/>
        <v>5122.1432994277093</v>
      </c>
      <c r="I46" s="643">
        <f t="shared" si="10"/>
        <v>19484.991358905176</v>
      </c>
      <c r="J46" s="643">
        <f t="shared" si="10"/>
        <v>1390000</v>
      </c>
    </row>
    <row r="47" spans="1:10">
      <c r="A47" s="640">
        <v>45</v>
      </c>
      <c r="B47" s="607"/>
      <c r="C47" s="632" t="s">
        <v>320</v>
      </c>
      <c r="D47" s="632"/>
      <c r="E47" s="643">
        <f>E46+E37</f>
        <v>1370645.8981504049</v>
      </c>
      <c r="F47" s="643">
        <f t="shared" ref="F47:J47" si="11">F46+F37</f>
        <v>479019.40072611248</v>
      </c>
      <c r="G47" s="643">
        <f t="shared" si="11"/>
        <v>0</v>
      </c>
      <c r="H47" s="643">
        <f t="shared" si="11"/>
        <v>6938.8459228937963</v>
      </c>
      <c r="I47" s="643">
        <f t="shared" si="11"/>
        <v>26395.855200588809</v>
      </c>
      <c r="J47" s="643">
        <f t="shared" si="11"/>
        <v>1883000</v>
      </c>
    </row>
    <row r="48" spans="1:10">
      <c r="A48" s="640">
        <v>46</v>
      </c>
      <c r="B48" s="607"/>
      <c r="C48" s="667" t="s">
        <v>1</v>
      </c>
      <c r="D48" s="609">
        <v>870</v>
      </c>
      <c r="E48" s="643">
        <f>Detail!I205</f>
        <v>1424023.0332231298</v>
      </c>
      <c r="F48" s="643">
        <f>Detail!J205</f>
        <v>263735.55251537001</v>
      </c>
      <c r="G48" s="643">
        <f>Detail!K205</f>
        <v>0</v>
      </c>
      <c r="H48" s="643">
        <f>Detail!L205</f>
        <v>3480.3956318765586</v>
      </c>
      <c r="I48" s="643">
        <f>Detail!M205</f>
        <v>105761.01862962332</v>
      </c>
      <c r="J48" s="643">
        <f>SUM(E48:I48)</f>
        <v>1796999.9999999998</v>
      </c>
    </row>
    <row r="49" spans="1:10">
      <c r="A49" s="640">
        <v>47</v>
      </c>
      <c r="B49" s="809" t="s">
        <v>1358</v>
      </c>
      <c r="C49" s="628" t="s">
        <v>331</v>
      </c>
      <c r="D49" s="656">
        <v>871</v>
      </c>
      <c r="E49" s="643">
        <f>Detail!I206</f>
        <v>0</v>
      </c>
      <c r="F49" s="643">
        <f>Detail!J206</f>
        <v>0</v>
      </c>
      <c r="G49" s="643">
        <f>Detail!K206</f>
        <v>0</v>
      </c>
      <c r="H49" s="643">
        <f>Detail!L206</f>
        <v>0</v>
      </c>
      <c r="I49" s="643">
        <f>Detail!M206</f>
        <v>0</v>
      </c>
      <c r="J49" s="643">
        <f t="shared" ref="J49:J58" si="12">SUM(E49:I49)</f>
        <v>0</v>
      </c>
    </row>
    <row r="50" spans="1:10">
      <c r="A50" s="640">
        <v>48</v>
      </c>
      <c r="B50" s="809"/>
      <c r="C50" s="628" t="s">
        <v>750</v>
      </c>
      <c r="D50" s="656">
        <v>872</v>
      </c>
      <c r="E50" s="643">
        <v>0</v>
      </c>
      <c r="F50" s="643">
        <v>0</v>
      </c>
      <c r="G50" s="643">
        <v>0</v>
      </c>
      <c r="H50" s="643">
        <v>0</v>
      </c>
      <c r="I50" s="643">
        <v>0</v>
      </c>
      <c r="J50" s="643">
        <f t="shared" si="12"/>
        <v>0</v>
      </c>
    </row>
    <row r="51" spans="1:10">
      <c r="A51" s="640">
        <v>49</v>
      </c>
      <c r="B51" s="809"/>
      <c r="C51" s="628" t="s">
        <v>332</v>
      </c>
      <c r="D51" s="656">
        <v>874</v>
      </c>
      <c r="E51" s="643">
        <f>Detail!I207</f>
        <v>2768372.8676589439</v>
      </c>
      <c r="F51" s="643">
        <f>Detail!J207</f>
        <v>530563.7214802223</v>
      </c>
      <c r="G51" s="643">
        <f>Detail!K207</f>
        <v>0</v>
      </c>
      <c r="H51" s="643">
        <f>Detail!L207</f>
        <v>7073.2858892383611</v>
      </c>
      <c r="I51" s="643">
        <f>Detail!M207</f>
        <v>232990.12497159539</v>
      </c>
      <c r="J51" s="643">
        <f t="shared" si="12"/>
        <v>3539000.0000000005</v>
      </c>
    </row>
    <row r="52" spans="1:10">
      <c r="A52" s="640">
        <v>50</v>
      </c>
      <c r="B52" s="809"/>
      <c r="C52" s="628" t="s">
        <v>333</v>
      </c>
      <c r="D52" s="656">
        <v>875</v>
      </c>
      <c r="E52" s="643">
        <f>Detail!I208</f>
        <v>63356.676045797649</v>
      </c>
      <c r="F52" s="643">
        <f>Detail!J208</f>
        <v>23633.327408652473</v>
      </c>
      <c r="G52" s="643">
        <f>Detail!K208</f>
        <v>0</v>
      </c>
      <c r="H52" s="643">
        <f>Detail!L208</f>
        <v>328.67598196347859</v>
      </c>
      <c r="I52" s="643">
        <f>Detail!M208</f>
        <v>10681.320563586391</v>
      </c>
      <c r="J52" s="643">
        <f t="shared" si="12"/>
        <v>97999.999999999985</v>
      </c>
    </row>
    <row r="53" spans="1:10">
      <c r="A53" s="640">
        <v>51</v>
      </c>
      <c r="B53" s="809"/>
      <c r="C53" s="628" t="s">
        <v>334</v>
      </c>
      <c r="D53" s="656">
        <v>876</v>
      </c>
      <c r="E53" s="643">
        <f>Detail!I209</f>
        <v>0</v>
      </c>
      <c r="F53" s="643">
        <f>Detail!J209</f>
        <v>6955.0151203581518</v>
      </c>
      <c r="G53" s="643">
        <f>Detail!K209</f>
        <v>0</v>
      </c>
      <c r="H53" s="643">
        <f>Detail!L209</f>
        <v>110.35019601512776</v>
      </c>
      <c r="I53" s="643">
        <f>Detail!M209</f>
        <v>934.6346836267212</v>
      </c>
      <c r="J53" s="643">
        <f t="shared" si="12"/>
        <v>8000.0000000000009</v>
      </c>
    </row>
    <row r="54" spans="1:10">
      <c r="A54" s="640">
        <v>52</v>
      </c>
      <c r="B54" s="809"/>
      <c r="C54" s="628" t="s">
        <v>335</v>
      </c>
      <c r="D54" s="656">
        <v>877</v>
      </c>
      <c r="E54" s="643">
        <f>Detail!I210</f>
        <v>38789.801660692443</v>
      </c>
      <c r="F54" s="643">
        <f>Detail!J210</f>
        <v>14469.384127746411</v>
      </c>
      <c r="G54" s="643">
        <f>Detail!K210</f>
        <v>0</v>
      </c>
      <c r="H54" s="643">
        <f>Detail!L210</f>
        <v>201.23019303886446</v>
      </c>
      <c r="I54" s="643">
        <f>Detail!M210</f>
        <v>6539.5840185222805</v>
      </c>
      <c r="J54" s="643">
        <f t="shared" si="12"/>
        <v>60000</v>
      </c>
    </row>
    <row r="55" spans="1:10">
      <c r="A55" s="640">
        <v>53</v>
      </c>
      <c r="B55" s="809"/>
      <c r="C55" s="628" t="s">
        <v>336</v>
      </c>
      <c r="D55" s="656">
        <v>878</v>
      </c>
      <c r="E55" s="643">
        <f>Detail!I211</f>
        <v>-520713.69017131743</v>
      </c>
      <c r="F55" s="643">
        <f>Detail!J211</f>
        <v>-52060.426621010709</v>
      </c>
      <c r="G55" s="643">
        <f>Detail!K211</f>
        <v>0</v>
      </c>
      <c r="H55" s="643">
        <f>Detail!L211</f>
        <v>-551.06572898904767</v>
      </c>
      <c r="I55" s="643">
        <f>Detail!M211</f>
        <v>-4674.8174786828204</v>
      </c>
      <c r="J55" s="643">
        <f t="shared" si="12"/>
        <v>-578000.00000000012</v>
      </c>
    </row>
    <row r="56" spans="1:10">
      <c r="A56" s="640">
        <v>54</v>
      </c>
      <c r="B56" s="809"/>
      <c r="C56" s="628" t="s">
        <v>337</v>
      </c>
      <c r="D56" s="656">
        <v>879</v>
      </c>
      <c r="E56" s="643">
        <f>Detail!I212</f>
        <v>1520094.0376534378</v>
      </c>
      <c r="F56" s="643">
        <f>Detail!J212</f>
        <v>28538.260488122829</v>
      </c>
      <c r="G56" s="643">
        <f>Detail!K212</f>
        <v>0</v>
      </c>
      <c r="H56" s="643">
        <f>Detail!L212</f>
        <v>18.385092921966717</v>
      </c>
      <c r="I56" s="643">
        <f>Detail!M212</f>
        <v>349.31676551736757</v>
      </c>
      <c r="J56" s="643">
        <f t="shared" si="12"/>
        <v>1549000.0000000002</v>
      </c>
    </row>
    <row r="57" spans="1:10">
      <c r="A57" s="640">
        <v>55</v>
      </c>
      <c r="B57" s="809"/>
      <c r="C57" s="628" t="s">
        <v>338</v>
      </c>
      <c r="D57" s="656">
        <v>880</v>
      </c>
      <c r="E57" s="643">
        <f>Detail!I213</f>
        <v>1833291.509152747</v>
      </c>
      <c r="F57" s="643">
        <f>Detail!J213</f>
        <v>265907.28033979045</v>
      </c>
      <c r="G57" s="643">
        <f>Detail!K213</f>
        <v>0</v>
      </c>
      <c r="H57" s="643">
        <f>Detail!L213</f>
        <v>3400.7847168217404</v>
      </c>
      <c r="I57" s="643">
        <f>Detail!M213</f>
        <v>103400.42579064087</v>
      </c>
      <c r="J57" s="643">
        <f t="shared" si="12"/>
        <v>2206000</v>
      </c>
    </row>
    <row r="58" spans="1:10">
      <c r="A58" s="640">
        <v>56</v>
      </c>
      <c r="B58" s="809"/>
      <c r="C58" s="628" t="s">
        <v>2</v>
      </c>
      <c r="D58" s="656">
        <v>881</v>
      </c>
      <c r="E58" s="643">
        <f>Detail!I214</f>
        <v>22438.291363156921</v>
      </c>
      <c r="F58" s="643">
        <f>Detail!J214</f>
        <v>3254.5315363437635</v>
      </c>
      <c r="G58" s="643">
        <f>Detail!K214</f>
        <v>0</v>
      </c>
      <c r="H58" s="643">
        <f>Detail!L214</f>
        <v>41.623385020030369</v>
      </c>
      <c r="I58" s="643">
        <f>Detail!M214</f>
        <v>1265.5537154792855</v>
      </c>
      <c r="J58" s="643">
        <f t="shared" si="12"/>
        <v>27000</v>
      </c>
    </row>
    <row r="59" spans="1:10">
      <c r="A59" s="640">
        <v>57</v>
      </c>
      <c r="B59" s="628"/>
      <c r="C59" s="625" t="s">
        <v>1263</v>
      </c>
      <c r="D59" s="655"/>
      <c r="E59" s="643">
        <f t="shared" ref="E59:J59" si="13">SUM(E48:E58)</f>
        <v>7149652.5265865885</v>
      </c>
      <c r="F59" s="643">
        <f t="shared" si="13"/>
        <v>1084996.6463955957</v>
      </c>
      <c r="G59" s="643">
        <f t="shared" si="13"/>
        <v>0</v>
      </c>
      <c r="H59" s="643">
        <f t="shared" si="13"/>
        <v>14103.665357907077</v>
      </c>
      <c r="I59" s="643">
        <f t="shared" si="13"/>
        <v>457247.16165990871</v>
      </c>
      <c r="J59" s="643">
        <f t="shared" si="13"/>
        <v>8706000</v>
      </c>
    </row>
    <row r="60" spans="1:10">
      <c r="A60" s="640">
        <v>58</v>
      </c>
      <c r="B60" s="809" t="s">
        <v>1359</v>
      </c>
      <c r="C60" s="628" t="s">
        <v>1</v>
      </c>
      <c r="D60" s="629">
        <v>885</v>
      </c>
      <c r="E60" s="643">
        <f>Detail!I216</f>
        <v>68150.239764712955</v>
      </c>
      <c r="F60" s="643">
        <f>Detail!J216</f>
        <v>12621.734844920322</v>
      </c>
      <c r="G60" s="643">
        <f>Detail!K216</f>
        <v>0</v>
      </c>
      <c r="H60" s="643">
        <f>Detail!L216</f>
        <v>166.56317436916194</v>
      </c>
      <c r="I60" s="643">
        <f>Detail!M216</f>
        <v>5061.4622159975543</v>
      </c>
      <c r="J60" s="643">
        <f>SUM(E60:I60)</f>
        <v>86000</v>
      </c>
    </row>
    <row r="61" spans="1:10" s="731" customFormat="1">
      <c r="A61" s="640">
        <v>59</v>
      </c>
      <c r="B61" s="809"/>
      <c r="C61" s="628" t="s">
        <v>245</v>
      </c>
      <c r="D61" s="629">
        <v>887</v>
      </c>
      <c r="E61" s="643">
        <f>Detail!I218</f>
        <v>523015.82572500309</v>
      </c>
      <c r="F61" s="643">
        <f>Detail!J218</f>
        <v>195095.52932244746</v>
      </c>
      <c r="G61" s="643">
        <f>Detail!K218</f>
        <v>0</v>
      </c>
      <c r="H61" s="643">
        <f>Detail!L218</f>
        <v>2713.2537694740222</v>
      </c>
      <c r="I61" s="643">
        <f>Detail!M218</f>
        <v>88175.391183075408</v>
      </c>
      <c r="J61" s="643">
        <f t="shared" ref="J61:J68" si="14">SUM(E61:I61)</f>
        <v>808999.99999999988</v>
      </c>
    </row>
    <row r="62" spans="1:10">
      <c r="A62" s="640">
        <v>60</v>
      </c>
      <c r="B62" s="809"/>
      <c r="C62" s="628" t="s">
        <v>240</v>
      </c>
      <c r="D62" s="629">
        <v>888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f t="shared" si="14"/>
        <v>0</v>
      </c>
    </row>
    <row r="63" spans="1:10">
      <c r="A63" s="640">
        <v>61</v>
      </c>
      <c r="B63" s="809"/>
      <c r="C63" s="628" t="s">
        <v>333</v>
      </c>
      <c r="D63" s="629">
        <v>889</v>
      </c>
      <c r="E63" s="643">
        <f>Detail!I219</f>
        <v>184898.05458263395</v>
      </c>
      <c r="F63" s="643">
        <f>Detail!J219</f>
        <v>68970.731008924558</v>
      </c>
      <c r="G63" s="643">
        <f>Detail!K219</f>
        <v>0</v>
      </c>
      <c r="H63" s="643">
        <f>Detail!L219</f>
        <v>959.1972534852539</v>
      </c>
      <c r="I63" s="643">
        <f>Detail!M219</f>
        <v>31172.017154956204</v>
      </c>
      <c r="J63" s="643">
        <f t="shared" si="14"/>
        <v>285999.99999999994</v>
      </c>
    </row>
    <row r="64" spans="1:10">
      <c r="A64" s="640">
        <v>62</v>
      </c>
      <c r="B64" s="809"/>
      <c r="C64" s="628" t="s">
        <v>334</v>
      </c>
      <c r="D64" s="629">
        <v>890</v>
      </c>
      <c r="E64" s="643">
        <f>Detail!I220</f>
        <v>0</v>
      </c>
      <c r="F64" s="643">
        <f>Detail!J220</f>
        <v>13910.030240716304</v>
      </c>
      <c r="G64" s="643">
        <f>Detail!K220</f>
        <v>0</v>
      </c>
      <c r="H64" s="643">
        <f>Detail!L220</f>
        <v>220.70039203025553</v>
      </c>
      <c r="I64" s="643">
        <f>Detail!M220</f>
        <v>1869.2693672534424</v>
      </c>
      <c r="J64" s="643">
        <f t="shared" si="14"/>
        <v>16000.000000000002</v>
      </c>
    </row>
    <row r="65" spans="1:10">
      <c r="A65" s="640">
        <v>63</v>
      </c>
      <c r="B65" s="809"/>
      <c r="C65" s="628" t="s">
        <v>335</v>
      </c>
      <c r="D65" s="629">
        <v>891</v>
      </c>
      <c r="E65" s="643">
        <f>Detail!I221</f>
        <v>44608.271909796305</v>
      </c>
      <c r="F65" s="643">
        <f>Detail!J221</f>
        <v>16639.791746908373</v>
      </c>
      <c r="G65" s="643">
        <f>Detail!K221</f>
        <v>0</v>
      </c>
      <c r="H65" s="643">
        <f>Detail!L221</f>
        <v>231.4147219946941</v>
      </c>
      <c r="I65" s="643">
        <f>Detail!M221</f>
        <v>7520.5216213006224</v>
      </c>
      <c r="J65" s="643">
        <f t="shared" si="14"/>
        <v>69000</v>
      </c>
    </row>
    <row r="66" spans="1:10">
      <c r="A66" s="640">
        <v>64</v>
      </c>
      <c r="B66" s="809"/>
      <c r="C66" s="628" t="s">
        <v>91</v>
      </c>
      <c r="D66" s="629">
        <v>892</v>
      </c>
      <c r="E66" s="643">
        <f>Detail!I222</f>
        <v>1381900.8609060487</v>
      </c>
      <c r="F66" s="643">
        <f>Detail!J222</f>
        <v>25943.820421910736</v>
      </c>
      <c r="G66" s="643">
        <f>Detail!K222</f>
        <v>0</v>
      </c>
      <c r="H66" s="643">
        <f>Detail!L222</f>
        <v>63.022839662572494</v>
      </c>
      <c r="I66" s="643">
        <f>Detail!M222</f>
        <v>5092.2958323781331</v>
      </c>
      <c r="J66" s="643">
        <f t="shared" si="14"/>
        <v>1413000.0000000002</v>
      </c>
    </row>
    <row r="67" spans="1:10">
      <c r="A67" s="640">
        <v>65</v>
      </c>
      <c r="B67" s="809"/>
      <c r="C67" s="628" t="s">
        <v>339</v>
      </c>
      <c r="D67" s="629">
        <v>893</v>
      </c>
      <c r="E67" s="643">
        <f>Detail!I223</f>
        <v>1505385.0800627533</v>
      </c>
      <c r="F67" s="643">
        <f>Detail!J223</f>
        <v>150506.87350122645</v>
      </c>
      <c r="G67" s="643">
        <f>Detail!K223</f>
        <v>0</v>
      </c>
      <c r="H67" s="643">
        <f>Detail!L223</f>
        <v>1593.1329293091671</v>
      </c>
      <c r="I67" s="643">
        <f>Detail!M223</f>
        <v>13514.91350671106</v>
      </c>
      <c r="J67" s="643">
        <f t="shared" si="14"/>
        <v>1671000.0000000002</v>
      </c>
    </row>
    <row r="68" spans="1:10">
      <c r="A68" s="640">
        <v>66</v>
      </c>
      <c r="B68" s="809"/>
      <c r="C68" s="628" t="s">
        <v>243</v>
      </c>
      <c r="D68" s="629">
        <v>894</v>
      </c>
      <c r="E68" s="643">
        <f>Detail!I224</f>
        <v>152941.81714639068</v>
      </c>
      <c r="F68" s="643">
        <f>Detail!J224</f>
        <v>28325.521221739793</v>
      </c>
      <c r="G68" s="643">
        <f>Detail!K224</f>
        <v>0</v>
      </c>
      <c r="H68" s="643">
        <f>Detail!L224</f>
        <v>373.79875178195647</v>
      </c>
      <c r="I68" s="643">
        <f>Detail!M224</f>
        <v>11358.862880087534</v>
      </c>
      <c r="J68" s="643">
        <f t="shared" si="14"/>
        <v>192999.99999999997</v>
      </c>
    </row>
    <row r="69" spans="1:10">
      <c r="A69" s="640">
        <v>67</v>
      </c>
      <c r="B69" s="628"/>
      <c r="C69" s="625" t="s">
        <v>1264</v>
      </c>
      <c r="D69" s="655"/>
      <c r="E69" s="643">
        <f t="shared" ref="E69:J69" si="15">SUM(E60:E68)</f>
        <v>3860900.1500973385</v>
      </c>
      <c r="F69" s="643">
        <f t="shared" si="15"/>
        <v>512014.03230879398</v>
      </c>
      <c r="G69" s="643">
        <f t="shared" si="15"/>
        <v>0</v>
      </c>
      <c r="H69" s="643">
        <f t="shared" si="15"/>
        <v>6321.0838321070842</v>
      </c>
      <c r="I69" s="643">
        <f t="shared" si="15"/>
        <v>163764.73376175994</v>
      </c>
      <c r="J69" s="643">
        <f t="shared" si="15"/>
        <v>4543000</v>
      </c>
    </row>
    <row r="70" spans="1:10">
      <c r="A70" s="640">
        <v>68</v>
      </c>
      <c r="B70" s="610"/>
      <c r="C70" s="632" t="s">
        <v>1244</v>
      </c>
      <c r="D70" s="632"/>
      <c r="E70" s="643">
        <f t="shared" ref="E70:J70" si="16">E69+E59</f>
        <v>11010552.676683927</v>
      </c>
      <c r="F70" s="643">
        <f t="shared" si="16"/>
        <v>1597010.6787043898</v>
      </c>
      <c r="G70" s="643">
        <f t="shared" si="16"/>
        <v>0</v>
      </c>
      <c r="H70" s="643">
        <f t="shared" si="16"/>
        <v>20424.749190014161</v>
      </c>
      <c r="I70" s="643">
        <f t="shared" si="16"/>
        <v>621011.89542166865</v>
      </c>
      <c r="J70" s="643">
        <f t="shared" si="16"/>
        <v>13249000</v>
      </c>
    </row>
    <row r="71" spans="1:10">
      <c r="A71" s="640">
        <v>69</v>
      </c>
      <c r="B71" s="811" t="s">
        <v>1265</v>
      </c>
      <c r="C71" s="667" t="s">
        <v>13</v>
      </c>
      <c r="D71" s="609">
        <v>901</v>
      </c>
      <c r="E71" s="643">
        <f>Detail!I229</f>
        <v>80469.794117225247</v>
      </c>
      <c r="F71" s="643">
        <f>Detail!J229</f>
        <v>1510.7407101524029</v>
      </c>
      <c r="G71" s="643">
        <f>Detail!K229</f>
        <v>0</v>
      </c>
      <c r="H71" s="643">
        <f>Detail!L229</f>
        <v>0.97325863111766986</v>
      </c>
      <c r="I71" s="643">
        <f>Detail!M229</f>
        <v>18.491913991235727</v>
      </c>
      <c r="J71" s="643">
        <f>SUM(E71:I71)</f>
        <v>82000</v>
      </c>
    </row>
    <row r="72" spans="1:10">
      <c r="A72" s="640">
        <v>70</v>
      </c>
      <c r="B72" s="811"/>
      <c r="C72" s="667" t="s">
        <v>15</v>
      </c>
      <c r="D72" s="609">
        <v>902</v>
      </c>
      <c r="E72" s="643">
        <f>Detail!I230</f>
        <v>1717343.1671359045</v>
      </c>
      <c r="F72" s="643">
        <f>Detail!J230</f>
        <v>32241.417594715916</v>
      </c>
      <c r="G72" s="643">
        <f>Detail!K230</f>
        <v>0</v>
      </c>
      <c r="H72" s="643">
        <f>Detail!L230</f>
        <v>20.770763468974661</v>
      </c>
      <c r="I72" s="643">
        <f>Detail!M230</f>
        <v>394.64450591051855</v>
      </c>
      <c r="J72" s="643">
        <f>SUM(E72:I72)</f>
        <v>1750000</v>
      </c>
    </row>
    <row r="73" spans="1:10">
      <c r="A73" s="640">
        <v>71</v>
      </c>
      <c r="B73" s="811"/>
      <c r="C73" s="667" t="s">
        <v>349</v>
      </c>
      <c r="D73" s="609">
        <v>903</v>
      </c>
      <c r="E73" s="643">
        <f>Detail!I231</f>
        <v>4566170.1466762079</v>
      </c>
      <c r="F73" s="643">
        <f>Detail!J231</f>
        <v>85725.323467550377</v>
      </c>
      <c r="G73" s="643">
        <f>Detail!K231</f>
        <v>0</v>
      </c>
      <c r="H73" s="643">
        <f>Detail!L231</f>
        <v>55.226492812079485</v>
      </c>
      <c r="I73" s="643">
        <f>Detail!M231</f>
        <v>1049.3033634295102</v>
      </c>
      <c r="J73" s="643">
        <f>SUM(E73:I73)</f>
        <v>4653000</v>
      </c>
    </row>
    <row r="74" spans="1:10">
      <c r="A74" s="640">
        <v>72</v>
      </c>
      <c r="B74" s="811"/>
      <c r="C74" s="667" t="s">
        <v>18</v>
      </c>
      <c r="D74" s="609">
        <v>904</v>
      </c>
      <c r="E74" s="643">
        <f>Detail!I232</f>
        <v>102205.98226365854</v>
      </c>
      <c r="F74" s="643">
        <f>Detail!J232</f>
        <v>25909.529939286025</v>
      </c>
      <c r="G74" s="643">
        <f>Detail!K232</f>
        <v>0</v>
      </c>
      <c r="H74" s="643">
        <f>Detail!L232</f>
        <v>279.06699101477943</v>
      </c>
      <c r="I74" s="643">
        <f>Detail!M232</f>
        <v>4605.4208060406581</v>
      </c>
      <c r="J74" s="643">
        <f>SUM(E74:I74)</f>
        <v>133000.00000000003</v>
      </c>
    </row>
    <row r="75" spans="1:10">
      <c r="A75" s="640">
        <v>73</v>
      </c>
      <c r="B75" s="811"/>
      <c r="C75" s="608" t="s">
        <v>20</v>
      </c>
      <c r="D75" s="606">
        <v>905</v>
      </c>
      <c r="E75" s="643">
        <f>Detail!I233</f>
        <v>175659.67252418681</v>
      </c>
      <c r="F75" s="643">
        <f>Detail!J233</f>
        <v>3297.8364282595135</v>
      </c>
      <c r="G75" s="643">
        <f>Detail!K233</f>
        <v>0</v>
      </c>
      <c r="H75" s="643">
        <f>Detail!L233</f>
        <v>2.1245523776836941</v>
      </c>
      <c r="I75" s="643">
        <f>Detail!M233</f>
        <v>40.366495175990181</v>
      </c>
      <c r="J75" s="643">
        <f>SUM(E75:I75)</f>
        <v>178999.99999999997</v>
      </c>
    </row>
    <row r="76" spans="1:10">
      <c r="A76" s="640">
        <v>74</v>
      </c>
      <c r="B76" s="607"/>
      <c r="C76" s="632" t="s">
        <v>1245</v>
      </c>
      <c r="D76" s="664"/>
      <c r="E76" s="643">
        <f t="shared" ref="E76:J76" si="17">SUM(E71:E75)</f>
        <v>6641848.7627171827</v>
      </c>
      <c r="F76" s="643">
        <f t="shared" si="17"/>
        <v>148684.84813996422</v>
      </c>
      <c r="G76" s="643">
        <f t="shared" si="17"/>
        <v>0</v>
      </c>
      <c r="H76" s="643">
        <f t="shared" si="17"/>
        <v>358.16205830463491</v>
      </c>
      <c r="I76" s="643">
        <f t="shared" si="17"/>
        <v>6108.2270845479134</v>
      </c>
      <c r="J76" s="643">
        <f t="shared" si="17"/>
        <v>6797000</v>
      </c>
    </row>
    <row r="77" spans="1:10">
      <c r="A77" s="640">
        <v>75</v>
      </c>
      <c r="B77" s="809" t="s">
        <v>22</v>
      </c>
      <c r="C77" s="667" t="s">
        <v>13</v>
      </c>
      <c r="D77" s="609">
        <v>907</v>
      </c>
      <c r="E77" s="643">
        <f>Detail!I237</f>
        <v>0</v>
      </c>
      <c r="F77" s="643">
        <f>Detail!J237</f>
        <v>0</v>
      </c>
      <c r="G77" s="643">
        <f>Detail!K237</f>
        <v>0</v>
      </c>
      <c r="H77" s="643">
        <f>Detail!L237</f>
        <v>0</v>
      </c>
      <c r="I77" s="643">
        <f>Detail!M237</f>
        <v>0</v>
      </c>
      <c r="J77" s="643">
        <f>SUM(E77:I77)</f>
        <v>0</v>
      </c>
    </row>
    <row r="78" spans="1:10">
      <c r="A78" s="640">
        <v>76</v>
      </c>
      <c r="B78" s="809"/>
      <c r="C78" s="667" t="s">
        <v>25</v>
      </c>
      <c r="D78" s="609">
        <v>908</v>
      </c>
      <c r="E78" s="643">
        <f>Detail!I238</f>
        <v>426882.44440235343</v>
      </c>
      <c r="F78" s="643">
        <f>Detail!J238</f>
        <v>8014.2952306865272</v>
      </c>
      <c r="G78" s="643">
        <f>Detail!K238</f>
        <v>0</v>
      </c>
      <c r="H78" s="643">
        <f>Detail!L238</f>
        <v>5.1630183480022733</v>
      </c>
      <c r="I78" s="643">
        <f>Detail!M238</f>
        <v>98.097348612043177</v>
      </c>
      <c r="J78" s="643">
        <f>SUM(E78:I78)</f>
        <v>435000</v>
      </c>
    </row>
    <row r="79" spans="1:10">
      <c r="A79" s="640">
        <v>77</v>
      </c>
      <c r="B79" s="809"/>
      <c r="C79" s="667" t="s">
        <v>27</v>
      </c>
      <c r="D79" s="609">
        <v>909</v>
      </c>
      <c r="E79" s="643">
        <f>Detail!I240</f>
        <v>638851.65817455645</v>
      </c>
      <c r="F79" s="643">
        <f>Detail!J240</f>
        <v>11993.807345234321</v>
      </c>
      <c r="G79" s="643">
        <f>Detail!K240</f>
        <v>0</v>
      </c>
      <c r="H79" s="643">
        <f>Detail!L240</f>
        <v>7.7267240104585744</v>
      </c>
      <c r="I79" s="643">
        <f>Detail!M240</f>
        <v>146.80775619871289</v>
      </c>
      <c r="J79" s="643">
        <f>SUM(E79:I79)</f>
        <v>650999.99999999988</v>
      </c>
    </row>
    <row r="80" spans="1:10">
      <c r="A80" s="640">
        <v>78</v>
      </c>
      <c r="B80" s="809"/>
      <c r="C80" s="628" t="s">
        <v>350</v>
      </c>
      <c r="D80" s="609">
        <v>910</v>
      </c>
      <c r="E80" s="643">
        <f>Detail!I241</f>
        <v>116779.33536524151</v>
      </c>
      <c r="F80" s="643">
        <f>Detail!J241</f>
        <v>2192.4163964406821</v>
      </c>
      <c r="G80" s="643">
        <f>Detail!K241</f>
        <v>0</v>
      </c>
      <c r="H80" s="643">
        <f>Detail!L241</f>
        <v>1.412411915890277</v>
      </c>
      <c r="I80" s="643">
        <f>Detail!M241</f>
        <v>26.835826401915259</v>
      </c>
      <c r="J80" s="643">
        <f>SUM(E80:I80)</f>
        <v>119000</v>
      </c>
    </row>
    <row r="81" spans="1:10">
      <c r="A81" s="640">
        <v>79</v>
      </c>
      <c r="B81" s="607"/>
      <c r="C81" s="632" t="s">
        <v>29</v>
      </c>
      <c r="D81" s="664"/>
      <c r="E81" s="643">
        <f t="shared" ref="E81:J81" si="18">SUM(E77:E80)</f>
        <v>1182513.4379421514</v>
      </c>
      <c r="F81" s="643">
        <f t="shared" si="18"/>
        <v>22200.518972361533</v>
      </c>
      <c r="G81" s="643">
        <f t="shared" si="18"/>
        <v>0</v>
      </c>
      <c r="H81" s="643">
        <f t="shared" si="18"/>
        <v>14.302154274351125</v>
      </c>
      <c r="I81" s="643">
        <f t="shared" si="18"/>
        <v>271.74093121267134</v>
      </c>
      <c r="J81" s="643">
        <f t="shared" si="18"/>
        <v>1205000</v>
      </c>
    </row>
    <row r="82" spans="1:10">
      <c r="A82" s="640">
        <v>80</v>
      </c>
      <c r="B82" s="811" t="s">
        <v>30</v>
      </c>
      <c r="C82" s="667" t="s">
        <v>13</v>
      </c>
      <c r="D82" s="609">
        <v>911</v>
      </c>
      <c r="E82" s="643">
        <f>Detail!I245</f>
        <v>981.33895264908836</v>
      </c>
      <c r="F82" s="643">
        <f>Detail!J245</f>
        <v>18.423667196980524</v>
      </c>
      <c r="G82" s="643">
        <f>Detail!K245</f>
        <v>0</v>
      </c>
      <c r="H82" s="643">
        <f>Detail!L245</f>
        <v>1.186900769655695E-2</v>
      </c>
      <c r="I82" s="643">
        <f>Detail!M245</f>
        <v>0.22551114623458202</v>
      </c>
      <c r="J82" s="643">
        <f>SUM(E82:I82)</f>
        <v>1000</v>
      </c>
    </row>
    <row r="83" spans="1:10">
      <c r="A83" s="640">
        <v>81</v>
      </c>
      <c r="B83" s="811"/>
      <c r="C83" s="667" t="s">
        <v>33</v>
      </c>
      <c r="D83" s="609">
        <v>912</v>
      </c>
      <c r="E83" s="643">
        <f>Detail!I246</f>
        <v>0</v>
      </c>
      <c r="F83" s="643">
        <f>Detail!J246</f>
        <v>0</v>
      </c>
      <c r="G83" s="643">
        <f>Detail!K246</f>
        <v>0</v>
      </c>
      <c r="H83" s="643">
        <f>Detail!L246</f>
        <v>0</v>
      </c>
      <c r="I83" s="643">
        <f>Detail!M246</f>
        <v>0</v>
      </c>
      <c r="J83" s="643">
        <f>SUM(E83:I83)</f>
        <v>0</v>
      </c>
    </row>
    <row r="84" spans="1:10">
      <c r="A84" s="640">
        <v>82</v>
      </c>
      <c r="B84" s="811"/>
      <c r="C84" s="667" t="s">
        <v>35</v>
      </c>
      <c r="D84" s="609">
        <v>913</v>
      </c>
      <c r="E84" s="643">
        <f>Detail!I247</f>
        <v>0</v>
      </c>
      <c r="F84" s="643">
        <f>Detail!J247</f>
        <v>0</v>
      </c>
      <c r="G84" s="643">
        <f>Detail!K247</f>
        <v>0</v>
      </c>
      <c r="H84" s="643">
        <f>Detail!L247</f>
        <v>0</v>
      </c>
      <c r="I84" s="643">
        <f>Detail!M247</f>
        <v>0</v>
      </c>
      <c r="J84" s="643">
        <f>SUM(E84:I84)</f>
        <v>0</v>
      </c>
    </row>
    <row r="85" spans="1:10">
      <c r="A85" s="640">
        <v>83</v>
      </c>
      <c r="B85" s="811"/>
      <c r="C85" s="667" t="s">
        <v>37</v>
      </c>
      <c r="D85" s="609">
        <v>916</v>
      </c>
      <c r="E85" s="643">
        <f>Detail!I248</f>
        <v>0</v>
      </c>
      <c r="F85" s="643">
        <f>Detail!J248</f>
        <v>0</v>
      </c>
      <c r="G85" s="643">
        <f>Detail!K248</f>
        <v>0</v>
      </c>
      <c r="H85" s="643">
        <f>Detail!L248</f>
        <v>0</v>
      </c>
      <c r="I85" s="643">
        <f>Detail!M248</f>
        <v>0</v>
      </c>
      <c r="J85" s="643">
        <f>SUM(E85:I85)</f>
        <v>0</v>
      </c>
    </row>
    <row r="86" spans="1:10">
      <c r="A86" s="640">
        <v>84</v>
      </c>
      <c r="B86" s="607"/>
      <c r="C86" s="632" t="s">
        <v>38</v>
      </c>
      <c r="D86" s="664"/>
      <c r="E86" s="643">
        <f t="shared" ref="E86:J86" si="19">SUM(E82:E85)</f>
        <v>981.33895264908836</v>
      </c>
      <c r="F86" s="643">
        <f t="shared" si="19"/>
        <v>18.423667196980524</v>
      </c>
      <c r="G86" s="643">
        <f t="shared" si="19"/>
        <v>0</v>
      </c>
      <c r="H86" s="643">
        <f t="shared" si="19"/>
        <v>1.186900769655695E-2</v>
      </c>
      <c r="I86" s="643">
        <f t="shared" si="19"/>
        <v>0.22551114623458202</v>
      </c>
      <c r="J86" s="643">
        <f t="shared" si="19"/>
        <v>1000</v>
      </c>
    </row>
    <row r="87" spans="1:10">
      <c r="A87" s="640">
        <v>85</v>
      </c>
      <c r="B87" s="607"/>
      <c r="C87" s="669" t="s">
        <v>39</v>
      </c>
      <c r="D87" s="669"/>
      <c r="E87" s="643">
        <f>E86+E81+E76+E70+E47+E25</f>
        <v>20871770.259516709</v>
      </c>
      <c r="F87" s="643">
        <f t="shared" ref="F87:J87" si="20">F86+F81+F76+F70+F47+F25</f>
        <v>2539644.6898351051</v>
      </c>
      <c r="G87" s="643">
        <f t="shared" si="20"/>
        <v>0</v>
      </c>
      <c r="H87" s="643">
        <f t="shared" si="20"/>
        <v>32357.877989239059</v>
      </c>
      <c r="I87" s="643">
        <f t="shared" si="20"/>
        <v>687227.17265894136</v>
      </c>
      <c r="J87" s="643">
        <f t="shared" si="20"/>
        <v>24131000</v>
      </c>
    </row>
    <row r="88" spans="1:10">
      <c r="A88" s="640">
        <v>86</v>
      </c>
      <c r="B88" s="607"/>
      <c r="C88" s="607"/>
      <c r="D88" s="607"/>
      <c r="E88" s="643"/>
      <c r="F88" s="643"/>
      <c r="G88" s="643"/>
      <c r="H88" s="643"/>
      <c r="I88" s="643"/>
      <c r="J88" s="643"/>
    </row>
    <row r="89" spans="1:10">
      <c r="A89" s="640">
        <v>87</v>
      </c>
      <c r="B89" s="811" t="s">
        <v>40</v>
      </c>
      <c r="C89" s="628" t="s">
        <v>741</v>
      </c>
      <c r="D89" s="656">
        <v>920</v>
      </c>
      <c r="E89" s="643">
        <f>Detail!I257</f>
        <v>7174217.4179621711</v>
      </c>
      <c r="F89" s="643">
        <f>Detail!J257</f>
        <v>777080.41718888178</v>
      </c>
      <c r="G89" s="643">
        <f>Detail!K257</f>
        <v>0</v>
      </c>
      <c r="H89" s="643">
        <f>Detail!L257</f>
        <v>9621.3800198258177</v>
      </c>
      <c r="I89" s="643">
        <f>Detail!M257</f>
        <v>236080.78482912219</v>
      </c>
      <c r="J89" s="643">
        <f>SUM(E89:I89)</f>
        <v>8197000.0000000009</v>
      </c>
    </row>
    <row r="90" spans="1:10">
      <c r="A90" s="640">
        <v>88</v>
      </c>
      <c r="B90" s="811"/>
      <c r="C90" s="628" t="s">
        <v>44</v>
      </c>
      <c r="D90" s="656">
        <v>921</v>
      </c>
      <c r="E90" s="643">
        <f>Detail!I264</f>
        <v>840215.77665532322</v>
      </c>
      <c r="F90" s="643">
        <f>Detail!J264</f>
        <v>91008.564169980047</v>
      </c>
      <c r="G90" s="643">
        <f>Detail!K264</f>
        <v>0</v>
      </c>
      <c r="H90" s="643">
        <f>Detail!L264</f>
        <v>1126.8177161196518</v>
      </c>
      <c r="I90" s="643">
        <f>Detail!M264</f>
        <v>27648.841458577201</v>
      </c>
      <c r="J90" s="643">
        <f t="shared" ref="J90:J100" si="21">SUM(E90:I90)</f>
        <v>960000.00000000012</v>
      </c>
    </row>
    <row r="91" spans="1:10">
      <c r="A91" s="640">
        <v>89</v>
      </c>
      <c r="B91" s="811"/>
      <c r="C91" s="628" t="s">
        <v>740</v>
      </c>
      <c r="D91" s="656">
        <v>922</v>
      </c>
      <c r="E91" s="643">
        <f>Detail!I271</f>
        <v>-11377.921975540836</v>
      </c>
      <c r="F91" s="643">
        <f>Detail!J271</f>
        <v>-1232.407639801813</v>
      </c>
      <c r="G91" s="643">
        <f>Detail!K271</f>
        <v>0</v>
      </c>
      <c r="H91" s="643">
        <f>Detail!L271</f>
        <v>-15.258989905786951</v>
      </c>
      <c r="I91" s="643">
        <f>Detail!M271</f>
        <v>-374.41139475156626</v>
      </c>
      <c r="J91" s="643">
        <f t="shared" si="21"/>
        <v>-13000.000000000004</v>
      </c>
    </row>
    <row r="92" spans="1:10">
      <c r="A92" s="640">
        <v>90</v>
      </c>
      <c r="B92" s="811"/>
      <c r="C92" s="628" t="s">
        <v>48</v>
      </c>
      <c r="D92" s="656">
        <v>923</v>
      </c>
      <c r="E92" s="643">
        <f>Detail!I278</f>
        <v>1706688.2963311253</v>
      </c>
      <c r="F92" s="643">
        <f>Detail!J278</f>
        <v>184861.14597027199</v>
      </c>
      <c r="G92" s="643">
        <f>Detail!K278</f>
        <v>0</v>
      </c>
      <c r="H92" s="643">
        <f>Detail!L278</f>
        <v>2288.8484858680426</v>
      </c>
      <c r="I92" s="643">
        <f>Detail!M278</f>
        <v>56161.709212734939</v>
      </c>
      <c r="J92" s="643">
        <f t="shared" si="21"/>
        <v>1950000</v>
      </c>
    </row>
    <row r="93" spans="1:10">
      <c r="A93" s="640">
        <v>91</v>
      </c>
      <c r="B93" s="811"/>
      <c r="C93" s="628" t="s">
        <v>50</v>
      </c>
      <c r="D93" s="656">
        <v>924</v>
      </c>
      <c r="E93" s="643">
        <f>Detail!I287</f>
        <v>200216.61180228108</v>
      </c>
      <c r="F93" s="643">
        <f>Detail!J287</f>
        <v>34805.028812554789</v>
      </c>
      <c r="G93" s="643">
        <f>Detail!K287</f>
        <v>0</v>
      </c>
      <c r="H93" s="643">
        <f>Detail!L287</f>
        <v>458.74857529073802</v>
      </c>
      <c r="I93" s="643">
        <f>Detail!M287</f>
        <v>12519.610809873369</v>
      </c>
      <c r="J93" s="643">
        <f t="shared" si="21"/>
        <v>248000</v>
      </c>
    </row>
    <row r="94" spans="1:10">
      <c r="A94" s="640">
        <v>92</v>
      </c>
      <c r="B94" s="811"/>
      <c r="C94" s="628" t="s">
        <v>52</v>
      </c>
      <c r="D94" s="656">
        <v>925</v>
      </c>
      <c r="E94" s="643">
        <f>Detail!I292</f>
        <v>505879.91552789253</v>
      </c>
      <c r="F94" s="643">
        <f>Detail!J292</f>
        <v>54794.739677342157</v>
      </c>
      <c r="G94" s="643">
        <f>Detail!K292</f>
        <v>0</v>
      </c>
      <c r="H94" s="643">
        <f>Detail!L292</f>
        <v>678.43816658037372</v>
      </c>
      <c r="I94" s="643">
        <f>Detail!M292</f>
        <v>16646.906628185021</v>
      </c>
      <c r="J94" s="643">
        <f t="shared" si="21"/>
        <v>578000.00000000012</v>
      </c>
    </row>
    <row r="95" spans="1:10">
      <c r="A95" s="640">
        <v>93</v>
      </c>
      <c r="B95" s="811"/>
      <c r="C95" s="628" t="s">
        <v>54</v>
      </c>
      <c r="D95" s="656">
        <v>926</v>
      </c>
      <c r="E95" s="643">
        <f>Detail!I304</f>
        <v>453930.49519435625</v>
      </c>
      <c r="F95" s="643">
        <f>Detail!J304</f>
        <v>49014.527051890545</v>
      </c>
      <c r="G95" s="643">
        <f>Detail!K304</f>
        <v>0</v>
      </c>
      <c r="H95" s="643">
        <f>Detail!L304</f>
        <v>608.60520804984139</v>
      </c>
      <c r="I95" s="643">
        <f>Detail!M304</f>
        <v>15446.401858746689</v>
      </c>
      <c r="J95" s="643">
        <f t="shared" si="21"/>
        <v>519000.02931304334</v>
      </c>
    </row>
    <row r="96" spans="1:10">
      <c r="A96" s="640">
        <v>94</v>
      </c>
      <c r="B96" s="811"/>
      <c r="C96" s="628" t="s">
        <v>56</v>
      </c>
      <c r="D96" s="656">
        <v>927</v>
      </c>
      <c r="E96" s="643">
        <f>Detail!I308</f>
        <v>0</v>
      </c>
      <c r="F96" s="643">
        <f>Detail!J308</f>
        <v>0</v>
      </c>
      <c r="G96" s="643">
        <f>Detail!K308</f>
        <v>0</v>
      </c>
      <c r="H96" s="643">
        <f>Detail!L308</f>
        <v>0</v>
      </c>
      <c r="I96" s="643">
        <f>Detail!M308</f>
        <v>0</v>
      </c>
      <c r="J96" s="643">
        <f t="shared" si="21"/>
        <v>0</v>
      </c>
    </row>
    <row r="97" spans="1:10">
      <c r="A97" s="640">
        <v>95</v>
      </c>
      <c r="B97" s="811"/>
      <c r="C97" s="628" t="s">
        <v>58</v>
      </c>
      <c r="D97" s="656">
        <v>928</v>
      </c>
      <c r="E97" s="643">
        <f>Detail!I313+Detail!I317</f>
        <v>538062.26801989658</v>
      </c>
      <c r="F97" s="643">
        <f>Detail!J313+Detail!J317</f>
        <v>79528.280957871146</v>
      </c>
      <c r="G97" s="643">
        <f>Detail!K313+Detail!K317</f>
        <v>0</v>
      </c>
      <c r="H97" s="643">
        <f>Detail!L313+Detail!L317</f>
        <v>924.92216856693631</v>
      </c>
      <c r="I97" s="643">
        <f>Detail!M313+Detail!M317</f>
        <v>19484.528853665379</v>
      </c>
      <c r="J97" s="643">
        <f t="shared" si="21"/>
        <v>638000</v>
      </c>
    </row>
    <row r="98" spans="1:10">
      <c r="A98" s="640">
        <v>96</v>
      </c>
      <c r="B98" s="811"/>
      <c r="C98" s="628" t="s">
        <v>60</v>
      </c>
      <c r="D98" s="656">
        <v>930</v>
      </c>
      <c r="E98" s="643">
        <f>Detail!I320</f>
        <v>1287455.6327708128</v>
      </c>
      <c r="F98" s="643">
        <f>Detail!J320</f>
        <v>139451.664472959</v>
      </c>
      <c r="G98" s="643">
        <f>Detail!K320</f>
        <v>0</v>
      </c>
      <c r="H98" s="643">
        <f>Detail!L320</f>
        <v>1726.6133962625081</v>
      </c>
      <c r="I98" s="643">
        <f>Detail!M320</f>
        <v>42366.089359965685</v>
      </c>
      <c r="J98" s="643">
        <f t="shared" si="21"/>
        <v>1471000</v>
      </c>
    </row>
    <row r="99" spans="1:10">
      <c r="A99" s="640">
        <v>97</v>
      </c>
      <c r="B99" s="811"/>
      <c r="C99" s="628" t="s">
        <v>2</v>
      </c>
      <c r="D99" s="656">
        <v>931</v>
      </c>
      <c r="E99" s="643">
        <f>Detail!I327</f>
        <v>63016.183249149239</v>
      </c>
      <c r="F99" s="643">
        <f>Detail!J327</f>
        <v>6825.6423127485041</v>
      </c>
      <c r="G99" s="643">
        <f>Detail!K327</f>
        <v>0</v>
      </c>
      <c r="H99" s="643">
        <f>Detail!L327</f>
        <v>84.511328708973892</v>
      </c>
      <c r="I99" s="643">
        <f>Detail!M327</f>
        <v>2073.6631093932901</v>
      </c>
      <c r="J99" s="643">
        <f t="shared" si="21"/>
        <v>72000.000000000015</v>
      </c>
    </row>
    <row r="100" spans="1:10">
      <c r="A100" s="640">
        <v>98</v>
      </c>
      <c r="B100" s="811"/>
      <c r="C100" s="628" t="s">
        <v>63</v>
      </c>
      <c r="D100" s="656">
        <v>935</v>
      </c>
      <c r="E100" s="643">
        <f>Detail!I334</f>
        <v>2402491.9863738148</v>
      </c>
      <c r="F100" s="643">
        <f>Detail!J334</f>
        <v>260227.61317353669</v>
      </c>
      <c r="G100" s="643">
        <f>Detail!K334</f>
        <v>0</v>
      </c>
      <c r="H100" s="643">
        <f>Detail!L334</f>
        <v>3221.9944070296292</v>
      </c>
      <c r="I100" s="643">
        <f>Detail!M334</f>
        <v>79058.40604561918</v>
      </c>
      <c r="J100" s="643">
        <f t="shared" si="21"/>
        <v>2745000.0000000005</v>
      </c>
    </row>
    <row r="101" spans="1:10">
      <c r="A101" s="640">
        <v>99</v>
      </c>
      <c r="B101" s="607"/>
      <c r="C101" s="632" t="s">
        <v>1360</v>
      </c>
      <c r="D101" s="632"/>
      <c r="E101" s="643">
        <f>SUM(E89:E100)</f>
        <v>15160796.661911283</v>
      </c>
      <c r="F101" s="643">
        <f t="shared" ref="F101:J101" si="22">SUM(F89:F100)</f>
        <v>1676365.2161482349</v>
      </c>
      <c r="G101" s="643">
        <f t="shared" si="22"/>
        <v>0</v>
      </c>
      <c r="H101" s="643">
        <f t="shared" si="22"/>
        <v>20725.620482396724</v>
      </c>
      <c r="I101" s="643">
        <f t="shared" si="22"/>
        <v>507112.53077113139</v>
      </c>
      <c r="J101" s="643">
        <f t="shared" si="22"/>
        <v>17365000.029313046</v>
      </c>
    </row>
    <row r="102" spans="1:10">
      <c r="A102" s="640">
        <v>100</v>
      </c>
      <c r="B102" s="607"/>
      <c r="C102" s="657"/>
      <c r="D102" s="657"/>
      <c r="E102" s="643"/>
      <c r="F102" s="643"/>
      <c r="G102" s="643"/>
      <c r="H102" s="643"/>
      <c r="I102" s="643"/>
      <c r="J102" s="643"/>
    </row>
    <row r="103" spans="1:10">
      <c r="A103" s="640">
        <v>101</v>
      </c>
      <c r="B103" s="607"/>
      <c r="C103" s="669" t="s">
        <v>65</v>
      </c>
      <c r="D103" s="669"/>
      <c r="E103" s="643">
        <f>E101+E87</f>
        <v>36032566.921427995</v>
      </c>
      <c r="F103" s="643">
        <f t="shared" ref="F103:J103" si="23">F101+F87</f>
        <v>4216009.90598334</v>
      </c>
      <c r="G103" s="643">
        <f t="shared" si="23"/>
        <v>0</v>
      </c>
      <c r="H103" s="643">
        <f t="shared" si="23"/>
        <v>53083.498471635787</v>
      </c>
      <c r="I103" s="643">
        <f t="shared" si="23"/>
        <v>1194339.7034300729</v>
      </c>
      <c r="J103" s="643">
        <f t="shared" si="23"/>
        <v>41496000.029313043</v>
      </c>
    </row>
    <row r="104" spans="1:10">
      <c r="A104" s="640">
        <v>102</v>
      </c>
      <c r="B104" s="607"/>
      <c r="C104" s="607"/>
      <c r="D104" s="607"/>
      <c r="E104" s="643"/>
      <c r="F104" s="643"/>
      <c r="G104" s="643"/>
      <c r="H104" s="643"/>
      <c r="I104" s="643"/>
      <c r="J104" s="643"/>
    </row>
    <row r="105" spans="1:10">
      <c r="A105" s="640">
        <v>103</v>
      </c>
      <c r="B105" s="811" t="s">
        <v>358</v>
      </c>
      <c r="C105" s="658" t="s">
        <v>359</v>
      </c>
      <c r="D105" s="659" t="s">
        <v>1266</v>
      </c>
      <c r="E105" s="643">
        <f>Detail!I354</f>
        <v>727.905415905685</v>
      </c>
      <c r="F105" s="643">
        <f>Detail!J354</f>
        <v>254.39160951997474</v>
      </c>
      <c r="G105" s="643">
        <f>Detail!K354</f>
        <v>0</v>
      </c>
      <c r="H105" s="643">
        <f>Detail!L354</f>
        <v>3.6849951794443951</v>
      </c>
      <c r="I105" s="643">
        <f>Detail!M354</f>
        <v>14.017979394895809</v>
      </c>
      <c r="J105" s="643">
        <f>SUM(E105:I105)</f>
        <v>1000</v>
      </c>
    </row>
    <row r="106" spans="1:10">
      <c r="A106" s="640">
        <v>104</v>
      </c>
      <c r="B106" s="811"/>
      <c r="C106" s="658" t="s">
        <v>360</v>
      </c>
      <c r="D106" s="659" t="s">
        <v>1266</v>
      </c>
      <c r="E106" s="643">
        <f>Detail!I355</f>
        <v>14558.1083181137</v>
      </c>
      <c r="F106" s="643">
        <f>Detail!J355</f>
        <v>5087.8321903994947</v>
      </c>
      <c r="G106" s="643">
        <f>Detail!K355</f>
        <v>0</v>
      </c>
      <c r="H106" s="643">
        <f>Detail!L355</f>
        <v>73.699903588887906</v>
      </c>
      <c r="I106" s="643">
        <f>Detail!M355</f>
        <v>280.35958789791619</v>
      </c>
      <c r="J106" s="643">
        <f t="shared" ref="J106:J112" si="24">SUM(E106:I106)</f>
        <v>20000</v>
      </c>
    </row>
    <row r="107" spans="1:10">
      <c r="A107" s="640">
        <v>105</v>
      </c>
      <c r="B107" s="811"/>
      <c r="C107" s="658" t="s">
        <v>361</v>
      </c>
      <c r="D107" s="659" t="s">
        <v>1266</v>
      </c>
      <c r="E107" s="643">
        <f>Detail!I356</f>
        <v>81525.40658143672</v>
      </c>
      <c r="F107" s="643">
        <f>Detail!J356</f>
        <v>28491.86026623717</v>
      </c>
      <c r="G107" s="643">
        <f>Detail!K356</f>
        <v>0</v>
      </c>
      <c r="H107" s="643">
        <f>Detail!L356</f>
        <v>412.71946009777224</v>
      </c>
      <c r="I107" s="643">
        <f>Detail!M356</f>
        <v>1570.0136922283305</v>
      </c>
      <c r="J107" s="643">
        <f t="shared" si="24"/>
        <v>111999.99999999999</v>
      </c>
    </row>
    <row r="108" spans="1:10">
      <c r="A108" s="640">
        <v>106</v>
      </c>
      <c r="B108" s="811"/>
      <c r="C108" s="658" t="s">
        <v>362</v>
      </c>
      <c r="D108" s="659" t="s">
        <v>1266</v>
      </c>
      <c r="E108" s="643">
        <f>Detail!I357</f>
        <v>5095.337911339795</v>
      </c>
      <c r="F108" s="643">
        <f>Detail!J357</f>
        <v>1780.7412666398232</v>
      </c>
      <c r="G108" s="643">
        <f>Detail!K357</f>
        <v>0</v>
      </c>
      <c r="H108" s="643">
        <f>Detail!L357</f>
        <v>25.794966256110765</v>
      </c>
      <c r="I108" s="643">
        <f>Detail!M357</f>
        <v>98.125855764270653</v>
      </c>
      <c r="J108" s="643">
        <f t="shared" si="24"/>
        <v>6999.9999999999991</v>
      </c>
    </row>
    <row r="109" spans="1:10">
      <c r="A109" s="640">
        <v>107</v>
      </c>
      <c r="B109" s="811"/>
      <c r="C109" s="658" t="s">
        <v>363</v>
      </c>
      <c r="D109" s="659" t="s">
        <v>1266</v>
      </c>
      <c r="E109" s="643">
        <f>Detail!I358</f>
        <v>80069.595749625354</v>
      </c>
      <c r="F109" s="643">
        <f>Detail!J358</f>
        <v>27983.077047197221</v>
      </c>
      <c r="G109" s="643">
        <f>Detail!K358</f>
        <v>0</v>
      </c>
      <c r="H109" s="643">
        <f>Detail!L358</f>
        <v>405.34946973888344</v>
      </c>
      <c r="I109" s="643">
        <f>Detail!M358</f>
        <v>1541.977733438539</v>
      </c>
      <c r="J109" s="643">
        <f t="shared" si="24"/>
        <v>110000</v>
      </c>
    </row>
    <row r="110" spans="1:10">
      <c r="A110" s="640">
        <v>108</v>
      </c>
      <c r="B110" s="811"/>
      <c r="C110" s="658" t="s">
        <v>364</v>
      </c>
      <c r="D110" s="659" t="s">
        <v>1266</v>
      </c>
      <c r="E110" s="643">
        <f>Detail!I359</f>
        <v>52409.18994520932</v>
      </c>
      <c r="F110" s="643">
        <f>Detail!J359</f>
        <v>18316.195885438181</v>
      </c>
      <c r="G110" s="643">
        <f>Detail!K359</f>
        <v>0</v>
      </c>
      <c r="H110" s="643">
        <f>Detail!L359</f>
        <v>265.31965291999643</v>
      </c>
      <c r="I110" s="643">
        <f>Detail!M359</f>
        <v>1009.2945164324982</v>
      </c>
      <c r="J110" s="643">
        <f t="shared" si="24"/>
        <v>71999.999999999985</v>
      </c>
    </row>
    <row r="111" spans="1:10">
      <c r="A111" s="640">
        <v>109</v>
      </c>
      <c r="B111" s="811"/>
      <c r="C111" s="658" t="s">
        <v>365</v>
      </c>
      <c r="D111" s="659" t="s">
        <v>1266</v>
      </c>
      <c r="E111" s="643">
        <f>Detail!I360</f>
        <v>727.905415905685</v>
      </c>
      <c r="F111" s="643">
        <f>Detail!J360</f>
        <v>254.39160951997474</v>
      </c>
      <c r="G111" s="643">
        <f>Detail!K360</f>
        <v>0</v>
      </c>
      <c r="H111" s="643">
        <f>Detail!L360</f>
        <v>3.6849951794443951</v>
      </c>
      <c r="I111" s="643">
        <f>Detail!M360</f>
        <v>14.017979394895809</v>
      </c>
      <c r="J111" s="643">
        <f t="shared" si="24"/>
        <v>1000</v>
      </c>
    </row>
    <row r="112" spans="1:10">
      <c r="A112" s="640">
        <v>110</v>
      </c>
      <c r="B112" s="811"/>
      <c r="C112" s="658" t="s">
        <v>366</v>
      </c>
      <c r="D112" s="659" t="s">
        <v>1266</v>
      </c>
      <c r="E112" s="643">
        <f>Detail!I361</f>
        <v>18925.54081354781</v>
      </c>
      <c r="F112" s="643">
        <f>Detail!J361</f>
        <v>6614.1818475193431</v>
      </c>
      <c r="G112" s="643">
        <f>Detail!K361</f>
        <v>0</v>
      </c>
      <c r="H112" s="643">
        <f>Detail!L361</f>
        <v>95.809874665554275</v>
      </c>
      <c r="I112" s="643">
        <f>Detail!M361</f>
        <v>364.46746426729101</v>
      </c>
      <c r="J112" s="643">
        <f t="shared" si="24"/>
        <v>26000</v>
      </c>
    </row>
    <row r="113" spans="1:10">
      <c r="A113" s="640">
        <v>111</v>
      </c>
      <c r="B113" s="608"/>
      <c r="C113" s="671" t="s">
        <v>1361</v>
      </c>
      <c r="D113" s="670"/>
      <c r="E113" s="643">
        <f>SUM(E105:E112)</f>
        <v>254038.99015108412</v>
      </c>
      <c r="F113" s="643">
        <f t="shared" ref="F113:J113" si="25">SUM(F105:F112)</f>
        <v>88782.671722471176</v>
      </c>
      <c r="G113" s="643">
        <f t="shared" si="25"/>
        <v>0</v>
      </c>
      <c r="H113" s="643">
        <f t="shared" si="25"/>
        <v>1286.0633176260935</v>
      </c>
      <c r="I113" s="643">
        <f t="shared" si="25"/>
        <v>4892.2748088186363</v>
      </c>
      <c r="J113" s="643">
        <f t="shared" si="25"/>
        <v>349000</v>
      </c>
    </row>
    <row r="114" spans="1:10">
      <c r="A114" s="640">
        <v>112</v>
      </c>
      <c r="B114" s="811" t="s">
        <v>70</v>
      </c>
      <c r="C114" s="658" t="s">
        <v>359</v>
      </c>
      <c r="D114" s="659"/>
      <c r="E114" s="643">
        <f>Detail!I365</f>
        <v>4754.6678905613689</v>
      </c>
      <c r="F114" s="643">
        <f>Detail!J365</f>
        <v>880.58615197118525</v>
      </c>
      <c r="G114" s="643">
        <f>Detail!K365</f>
        <v>0</v>
      </c>
      <c r="H114" s="643">
        <f>Detail!L365</f>
        <v>11.620686583895019</v>
      </c>
      <c r="I114" s="643">
        <f>Detail!M365</f>
        <v>353.12527088355029</v>
      </c>
      <c r="J114" s="643">
        <f>SUM(E114:I114)</f>
        <v>5999.9999999999991</v>
      </c>
    </row>
    <row r="115" spans="1:10">
      <c r="A115" s="640">
        <v>113</v>
      </c>
      <c r="B115" s="811"/>
      <c r="C115" s="658" t="s">
        <v>360</v>
      </c>
      <c r="D115" s="659"/>
      <c r="E115" s="643">
        <f>Detail!I366</f>
        <v>11886.669726403421</v>
      </c>
      <c r="F115" s="643">
        <f>Detail!J366</f>
        <v>2201.4653799279631</v>
      </c>
      <c r="G115" s="643">
        <f>Detail!K366</f>
        <v>0</v>
      </c>
      <c r="H115" s="643">
        <f>Detail!L366</f>
        <v>29.051716459737545</v>
      </c>
      <c r="I115" s="643">
        <f>Detail!M366</f>
        <v>882.81317720887569</v>
      </c>
      <c r="J115" s="643">
        <f t="shared" ref="J115:J126" si="26">SUM(E115:I115)</f>
        <v>14999.999999999998</v>
      </c>
    </row>
    <row r="116" spans="1:10">
      <c r="A116" s="640">
        <v>114</v>
      </c>
      <c r="B116" s="811"/>
      <c r="C116" s="658" t="s">
        <v>367</v>
      </c>
      <c r="D116" s="659"/>
      <c r="E116" s="643">
        <f>Detail!I367</f>
        <v>3729639.4296755781</v>
      </c>
      <c r="F116" s="643">
        <f>Detail!J367</f>
        <v>1391231.2838828175</v>
      </c>
      <c r="G116" s="643">
        <f>Detail!K367</f>
        <v>0</v>
      </c>
      <c r="H116" s="643">
        <f>Detail!L367</f>
        <v>19348.283060686816</v>
      </c>
      <c r="I116" s="643">
        <f>Detail!M367</f>
        <v>628781.00338091725</v>
      </c>
      <c r="J116" s="643">
        <f t="shared" si="26"/>
        <v>5768999.9999999991</v>
      </c>
    </row>
    <row r="117" spans="1:10">
      <c r="A117" s="640">
        <v>115</v>
      </c>
      <c r="B117" s="811"/>
      <c r="C117" s="658" t="s">
        <v>367</v>
      </c>
      <c r="D117" s="659"/>
      <c r="E117" s="643">
        <f>Detail!I368</f>
        <v>0</v>
      </c>
      <c r="F117" s="643">
        <f>Detail!J368</f>
        <v>0</v>
      </c>
      <c r="G117" s="643">
        <f>Detail!K368</f>
        <v>0</v>
      </c>
      <c r="H117" s="643">
        <f>Detail!L368</f>
        <v>0</v>
      </c>
      <c r="I117" s="643">
        <f>Detail!M368</f>
        <v>0</v>
      </c>
      <c r="J117" s="643">
        <f t="shared" si="26"/>
        <v>0</v>
      </c>
    </row>
    <row r="118" spans="1:10">
      <c r="A118" s="640">
        <v>116</v>
      </c>
      <c r="B118" s="811"/>
      <c r="C118" s="658" t="s">
        <v>368</v>
      </c>
      <c r="D118" s="659"/>
      <c r="E118" s="643">
        <f>Detail!I369</f>
        <v>93095.523985661857</v>
      </c>
      <c r="F118" s="643">
        <f>Detail!J369</f>
        <v>34726.521906591384</v>
      </c>
      <c r="G118" s="643">
        <f>Detail!K369</f>
        <v>0</v>
      </c>
      <c r="H118" s="643">
        <f>Detail!L369</f>
        <v>482.95246329327466</v>
      </c>
      <c r="I118" s="643">
        <f>Detail!M369</f>
        <v>15695.001644453472</v>
      </c>
      <c r="J118" s="643">
        <f t="shared" si="26"/>
        <v>144000</v>
      </c>
    </row>
    <row r="119" spans="1:10">
      <c r="A119" s="640">
        <v>117</v>
      </c>
      <c r="B119" s="811"/>
      <c r="C119" s="658" t="s">
        <v>369</v>
      </c>
      <c r="D119" s="659"/>
      <c r="E119" s="643">
        <f>Detail!I370</f>
        <v>32971.331411588573</v>
      </c>
      <c r="F119" s="643">
        <f>Detail!J370</f>
        <v>12298.97650858445</v>
      </c>
      <c r="G119" s="643">
        <f>Detail!K370</f>
        <v>0</v>
      </c>
      <c r="H119" s="643">
        <f>Detail!L370</f>
        <v>171.04566408303478</v>
      </c>
      <c r="I119" s="643">
        <f>Detail!M370</f>
        <v>5558.6464157439386</v>
      </c>
      <c r="J119" s="643">
        <f t="shared" si="26"/>
        <v>51000</v>
      </c>
    </row>
    <row r="120" spans="1:10">
      <c r="A120" s="640">
        <v>118</v>
      </c>
      <c r="B120" s="811"/>
      <c r="C120" s="658" t="s">
        <v>370</v>
      </c>
      <c r="D120" s="659"/>
      <c r="E120" s="643">
        <f>Detail!I371</f>
        <v>4349124.6485840045</v>
      </c>
      <c r="F120" s="643">
        <f>Detail!J371</f>
        <v>81650.509141002869</v>
      </c>
      <c r="G120" s="643">
        <f>Detail!K371</f>
        <v>0</v>
      </c>
      <c r="H120" s="643">
        <f>Detail!L371</f>
        <v>198.34576643981592</v>
      </c>
      <c r="I120" s="643">
        <f>Detail!M371</f>
        <v>16026.496508553118</v>
      </c>
      <c r="J120" s="643">
        <f t="shared" si="26"/>
        <v>4447000</v>
      </c>
    </row>
    <row r="121" spans="1:10">
      <c r="A121" s="640">
        <v>119</v>
      </c>
      <c r="B121" s="811"/>
      <c r="C121" s="658" t="s">
        <v>371</v>
      </c>
      <c r="D121" s="659"/>
      <c r="E121" s="643">
        <f>Detail!I372</f>
        <v>2889150.1805872233</v>
      </c>
      <c r="F121" s="643">
        <f>Detail!J372</f>
        <v>288854.30479858362</v>
      </c>
      <c r="G121" s="643">
        <f>Detail!K372</f>
        <v>0</v>
      </c>
      <c r="H121" s="643">
        <f>Detail!L372</f>
        <v>3057.5567350655292</v>
      </c>
      <c r="I121" s="643">
        <f>Detail!M372</f>
        <v>25937.957879127687</v>
      </c>
      <c r="J121" s="643">
        <f t="shared" si="26"/>
        <v>3206999.9999999995</v>
      </c>
    </row>
    <row r="122" spans="1:10">
      <c r="A122" s="640">
        <v>120</v>
      </c>
      <c r="B122" s="811"/>
      <c r="C122" s="658" t="s">
        <v>372</v>
      </c>
      <c r="D122" s="659"/>
      <c r="E122" s="643">
        <f>Detail!I373</f>
        <v>0</v>
      </c>
      <c r="F122" s="643">
        <f>Detail!J373</f>
        <v>0</v>
      </c>
      <c r="G122" s="643">
        <f>Detail!K373</f>
        <v>0</v>
      </c>
      <c r="H122" s="643">
        <f>Detail!L373</f>
        <v>0</v>
      </c>
      <c r="I122" s="643">
        <f>Detail!M373</f>
        <v>0</v>
      </c>
      <c r="J122" s="643">
        <f t="shared" si="26"/>
        <v>0</v>
      </c>
    </row>
    <row r="123" spans="1:10">
      <c r="A123" s="640">
        <v>121</v>
      </c>
      <c r="B123" s="811"/>
      <c r="C123" s="658" t="s">
        <v>373</v>
      </c>
      <c r="D123" s="659"/>
      <c r="E123" s="643">
        <f>Detail!I374</f>
        <v>0</v>
      </c>
      <c r="F123" s="643">
        <f>Detail!J374</f>
        <v>0</v>
      </c>
      <c r="G123" s="643">
        <f>Detail!K374</f>
        <v>0</v>
      </c>
      <c r="H123" s="643">
        <f>Detail!L374</f>
        <v>0</v>
      </c>
      <c r="I123" s="643">
        <f>Detail!M374</f>
        <v>0</v>
      </c>
      <c r="J123" s="643">
        <f t="shared" si="26"/>
        <v>0</v>
      </c>
    </row>
    <row r="124" spans="1:10">
      <c r="A124" s="640">
        <v>122</v>
      </c>
      <c r="B124" s="811"/>
      <c r="C124" s="658" t="s">
        <v>374</v>
      </c>
      <c r="D124" s="659"/>
      <c r="E124" s="643">
        <f>Detail!I375</f>
        <v>0</v>
      </c>
      <c r="F124" s="643">
        <f>Detail!J375</f>
        <v>0</v>
      </c>
      <c r="G124" s="643">
        <f>Detail!K375</f>
        <v>0</v>
      </c>
      <c r="H124" s="643">
        <f>Detail!L375</f>
        <v>0</v>
      </c>
      <c r="I124" s="643">
        <f>Detail!M375</f>
        <v>0</v>
      </c>
      <c r="J124" s="643">
        <f t="shared" si="26"/>
        <v>0</v>
      </c>
    </row>
    <row r="125" spans="1:10">
      <c r="A125" s="640">
        <v>123</v>
      </c>
      <c r="B125" s="811"/>
      <c r="C125" s="658" t="s">
        <v>375</v>
      </c>
      <c r="D125" s="659"/>
      <c r="E125" s="643">
        <f>Detail!I376</f>
        <v>0</v>
      </c>
      <c r="F125" s="643">
        <f>Detail!J376</f>
        <v>36513.829381880292</v>
      </c>
      <c r="G125" s="643">
        <f>Detail!K376</f>
        <v>0</v>
      </c>
      <c r="H125" s="643">
        <f>Detail!L376</f>
        <v>579.33852907942071</v>
      </c>
      <c r="I125" s="643">
        <f>Detail!M376</f>
        <v>4906.8320890402865</v>
      </c>
      <c r="J125" s="643">
        <f t="shared" si="26"/>
        <v>42000</v>
      </c>
    </row>
    <row r="126" spans="1:10">
      <c r="A126" s="640">
        <v>124</v>
      </c>
      <c r="B126" s="811"/>
      <c r="C126" s="658" t="s">
        <v>366</v>
      </c>
      <c r="D126" s="659"/>
      <c r="E126" s="643">
        <f>Detail!I377</f>
        <v>-8716.8911326958423</v>
      </c>
      <c r="F126" s="643">
        <f>Detail!J377</f>
        <v>-1614.4079452805063</v>
      </c>
      <c r="G126" s="643">
        <f>Detail!K377</f>
        <v>0</v>
      </c>
      <c r="H126" s="643">
        <f>Detail!L377</f>
        <v>-21.3045920704742</v>
      </c>
      <c r="I126" s="643">
        <f>Detail!M377</f>
        <v>-647.3963299531755</v>
      </c>
      <c r="J126" s="643">
        <f t="shared" si="26"/>
        <v>-10999.999999999998</v>
      </c>
    </row>
    <row r="127" spans="1:10">
      <c r="A127" s="640">
        <v>125</v>
      </c>
      <c r="B127" s="608"/>
      <c r="C127" s="671" t="s">
        <v>1362</v>
      </c>
      <c r="D127" s="670"/>
      <c r="E127" s="643">
        <f>SUM(E114:E126)</f>
        <v>11101905.560728325</v>
      </c>
      <c r="F127" s="643">
        <f t="shared" ref="F127:J127" si="27">SUM(F114:F126)</f>
        <v>1846743.069206079</v>
      </c>
      <c r="G127" s="643">
        <f t="shared" si="27"/>
        <v>0</v>
      </c>
      <c r="H127" s="643">
        <f t="shared" si="27"/>
        <v>23856.890029621045</v>
      </c>
      <c r="I127" s="643">
        <f t="shared" si="27"/>
        <v>697494.48003597511</v>
      </c>
      <c r="J127" s="643">
        <f t="shared" si="27"/>
        <v>13670000</v>
      </c>
    </row>
    <row r="128" spans="1:10">
      <c r="A128" s="640">
        <v>126</v>
      </c>
      <c r="B128" s="811" t="s">
        <v>71</v>
      </c>
      <c r="C128" s="658" t="s">
        <v>359</v>
      </c>
      <c r="D128" s="659"/>
      <c r="E128" s="643">
        <f>Detail!I381</f>
        <v>5251.3486040957696</v>
      </c>
      <c r="F128" s="643">
        <f>Detail!J381</f>
        <v>568.80352606237534</v>
      </c>
      <c r="G128" s="643">
        <f>Detail!K381</f>
        <v>0</v>
      </c>
      <c r="H128" s="643">
        <f>Detail!L381</f>
        <v>7.0426107257478234</v>
      </c>
      <c r="I128" s="643">
        <f>Detail!M381</f>
        <v>172.80525911610749</v>
      </c>
      <c r="J128" s="643">
        <f>SUM(E128:I128)</f>
        <v>6000.0000000000009</v>
      </c>
    </row>
    <row r="129" spans="1:10">
      <c r="A129" s="640">
        <v>127</v>
      </c>
      <c r="B129" s="811"/>
      <c r="C129" s="658" t="s">
        <v>360</v>
      </c>
      <c r="D129" s="659"/>
      <c r="E129" s="643">
        <f>Detail!I382</f>
        <v>1255072.3163788891</v>
      </c>
      <c r="F129" s="643">
        <f>Detail!J382</f>
        <v>135944.04272890769</v>
      </c>
      <c r="G129" s="643">
        <f>Detail!K382</f>
        <v>0</v>
      </c>
      <c r="H129" s="643">
        <f>Detail!L382</f>
        <v>1683.1839634537298</v>
      </c>
      <c r="I129" s="643">
        <f>Detail!M382</f>
        <v>41300.456928749692</v>
      </c>
      <c r="J129" s="643">
        <f t="shared" ref="J129:J137" si="28">SUM(E129:I129)</f>
        <v>1434000.0000000002</v>
      </c>
    </row>
    <row r="130" spans="1:10">
      <c r="A130" s="640">
        <v>128</v>
      </c>
      <c r="B130" s="811"/>
      <c r="C130" s="658" t="s">
        <v>376</v>
      </c>
      <c r="D130" s="659"/>
      <c r="E130" s="643">
        <f>Detail!I383</f>
        <v>2876863.8102771328</v>
      </c>
      <c r="F130" s="643">
        <f>Detail!J383</f>
        <v>311609.53169450461</v>
      </c>
      <c r="G130" s="643">
        <f>Detail!K383</f>
        <v>0</v>
      </c>
      <c r="H130" s="643">
        <f>Detail!L383</f>
        <v>3858.176909255516</v>
      </c>
      <c r="I130" s="643">
        <f>Detail!M383</f>
        <v>94668.481119107557</v>
      </c>
      <c r="J130" s="643">
        <f t="shared" si="28"/>
        <v>3287000</v>
      </c>
    </row>
    <row r="131" spans="1:10">
      <c r="A131" s="640">
        <v>129</v>
      </c>
      <c r="B131" s="811"/>
      <c r="C131" s="658" t="s">
        <v>377</v>
      </c>
      <c r="D131" s="659"/>
      <c r="E131" s="643">
        <f>Detail!I384</f>
        <v>0</v>
      </c>
      <c r="F131" s="643">
        <f>Detail!J384</f>
        <v>0</v>
      </c>
      <c r="G131" s="643">
        <f>Detail!K384</f>
        <v>0</v>
      </c>
      <c r="H131" s="643">
        <f>Detail!L384</f>
        <v>0</v>
      </c>
      <c r="I131" s="643">
        <f>Detail!M384</f>
        <v>0</v>
      </c>
      <c r="J131" s="643">
        <f t="shared" si="28"/>
        <v>0</v>
      </c>
    </row>
    <row r="132" spans="1:10">
      <c r="A132" s="640">
        <v>130</v>
      </c>
      <c r="B132" s="811"/>
      <c r="C132" s="658" t="s">
        <v>378</v>
      </c>
      <c r="D132" s="659"/>
      <c r="E132" s="643">
        <f>Detail!I385</f>
        <v>35884.215461321095</v>
      </c>
      <c r="F132" s="643">
        <f>Detail!J385</f>
        <v>3886.8240947595646</v>
      </c>
      <c r="G132" s="643">
        <f>Detail!K385</f>
        <v>0</v>
      </c>
      <c r="H132" s="643">
        <f>Detail!L385</f>
        <v>48.124506625943461</v>
      </c>
      <c r="I132" s="643">
        <f>Detail!M385</f>
        <v>1180.8359372934012</v>
      </c>
      <c r="J132" s="643">
        <f t="shared" si="28"/>
        <v>41000</v>
      </c>
    </row>
    <row r="133" spans="1:10" ht="15.45" customHeight="1">
      <c r="A133" s="640">
        <v>131</v>
      </c>
      <c r="B133" s="811"/>
      <c r="C133" s="658" t="s">
        <v>379</v>
      </c>
      <c r="D133" s="659"/>
      <c r="E133" s="643">
        <f>Detail!I386</f>
        <v>332585.41159273213</v>
      </c>
      <c r="F133" s="643">
        <f>Detail!J386</f>
        <v>36024.223317283766</v>
      </c>
      <c r="G133" s="643">
        <f>Detail!K386</f>
        <v>0</v>
      </c>
      <c r="H133" s="643">
        <f>Detail!L386</f>
        <v>446.03201263069548</v>
      </c>
      <c r="I133" s="643">
        <f>Detail!M386</f>
        <v>10944.333077353474</v>
      </c>
      <c r="J133" s="643">
        <f t="shared" si="28"/>
        <v>380000.00000000012</v>
      </c>
    </row>
    <row r="134" spans="1:10">
      <c r="A134" s="640">
        <v>132</v>
      </c>
      <c r="B134" s="811"/>
      <c r="C134" s="658" t="s">
        <v>380</v>
      </c>
      <c r="D134" s="659"/>
      <c r="E134" s="643">
        <f>Detail!I387</f>
        <v>35884.215461321095</v>
      </c>
      <c r="F134" s="643">
        <f>Detail!J387</f>
        <v>3886.8240947595646</v>
      </c>
      <c r="G134" s="643">
        <f>Detail!K387</f>
        <v>0</v>
      </c>
      <c r="H134" s="643">
        <f>Detail!L387</f>
        <v>48.124506625943461</v>
      </c>
      <c r="I134" s="643">
        <f>Detail!M387</f>
        <v>1180.8359372934012</v>
      </c>
      <c r="J134" s="643">
        <f t="shared" si="28"/>
        <v>41000</v>
      </c>
    </row>
    <row r="135" spans="1:10">
      <c r="A135" s="640">
        <v>133</v>
      </c>
      <c r="B135" s="811"/>
      <c r="C135" s="658" t="s">
        <v>381</v>
      </c>
      <c r="D135" s="659"/>
      <c r="E135" s="643">
        <f>Detail!I388</f>
        <v>0</v>
      </c>
      <c r="F135" s="643">
        <f>Detail!J388</f>
        <v>0</v>
      </c>
      <c r="G135" s="643">
        <f>Detail!K388</f>
        <v>0</v>
      </c>
      <c r="H135" s="643">
        <f>Detail!L388</f>
        <v>0</v>
      </c>
      <c r="I135" s="643">
        <f>Detail!M388</f>
        <v>0</v>
      </c>
      <c r="J135" s="643">
        <f t="shared" si="28"/>
        <v>0</v>
      </c>
    </row>
    <row r="136" spans="1:10">
      <c r="A136" s="640">
        <v>134</v>
      </c>
      <c r="B136" s="811"/>
      <c r="C136" s="658" t="s">
        <v>382</v>
      </c>
      <c r="D136" s="659"/>
      <c r="E136" s="643">
        <f>Detail!I389</f>
        <v>1348721.3664852637</v>
      </c>
      <c r="F136" s="643">
        <f>Detail!J389</f>
        <v>146087.70561035338</v>
      </c>
      <c r="G136" s="643">
        <f>Detail!K389</f>
        <v>0</v>
      </c>
      <c r="H136" s="643">
        <f>Detail!L389</f>
        <v>1808.7771880628993</v>
      </c>
      <c r="I136" s="643">
        <f>Detail!M389</f>
        <v>44382.150716320277</v>
      </c>
      <c r="J136" s="643">
        <f t="shared" si="28"/>
        <v>1541000.0000000005</v>
      </c>
    </row>
    <row r="137" spans="1:10">
      <c r="A137" s="640">
        <v>135</v>
      </c>
      <c r="B137" s="811"/>
      <c r="C137" s="658" t="s">
        <v>383</v>
      </c>
      <c r="D137" s="659"/>
      <c r="E137" s="643">
        <f>Detail!I390</f>
        <v>14878.821044938015</v>
      </c>
      <c r="F137" s="643">
        <f>Detail!J390</f>
        <v>1611.6099905100634</v>
      </c>
      <c r="G137" s="643">
        <f>Detail!K390</f>
        <v>0</v>
      </c>
      <c r="H137" s="643">
        <f>Detail!L390</f>
        <v>19.954063722952167</v>
      </c>
      <c r="I137" s="643">
        <f>Detail!M390</f>
        <v>489.61490082897126</v>
      </c>
      <c r="J137" s="643">
        <f t="shared" si="28"/>
        <v>17000</v>
      </c>
    </row>
    <row r="138" spans="1:10">
      <c r="A138" s="640">
        <v>136</v>
      </c>
      <c r="B138" s="608"/>
      <c r="C138" s="631" t="s">
        <v>1363</v>
      </c>
      <c r="D138" s="670"/>
      <c r="E138" s="643">
        <f>SUM(E128:E137)</f>
        <v>5905141.5053056935</v>
      </c>
      <c r="F138" s="643">
        <f t="shared" ref="F138:J138" si="29">SUM(F128:F137)</f>
        <v>639619.56505714112</v>
      </c>
      <c r="G138" s="643">
        <f t="shared" si="29"/>
        <v>0</v>
      </c>
      <c r="H138" s="643">
        <f t="shared" si="29"/>
        <v>7919.415761103427</v>
      </c>
      <c r="I138" s="643">
        <f t="shared" si="29"/>
        <v>194319.51387606288</v>
      </c>
      <c r="J138" s="643">
        <f t="shared" si="29"/>
        <v>6747000</v>
      </c>
    </row>
    <row r="139" spans="1:10">
      <c r="A139" s="640">
        <v>137</v>
      </c>
      <c r="B139" s="811" t="s">
        <v>215</v>
      </c>
      <c r="C139" s="628" t="s">
        <v>1219</v>
      </c>
      <c r="D139" s="656">
        <v>407</v>
      </c>
      <c r="E139" s="643">
        <f>Detail!I397</f>
        <v>-827087.40514508379</v>
      </c>
      <c r="F139" s="643">
        <f>Detail!J397</f>
        <v>-89586.555354824115</v>
      </c>
      <c r="G139" s="643">
        <f>Detail!K397</f>
        <v>0</v>
      </c>
      <c r="H139" s="643">
        <f>Detail!L397</f>
        <v>-1109.2111893052822</v>
      </c>
      <c r="I139" s="643">
        <f>Detail!M397</f>
        <v>-27216.828310786932</v>
      </c>
      <c r="J139" s="643">
        <f t="shared" ref="J139:J144" si="30">SUM(E139:I139)</f>
        <v>-945000.00000000012</v>
      </c>
    </row>
    <row r="140" spans="1:10" ht="15.45" customHeight="1">
      <c r="A140" s="640">
        <v>138</v>
      </c>
      <c r="B140" s="811"/>
      <c r="C140" s="628" t="s">
        <v>385</v>
      </c>
      <c r="D140" s="673">
        <v>404.2</v>
      </c>
      <c r="E140" s="643">
        <f>Detail!I398</f>
        <v>98263.13640493495</v>
      </c>
      <c r="F140" s="643">
        <f>Detail!J398</f>
        <v>18198.780474071162</v>
      </c>
      <c r="G140" s="643">
        <f>Detail!K398</f>
        <v>0</v>
      </c>
      <c r="H140" s="643">
        <f>Detail!L398</f>
        <v>240.16085606716373</v>
      </c>
      <c r="I140" s="643">
        <f>Detail!M398</f>
        <v>7297.9222649267058</v>
      </c>
      <c r="J140" s="643">
        <f t="shared" si="30"/>
        <v>123999.99999999997</v>
      </c>
    </row>
    <row r="141" spans="1:10">
      <c r="A141" s="640">
        <v>139</v>
      </c>
      <c r="B141" s="811"/>
      <c r="C141" s="628" t="s">
        <v>386</v>
      </c>
      <c r="D141" s="673">
        <v>404.3</v>
      </c>
      <c r="E141" s="643">
        <f>Detail!I399</f>
        <v>7742238.2919718632</v>
      </c>
      <c r="F141" s="643">
        <f>Detail!J399</f>
        <v>838605.99859129533</v>
      </c>
      <c r="G141" s="643">
        <f>Detail!K399</f>
        <v>0</v>
      </c>
      <c r="H141" s="643">
        <f>Detail!L399</f>
        <v>10383.155746660876</v>
      </c>
      <c r="I141" s="643">
        <f>Detail!M399</f>
        <v>254772.55369018114</v>
      </c>
      <c r="J141" s="643">
        <f t="shared" si="30"/>
        <v>8846000.0000000019</v>
      </c>
    </row>
    <row r="142" spans="1:10">
      <c r="A142" s="640">
        <v>140</v>
      </c>
      <c r="B142" s="811"/>
      <c r="C142" s="628" t="s">
        <v>1216</v>
      </c>
      <c r="D142" s="673">
        <v>407.23</v>
      </c>
      <c r="E142" s="643">
        <v>0</v>
      </c>
      <c r="F142" s="643">
        <v>0</v>
      </c>
      <c r="G142" s="643">
        <v>0</v>
      </c>
      <c r="H142" s="643">
        <v>0</v>
      </c>
      <c r="I142" s="643">
        <v>0</v>
      </c>
      <c r="J142" s="643">
        <f t="shared" si="30"/>
        <v>0</v>
      </c>
    </row>
    <row r="143" spans="1:10">
      <c r="A143" s="640">
        <v>141</v>
      </c>
      <c r="B143" s="811"/>
      <c r="C143" s="628" t="s">
        <v>1217</v>
      </c>
      <c r="D143" s="674">
        <v>407.30200000000002</v>
      </c>
      <c r="E143" s="643">
        <v>0</v>
      </c>
      <c r="F143" s="643">
        <v>0</v>
      </c>
      <c r="G143" s="643">
        <v>0</v>
      </c>
      <c r="H143" s="643">
        <v>0</v>
      </c>
      <c r="I143" s="643">
        <v>0</v>
      </c>
      <c r="J143" s="643">
        <f t="shared" si="30"/>
        <v>0</v>
      </c>
    </row>
    <row r="144" spans="1:10">
      <c r="A144" s="640">
        <v>142</v>
      </c>
      <c r="B144" s="811"/>
      <c r="C144" s="628" t="s">
        <v>1218</v>
      </c>
      <c r="D144" s="674">
        <v>407.41399999999999</v>
      </c>
      <c r="E144" s="643">
        <f>Detail!I401</f>
        <v>2477000</v>
      </c>
      <c r="F144" s="643">
        <f>Detail!J401</f>
        <v>0</v>
      </c>
      <c r="G144" s="643">
        <f>Detail!K401</f>
        <v>0</v>
      </c>
      <c r="H144" s="643">
        <f>Detail!L401</f>
        <v>0</v>
      </c>
      <c r="I144" s="643">
        <f>Detail!M401</f>
        <v>0</v>
      </c>
      <c r="J144" s="643">
        <f t="shared" si="30"/>
        <v>2477000</v>
      </c>
    </row>
    <row r="145" spans="1:10">
      <c r="A145" s="640">
        <v>143</v>
      </c>
      <c r="B145" s="607"/>
      <c r="C145" s="632" t="s">
        <v>1247</v>
      </c>
      <c r="D145" s="632"/>
      <c r="E145" s="643">
        <f t="shared" ref="E145:J145" si="31">SUM(E139:E144)</f>
        <v>9490414.023231715</v>
      </c>
      <c r="F145" s="643">
        <f t="shared" si="31"/>
        <v>767218.22371054231</v>
      </c>
      <c r="G145" s="643">
        <f t="shared" si="31"/>
        <v>0</v>
      </c>
      <c r="H145" s="643">
        <f t="shared" si="31"/>
        <v>9514.1054134227579</v>
      </c>
      <c r="I145" s="643">
        <f t="shared" si="31"/>
        <v>234853.64764432091</v>
      </c>
      <c r="J145" s="643">
        <f t="shared" si="31"/>
        <v>10502000.000000002</v>
      </c>
    </row>
    <row r="146" spans="1:10">
      <c r="A146" s="640">
        <v>144</v>
      </c>
      <c r="B146" s="607"/>
      <c r="C146" s="669" t="s">
        <v>724</v>
      </c>
      <c r="D146" s="676"/>
      <c r="E146" s="643">
        <f>E145+E138+E127+E113</f>
        <v>26751500.079416819</v>
      </c>
      <c r="F146" s="643">
        <f t="shared" ref="F146:J146" si="32">F145+F138+F127+F113</f>
        <v>3342363.5296962336</v>
      </c>
      <c r="G146" s="643">
        <f t="shared" si="32"/>
        <v>0</v>
      </c>
      <c r="H146" s="643">
        <f t="shared" si="32"/>
        <v>42576.474521773322</v>
      </c>
      <c r="I146" s="643">
        <f t="shared" si="32"/>
        <v>1131559.9163651776</v>
      </c>
      <c r="J146" s="643">
        <f t="shared" si="32"/>
        <v>31268000</v>
      </c>
    </row>
    <row r="147" spans="1:10" ht="15.45" customHeight="1">
      <c r="A147" s="640">
        <v>145</v>
      </c>
      <c r="B147" s="607"/>
      <c r="C147" s="675"/>
      <c r="D147" s="675"/>
      <c r="E147" s="643"/>
      <c r="F147" s="643"/>
      <c r="G147" s="643"/>
      <c r="H147" s="643"/>
      <c r="I147" s="643"/>
      <c r="J147" s="643"/>
    </row>
    <row r="148" spans="1:10" ht="15.45" customHeight="1">
      <c r="A148" s="640">
        <v>146</v>
      </c>
      <c r="B148" s="811" t="s">
        <v>1267</v>
      </c>
      <c r="C148" s="628" t="s">
        <v>1248</v>
      </c>
      <c r="D148" s="660">
        <v>408.1</v>
      </c>
      <c r="E148" s="643">
        <f>Detail!I350</f>
        <v>6296389.101337878</v>
      </c>
      <c r="F148" s="643">
        <f>Detail!J350</f>
        <v>1422524.4279915406</v>
      </c>
      <c r="G148" s="643">
        <f>Detail!K350</f>
        <v>0</v>
      </c>
      <c r="H148" s="643">
        <f>Detail!L350</f>
        <v>16873.985608849242</v>
      </c>
      <c r="I148" s="643">
        <f>Detail!M350</f>
        <v>361212.48506173142</v>
      </c>
      <c r="J148" s="643">
        <f>SUM(E148:I148)</f>
        <v>8097000</v>
      </c>
    </row>
    <row r="149" spans="1:10" ht="15.45" customHeight="1">
      <c r="A149" s="640">
        <v>147</v>
      </c>
      <c r="B149" s="811"/>
      <c r="C149" s="628" t="s">
        <v>1249</v>
      </c>
      <c r="D149" s="660">
        <v>409.1</v>
      </c>
      <c r="E149" s="643">
        <f>Detail!I412</f>
        <v>-1348048.7166298493</v>
      </c>
      <c r="F149" s="643">
        <f>Detail!J412</f>
        <v>-2987121.4122506031</v>
      </c>
      <c r="G149" s="643">
        <f>Detail!K412</f>
        <v>0</v>
      </c>
      <c r="H149" s="643">
        <f>Detail!L412</f>
        <v>-26347.183394228934</v>
      </c>
      <c r="I149" s="643">
        <f>Detail!M412</f>
        <v>-161482.68772531781</v>
      </c>
      <c r="J149" s="643">
        <f>SUM(E149:I149)</f>
        <v>-4522999.9999999991</v>
      </c>
    </row>
    <row r="150" spans="1:10">
      <c r="A150" s="640">
        <v>148</v>
      </c>
      <c r="B150" s="811"/>
      <c r="C150" s="628" t="s">
        <v>1250</v>
      </c>
      <c r="D150" s="660">
        <v>409.1</v>
      </c>
      <c r="E150" s="643">
        <f>Detail!I411</f>
        <v>-65569.471071980297</v>
      </c>
      <c r="F150" s="643">
        <f>Detail!J411</f>
        <v>-145294.43084128515</v>
      </c>
      <c r="G150" s="643">
        <f>Detail!K411</f>
        <v>0</v>
      </c>
      <c r="H150" s="643">
        <f>Detail!L411</f>
        <v>-1281.5344564957695</v>
      </c>
      <c r="I150" s="643">
        <f>Detail!M411</f>
        <v>-7854.563630238762</v>
      </c>
      <c r="J150" s="643">
        <f>SUM(E150:I150)</f>
        <v>-220000</v>
      </c>
    </row>
    <row r="151" spans="1:10" ht="15.45" customHeight="1">
      <c r="A151" s="640">
        <v>149</v>
      </c>
      <c r="B151" s="811"/>
      <c r="C151" s="628" t="s">
        <v>1251</v>
      </c>
      <c r="D151" s="660" t="s">
        <v>1268</v>
      </c>
      <c r="E151" s="643">
        <f>Detail!I414</f>
        <v>2159619.9426707691</v>
      </c>
      <c r="F151" s="643">
        <f>Detail!J414</f>
        <v>4785470.2085270556</v>
      </c>
      <c r="G151" s="643">
        <f>Detail!K414</f>
        <v>0</v>
      </c>
      <c r="H151" s="643">
        <f>Detail!L414</f>
        <v>42209.084871674298</v>
      </c>
      <c r="I151" s="643">
        <f>Detail!M414</f>
        <v>258700.76393050031</v>
      </c>
      <c r="J151" s="643">
        <f>SUM(E151:I151)</f>
        <v>7245999.9999999991</v>
      </c>
    </row>
    <row r="152" spans="1:10" ht="15.45" customHeight="1">
      <c r="A152" s="640">
        <v>150</v>
      </c>
      <c r="B152" s="811"/>
      <c r="C152" s="628" t="s">
        <v>1252</v>
      </c>
      <c r="D152" s="660">
        <v>411.4</v>
      </c>
      <c r="E152" s="643">
        <f>Detail!I413</f>
        <v>-3576.5166039261976</v>
      </c>
      <c r="F152" s="643">
        <f>Detail!J413</f>
        <v>-7925.1507731610081</v>
      </c>
      <c r="G152" s="643">
        <f>Detail!K413</f>
        <v>0</v>
      </c>
      <c r="H152" s="643">
        <f>Detail!L413</f>
        <v>-69.901879445223784</v>
      </c>
      <c r="I152" s="643">
        <f>Detail!M413</f>
        <v>-428.43074346756885</v>
      </c>
      <c r="J152" s="643">
        <f>SUM(E152:I152)</f>
        <v>-11999.999999999998</v>
      </c>
    </row>
    <row r="153" spans="1:10">
      <c r="A153" s="640">
        <v>151</v>
      </c>
      <c r="B153" s="607"/>
      <c r="C153" s="632" t="s">
        <v>1253</v>
      </c>
      <c r="D153" s="632"/>
      <c r="E153" s="643">
        <f>SUM(E148:E152)</f>
        <v>7038814.3397028912</v>
      </c>
      <c r="F153" s="643">
        <f t="shared" ref="F153:J153" si="33">SUM(F148:F152)</f>
        <v>3067653.6426535468</v>
      </c>
      <c r="G153" s="643">
        <f t="shared" si="33"/>
        <v>0</v>
      </c>
      <c r="H153" s="643">
        <f t="shared" si="33"/>
        <v>31384.450750353612</v>
      </c>
      <c r="I153" s="643">
        <f t="shared" si="33"/>
        <v>450147.56689320755</v>
      </c>
      <c r="J153" s="643">
        <f t="shared" si="33"/>
        <v>10588000</v>
      </c>
    </row>
    <row r="154" spans="1:10">
      <c r="A154" s="640">
        <v>152</v>
      </c>
      <c r="B154" s="607"/>
      <c r="C154" s="610"/>
      <c r="D154" s="610"/>
      <c r="E154" s="643"/>
      <c r="F154" s="643"/>
      <c r="G154" s="643"/>
      <c r="H154" s="643"/>
      <c r="I154" s="643"/>
      <c r="J154" s="643"/>
    </row>
    <row r="155" spans="1:10">
      <c r="A155" s="640">
        <v>153</v>
      </c>
      <c r="B155" s="607"/>
      <c r="C155" s="677" t="s">
        <v>77</v>
      </c>
      <c r="D155" s="678"/>
      <c r="E155" s="643">
        <f>E153+E146+E103</f>
        <v>69822881.340547711</v>
      </c>
      <c r="F155" s="643">
        <f>F153+F146+F103</f>
        <v>10626027.078333121</v>
      </c>
      <c r="G155" s="643">
        <f>G153+G146+G103</f>
        <v>0</v>
      </c>
      <c r="H155" s="643">
        <f>H153+H146+H103</f>
        <v>127044.42374376272</v>
      </c>
      <c r="I155" s="643">
        <f>I153+I146+I103</f>
        <v>2776047.1866884581</v>
      </c>
      <c r="J155" s="643">
        <f>SUM(E155:I155)</f>
        <v>83352000.029313058</v>
      </c>
    </row>
    <row r="156" spans="1:10">
      <c r="A156" s="640">
        <v>154</v>
      </c>
      <c r="B156" s="607"/>
      <c r="C156" s="610"/>
      <c r="D156" s="610"/>
      <c r="E156" s="643"/>
      <c r="F156" s="643"/>
      <c r="G156" s="643"/>
      <c r="H156" s="643"/>
      <c r="I156" s="643"/>
      <c r="J156" s="643"/>
    </row>
    <row r="157" spans="1:10">
      <c r="A157" s="640">
        <v>155</v>
      </c>
      <c r="B157" s="607"/>
      <c r="C157" s="677" t="s">
        <v>654</v>
      </c>
      <c r="D157" s="677"/>
      <c r="E157" s="643">
        <f>E17+E155</f>
        <v>151299778.19068626</v>
      </c>
      <c r="F157" s="643">
        <f>F17+F155</f>
        <v>30977119.667872768</v>
      </c>
      <c r="G157" s="643">
        <f>G17+G155</f>
        <v>0</v>
      </c>
      <c r="H157" s="643">
        <f>H17+H155</f>
        <v>346372.62886872765</v>
      </c>
      <c r="I157" s="643">
        <f>I17+I155</f>
        <v>6515729.5418853015</v>
      </c>
      <c r="J157" s="643">
        <f>SUM(E157:I157)</f>
        <v>189139000.02931303</v>
      </c>
    </row>
    <row r="158" spans="1:10" ht="15.45" customHeight="1">
      <c r="A158" s="640">
        <v>156</v>
      </c>
      <c r="B158" s="607"/>
      <c r="C158" s="610"/>
      <c r="D158" s="610"/>
      <c r="E158" s="643"/>
      <c r="F158" s="643"/>
      <c r="G158" s="643"/>
      <c r="H158" s="643"/>
      <c r="I158" s="643"/>
      <c r="J158" s="643"/>
    </row>
    <row r="159" spans="1:10" ht="15.45" customHeight="1">
      <c r="A159" s="640">
        <v>157</v>
      </c>
      <c r="B159" s="809" t="s">
        <v>1246</v>
      </c>
      <c r="C159" s="628" t="s">
        <v>278</v>
      </c>
      <c r="D159" s="656">
        <v>303</v>
      </c>
      <c r="E159" s="643">
        <f>Detail!I10</f>
        <v>1998545.4033326285</v>
      </c>
      <c r="F159" s="643">
        <f>Detail!J10</f>
        <v>370139.71254522156</v>
      </c>
      <c r="G159" s="643">
        <f>Detail!K10</f>
        <v>0</v>
      </c>
      <c r="H159" s="643">
        <f>Detail!L10</f>
        <v>4884.56192743054</v>
      </c>
      <c r="I159" s="643">
        <f>Detail!M10</f>
        <v>148430.32219471896</v>
      </c>
      <c r="J159" s="643">
        <f>SUM(E159:I159)</f>
        <v>2521999.9999999991</v>
      </c>
    </row>
    <row r="160" spans="1:10">
      <c r="A160" s="640">
        <v>158</v>
      </c>
      <c r="B160" s="809"/>
      <c r="C160" s="628" t="s">
        <v>711</v>
      </c>
      <c r="D160" s="660">
        <v>303.10000000000002</v>
      </c>
      <c r="E160" s="643">
        <f>Detail!I11</f>
        <v>30757148.774188925</v>
      </c>
      <c r="F160" s="643">
        <f>Detail!J11</f>
        <v>3331482.2521473323</v>
      </c>
      <c r="G160" s="643">
        <f>Detail!K11</f>
        <v>0</v>
      </c>
      <c r="H160" s="643">
        <f>Detail!L11</f>
        <v>41248.571020705007</v>
      </c>
      <c r="I160" s="643">
        <f>Detail!M11</f>
        <v>1012120.4026430416</v>
      </c>
      <c r="J160" s="643">
        <f>SUM(E160:I160)</f>
        <v>35142000.000000007</v>
      </c>
    </row>
    <row r="161" spans="1:10">
      <c r="A161" s="640"/>
      <c r="B161" s="809"/>
      <c r="C161" s="628" t="s">
        <v>1463</v>
      </c>
      <c r="D161" s="673">
        <v>303.12</v>
      </c>
      <c r="E161" s="643">
        <f>Detail!I12</f>
        <v>15094126.337705942</v>
      </c>
      <c r="F161" s="643">
        <f>Detail!J12</f>
        <v>1634930.9350786207</v>
      </c>
      <c r="G161" s="643"/>
      <c r="H161" s="643">
        <f>Detail!L12</f>
        <v>20242.810762707828</v>
      </c>
      <c r="I161" s="643">
        <f>Detail!M12</f>
        <v>496699.91645273165</v>
      </c>
      <c r="J161" s="643">
        <f>SUM(E161:I161)</f>
        <v>17246000</v>
      </c>
    </row>
    <row r="162" spans="1:10">
      <c r="A162" s="640">
        <v>159</v>
      </c>
      <c r="B162" s="630"/>
      <c r="C162" s="632" t="s">
        <v>1269</v>
      </c>
      <c r="D162" s="632"/>
      <c r="E162" s="643">
        <f>SUM(E159:E161)</f>
        <v>47849820.515227497</v>
      </c>
      <c r="F162" s="643">
        <f t="shared" ref="F162:I162" si="34">SUM(F159:F161)</f>
        <v>5336552.8997711744</v>
      </c>
      <c r="G162" s="643">
        <f t="shared" si="34"/>
        <v>0</v>
      </c>
      <c r="H162" s="643">
        <f t="shared" si="34"/>
        <v>66375.943710843378</v>
      </c>
      <c r="I162" s="643">
        <f t="shared" si="34"/>
        <v>1657250.6412904921</v>
      </c>
      <c r="J162" s="643">
        <f>SUM(J159:J161)</f>
        <v>54910000.000000007</v>
      </c>
    </row>
    <row r="163" spans="1:10">
      <c r="A163" s="640">
        <v>160</v>
      </c>
      <c r="B163" s="809" t="s">
        <v>1270</v>
      </c>
      <c r="C163" s="628" t="s">
        <v>88</v>
      </c>
      <c r="D163" s="656">
        <v>350</v>
      </c>
      <c r="E163" s="643">
        <f>Detail!I16</f>
        <v>708979.87509213726</v>
      </c>
      <c r="F163" s="643">
        <f>Detail!J16</f>
        <v>247777.42767245541</v>
      </c>
      <c r="G163" s="643">
        <f>Detail!K16</f>
        <v>0</v>
      </c>
      <c r="H163" s="643">
        <f>Detail!L16</f>
        <v>3589.1853047788409</v>
      </c>
      <c r="I163" s="643">
        <f>Detail!M16</f>
        <v>13653.511930628518</v>
      </c>
      <c r="J163" s="643">
        <f>SUM(E163:I163)</f>
        <v>974000.00000000012</v>
      </c>
    </row>
    <row r="164" spans="1:10">
      <c r="A164" s="640">
        <v>161</v>
      </c>
      <c r="B164" s="809"/>
      <c r="C164" s="628" t="s">
        <v>89</v>
      </c>
      <c r="D164" s="656">
        <v>351</v>
      </c>
      <c r="E164" s="643">
        <f>Detail!I17</f>
        <v>1476192.1834567292</v>
      </c>
      <c r="F164" s="643">
        <f>Detail!J17</f>
        <v>515906.18410650879</v>
      </c>
      <c r="G164" s="643">
        <f>Detail!K17</f>
        <v>0</v>
      </c>
      <c r="H164" s="643">
        <f>Detail!L17</f>
        <v>7473.1702239132328</v>
      </c>
      <c r="I164" s="643">
        <f>Detail!M17</f>
        <v>28428.462212848699</v>
      </c>
      <c r="J164" s="643">
        <f t="shared" ref="J164:J170" si="35">SUM(E164:I164)</f>
        <v>2027999.9999999998</v>
      </c>
    </row>
    <row r="165" spans="1:10">
      <c r="A165" s="640">
        <v>162</v>
      </c>
      <c r="B165" s="809"/>
      <c r="C165" s="628" t="s">
        <v>238</v>
      </c>
      <c r="D165" s="656">
        <v>352</v>
      </c>
      <c r="E165" s="643">
        <f>Detail!I18</f>
        <v>10661630.626770569</v>
      </c>
      <c r="F165" s="643">
        <f>Detail!J18</f>
        <v>3726073.9046390699</v>
      </c>
      <c r="G165" s="643">
        <f>Detail!K18</f>
        <v>0</v>
      </c>
      <c r="H165" s="643">
        <f>Detail!L18</f>
        <v>53974.124393322054</v>
      </c>
      <c r="I165" s="643">
        <f>Detail!M18</f>
        <v>205321.34419703891</v>
      </c>
      <c r="J165" s="643">
        <f t="shared" si="35"/>
        <v>14647000</v>
      </c>
    </row>
    <row r="166" spans="1:10">
      <c r="A166" s="640">
        <v>163</v>
      </c>
      <c r="B166" s="809"/>
      <c r="C166" s="628" t="s">
        <v>239</v>
      </c>
      <c r="D166" s="656">
        <v>353</v>
      </c>
      <c r="E166" s="643">
        <f>Detail!I19</f>
        <v>625998.65767888911</v>
      </c>
      <c r="F166" s="643">
        <f>Detail!J19</f>
        <v>218776.78418717827</v>
      </c>
      <c r="G166" s="643">
        <f>Detail!K19</f>
        <v>0</v>
      </c>
      <c r="H166" s="643">
        <f>Detail!L19</f>
        <v>3169.0958543221795</v>
      </c>
      <c r="I166" s="643">
        <f>Detail!M19</f>
        <v>12055.462279610396</v>
      </c>
      <c r="J166" s="643">
        <f t="shared" si="35"/>
        <v>860000</v>
      </c>
    </row>
    <row r="167" spans="1:10">
      <c r="A167" s="640">
        <v>164</v>
      </c>
      <c r="B167" s="809"/>
      <c r="C167" s="628" t="s">
        <v>240</v>
      </c>
      <c r="D167" s="656">
        <v>354</v>
      </c>
      <c r="E167" s="643">
        <f>Detail!I20</f>
        <v>7044668.6151352199</v>
      </c>
      <c r="F167" s="643">
        <f>Detail!J20</f>
        <v>2462001.9969343157</v>
      </c>
      <c r="G167" s="643">
        <f>Detail!K20</f>
        <v>0</v>
      </c>
      <c r="H167" s="643">
        <f>Detail!L20</f>
        <v>35663.383346662857</v>
      </c>
      <c r="I167" s="643">
        <f>Detail!M20</f>
        <v>135666.00458380164</v>
      </c>
      <c r="J167" s="643">
        <f t="shared" si="35"/>
        <v>9678000</v>
      </c>
    </row>
    <row r="168" spans="1:10">
      <c r="A168" s="640">
        <v>165</v>
      </c>
      <c r="B168" s="809"/>
      <c r="C168" s="628" t="s">
        <v>241</v>
      </c>
      <c r="D168" s="656">
        <v>355</v>
      </c>
      <c r="E168" s="643">
        <f>Detail!I21</f>
        <v>854560.95827327424</v>
      </c>
      <c r="F168" s="643">
        <f>Detail!J21</f>
        <v>298655.74957645038</v>
      </c>
      <c r="G168" s="643">
        <f>Detail!K21</f>
        <v>0</v>
      </c>
      <c r="H168" s="643">
        <f>Detail!L21</f>
        <v>4326.1843406677199</v>
      </c>
      <c r="I168" s="643">
        <f>Detail!M21</f>
        <v>16457.107809607678</v>
      </c>
      <c r="J168" s="643">
        <f t="shared" si="35"/>
        <v>1174000</v>
      </c>
    </row>
    <row r="169" spans="1:10">
      <c r="A169" s="640">
        <v>166</v>
      </c>
      <c r="B169" s="809"/>
      <c r="C169" s="628" t="s">
        <v>242</v>
      </c>
      <c r="D169" s="656">
        <v>356</v>
      </c>
      <c r="E169" s="643">
        <f>Detail!I22</f>
        <v>224922.77351485667</v>
      </c>
      <c r="F169" s="643">
        <f>Detail!J22</f>
        <v>78607.007341672201</v>
      </c>
      <c r="G169" s="643">
        <f>Detail!K22</f>
        <v>0</v>
      </c>
      <c r="H169" s="643">
        <f>Detail!L22</f>
        <v>1138.663510448318</v>
      </c>
      <c r="I169" s="643">
        <f>Detail!M22</f>
        <v>4331.5556330228046</v>
      </c>
      <c r="J169" s="643">
        <f t="shared" si="35"/>
        <v>309000</v>
      </c>
    </row>
    <row r="170" spans="1:10">
      <c r="A170" s="640">
        <v>167</v>
      </c>
      <c r="B170" s="809"/>
      <c r="C170" s="628" t="s">
        <v>243</v>
      </c>
      <c r="D170" s="656">
        <v>357</v>
      </c>
      <c r="E170" s="643">
        <f>Detail!I23</f>
        <v>1518410.6975792591</v>
      </c>
      <c r="F170" s="643">
        <f>Detail!J23</f>
        <v>530660.89745866728</v>
      </c>
      <c r="G170" s="643">
        <f>Detail!K23</f>
        <v>0</v>
      </c>
      <c r="H170" s="643">
        <f>Detail!L23</f>
        <v>7686.8999443210078</v>
      </c>
      <c r="I170" s="643">
        <f>Detail!M23</f>
        <v>29241.505017752657</v>
      </c>
      <c r="J170" s="643">
        <f t="shared" si="35"/>
        <v>2086000.0000000002</v>
      </c>
    </row>
    <row r="171" spans="1:10">
      <c r="A171" s="640">
        <v>168</v>
      </c>
      <c r="B171" s="630"/>
      <c r="C171" s="632" t="s">
        <v>1273</v>
      </c>
      <c r="D171" s="632"/>
      <c r="E171" s="643">
        <f t="shared" ref="E171:J171" si="36">SUM(E163:E170)</f>
        <v>23115364.387500934</v>
      </c>
      <c r="F171" s="643">
        <f t="shared" si="36"/>
        <v>8078459.9519163184</v>
      </c>
      <c r="G171" s="643">
        <f t="shared" si="36"/>
        <v>0</v>
      </c>
      <c r="H171" s="643">
        <f t="shared" si="36"/>
        <v>117020.7069184362</v>
      </c>
      <c r="I171" s="643">
        <f t="shared" si="36"/>
        <v>445154.95366431127</v>
      </c>
      <c r="J171" s="643">
        <f t="shared" si="36"/>
        <v>31756000</v>
      </c>
    </row>
    <row r="172" spans="1:10">
      <c r="A172" s="640">
        <v>169</v>
      </c>
      <c r="B172" s="809" t="s">
        <v>1276</v>
      </c>
      <c r="C172" s="628" t="s">
        <v>1274</v>
      </c>
      <c r="D172" s="656">
        <v>374</v>
      </c>
      <c r="E172" s="643">
        <f>Detail!I27</f>
        <v>316185.41472233098</v>
      </c>
      <c r="F172" s="643">
        <f>Detail!J27</f>
        <v>58558.979106083818</v>
      </c>
      <c r="G172" s="643">
        <f>Detail!K27</f>
        <v>0</v>
      </c>
      <c r="H172" s="643">
        <f>Detail!L27</f>
        <v>772.77565782901877</v>
      </c>
      <c r="I172" s="643">
        <f>Detail!M27</f>
        <v>23482.830513756093</v>
      </c>
      <c r="J172" s="643">
        <f>SUM(E172:I172)</f>
        <v>398999.99999999988</v>
      </c>
    </row>
    <row r="173" spans="1:10">
      <c r="A173" s="640">
        <v>170</v>
      </c>
      <c r="B173" s="809"/>
      <c r="C173" s="628" t="s">
        <v>1271</v>
      </c>
      <c r="D173" s="656">
        <v>375</v>
      </c>
      <c r="E173" s="643">
        <f>Detail!I28</f>
        <v>645842.3884679192</v>
      </c>
      <c r="F173" s="643">
        <f>Detail!J28</f>
        <v>119612.95230941933</v>
      </c>
      <c r="G173" s="643">
        <f>Detail!K28</f>
        <v>0</v>
      </c>
      <c r="H173" s="643">
        <f>Detail!L28</f>
        <v>1578.4765943124066</v>
      </c>
      <c r="I173" s="643">
        <f>Detail!M28</f>
        <v>47966.182628348914</v>
      </c>
      <c r="J173" s="643">
        <f t="shared" ref="J173:J183" si="37">SUM(E173:I173)</f>
        <v>814999.99999999977</v>
      </c>
    </row>
    <row r="174" spans="1:10">
      <c r="A174" s="640">
        <v>171</v>
      </c>
      <c r="B174" s="809"/>
      <c r="C174" s="628" t="s">
        <v>245</v>
      </c>
      <c r="D174" s="656">
        <v>376</v>
      </c>
      <c r="E174" s="643">
        <f>Detail!I29</f>
        <v>174634919.55990908</v>
      </c>
      <c r="F174" s="643">
        <f>Detail!J29</f>
        <v>65142373.125124991</v>
      </c>
      <c r="G174" s="643">
        <f>Detail!K29</f>
        <v>0</v>
      </c>
      <c r="H174" s="643">
        <f>Detail!L29</f>
        <v>905955.09824372095</v>
      </c>
      <c r="I174" s="643">
        <f>Detail!M29</f>
        <v>29441752.216722183</v>
      </c>
      <c r="J174" s="643">
        <f t="shared" si="37"/>
        <v>270124999.99999994</v>
      </c>
    </row>
    <row r="175" spans="1:10">
      <c r="A175" s="640">
        <v>172</v>
      </c>
      <c r="B175" s="809"/>
      <c r="C175" s="628" t="s">
        <v>1277</v>
      </c>
      <c r="D175" s="656">
        <v>378</v>
      </c>
      <c r="E175" s="643">
        <f>Detail!I32</f>
        <v>2688133.2550859861</v>
      </c>
      <c r="F175" s="643">
        <f>Detail!J32</f>
        <v>1002728.3200528263</v>
      </c>
      <c r="G175" s="643">
        <f>Detail!K32</f>
        <v>0</v>
      </c>
      <c r="H175" s="643">
        <f>Detail!L32</f>
        <v>13945.252377593306</v>
      </c>
      <c r="I175" s="643">
        <f>Detail!M32</f>
        <v>453193.17248359404</v>
      </c>
      <c r="J175" s="643">
        <f t="shared" si="37"/>
        <v>4158000</v>
      </c>
    </row>
    <row r="176" spans="1:10" ht="15.75" customHeight="1">
      <c r="A176" s="640">
        <v>173</v>
      </c>
      <c r="B176" s="809"/>
      <c r="C176" s="628" t="s">
        <v>1278</v>
      </c>
      <c r="D176" s="656">
        <v>379</v>
      </c>
      <c r="E176" s="643">
        <f>Detail!I33</f>
        <v>1225757.732477881</v>
      </c>
      <c r="F176" s="643">
        <f>Detail!J33</f>
        <v>457232.53843678662</v>
      </c>
      <c r="G176" s="643">
        <f>Detail!K33</f>
        <v>0</v>
      </c>
      <c r="H176" s="643">
        <f>Detail!L33</f>
        <v>6358.8741000281161</v>
      </c>
      <c r="I176" s="643">
        <f>Detail!M33</f>
        <v>206650.85498530406</v>
      </c>
      <c r="J176" s="643">
        <f t="shared" si="37"/>
        <v>1896000</v>
      </c>
    </row>
    <row r="177" spans="1:10">
      <c r="A177" s="640">
        <v>174</v>
      </c>
      <c r="B177" s="809"/>
      <c r="C177" s="628" t="s">
        <v>91</v>
      </c>
      <c r="D177" s="656">
        <v>380</v>
      </c>
      <c r="E177" s="643">
        <f>Detail!I34</f>
        <v>183211888.02394524</v>
      </c>
      <c r="F177" s="643">
        <f>Detail!J34</f>
        <v>3439621.7967010955</v>
      </c>
      <c r="G177" s="643">
        <f>Detail!K34</f>
        <v>0</v>
      </c>
      <c r="H177" s="643">
        <f>Detail!L34</f>
        <v>8355.5439973022076</v>
      </c>
      <c r="I177" s="643">
        <f>Detail!M34</f>
        <v>675134.63535637478</v>
      </c>
      <c r="J177" s="643">
        <f t="shared" si="37"/>
        <v>187335000</v>
      </c>
    </row>
    <row r="178" spans="1:10">
      <c r="A178" s="640">
        <v>175</v>
      </c>
      <c r="B178" s="809"/>
      <c r="C178" s="628" t="s">
        <v>8</v>
      </c>
      <c r="D178" s="656">
        <v>381</v>
      </c>
      <c r="E178" s="643">
        <f>Detail!I35</f>
        <v>65013536.617479742</v>
      </c>
      <c r="F178" s="643">
        <f>Detail!J35</f>
        <v>6499987.4524772642</v>
      </c>
      <c r="G178" s="643">
        <f>Detail!K35</f>
        <v>0</v>
      </c>
      <c r="H178" s="643">
        <f>Detail!L35</f>
        <v>68803.130446753654</v>
      </c>
      <c r="I178" s="643">
        <f>Detail!M35</f>
        <v>583672.79959623597</v>
      </c>
      <c r="J178" s="643">
        <f t="shared" si="37"/>
        <v>72165999.999999985</v>
      </c>
    </row>
    <row r="179" spans="1:10">
      <c r="A179" s="640">
        <v>176</v>
      </c>
      <c r="B179" s="809"/>
      <c r="C179" s="628" t="s">
        <v>1279</v>
      </c>
      <c r="D179" s="656">
        <v>382</v>
      </c>
      <c r="E179" s="643">
        <f>Detail!I36</f>
        <v>0</v>
      </c>
      <c r="F179" s="643">
        <f>Detail!J36</f>
        <v>0</v>
      </c>
      <c r="G179" s="643">
        <f>Detail!K36</f>
        <v>0</v>
      </c>
      <c r="H179" s="643">
        <f>Detail!L36</f>
        <v>0</v>
      </c>
      <c r="I179" s="643">
        <f>Detail!M36</f>
        <v>0</v>
      </c>
      <c r="J179" s="643">
        <f t="shared" si="37"/>
        <v>0</v>
      </c>
    </row>
    <row r="180" spans="1:10">
      <c r="A180" s="640">
        <v>177</v>
      </c>
      <c r="B180" s="809"/>
      <c r="C180" s="628" t="s">
        <v>1280</v>
      </c>
      <c r="D180" s="656">
        <v>383</v>
      </c>
      <c r="E180" s="643">
        <f>Detail!I37</f>
        <v>0</v>
      </c>
      <c r="F180" s="643">
        <f>Detail!J37</f>
        <v>0</v>
      </c>
      <c r="G180" s="643">
        <f>Detail!K37</f>
        <v>0</v>
      </c>
      <c r="H180" s="643">
        <f>Detail!L37</f>
        <v>0</v>
      </c>
      <c r="I180" s="643">
        <f>Detail!M37</f>
        <v>0</v>
      </c>
      <c r="J180" s="643">
        <f t="shared" si="37"/>
        <v>0</v>
      </c>
    </row>
    <row r="181" spans="1:10">
      <c r="A181" s="640">
        <v>178</v>
      </c>
      <c r="B181" s="809"/>
      <c r="C181" s="628" t="s">
        <v>1281</v>
      </c>
      <c r="D181" s="656">
        <v>384</v>
      </c>
      <c r="E181" s="643">
        <f>Detail!I38</f>
        <v>0</v>
      </c>
      <c r="F181" s="643">
        <f>Detail!J38</f>
        <v>0</v>
      </c>
      <c r="G181" s="643">
        <f>Detail!K38</f>
        <v>0</v>
      </c>
      <c r="H181" s="643">
        <f>Detail!L38</f>
        <v>0</v>
      </c>
      <c r="I181" s="643">
        <f>Detail!M38</f>
        <v>0</v>
      </c>
      <c r="J181" s="643">
        <f t="shared" si="37"/>
        <v>0</v>
      </c>
    </row>
    <row r="182" spans="1:10">
      <c r="A182" s="640">
        <v>179</v>
      </c>
      <c r="B182" s="809"/>
      <c r="C182" s="628" t="s">
        <v>1282</v>
      </c>
      <c r="D182" s="656">
        <v>385</v>
      </c>
      <c r="E182" s="643">
        <f>Detail!I39</f>
        <v>0</v>
      </c>
      <c r="F182" s="643">
        <f>Detail!J39</f>
        <v>2498589.1819886658</v>
      </c>
      <c r="G182" s="643">
        <f>Detail!K39</f>
        <v>0</v>
      </c>
      <c r="H182" s="643">
        <f>Detail!L39</f>
        <v>39643.30791843465</v>
      </c>
      <c r="I182" s="643">
        <f>Detail!M39</f>
        <v>335767.51009289961</v>
      </c>
      <c r="J182" s="643">
        <f t="shared" si="37"/>
        <v>2874000</v>
      </c>
    </row>
    <row r="183" spans="1:10" ht="15.75" customHeight="1">
      <c r="A183" s="640">
        <v>180</v>
      </c>
      <c r="B183" s="809"/>
      <c r="C183" s="628" t="s">
        <v>1272</v>
      </c>
      <c r="D183" s="656">
        <v>387</v>
      </c>
      <c r="E183" s="643">
        <f>Detail!I40</f>
        <v>0</v>
      </c>
      <c r="F183" s="643">
        <f>Detail!J40</f>
        <v>0</v>
      </c>
      <c r="G183" s="643">
        <f>Detail!K40</f>
        <v>0</v>
      </c>
      <c r="H183" s="643">
        <f>Detail!L40</f>
        <v>0</v>
      </c>
      <c r="I183" s="643">
        <f>Detail!M40</f>
        <v>0</v>
      </c>
      <c r="J183" s="643">
        <f t="shared" si="37"/>
        <v>0</v>
      </c>
    </row>
    <row r="184" spans="1:10">
      <c r="A184" s="640">
        <v>181</v>
      </c>
      <c r="B184" s="630"/>
      <c r="C184" s="632" t="s">
        <v>1283</v>
      </c>
      <c r="D184" s="632"/>
      <c r="E184" s="643">
        <f>SUM(E172:E183)</f>
        <v>427736262.99208814</v>
      </c>
      <c r="F184" s="643">
        <f t="shared" ref="F184:J184" si="38">SUM(F172:F183)</f>
        <v>79218704.346197128</v>
      </c>
      <c r="G184" s="643">
        <f t="shared" si="38"/>
        <v>0</v>
      </c>
      <c r="H184" s="643">
        <f t="shared" si="38"/>
        <v>1045412.4593359743</v>
      </c>
      <c r="I184" s="643">
        <f t="shared" si="38"/>
        <v>31767620.202378694</v>
      </c>
      <c r="J184" s="643">
        <f t="shared" si="38"/>
        <v>539767999.99999988</v>
      </c>
    </row>
    <row r="185" spans="1:10">
      <c r="A185" s="640">
        <v>182</v>
      </c>
      <c r="B185" s="809" t="s">
        <v>1284</v>
      </c>
      <c r="C185" s="628" t="s">
        <v>1274</v>
      </c>
      <c r="D185" s="656">
        <v>389</v>
      </c>
      <c r="E185" s="643">
        <f>Detail!I46</f>
        <v>4365621.1395382835</v>
      </c>
      <c r="F185" s="643">
        <f>Detail!J46</f>
        <v>472865.33133318799</v>
      </c>
      <c r="G185" s="643">
        <f>Detail!K46</f>
        <v>0</v>
      </c>
      <c r="H185" s="643">
        <f>Detail!L46</f>
        <v>5854.7570500050242</v>
      </c>
      <c r="I185" s="643">
        <f>Detail!M46</f>
        <v>143658.77207852402</v>
      </c>
      <c r="J185" s="643">
        <f>SUM(E185:I185)</f>
        <v>4988000.0000000009</v>
      </c>
    </row>
    <row r="186" spans="1:10">
      <c r="A186" s="640">
        <v>183</v>
      </c>
      <c r="B186" s="809"/>
      <c r="C186" s="628" t="s">
        <v>1271</v>
      </c>
      <c r="D186" s="656">
        <v>390</v>
      </c>
      <c r="E186" s="643">
        <f>Detail!I47</f>
        <v>43199344.0668265</v>
      </c>
      <c r="F186" s="643">
        <f>Detail!J47</f>
        <v>4679167.4065644536</v>
      </c>
      <c r="G186" s="643">
        <f>Detail!K47</f>
        <v>0</v>
      </c>
      <c r="H186" s="643">
        <f>Detail!L47</f>
        <v>57934.863366910184</v>
      </c>
      <c r="I186" s="643">
        <f>Detail!M47</f>
        <v>1421553.6632421389</v>
      </c>
      <c r="J186" s="643">
        <f t="shared" ref="J186:J194" si="39">SUM(E186:I186)</f>
        <v>49358000</v>
      </c>
    </row>
    <row r="187" spans="1:10">
      <c r="A187" s="640">
        <v>184</v>
      </c>
      <c r="B187" s="809"/>
      <c r="C187" s="628" t="s">
        <v>1285</v>
      </c>
      <c r="D187" s="656">
        <v>391</v>
      </c>
      <c r="E187" s="643">
        <f>Detail!I48</f>
        <v>14326554.21674061</v>
      </c>
      <c r="F187" s="643">
        <f>Detail!J48</f>
        <v>1551790.8196858368</v>
      </c>
      <c r="G187" s="643">
        <f>Detail!K48</f>
        <v>0</v>
      </c>
      <c r="H187" s="643">
        <f>Detail!L48</f>
        <v>19213.415828294354</v>
      </c>
      <c r="I187" s="643">
        <f>Detail!M48</f>
        <v>471441.54774526058</v>
      </c>
      <c r="J187" s="643">
        <f t="shared" si="39"/>
        <v>16369000.000000004</v>
      </c>
    </row>
    <row r="188" spans="1:10">
      <c r="A188" s="640">
        <v>185</v>
      </c>
      <c r="B188" s="809"/>
      <c r="C188" s="628" t="s">
        <v>1286</v>
      </c>
      <c r="D188" s="656">
        <v>392</v>
      </c>
      <c r="E188" s="643">
        <f>Detail!I49</f>
        <v>12194506.683477728</v>
      </c>
      <c r="F188" s="643">
        <f>Detail!J49</f>
        <v>1320856.5881045125</v>
      </c>
      <c r="G188" s="643">
        <f>Detail!K49</f>
        <v>0</v>
      </c>
      <c r="H188" s="643">
        <f>Detail!L49</f>
        <v>16354.115873640738</v>
      </c>
      <c r="I188" s="643">
        <f>Detail!M49</f>
        <v>401282.61254412093</v>
      </c>
      <c r="J188" s="643">
        <f t="shared" si="39"/>
        <v>13933000.000000002</v>
      </c>
    </row>
    <row r="189" spans="1:10">
      <c r="A189" s="640">
        <v>186</v>
      </c>
      <c r="B189" s="809"/>
      <c r="C189" s="628" t="s">
        <v>1287</v>
      </c>
      <c r="D189" s="656">
        <v>393</v>
      </c>
      <c r="E189" s="643">
        <f>Detail!I50</f>
        <v>831463.52898183023</v>
      </c>
      <c r="F189" s="643">
        <f>Detail!J50</f>
        <v>90060.558293209426</v>
      </c>
      <c r="G189" s="643">
        <f>Detail!K50</f>
        <v>0</v>
      </c>
      <c r="H189" s="643">
        <f>Detail!L50</f>
        <v>1115.0800315767387</v>
      </c>
      <c r="I189" s="643">
        <f>Detail!M50</f>
        <v>27360.832693383687</v>
      </c>
      <c r="J189" s="643">
        <f t="shared" si="39"/>
        <v>950000</v>
      </c>
    </row>
    <row r="190" spans="1:10">
      <c r="A190" s="640">
        <v>187</v>
      </c>
      <c r="B190" s="809"/>
      <c r="C190" s="628" t="s">
        <v>1288</v>
      </c>
      <c r="D190" s="656">
        <v>394</v>
      </c>
      <c r="E190" s="643">
        <f>Detail!I51</f>
        <v>6353256.5861885324</v>
      </c>
      <c r="F190" s="643">
        <f>Detail!J51</f>
        <v>688157.46594779706</v>
      </c>
      <c r="G190" s="643">
        <f>Detail!K51</f>
        <v>0</v>
      </c>
      <c r="H190" s="643">
        <f>Detail!L51</f>
        <v>8520.3852097005747</v>
      </c>
      <c r="I190" s="643">
        <f>Detail!M51</f>
        <v>209065.56265397073</v>
      </c>
      <c r="J190" s="643">
        <f t="shared" si="39"/>
        <v>7259000.0000000019</v>
      </c>
    </row>
    <row r="191" spans="1:10">
      <c r="A191" s="640">
        <v>188</v>
      </c>
      <c r="B191" s="809"/>
      <c r="C191" s="628" t="s">
        <v>1289</v>
      </c>
      <c r="D191" s="656">
        <v>395</v>
      </c>
      <c r="E191" s="643">
        <f>Detail!I52</f>
        <v>417482.21402561374</v>
      </c>
      <c r="F191" s="643">
        <f>Detail!J52</f>
        <v>45219.880321958837</v>
      </c>
      <c r="G191" s="643">
        <f>Detail!K52</f>
        <v>0</v>
      </c>
      <c r="H191" s="643">
        <f>Detail!L52</f>
        <v>559.88755269695196</v>
      </c>
      <c r="I191" s="643">
        <f>Detail!M52</f>
        <v>13738.018099730545</v>
      </c>
      <c r="J191" s="643">
        <f t="shared" si="39"/>
        <v>477000.00000000012</v>
      </c>
    </row>
    <row r="192" spans="1:10">
      <c r="A192" s="640">
        <v>189</v>
      </c>
      <c r="B192" s="809"/>
      <c r="C192" s="628" t="s">
        <v>1290</v>
      </c>
      <c r="D192" s="656">
        <v>396</v>
      </c>
      <c r="E192" s="643">
        <f>Detail!I53</f>
        <v>3087792.9792083129</v>
      </c>
      <c r="F192" s="643">
        <f>Detail!J53</f>
        <v>334456.47332467668</v>
      </c>
      <c r="G192" s="643">
        <f>Detail!K53</f>
        <v>0</v>
      </c>
      <c r="H192" s="643">
        <f>Detail!L53</f>
        <v>4141.05510673972</v>
      </c>
      <c r="I192" s="643">
        <f>Detail!M53</f>
        <v>101609.49236027121</v>
      </c>
      <c r="J192" s="643">
        <f t="shared" si="39"/>
        <v>3528000</v>
      </c>
    </row>
    <row r="193" spans="1:10">
      <c r="A193" s="640">
        <v>190</v>
      </c>
      <c r="B193" s="809"/>
      <c r="C193" s="628" t="s">
        <v>1275</v>
      </c>
      <c r="D193" s="656">
        <v>397</v>
      </c>
      <c r="E193" s="643">
        <f>Detail!I54</f>
        <v>5812367.6799666677</v>
      </c>
      <c r="F193" s="643">
        <f>Detail!J54</f>
        <v>629570.70276337245</v>
      </c>
      <c r="G193" s="643">
        <f>Detail!K54</f>
        <v>0</v>
      </c>
      <c r="H193" s="643">
        <f>Detail!L54</f>
        <v>7794.9963049485496</v>
      </c>
      <c r="I193" s="643">
        <f>Detail!M54</f>
        <v>191266.62096501165</v>
      </c>
      <c r="J193" s="643">
        <f t="shared" si="39"/>
        <v>6641000</v>
      </c>
    </row>
    <row r="194" spans="1:10">
      <c r="A194" s="640">
        <v>191</v>
      </c>
      <c r="B194" s="809"/>
      <c r="C194" s="628" t="s">
        <v>1291</v>
      </c>
      <c r="D194" s="656">
        <v>398</v>
      </c>
      <c r="E194" s="643">
        <f>Detail!I55</f>
        <v>84896.80243288161</v>
      </c>
      <c r="F194" s="643">
        <f>Detail!J55</f>
        <v>9195.6570046750676</v>
      </c>
      <c r="G194" s="643">
        <f>Detail!K55</f>
        <v>0</v>
      </c>
      <c r="H194" s="643">
        <f>Detail!L55</f>
        <v>113.85554006625648</v>
      </c>
      <c r="I194" s="643">
        <f>Detail!M55</f>
        <v>2793.6850223770712</v>
      </c>
      <c r="J194" s="643">
        <f t="shared" si="39"/>
        <v>97000.000000000015</v>
      </c>
    </row>
    <row r="195" spans="1:10">
      <c r="A195" s="640">
        <v>192</v>
      </c>
      <c r="B195" s="630"/>
      <c r="C195" s="632" t="s">
        <v>1292</v>
      </c>
      <c r="D195" s="632"/>
      <c r="E195" s="643">
        <f>SUM(E185:E194)</f>
        <v>90673285.897386968</v>
      </c>
      <c r="F195" s="643">
        <f t="shared" ref="F195:J195" si="40">SUM(F185:F194)</f>
        <v>9821340.8833436817</v>
      </c>
      <c r="G195" s="643">
        <f t="shared" si="40"/>
        <v>0</v>
      </c>
      <c r="H195" s="643">
        <f t="shared" si="40"/>
        <v>121602.41186457909</v>
      </c>
      <c r="I195" s="643">
        <f t="shared" si="40"/>
        <v>2983770.8074047887</v>
      </c>
      <c r="J195" s="643">
        <f t="shared" si="40"/>
        <v>103600000</v>
      </c>
    </row>
    <row r="196" spans="1:10">
      <c r="A196" s="640">
        <v>193</v>
      </c>
      <c r="B196" s="630"/>
      <c r="C196" s="675"/>
      <c r="D196" s="675"/>
      <c r="E196" s="643"/>
      <c r="F196" s="643"/>
      <c r="G196" s="643"/>
      <c r="H196" s="643"/>
      <c r="I196" s="643"/>
      <c r="J196" s="643"/>
    </row>
    <row r="197" spans="1:10">
      <c r="A197" s="640">
        <v>194</v>
      </c>
      <c r="B197" s="607"/>
      <c r="C197" s="677" t="s">
        <v>1254</v>
      </c>
      <c r="D197" s="677"/>
      <c r="E197" s="643">
        <f>E195+E184+E171+E162</f>
        <v>589374733.79220343</v>
      </c>
      <c r="F197" s="643">
        <f t="shared" ref="F197:I197" si="41">F195+F184+F171+F162</f>
        <v>102455058.0812283</v>
      </c>
      <c r="G197" s="643">
        <f t="shared" si="41"/>
        <v>0</v>
      </c>
      <c r="H197" s="643">
        <f t="shared" si="41"/>
        <v>1350411.5218298328</v>
      </c>
      <c r="I197" s="643">
        <f t="shared" si="41"/>
        <v>36853796.604738288</v>
      </c>
      <c r="J197" s="643">
        <f>J195+J184+J171+J162</f>
        <v>730033999.99999988</v>
      </c>
    </row>
    <row r="198" spans="1:10">
      <c r="A198" s="640">
        <v>195</v>
      </c>
      <c r="B198" s="607"/>
      <c r="C198" s="657"/>
      <c r="D198" s="657"/>
      <c r="E198" s="643"/>
      <c r="F198" s="643"/>
      <c r="G198" s="643"/>
      <c r="H198" s="643"/>
      <c r="I198" s="643"/>
      <c r="J198" s="643"/>
    </row>
    <row r="199" spans="1:10">
      <c r="A199" s="640">
        <v>196</v>
      </c>
      <c r="B199" s="811" t="s">
        <v>717</v>
      </c>
      <c r="C199" s="661" t="s">
        <v>253</v>
      </c>
      <c r="D199" s="662">
        <v>350</v>
      </c>
      <c r="E199" s="643">
        <f>Detail!I63</f>
        <v>-13830.202902208015</v>
      </c>
      <c r="F199" s="643">
        <f>Detail!J63</f>
        <v>-4833.44058087952</v>
      </c>
      <c r="G199" s="643">
        <f>Detail!K63</f>
        <v>0</v>
      </c>
      <c r="H199" s="643">
        <f>Detail!L63</f>
        <v>-70.014908409443507</v>
      </c>
      <c r="I199" s="643">
        <f>Detail!M63</f>
        <v>-266.34160850302038</v>
      </c>
      <c r="J199" s="643">
        <f>SUM(E199:I199)</f>
        <v>-19000.000000000004</v>
      </c>
    </row>
    <row r="200" spans="1:10">
      <c r="A200" s="640">
        <v>197</v>
      </c>
      <c r="B200" s="811"/>
      <c r="C200" s="661" t="s">
        <v>254</v>
      </c>
      <c r="D200" s="662">
        <v>351</v>
      </c>
      <c r="E200" s="643">
        <f>Detail!I64</f>
        <v>-425096.76288892003</v>
      </c>
      <c r="F200" s="643">
        <f>Detail!J64</f>
        <v>-148564.69995966525</v>
      </c>
      <c r="G200" s="643">
        <f>Detail!K64</f>
        <v>0</v>
      </c>
      <c r="H200" s="643">
        <f>Detail!L64</f>
        <v>-2152.0371847955266</v>
      </c>
      <c r="I200" s="643">
        <f>Detail!M64</f>
        <v>-8186.4999666191525</v>
      </c>
      <c r="J200" s="643">
        <f t="shared" ref="J200:J206" si="42">SUM(E200:I200)</f>
        <v>-584000</v>
      </c>
    </row>
    <row r="201" spans="1:10">
      <c r="A201" s="640">
        <v>198</v>
      </c>
      <c r="B201" s="811"/>
      <c r="C201" s="661" t="s">
        <v>255</v>
      </c>
      <c r="D201" s="662">
        <v>352</v>
      </c>
      <c r="E201" s="643">
        <f>Detail!I65</f>
        <v>-4936654.5306723556</v>
      </c>
      <c r="F201" s="643">
        <f>Detail!J65</f>
        <v>-1725283.8957644687</v>
      </c>
      <c r="G201" s="643">
        <f>Detail!K65</f>
        <v>0</v>
      </c>
      <c r="H201" s="643">
        <f>Detail!L65</f>
        <v>-24991.637306991888</v>
      </c>
      <c r="I201" s="643">
        <f>Detail!M65</f>
        <v>-95069.93625618337</v>
      </c>
      <c r="J201" s="643">
        <f t="shared" si="42"/>
        <v>-6782000</v>
      </c>
    </row>
    <row r="202" spans="1:10">
      <c r="A202" s="640">
        <v>199</v>
      </c>
      <c r="B202" s="811"/>
      <c r="C202" s="661" t="s">
        <v>256</v>
      </c>
      <c r="D202" s="662">
        <v>353</v>
      </c>
      <c r="E202" s="643">
        <f>Detail!I66</f>
        <v>-305720.27468038769</v>
      </c>
      <c r="F202" s="643">
        <f>Detail!J66</f>
        <v>-106844.47599838939</v>
      </c>
      <c r="G202" s="643">
        <f>Detail!K66</f>
        <v>0</v>
      </c>
      <c r="H202" s="643">
        <f>Detail!L66</f>
        <v>-1547.697975366646</v>
      </c>
      <c r="I202" s="643">
        <f>Detail!M66</f>
        <v>-5887.55134585624</v>
      </c>
      <c r="J202" s="643">
        <f t="shared" si="42"/>
        <v>-420000</v>
      </c>
    </row>
    <row r="203" spans="1:10">
      <c r="A203" s="640">
        <v>200</v>
      </c>
      <c r="B203" s="811"/>
      <c r="C203" s="661" t="s">
        <v>257</v>
      </c>
      <c r="D203" s="662">
        <v>354</v>
      </c>
      <c r="E203" s="643">
        <f>Detail!I67</f>
        <v>-1779728.7418893999</v>
      </c>
      <c r="F203" s="643">
        <f>Detail!J67</f>
        <v>-621987.4852763383</v>
      </c>
      <c r="G203" s="643">
        <f>Detail!K67</f>
        <v>0</v>
      </c>
      <c r="H203" s="643">
        <f>Detail!L67</f>
        <v>-9009.813213741545</v>
      </c>
      <c r="I203" s="643">
        <f>Detail!M67</f>
        <v>-34273.959620520254</v>
      </c>
      <c r="J203" s="643">
        <f t="shared" si="42"/>
        <v>-2445000</v>
      </c>
    </row>
    <row r="204" spans="1:10">
      <c r="A204" s="640">
        <v>201</v>
      </c>
      <c r="B204" s="811"/>
      <c r="C204" s="661" t="s">
        <v>258</v>
      </c>
      <c r="D204" s="662">
        <v>355</v>
      </c>
      <c r="E204" s="643">
        <f>Detail!I68</f>
        <v>-402531.69499584381</v>
      </c>
      <c r="F204" s="643">
        <f>Detail!J68</f>
        <v>-140678.56006454604</v>
      </c>
      <c r="G204" s="643">
        <f>Detail!K68</f>
        <v>0</v>
      </c>
      <c r="H204" s="643">
        <f>Detail!L68</f>
        <v>-2037.8023342327504</v>
      </c>
      <c r="I204" s="643">
        <f>Detail!M68</f>
        <v>-7751.9426053773823</v>
      </c>
      <c r="J204" s="643">
        <f t="shared" si="42"/>
        <v>-553000</v>
      </c>
    </row>
    <row r="205" spans="1:10">
      <c r="A205" s="640">
        <v>202</v>
      </c>
      <c r="B205" s="811"/>
      <c r="C205" s="661" t="s">
        <v>259</v>
      </c>
      <c r="D205" s="662">
        <v>356</v>
      </c>
      <c r="E205" s="643">
        <f>Detail!I69</f>
        <v>-203085.61103768612</v>
      </c>
      <c r="F205" s="643">
        <f>Detail!J69</f>
        <v>-70975.259056072959</v>
      </c>
      <c r="G205" s="643">
        <f>Detail!K69</f>
        <v>0</v>
      </c>
      <c r="H205" s="643">
        <f>Detail!L69</f>
        <v>-1028.1136550649862</v>
      </c>
      <c r="I205" s="643">
        <f>Detail!M69</f>
        <v>-3911.0162511759304</v>
      </c>
      <c r="J205" s="643">
        <f t="shared" si="42"/>
        <v>-279000.00000000006</v>
      </c>
    </row>
    <row r="206" spans="1:10">
      <c r="A206" s="640">
        <v>203</v>
      </c>
      <c r="B206" s="811"/>
      <c r="C206" s="661" t="s">
        <v>260</v>
      </c>
      <c r="D206" s="662">
        <v>357</v>
      </c>
      <c r="E206" s="643">
        <f>Detail!I70</f>
        <v>-477505.95283412939</v>
      </c>
      <c r="F206" s="643">
        <f>Detail!J70</f>
        <v>-166880.89584510343</v>
      </c>
      <c r="G206" s="643">
        <f>Detail!K70</f>
        <v>0</v>
      </c>
      <c r="H206" s="643">
        <f>Detail!L70</f>
        <v>-2417.3568377155229</v>
      </c>
      <c r="I206" s="643">
        <f>Detail!M70</f>
        <v>-9195.7944830516499</v>
      </c>
      <c r="J206" s="643">
        <f t="shared" si="42"/>
        <v>-656000</v>
      </c>
    </row>
    <row r="207" spans="1:10">
      <c r="A207" s="640">
        <v>204</v>
      </c>
      <c r="B207" s="607"/>
      <c r="C207" s="632" t="s">
        <v>716</v>
      </c>
      <c r="D207" s="632"/>
      <c r="E207" s="643">
        <f t="shared" ref="E207:J207" si="43">SUM(E199:E206)</f>
        <v>-8544153.7719009314</v>
      </c>
      <c r="F207" s="643">
        <f t="shared" si="43"/>
        <v>-2986048.7125454638</v>
      </c>
      <c r="G207" s="643">
        <f t="shared" si="43"/>
        <v>0</v>
      </c>
      <c r="H207" s="643">
        <f t="shared" si="43"/>
        <v>-43254.473416318309</v>
      </c>
      <c r="I207" s="643">
        <f t="shared" si="43"/>
        <v>-164543.04213728698</v>
      </c>
      <c r="J207" s="643">
        <f t="shared" si="43"/>
        <v>-11738000</v>
      </c>
    </row>
    <row r="208" spans="1:10">
      <c r="A208" s="640">
        <v>205</v>
      </c>
      <c r="B208" s="811" t="s">
        <v>1364</v>
      </c>
      <c r="C208" s="661" t="s">
        <v>253</v>
      </c>
      <c r="D208" s="662">
        <v>374</v>
      </c>
      <c r="E208" s="643">
        <f>Detail!I74</f>
        <v>-14264.003671684106</v>
      </c>
      <c r="F208" s="643">
        <f>Detail!J74</f>
        <v>-2641.7584559135557</v>
      </c>
      <c r="G208" s="643">
        <f>Detail!K74</f>
        <v>0</v>
      </c>
      <c r="H208" s="643">
        <f>Detail!L74</f>
        <v>-34.862059751685052</v>
      </c>
      <c r="I208" s="643">
        <f>Detail!M74</f>
        <v>-1059.3758126506509</v>
      </c>
      <c r="J208" s="643">
        <f>SUM(E208:I208)</f>
        <v>-18000</v>
      </c>
    </row>
    <row r="209" spans="1:10">
      <c r="A209" s="640">
        <v>206</v>
      </c>
      <c r="B209" s="811"/>
      <c r="C209" s="661" t="s">
        <v>254</v>
      </c>
      <c r="D209" s="662">
        <v>375</v>
      </c>
      <c r="E209" s="643">
        <f>Detail!I75</f>
        <v>2156241.8883695807</v>
      </c>
      <c r="F209" s="643">
        <f>Detail!J75</f>
        <v>399345.81991893251</v>
      </c>
      <c r="G209" s="643">
        <f>Detail!K75</f>
        <v>0</v>
      </c>
      <c r="H209" s="643">
        <f>Detail!L75</f>
        <v>5269.9813657963905</v>
      </c>
      <c r="I209" s="643">
        <f>Detail!M75</f>
        <v>160142.31034569006</v>
      </c>
      <c r="J209" s="643">
        <f t="shared" ref="J209:J219" si="44">SUM(E209:I209)</f>
        <v>2720999.9999999995</v>
      </c>
    </row>
    <row r="210" spans="1:10">
      <c r="A210" s="640">
        <v>207</v>
      </c>
      <c r="B210" s="811"/>
      <c r="C210" s="661" t="s">
        <v>261</v>
      </c>
      <c r="D210" s="662">
        <v>376</v>
      </c>
      <c r="E210" s="643">
        <f>Detail!I76</f>
        <v>-46806360.670568876</v>
      </c>
      <c r="F210" s="643">
        <f>Detail!J76</f>
        <v>-17459723.514147338</v>
      </c>
      <c r="G210" s="643">
        <f>Detail!K76</f>
        <v>0</v>
      </c>
      <c r="H210" s="643">
        <f>Detail!L76</f>
        <v>-242817.76626689642</v>
      </c>
      <c r="I210" s="643">
        <f>Detail!M76</f>
        <v>-7891098.0490168845</v>
      </c>
      <c r="J210" s="643">
        <f t="shared" si="44"/>
        <v>-72399999.999999985</v>
      </c>
    </row>
    <row r="211" spans="1:10">
      <c r="A211" s="640">
        <v>208</v>
      </c>
      <c r="B211" s="811"/>
      <c r="C211" s="661" t="s">
        <v>262</v>
      </c>
      <c r="D211" s="662">
        <v>378</v>
      </c>
      <c r="E211" s="643">
        <f>Detail!I78</f>
        <v>-655547.64806570229</v>
      </c>
      <c r="F211" s="643">
        <f>Detail!J78</f>
        <v>-244532.59175891435</v>
      </c>
      <c r="G211" s="643">
        <f>Detail!K78</f>
        <v>0</v>
      </c>
      <c r="H211" s="643">
        <f>Detail!L78</f>
        <v>-3400.7902623568093</v>
      </c>
      <c r="I211" s="643">
        <f>Detail!M78</f>
        <v>-110518.96991302654</v>
      </c>
      <c r="J211" s="643">
        <f t="shared" si="44"/>
        <v>-1014000</v>
      </c>
    </row>
    <row r="212" spans="1:10">
      <c r="A212" s="640">
        <v>209</v>
      </c>
      <c r="B212" s="811"/>
      <c r="C212" s="661" t="s">
        <v>263</v>
      </c>
      <c r="D212" s="662">
        <v>379</v>
      </c>
      <c r="E212" s="643">
        <f>Detail!I79</f>
        <v>-272821.60501353681</v>
      </c>
      <c r="F212" s="643">
        <f>Detail!J79</f>
        <v>-101768.00169848309</v>
      </c>
      <c r="G212" s="643">
        <f>Detail!K79</f>
        <v>0</v>
      </c>
      <c r="H212" s="643">
        <f>Detail!L79</f>
        <v>-1415.3190243733466</v>
      </c>
      <c r="I212" s="643">
        <f>Detail!M79</f>
        <v>-45995.074263606708</v>
      </c>
      <c r="J212" s="643">
        <f t="shared" si="44"/>
        <v>-421999.99999999994</v>
      </c>
    </row>
    <row r="213" spans="1:10">
      <c r="A213" s="640">
        <v>210</v>
      </c>
      <c r="B213" s="811"/>
      <c r="C213" s="661" t="s">
        <v>264</v>
      </c>
      <c r="D213" s="662">
        <v>380</v>
      </c>
      <c r="E213" s="643">
        <f>Detail!I80</f>
        <v>-61478451.463748075</v>
      </c>
      <c r="F213" s="643">
        <f>Detail!J80</f>
        <v>-1154197.055457999</v>
      </c>
      <c r="G213" s="643">
        <f>Detail!K80</f>
        <v>0</v>
      </c>
      <c r="H213" s="643">
        <f>Detail!L80</f>
        <v>-2803.7804294894777</v>
      </c>
      <c r="I213" s="643">
        <f>Detail!M80</f>
        <v>-226547.70036444033</v>
      </c>
      <c r="J213" s="643">
        <f t="shared" si="44"/>
        <v>-62862000.000000007</v>
      </c>
    </row>
    <row r="214" spans="1:10">
      <c r="A214" s="640">
        <v>211</v>
      </c>
      <c r="B214" s="811"/>
      <c r="C214" s="661" t="s">
        <v>265</v>
      </c>
      <c r="D214" s="662">
        <v>381</v>
      </c>
      <c r="E214" s="643">
        <f>Detail!I81</f>
        <v>-12764692.519095842</v>
      </c>
      <c r="F214" s="643">
        <f>Detail!J81</f>
        <v>-1276201.0117527694</v>
      </c>
      <c r="G214" s="643">
        <f>Detail!K81</f>
        <v>0</v>
      </c>
      <c r="H214" s="643">
        <f>Detail!L81</f>
        <v>-13508.737567553315</v>
      </c>
      <c r="I214" s="643">
        <f>Detail!M81</f>
        <v>-114597.73158383543</v>
      </c>
      <c r="J214" s="643">
        <f t="shared" si="44"/>
        <v>-14169000</v>
      </c>
    </row>
    <row r="215" spans="1:10">
      <c r="A215" s="640">
        <v>212</v>
      </c>
      <c r="B215" s="811"/>
      <c r="C215" s="661" t="s">
        <v>266</v>
      </c>
      <c r="D215" s="662">
        <v>382</v>
      </c>
      <c r="E215" s="643">
        <f>Detail!I82</f>
        <v>0</v>
      </c>
      <c r="F215" s="643">
        <f>Detail!J82</f>
        <v>0</v>
      </c>
      <c r="G215" s="643">
        <f>Detail!K82</f>
        <v>0</v>
      </c>
      <c r="H215" s="643">
        <f>Detail!L82</f>
        <v>0</v>
      </c>
      <c r="I215" s="643">
        <f>Detail!M82</f>
        <v>0</v>
      </c>
      <c r="J215" s="643">
        <f t="shared" si="44"/>
        <v>0</v>
      </c>
    </row>
    <row r="216" spans="1:10">
      <c r="A216" s="640">
        <v>213</v>
      </c>
      <c r="B216" s="811"/>
      <c r="C216" s="661" t="s">
        <v>267</v>
      </c>
      <c r="D216" s="662">
        <v>383</v>
      </c>
      <c r="E216" s="643">
        <f>Detail!I83</f>
        <v>0</v>
      </c>
      <c r="F216" s="643">
        <f>Detail!J83</f>
        <v>0</v>
      </c>
      <c r="G216" s="643">
        <f>Detail!K83</f>
        <v>0</v>
      </c>
      <c r="H216" s="643">
        <f>Detail!L83</f>
        <v>0</v>
      </c>
      <c r="I216" s="643">
        <f>Detail!M83</f>
        <v>0</v>
      </c>
      <c r="J216" s="643">
        <f t="shared" si="44"/>
        <v>0</v>
      </c>
    </row>
    <row r="217" spans="1:10">
      <c r="A217" s="640">
        <v>214</v>
      </c>
      <c r="B217" s="811"/>
      <c r="C217" s="661" t="s">
        <v>268</v>
      </c>
      <c r="D217" s="662">
        <v>384</v>
      </c>
      <c r="E217" s="643">
        <f>Detail!I84</f>
        <v>0</v>
      </c>
      <c r="F217" s="643">
        <f>Detail!J84</f>
        <v>0</v>
      </c>
      <c r="G217" s="643">
        <f>Detail!K84</f>
        <v>0</v>
      </c>
      <c r="H217" s="643">
        <f>Detail!L84</f>
        <v>0</v>
      </c>
      <c r="I217" s="643">
        <f>Detail!M84</f>
        <v>0</v>
      </c>
      <c r="J217" s="643">
        <f t="shared" si="44"/>
        <v>0</v>
      </c>
    </row>
    <row r="218" spans="1:10">
      <c r="A218" s="640">
        <v>215</v>
      </c>
      <c r="B218" s="811"/>
      <c r="C218" s="661" t="s">
        <v>269</v>
      </c>
      <c r="D218" s="662">
        <v>385</v>
      </c>
      <c r="E218" s="643">
        <f>Detail!I85</f>
        <v>0</v>
      </c>
      <c r="F218" s="643">
        <f>Detail!J85</f>
        <v>-1013693.4537922005</v>
      </c>
      <c r="G218" s="643">
        <f>Detail!K85</f>
        <v>0</v>
      </c>
      <c r="H218" s="643">
        <f>Detail!L85</f>
        <v>-16083.54106920487</v>
      </c>
      <c r="I218" s="643">
        <f>Detail!M85</f>
        <v>-136223.00513859463</v>
      </c>
      <c r="J218" s="643">
        <f t="shared" si="44"/>
        <v>-1166000</v>
      </c>
    </row>
    <row r="219" spans="1:10">
      <c r="A219" s="640">
        <v>216</v>
      </c>
      <c r="B219" s="811"/>
      <c r="C219" s="661" t="s">
        <v>260</v>
      </c>
      <c r="D219" s="662">
        <v>387</v>
      </c>
      <c r="E219" s="643">
        <f>Detail!I86</f>
        <v>0</v>
      </c>
      <c r="F219" s="643">
        <f>Detail!J86</f>
        <v>0</v>
      </c>
      <c r="G219" s="643">
        <f>Detail!K86</f>
        <v>0</v>
      </c>
      <c r="H219" s="643">
        <f>Detail!L86</f>
        <v>0</v>
      </c>
      <c r="I219" s="643">
        <f>Detail!M86</f>
        <v>0</v>
      </c>
      <c r="J219" s="643">
        <f t="shared" si="44"/>
        <v>0</v>
      </c>
    </row>
    <row r="220" spans="1:10">
      <c r="A220" s="640">
        <v>217</v>
      </c>
      <c r="B220" s="607"/>
      <c r="C220" s="632" t="s">
        <v>715</v>
      </c>
      <c r="D220" s="632"/>
      <c r="E220" s="643">
        <f t="shared" ref="E220:J220" si="45">SUM(E208:E219)</f>
        <v>-119835896.02179413</v>
      </c>
      <c r="F220" s="643">
        <f t="shared" si="45"/>
        <v>-20853411.567144681</v>
      </c>
      <c r="G220" s="643">
        <f t="shared" si="45"/>
        <v>0</v>
      </c>
      <c r="H220" s="643">
        <f t="shared" si="45"/>
        <v>-274794.81531382952</v>
      </c>
      <c r="I220" s="643">
        <f t="shared" si="45"/>
        <v>-8365897.5957473498</v>
      </c>
      <c r="J220" s="643">
        <f t="shared" si="45"/>
        <v>-149330000</v>
      </c>
    </row>
    <row r="221" spans="1:10">
      <c r="A221" s="640">
        <v>218</v>
      </c>
      <c r="B221" s="811" t="s">
        <v>1365</v>
      </c>
      <c r="C221" s="679" t="s">
        <v>253</v>
      </c>
      <c r="D221" s="662">
        <v>389</v>
      </c>
      <c r="E221" s="643">
        <f>Detail!I92</f>
        <v>-24506.293485780261</v>
      </c>
      <c r="F221" s="643">
        <f>Detail!J92</f>
        <v>-2654.4164549577513</v>
      </c>
      <c r="G221" s="643">
        <f>Detail!K92</f>
        <v>0</v>
      </c>
      <c r="H221" s="643">
        <f>Detail!L92</f>
        <v>-32.865516720156513</v>
      </c>
      <c r="I221" s="643">
        <f>Detail!M92</f>
        <v>-806.42454254183497</v>
      </c>
      <c r="J221" s="643">
        <f>SUM(E221:I221)</f>
        <v>-28000.000000000004</v>
      </c>
    </row>
    <row r="222" spans="1:10">
      <c r="A222" s="640">
        <v>219</v>
      </c>
      <c r="B222" s="811"/>
      <c r="C222" s="679" t="s">
        <v>254</v>
      </c>
      <c r="D222" s="662">
        <v>390</v>
      </c>
      <c r="E222" s="643">
        <f>Detail!I93</f>
        <v>-2097913.7673362601</v>
      </c>
      <c r="F222" s="643">
        <f>Detail!J93</f>
        <v>-227237.00866191892</v>
      </c>
      <c r="G222" s="643">
        <f>Detail!K93</f>
        <v>0</v>
      </c>
      <c r="H222" s="643">
        <f>Detail!L93</f>
        <v>-2813.5229849362554</v>
      </c>
      <c r="I222" s="643">
        <f>Detail!M93</f>
        <v>-69035.701016884937</v>
      </c>
      <c r="J222" s="643">
        <f t="shared" ref="J222:J230" si="46">SUM(E222:I222)</f>
        <v>-2397000</v>
      </c>
    </row>
    <row r="223" spans="1:10">
      <c r="A223" s="640">
        <v>220</v>
      </c>
      <c r="B223" s="811"/>
      <c r="C223" s="679" t="s">
        <v>270</v>
      </c>
      <c r="D223" s="662">
        <v>391</v>
      </c>
      <c r="E223" s="643">
        <f>Detail!I94</f>
        <v>-5120064.8889933759</v>
      </c>
      <c r="F223" s="643">
        <f>Detail!J94</f>
        <v>-554583.43791081593</v>
      </c>
      <c r="G223" s="643">
        <f>Detail!K94</f>
        <v>0</v>
      </c>
      <c r="H223" s="643">
        <f>Detail!L94</f>
        <v>-6866.5454576041284</v>
      </c>
      <c r="I223" s="643">
        <f>Detail!M94</f>
        <v>-168485.12763820481</v>
      </c>
      <c r="J223" s="643">
        <f t="shared" si="46"/>
        <v>-5850000.0000000009</v>
      </c>
    </row>
    <row r="224" spans="1:10">
      <c r="A224" s="640">
        <v>221</v>
      </c>
      <c r="B224" s="811"/>
      <c r="C224" s="679" t="s">
        <v>271</v>
      </c>
      <c r="D224" s="662">
        <v>392</v>
      </c>
      <c r="E224" s="643">
        <f>Detail!I95</f>
        <v>-7224105.2297010813</v>
      </c>
      <c r="F224" s="643">
        <f>Detail!J95</f>
        <v>-782484.05068647431</v>
      </c>
      <c r="G224" s="643">
        <f>Detail!K95</f>
        <v>0</v>
      </c>
      <c r="H224" s="643">
        <f>Detail!L95</f>
        <v>-9688.2848217204228</v>
      </c>
      <c r="I224" s="643">
        <f>Detail!M95</f>
        <v>-237722.43479072521</v>
      </c>
      <c r="J224" s="643">
        <f t="shared" si="46"/>
        <v>-8254000.0000000009</v>
      </c>
    </row>
    <row r="225" spans="1:10">
      <c r="A225" s="640">
        <v>222</v>
      </c>
      <c r="B225" s="811"/>
      <c r="C225" s="679" t="s">
        <v>272</v>
      </c>
      <c r="D225" s="662">
        <v>393</v>
      </c>
      <c r="E225" s="643">
        <f>Detail!I96</f>
        <v>-235435.46241696036</v>
      </c>
      <c r="F225" s="643">
        <f>Detail!J96</f>
        <v>-25501.358085129825</v>
      </c>
      <c r="G225" s="643">
        <f>Detail!K96</f>
        <v>0</v>
      </c>
      <c r="H225" s="643">
        <f>Detail!L96</f>
        <v>-315.74371420436074</v>
      </c>
      <c r="I225" s="643">
        <f>Detail!M96</f>
        <v>-7747.4357837054858</v>
      </c>
      <c r="J225" s="643">
        <f t="shared" si="46"/>
        <v>-269000</v>
      </c>
    </row>
    <row r="226" spans="1:10">
      <c r="A226" s="640">
        <v>223</v>
      </c>
      <c r="B226" s="811"/>
      <c r="C226" s="679" t="s">
        <v>273</v>
      </c>
      <c r="D226" s="662">
        <v>394</v>
      </c>
      <c r="E226" s="643">
        <f>Detail!I97</f>
        <v>-2133797.9827975812</v>
      </c>
      <c r="F226" s="643">
        <f>Detail!J97</f>
        <v>-231123.83275667849</v>
      </c>
      <c r="G226" s="643">
        <f>Detail!K97</f>
        <v>0</v>
      </c>
      <c r="H226" s="643">
        <f>Detail!L97</f>
        <v>-2861.6474915621989</v>
      </c>
      <c r="I226" s="643">
        <f>Detail!M97</f>
        <v>-70216.536954178344</v>
      </c>
      <c r="J226" s="643">
        <f t="shared" si="46"/>
        <v>-2438000.0000000005</v>
      </c>
    </row>
    <row r="227" spans="1:10" ht="15.75" customHeight="1">
      <c r="A227" s="640">
        <v>224</v>
      </c>
      <c r="B227" s="811"/>
      <c r="C227" s="679" t="s">
        <v>274</v>
      </c>
      <c r="D227" s="662">
        <v>395</v>
      </c>
      <c r="E227" s="643">
        <f>Detail!I98</f>
        <v>-161041.35719227028</v>
      </c>
      <c r="F227" s="643">
        <f>Detail!J98</f>
        <v>-17443.30813257951</v>
      </c>
      <c r="G227" s="643">
        <f>Detail!K98</f>
        <v>0</v>
      </c>
      <c r="H227" s="643">
        <f>Detail!L98</f>
        <v>-215.97339558959993</v>
      </c>
      <c r="I227" s="643">
        <f>Detail!M98</f>
        <v>-5299.3612795606296</v>
      </c>
      <c r="J227" s="643">
        <f t="shared" si="46"/>
        <v>-184000.00000000003</v>
      </c>
    </row>
    <row r="228" spans="1:10" ht="15.75" customHeight="1">
      <c r="A228" s="640">
        <v>225</v>
      </c>
      <c r="B228" s="811"/>
      <c r="C228" s="679" t="s">
        <v>275</v>
      </c>
      <c r="D228" s="662">
        <v>396</v>
      </c>
      <c r="E228" s="643">
        <f>Detail!I99</f>
        <v>-1980633.6485114545</v>
      </c>
      <c r="F228" s="643">
        <f>Detail!J99</f>
        <v>-214533.72991319254</v>
      </c>
      <c r="G228" s="643">
        <f>Detail!K99</f>
        <v>0</v>
      </c>
      <c r="H228" s="643">
        <f>Detail!L99</f>
        <v>-2656.2380120612211</v>
      </c>
      <c r="I228" s="643">
        <f>Detail!M99</f>
        <v>-65176.383563291878</v>
      </c>
      <c r="J228" s="643">
        <f t="shared" si="46"/>
        <v>-2262999.9999999995</v>
      </c>
    </row>
    <row r="229" spans="1:10">
      <c r="A229" s="640">
        <v>226</v>
      </c>
      <c r="B229" s="811"/>
      <c r="C229" s="679" t="s">
        <v>276</v>
      </c>
      <c r="D229" s="662">
        <v>397</v>
      </c>
      <c r="E229" s="643">
        <f>Detail!I100</f>
        <v>-2821724.649934127</v>
      </c>
      <c r="F229" s="643">
        <f>Detail!J100</f>
        <v>-305637.09467084968</v>
      </c>
      <c r="G229" s="643">
        <f>Detail!K100</f>
        <v>0</v>
      </c>
      <c r="H229" s="643">
        <f>Detail!L100</f>
        <v>-3784.2294966351637</v>
      </c>
      <c r="I229" s="643">
        <f>Detail!M100</f>
        <v>-92854.025898388427</v>
      </c>
      <c r="J229" s="643">
        <f>SUM(E229:I229)</f>
        <v>-3224000.0000000005</v>
      </c>
    </row>
    <row r="230" spans="1:10">
      <c r="A230" s="640">
        <v>227</v>
      </c>
      <c r="B230" s="811"/>
      <c r="C230" s="679" t="s">
        <v>277</v>
      </c>
      <c r="D230" s="662">
        <v>398</v>
      </c>
      <c r="E230" s="643">
        <f>Detail!I101</f>
        <v>-80520.678596135142</v>
      </c>
      <c r="F230" s="643">
        <f>Detail!J101</f>
        <v>-8721.6540662897551</v>
      </c>
      <c r="G230" s="643">
        <f>Detail!K101</f>
        <v>0</v>
      </c>
      <c r="H230" s="643">
        <f>Detail!L101</f>
        <v>-107.98669779479997</v>
      </c>
      <c r="I230" s="643">
        <f>Detail!M101</f>
        <v>-2649.6806397803148</v>
      </c>
      <c r="J230" s="643">
        <f t="shared" si="46"/>
        <v>-92000.000000000015</v>
      </c>
    </row>
    <row r="231" spans="1:10">
      <c r="A231" s="640">
        <v>228</v>
      </c>
      <c r="B231" s="607"/>
      <c r="C231" s="632" t="s">
        <v>714</v>
      </c>
      <c r="D231" s="632"/>
      <c r="E231" s="643">
        <f t="shared" ref="E231:J231" si="47">SUM(E221:E230)</f>
        <v>-21879743.958965026</v>
      </c>
      <c r="F231" s="643">
        <f t="shared" si="47"/>
        <v>-2369919.8913388867</v>
      </c>
      <c r="G231" s="643">
        <f t="shared" si="47"/>
        <v>0</v>
      </c>
      <c r="H231" s="643">
        <f t="shared" si="47"/>
        <v>-29343.037588828305</v>
      </c>
      <c r="I231" s="643">
        <f t="shared" si="47"/>
        <v>-719993.1121072619</v>
      </c>
      <c r="J231" s="643">
        <f t="shared" si="47"/>
        <v>-24999000</v>
      </c>
    </row>
    <row r="232" spans="1:10">
      <c r="A232" s="640">
        <v>229</v>
      </c>
      <c r="B232" s="811" t="s">
        <v>713</v>
      </c>
      <c r="C232" s="661" t="s">
        <v>711</v>
      </c>
      <c r="D232" s="662">
        <v>303.10000000000002</v>
      </c>
      <c r="E232" s="643">
        <f>Detail!I107</f>
        <v>-11050587.912552198</v>
      </c>
      <c r="F232" s="643">
        <f>Detail!J107</f>
        <v>-1196952.2200105917</v>
      </c>
      <c r="G232" s="643">
        <f>Detail!K107</f>
        <v>0</v>
      </c>
      <c r="H232" s="643">
        <f>Detail!L107</f>
        <v>-14820.000503882004</v>
      </c>
      <c r="I232" s="643">
        <f>Detail!M107</f>
        <v>-363639.86693332886</v>
      </c>
      <c r="J232" s="643">
        <f>SUM(E232:I232)</f>
        <v>-12626000.000000002</v>
      </c>
    </row>
    <row r="233" spans="1:10">
      <c r="A233" s="640"/>
      <c r="B233" s="811"/>
      <c r="C233" s="661" t="s">
        <v>1463</v>
      </c>
      <c r="D233" s="662">
        <v>303.12</v>
      </c>
      <c r="E233" s="643">
        <f>Detail!I108</f>
        <v>2377110.4681206853</v>
      </c>
      <c r="F233" s="643">
        <f>Detail!J108</f>
        <v>257478.39613090188</v>
      </c>
      <c r="G233" s="643">
        <f>Detail!K108</f>
        <v>0</v>
      </c>
      <c r="H233" s="643">
        <f>Detail!L108</f>
        <v>3187.9551218551815</v>
      </c>
      <c r="I233" s="643">
        <f>Detail!M108</f>
        <v>78223.180626557994</v>
      </c>
      <c r="J233" s="643">
        <f>SUM(E233:I233)</f>
        <v>2716000.0000000005</v>
      </c>
    </row>
    <row r="234" spans="1:10">
      <c r="A234" s="640">
        <v>230</v>
      </c>
      <c r="B234" s="811"/>
      <c r="C234" s="661" t="s">
        <v>279</v>
      </c>
      <c r="D234" s="662">
        <v>303</v>
      </c>
      <c r="E234" s="643">
        <f>Detail!I109</f>
        <v>-608597.48999185523</v>
      </c>
      <c r="F234" s="643">
        <f>Detail!J109</f>
        <v>-112715.02745231171</v>
      </c>
      <c r="G234" s="643">
        <f>Detail!K109</f>
        <v>0</v>
      </c>
      <c r="H234" s="643">
        <f>Detail!L109</f>
        <v>-1487.4478827385626</v>
      </c>
      <c r="I234" s="643">
        <f>Detail!M109</f>
        <v>-45200.034673094437</v>
      </c>
      <c r="J234" s="643">
        <f>SUM(E234:I234)</f>
        <v>-767999.99999999988</v>
      </c>
    </row>
    <row r="235" spans="1:10">
      <c r="A235" s="640">
        <v>231</v>
      </c>
      <c r="B235" s="607"/>
      <c r="C235" s="632" t="s">
        <v>710</v>
      </c>
      <c r="D235" s="632"/>
      <c r="E235" s="643">
        <f>SUM(E232:E234)</f>
        <v>-9282074.9344233684</v>
      </c>
      <c r="F235" s="643">
        <f t="shared" ref="F235:J235" si="48">SUM(F232:F234)</f>
        <v>-1052188.8513320014</v>
      </c>
      <c r="G235" s="643">
        <f t="shared" si="48"/>
        <v>0</v>
      </c>
      <c r="H235" s="643">
        <f t="shared" si="48"/>
        <v>-13119.493264765386</v>
      </c>
      <c r="I235" s="643">
        <f t="shared" si="48"/>
        <v>-330616.72097986535</v>
      </c>
      <c r="J235" s="643">
        <f t="shared" si="48"/>
        <v>-10678000.000000002</v>
      </c>
    </row>
    <row r="236" spans="1:10">
      <c r="A236" s="640">
        <v>232</v>
      </c>
      <c r="B236" s="607"/>
      <c r="C236" s="657"/>
      <c r="D236" s="657"/>
      <c r="E236" s="643"/>
      <c r="F236" s="643"/>
      <c r="G236" s="643"/>
      <c r="H236" s="643"/>
      <c r="I236" s="643"/>
      <c r="J236" s="643"/>
    </row>
    <row r="237" spans="1:10">
      <c r="A237" s="640">
        <v>233</v>
      </c>
      <c r="B237" s="607"/>
      <c r="C237" s="669" t="s">
        <v>138</v>
      </c>
      <c r="D237" s="669"/>
      <c r="E237" s="643">
        <f>E235+E231+E220+E207+E197</f>
        <v>429832865.10511994</v>
      </c>
      <c r="F237" s="643">
        <f t="shared" ref="F237:I237" si="49">F235+F231+F220+F207+F197</f>
        <v>75193489.058867276</v>
      </c>
      <c r="G237" s="643">
        <f t="shared" si="49"/>
        <v>0</v>
      </c>
      <c r="H237" s="643">
        <f t="shared" si="49"/>
        <v>989899.70224609133</v>
      </c>
      <c r="I237" s="643">
        <f t="shared" si="49"/>
        <v>27272746.133766524</v>
      </c>
      <c r="J237" s="643">
        <f>J235+J231+J220+J207+J197</f>
        <v>533288999.99999988</v>
      </c>
    </row>
    <row r="238" spans="1:10">
      <c r="A238" s="640">
        <v>234</v>
      </c>
      <c r="B238" s="607"/>
      <c r="C238" s="657"/>
      <c r="D238" s="657"/>
      <c r="E238" s="643"/>
      <c r="F238" s="643"/>
      <c r="G238" s="643"/>
      <c r="H238" s="643"/>
      <c r="I238" s="643"/>
      <c r="J238" s="643"/>
    </row>
    <row r="239" spans="1:10">
      <c r="A239" s="640">
        <v>235</v>
      </c>
      <c r="B239" s="607"/>
      <c r="C239" s="669" t="s">
        <v>396</v>
      </c>
      <c r="D239" s="669"/>
      <c r="E239" s="643">
        <f>Detail!I119</f>
        <v>-89955386.102650687</v>
      </c>
      <c r="F239" s="643">
        <f>Detail!J119</f>
        <v>-15637562.622621389</v>
      </c>
      <c r="G239" s="643">
        <f>Detail!K119</f>
        <v>0</v>
      </c>
      <c r="H239" s="643">
        <f>Detail!L119</f>
        <v>-206111.29537578707</v>
      </c>
      <c r="I239" s="643">
        <f>Detail!M119</f>
        <v>-5624939.9793521389</v>
      </c>
      <c r="J239" s="643">
        <f>SUM(E239:I239)</f>
        <v>-111424000</v>
      </c>
    </row>
    <row r="240" spans="1:10">
      <c r="A240" s="640">
        <v>236</v>
      </c>
      <c r="B240" s="607"/>
      <c r="C240" s="657"/>
      <c r="D240" s="657"/>
      <c r="E240" s="643"/>
      <c r="F240" s="643"/>
      <c r="G240" s="643"/>
      <c r="H240" s="643"/>
      <c r="I240" s="643"/>
      <c r="J240" s="643"/>
    </row>
    <row r="241" spans="1:10">
      <c r="A241" s="640">
        <v>237</v>
      </c>
      <c r="B241" s="811" t="s">
        <v>280</v>
      </c>
      <c r="C241" s="661" t="s">
        <v>705</v>
      </c>
      <c r="D241" s="657"/>
      <c r="E241" s="643">
        <v>-2000</v>
      </c>
      <c r="F241" s="643">
        <v>0</v>
      </c>
      <c r="G241" s="643">
        <v>0</v>
      </c>
      <c r="H241" s="643">
        <v>0</v>
      </c>
      <c r="I241" s="643">
        <v>0</v>
      </c>
      <c r="J241" s="643">
        <f>SUM(E241:I241)</f>
        <v>-2000</v>
      </c>
    </row>
    <row r="242" spans="1:10">
      <c r="A242" s="640">
        <v>238</v>
      </c>
      <c r="B242" s="811"/>
      <c r="C242" s="661" t="s">
        <v>704</v>
      </c>
      <c r="D242" s="657"/>
      <c r="E242" s="643">
        <v>-568000</v>
      </c>
      <c r="F242" s="643">
        <v>0</v>
      </c>
      <c r="G242" s="643">
        <v>0</v>
      </c>
      <c r="H242" s="643">
        <v>0</v>
      </c>
      <c r="I242" s="643">
        <v>0</v>
      </c>
      <c r="J242" s="643">
        <f t="shared" ref="J242:J246" si="50">SUM(E242:I242)</f>
        <v>-568000</v>
      </c>
    </row>
    <row r="243" spans="1:10">
      <c r="A243" s="640">
        <v>239</v>
      </c>
      <c r="B243" s="811"/>
      <c r="C243" s="661" t="s">
        <v>281</v>
      </c>
      <c r="D243" s="657"/>
      <c r="E243" s="643">
        <f>Detail!I123</f>
        <v>7578951.1904099928</v>
      </c>
      <c r="F243" s="643">
        <f>Detail!J123</f>
        <v>2648725.4383219769</v>
      </c>
      <c r="G243" s="643">
        <f>Detail!K123</f>
        <v>0</v>
      </c>
      <c r="H243" s="643">
        <f>Detail!L123</f>
        <v>38368.169808375038</v>
      </c>
      <c r="I243" s="643">
        <f>Detail!M123</f>
        <v>145955.20145965516</v>
      </c>
      <c r="J243" s="643">
        <f t="shared" si="50"/>
        <v>10412000</v>
      </c>
    </row>
    <row r="244" spans="1:10">
      <c r="A244" s="640">
        <v>240</v>
      </c>
      <c r="B244" s="811"/>
      <c r="C244" s="661" t="s">
        <v>703</v>
      </c>
      <c r="D244" s="657"/>
      <c r="E244" s="643">
        <f>Detail!I124</f>
        <v>1896406.5367885416</v>
      </c>
      <c r="F244" s="643">
        <f>Detail!J124</f>
        <v>329665.37371246453</v>
      </c>
      <c r="G244" s="643">
        <f>Detail!K124</f>
        <v>0</v>
      </c>
      <c r="H244" s="643">
        <f>Detail!L124</f>
        <v>4345.1629167659021</v>
      </c>
      <c r="I244" s="643">
        <f>Detail!M124</f>
        <v>118582.92658222801</v>
      </c>
      <c r="J244" s="643">
        <f t="shared" si="50"/>
        <v>2349000</v>
      </c>
    </row>
    <row r="245" spans="1:10">
      <c r="A245" s="640">
        <v>241</v>
      </c>
      <c r="B245" s="811"/>
      <c r="C245" s="661" t="s">
        <v>1215</v>
      </c>
      <c r="D245" s="657"/>
      <c r="E245" s="643">
        <f>Detail!I125</f>
        <v>9243871.794903703</v>
      </c>
      <c r="F245" s="643">
        <f>Detail!J125</f>
        <v>1606925.725418356</v>
      </c>
      <c r="G245" s="643">
        <f>Detail!K125</f>
        <v>0</v>
      </c>
      <c r="H245" s="643">
        <f>Detail!L125</f>
        <v>21180.125754350607</v>
      </c>
      <c r="I245" s="643">
        <f>Detail!M125</f>
        <v>578022.35392358911</v>
      </c>
      <c r="J245" s="643">
        <f t="shared" si="50"/>
        <v>11449999.999999998</v>
      </c>
    </row>
    <row r="246" spans="1:10">
      <c r="A246" s="640">
        <v>242</v>
      </c>
      <c r="B246" s="811"/>
      <c r="C246" s="661" t="s">
        <v>692</v>
      </c>
      <c r="D246" s="657"/>
      <c r="E246" s="643">
        <f>Detail!I126</f>
        <v>8134000</v>
      </c>
      <c r="F246" s="643">
        <f>Detail!J126</f>
        <v>0</v>
      </c>
      <c r="G246" s="643">
        <f>Detail!K126</f>
        <v>0</v>
      </c>
      <c r="H246" s="643">
        <f>Detail!L126</f>
        <v>0</v>
      </c>
      <c r="I246" s="643">
        <f>Detail!M126</f>
        <v>0</v>
      </c>
      <c r="J246" s="643">
        <f t="shared" si="50"/>
        <v>8134000</v>
      </c>
    </row>
    <row r="247" spans="1:10">
      <c r="A247" s="640">
        <v>243</v>
      </c>
      <c r="B247" s="607"/>
      <c r="C247" s="632" t="s">
        <v>702</v>
      </c>
      <c r="D247" s="632"/>
      <c r="E247" s="643">
        <f t="shared" ref="E247:I247" si="51">SUM(E241:E246)</f>
        <v>26283229.522102237</v>
      </c>
      <c r="F247" s="643">
        <f t="shared" si="51"/>
        <v>4585316.5374527974</v>
      </c>
      <c r="G247" s="643">
        <f t="shared" si="51"/>
        <v>0</v>
      </c>
      <c r="H247" s="643">
        <f t="shared" si="51"/>
        <v>63893.45847949155</v>
      </c>
      <c r="I247" s="643">
        <f t="shared" si="51"/>
        <v>842560.48196547222</v>
      </c>
      <c r="J247" s="643">
        <f>SUM(E247:I247)</f>
        <v>31774999.999999996</v>
      </c>
    </row>
    <row r="248" spans="1:10">
      <c r="A248" s="640">
        <v>244</v>
      </c>
      <c r="B248" s="607"/>
      <c r="C248" s="657"/>
      <c r="D248" s="657"/>
      <c r="E248" s="643"/>
      <c r="F248" s="643"/>
      <c r="G248" s="643"/>
      <c r="H248" s="643"/>
      <c r="I248" s="643"/>
      <c r="J248" s="643"/>
    </row>
    <row r="249" spans="1:10">
      <c r="A249" s="640">
        <v>245</v>
      </c>
      <c r="B249" s="607"/>
      <c r="C249" s="677" t="s">
        <v>110</v>
      </c>
      <c r="D249" s="677"/>
      <c r="E249" s="643">
        <f>E247+E239+E237</f>
        <v>366160708.52457148</v>
      </c>
      <c r="F249" s="643">
        <f t="shared" ref="F249:I249" si="52">F247+F239+F237</f>
        <v>64141242.973698683</v>
      </c>
      <c r="G249" s="643">
        <f t="shared" si="52"/>
        <v>0</v>
      </c>
      <c r="H249" s="643">
        <f t="shared" si="52"/>
        <v>847681.86534979579</v>
      </c>
      <c r="I249" s="643">
        <f t="shared" si="52"/>
        <v>22490366.636379857</v>
      </c>
      <c r="J249" s="643">
        <f t="shared" ref="J249" si="53">SUM(E249:I249)</f>
        <v>453639999.99999976</v>
      </c>
    </row>
  </sheetData>
  <mergeCells count="24">
    <mergeCell ref="B4:B16"/>
    <mergeCell ref="B18:B24"/>
    <mergeCell ref="B26:B37"/>
    <mergeCell ref="B38:B46"/>
    <mergeCell ref="B49:B58"/>
    <mergeCell ref="B60:B68"/>
    <mergeCell ref="B71:B75"/>
    <mergeCell ref="B77:B80"/>
    <mergeCell ref="B82:B85"/>
    <mergeCell ref="B89:B100"/>
    <mergeCell ref="B159:B161"/>
    <mergeCell ref="B105:B112"/>
    <mergeCell ref="B114:B126"/>
    <mergeCell ref="B128:B137"/>
    <mergeCell ref="B139:B144"/>
    <mergeCell ref="B148:B152"/>
    <mergeCell ref="B208:B219"/>
    <mergeCell ref="B221:B230"/>
    <mergeCell ref="B241:B246"/>
    <mergeCell ref="B232:B234"/>
    <mergeCell ref="B163:B170"/>
    <mergeCell ref="B172:B183"/>
    <mergeCell ref="B185:B194"/>
    <mergeCell ref="B199:B206"/>
  </mergeCells>
  <phoneticPr fontId="8" type="noConversion"/>
  <pageMargins left="0.7" right="0.7" top="0.75" bottom="0.75" header="0.3" footer="0.3"/>
  <pageSetup scale="56" fitToHeight="6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  <rowBreaks count="6" manualBreakCount="6">
    <brk id="37" max="16383" man="1"/>
    <brk id="76" max="16383" man="1"/>
    <brk id="113" max="16383" man="1"/>
    <brk id="146" max="16383" man="1"/>
    <brk id="184" max="16383" man="1"/>
    <brk id="2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9126-E641-44D5-8A12-FA9B6D009F40}">
  <sheetPr>
    <tabColor rgb="FF92D050"/>
  </sheetPr>
  <dimension ref="A1:P50"/>
  <sheetViews>
    <sheetView topLeftCell="A10" zoomScaleNormal="100" workbookViewId="0">
      <selection activeCell="H54" sqref="H54"/>
    </sheetView>
  </sheetViews>
  <sheetFormatPr defaultColWidth="8.77734375" defaultRowHeight="13.2"/>
  <cols>
    <col min="1" max="1" width="3.21875" style="782" customWidth="1"/>
    <col min="2" max="2" width="32" style="782" bestFit="1" customWidth="1"/>
    <col min="3" max="3" width="4.88671875" style="782" customWidth="1"/>
    <col min="4" max="15" width="15.77734375" style="782" bestFit="1" customWidth="1"/>
    <col min="16" max="16" width="16.77734375" style="782" bestFit="1" customWidth="1"/>
    <col min="17" max="16384" width="8.77734375" style="782"/>
  </cols>
  <sheetData>
    <row r="1" spans="1:16">
      <c r="A1" s="782" t="s">
        <v>1417</v>
      </c>
    </row>
    <row r="2" spans="1:16">
      <c r="A2" s="782" t="s">
        <v>1418</v>
      </c>
    </row>
    <row r="3" spans="1:16">
      <c r="A3" s="782" t="s">
        <v>1236</v>
      </c>
    </row>
    <row r="4" spans="1:16">
      <c r="A4" s="782" t="s">
        <v>1419</v>
      </c>
    </row>
    <row r="7" spans="1:16">
      <c r="D7" s="782" t="s">
        <v>1420</v>
      </c>
      <c r="E7" s="782" t="s">
        <v>1421</v>
      </c>
      <c r="F7" s="782" t="s">
        <v>1422</v>
      </c>
      <c r="G7" s="782" t="s">
        <v>1423</v>
      </c>
      <c r="H7" s="782" t="s">
        <v>1424</v>
      </c>
      <c r="I7" s="782" t="s">
        <v>1425</v>
      </c>
      <c r="J7" s="782" t="s">
        <v>1426</v>
      </c>
      <c r="K7" s="782" t="s">
        <v>1427</v>
      </c>
      <c r="L7" s="782" t="s">
        <v>1428</v>
      </c>
      <c r="M7" s="782" t="s">
        <v>1429</v>
      </c>
      <c r="N7" s="782" t="s">
        <v>1430</v>
      </c>
      <c r="O7" s="782" t="s">
        <v>1431</v>
      </c>
      <c r="P7" s="782" t="s">
        <v>1432</v>
      </c>
    </row>
    <row r="8" spans="1:16">
      <c r="A8" s="782" t="s">
        <v>1433</v>
      </c>
    </row>
    <row r="9" spans="1:16">
      <c r="B9" s="782" t="s">
        <v>1434</v>
      </c>
      <c r="D9" s="782">
        <v>21191020.06749</v>
      </c>
      <c r="E9" s="782">
        <v>21932387.537940003</v>
      </c>
      <c r="F9" s="782">
        <v>23941573.434899997</v>
      </c>
      <c r="G9" s="782">
        <v>11880514.80683</v>
      </c>
      <c r="H9" s="782">
        <v>6587646.7046499997</v>
      </c>
      <c r="I9" s="782">
        <v>3080579.9128</v>
      </c>
      <c r="J9" s="782">
        <v>2535595.96147</v>
      </c>
      <c r="K9" s="782">
        <v>2142554.12733</v>
      </c>
      <c r="L9" s="782">
        <v>2443888.1403299998</v>
      </c>
      <c r="M9" s="782">
        <v>7606580.9282399993</v>
      </c>
      <c r="N9" s="782">
        <v>13945184.24609</v>
      </c>
      <c r="O9" s="782">
        <v>20275965.084459998</v>
      </c>
      <c r="P9" s="782">
        <v>137563490.95253</v>
      </c>
    </row>
    <row r="10" spans="1:16">
      <c r="B10" s="782" t="s">
        <v>1435</v>
      </c>
      <c r="D10" s="782">
        <v>7925020.0882400004</v>
      </c>
      <c r="E10" s="782">
        <v>8382073.8379899999</v>
      </c>
      <c r="F10" s="782">
        <v>8896947.8489899989</v>
      </c>
      <c r="G10" s="782">
        <v>5362314.0007799994</v>
      </c>
      <c r="H10" s="782">
        <v>3301881.1222300003</v>
      </c>
      <c r="I10" s="782">
        <v>2366158.6159600001</v>
      </c>
      <c r="J10" s="782">
        <v>1935589.2532299999</v>
      </c>
      <c r="K10" s="782">
        <v>1732053.42031</v>
      </c>
      <c r="L10" s="782">
        <v>1984701.5849299999</v>
      </c>
      <c r="M10" s="782">
        <v>3670233.1733500003</v>
      </c>
      <c r="N10" s="782">
        <v>5701042.6331899995</v>
      </c>
      <c r="O10" s="782">
        <v>7768208.0773600005</v>
      </c>
      <c r="P10" s="782">
        <v>59026223.656560004</v>
      </c>
    </row>
    <row r="11" spans="1:16">
      <c r="B11" s="782" t="s">
        <v>1436</v>
      </c>
      <c r="D11" s="782">
        <v>231361.99300000002</v>
      </c>
      <c r="E11" s="782">
        <v>225916.48</v>
      </c>
      <c r="F11" s="782">
        <v>234273.06400000001</v>
      </c>
      <c r="G11" s="782">
        <v>165410.63399999999</v>
      </c>
      <c r="H11" s="782">
        <v>148388.50200000001</v>
      </c>
      <c r="I11" s="782">
        <v>-15471.10874</v>
      </c>
      <c r="J11" s="782">
        <v>108174.516</v>
      </c>
      <c r="K11" s="782">
        <v>134708.69</v>
      </c>
      <c r="L11" s="782">
        <v>111145.38400000001</v>
      </c>
      <c r="M11" s="782">
        <v>168114.41799999998</v>
      </c>
      <c r="N11" s="782">
        <v>449639.375</v>
      </c>
      <c r="O11" s="782">
        <v>741224.02899999998</v>
      </c>
      <c r="P11" s="782">
        <v>2702885.9762599999</v>
      </c>
    </row>
    <row r="12" spans="1:16">
      <c r="B12" s="782" t="s">
        <v>1437</v>
      </c>
      <c r="D12" s="782">
        <v>141223.598</v>
      </c>
      <c r="E12" s="782">
        <v>142095.962</v>
      </c>
      <c r="F12" s="782">
        <v>133435.25399999999</v>
      </c>
      <c r="G12" s="782">
        <v>97799.154999999999</v>
      </c>
      <c r="H12" s="782">
        <v>74295.216</v>
      </c>
      <c r="I12" s="782">
        <v>52474.186000000002</v>
      </c>
      <c r="J12" s="782">
        <v>38599.68</v>
      </c>
      <c r="K12" s="782">
        <v>36912.334999999999</v>
      </c>
      <c r="L12" s="782">
        <v>11737.691999999999</v>
      </c>
      <c r="M12" s="782">
        <v>107004.38</v>
      </c>
      <c r="N12" s="782">
        <v>95173.206999999995</v>
      </c>
      <c r="O12" s="782">
        <v>62449.625</v>
      </c>
      <c r="P12" s="782">
        <v>993200.29</v>
      </c>
    </row>
    <row r="13" spans="1:16">
      <c r="B13" s="782" t="s">
        <v>1438</v>
      </c>
      <c r="D13" s="782">
        <v>3545563</v>
      </c>
      <c r="E13" s="782">
        <v>3917949</v>
      </c>
      <c r="F13" s="782">
        <v>4055434</v>
      </c>
      <c r="G13" s="782">
        <v>3694851</v>
      </c>
      <c r="H13" s="782">
        <v>3110140</v>
      </c>
      <c r="I13" s="782">
        <v>2599480</v>
      </c>
      <c r="J13" s="782">
        <v>2420678</v>
      </c>
      <c r="K13" s="782">
        <v>2424503</v>
      </c>
      <c r="L13" s="782">
        <v>2325589</v>
      </c>
      <c r="M13" s="782">
        <v>2566070</v>
      </c>
      <c r="N13" s="782">
        <v>3210635</v>
      </c>
      <c r="O13" s="782">
        <v>3207391</v>
      </c>
      <c r="P13" s="782">
        <v>37078283</v>
      </c>
    </row>
    <row r="14" spans="1:16">
      <c r="B14" s="782" t="s">
        <v>1439</v>
      </c>
      <c r="D14" s="783">
        <v>5287101</v>
      </c>
      <c r="E14" s="783">
        <v>5006272</v>
      </c>
      <c r="F14" s="783">
        <v>4672829</v>
      </c>
      <c r="G14" s="783">
        <v>5354778</v>
      </c>
      <c r="H14" s="783">
        <v>4052325</v>
      </c>
      <c r="I14" s="783">
        <v>3877775</v>
      </c>
      <c r="J14" s="783">
        <v>3880400</v>
      </c>
      <c r="K14" s="783">
        <v>4156934</v>
      </c>
      <c r="L14" s="783">
        <v>4919734</v>
      </c>
      <c r="M14" s="783">
        <v>4491986</v>
      </c>
      <c r="N14" s="783">
        <v>5605803</v>
      </c>
      <c r="O14" s="783">
        <v>5525094</v>
      </c>
      <c r="P14" s="783">
        <v>56831031</v>
      </c>
    </row>
    <row r="15" spans="1:16">
      <c r="A15" s="782" t="s">
        <v>1440</v>
      </c>
      <c r="D15" s="782">
        <v>38321289.74673</v>
      </c>
      <c r="E15" s="782">
        <v>39606694.817930005</v>
      </c>
      <c r="F15" s="782">
        <v>41934492.601889998</v>
      </c>
      <c r="G15" s="782">
        <v>26555667.596609998</v>
      </c>
      <c r="H15" s="782">
        <v>17274676.544880003</v>
      </c>
      <c r="I15" s="782">
        <v>11960996.60602</v>
      </c>
      <c r="J15" s="782">
        <v>10919037.410700001</v>
      </c>
      <c r="K15" s="782">
        <v>10627665.57264</v>
      </c>
      <c r="L15" s="782">
        <v>11796795.801259998</v>
      </c>
      <c r="M15" s="782">
        <v>18609988.899590001</v>
      </c>
      <c r="N15" s="782">
        <v>29007477.461279999</v>
      </c>
      <c r="O15" s="782">
        <v>37580331.815819994</v>
      </c>
      <c r="P15" s="782">
        <v>294195114.87535</v>
      </c>
    </row>
    <row r="17" spans="1:16">
      <c r="A17" s="782" t="s">
        <v>1441</v>
      </c>
    </row>
    <row r="18" spans="1:16">
      <c r="B18" s="782" t="s">
        <v>1442</v>
      </c>
      <c r="D18" s="782">
        <v>699411.99300000002</v>
      </c>
      <c r="E18" s="782">
        <v>723633.48</v>
      </c>
      <c r="F18" s="782">
        <v>790216.06400000001</v>
      </c>
      <c r="G18" s="782">
        <v>569309.63399999996</v>
      </c>
      <c r="H18" s="782">
        <v>363199.50199999998</v>
      </c>
      <c r="I18" s="782">
        <v>60334.891260000004</v>
      </c>
      <c r="J18" s="782">
        <v>149501.516</v>
      </c>
      <c r="K18" s="782">
        <v>163382.69</v>
      </c>
      <c r="L18" s="782">
        <v>137254.38400000002</v>
      </c>
      <c r="M18" s="782">
        <v>244358.41799999998</v>
      </c>
      <c r="N18" s="782">
        <v>501938.375</v>
      </c>
      <c r="O18" s="782">
        <v>741224.02899999998</v>
      </c>
      <c r="P18" s="782">
        <v>5143764.9762599999</v>
      </c>
    </row>
    <row r="19" spans="1:16">
      <c r="B19" s="782" t="s">
        <v>1443</v>
      </c>
      <c r="D19" s="782">
        <v>-231361.99300000002</v>
      </c>
      <c r="E19" s="782">
        <v>-225916.48</v>
      </c>
      <c r="F19" s="782">
        <v>-234273.06400000001</v>
      </c>
      <c r="G19" s="782">
        <v>-165410.63399999999</v>
      </c>
      <c r="H19" s="782">
        <v>-148388.50200000001</v>
      </c>
      <c r="I19" s="782">
        <v>15471.10874</v>
      </c>
      <c r="J19" s="782">
        <v>-108174.516</v>
      </c>
      <c r="K19" s="782">
        <v>-134708.69</v>
      </c>
      <c r="L19" s="782">
        <v>-111145.38400000001</v>
      </c>
      <c r="M19" s="782">
        <v>-168114.41799999998</v>
      </c>
      <c r="N19" s="782">
        <v>-449639.375</v>
      </c>
      <c r="O19" s="782">
        <v>-741224.02899999998</v>
      </c>
      <c r="P19" s="782">
        <v>-2702885.9762599999</v>
      </c>
    </row>
    <row r="20" spans="1:16">
      <c r="B20" s="782" t="s">
        <v>1444</v>
      </c>
      <c r="D20" s="782">
        <v>-468050</v>
      </c>
      <c r="E20" s="782">
        <v>-497717</v>
      </c>
      <c r="F20" s="782">
        <v>-555943</v>
      </c>
      <c r="G20" s="782">
        <v>-403899</v>
      </c>
      <c r="H20" s="782">
        <v>-214811</v>
      </c>
      <c r="I20" s="782">
        <v>-75806</v>
      </c>
      <c r="J20" s="782">
        <v>-41327</v>
      </c>
      <c r="K20" s="782">
        <v>-28674</v>
      </c>
      <c r="L20" s="782">
        <v>-26109</v>
      </c>
      <c r="M20" s="782">
        <v>-76244</v>
      </c>
      <c r="N20" s="782">
        <v>-52299</v>
      </c>
      <c r="O20" s="782">
        <v>0</v>
      </c>
      <c r="P20" s="782">
        <v>-2440879</v>
      </c>
    </row>
    <row r="21" spans="1:16">
      <c r="B21" s="782" t="s">
        <v>1445</v>
      </c>
      <c r="D21" s="782">
        <v>-375510</v>
      </c>
      <c r="E21" s="782">
        <v>17076</v>
      </c>
      <c r="F21" s="782">
        <v>208914</v>
      </c>
      <c r="G21" s="782">
        <v>581758</v>
      </c>
      <c r="H21" s="782">
        <v>510719</v>
      </c>
      <c r="I21" s="782">
        <v>178791</v>
      </c>
      <c r="J21" s="782">
        <v>-2275</v>
      </c>
      <c r="K21" s="782">
        <v>97383</v>
      </c>
      <c r="L21" s="782">
        <v>-240621</v>
      </c>
      <c r="M21" s="782">
        <v>-644784</v>
      </c>
      <c r="N21" s="782">
        <v>4649</v>
      </c>
      <c r="O21" s="782">
        <v>49722</v>
      </c>
      <c r="P21" s="782">
        <v>385822</v>
      </c>
    </row>
    <row r="22" spans="1:16">
      <c r="B22" s="782" t="s">
        <v>1446</v>
      </c>
      <c r="D22" s="783">
        <v>78377</v>
      </c>
      <c r="E22" s="783">
        <v>862739</v>
      </c>
      <c r="F22" s="783">
        <v>-573435</v>
      </c>
      <c r="G22" s="783">
        <v>511122</v>
      </c>
      <c r="H22" s="783">
        <v>272799</v>
      </c>
      <c r="I22" s="783">
        <v>245786</v>
      </c>
      <c r="J22" s="783">
        <v>3470</v>
      </c>
      <c r="K22" s="783">
        <v>-7006</v>
      </c>
      <c r="L22" s="783">
        <v>-164070</v>
      </c>
      <c r="M22" s="783">
        <v>-487738</v>
      </c>
      <c r="N22" s="783">
        <v>-270687</v>
      </c>
      <c r="O22" s="783">
        <v>-354468</v>
      </c>
      <c r="P22" s="783">
        <v>116889</v>
      </c>
    </row>
    <row r="23" spans="1:16">
      <c r="A23" s="782" t="s">
        <v>1447</v>
      </c>
      <c r="D23" s="782">
        <v>-375510</v>
      </c>
      <c r="E23" s="782">
        <v>17076</v>
      </c>
      <c r="F23" s="782">
        <v>208914</v>
      </c>
      <c r="G23" s="782">
        <v>581758</v>
      </c>
      <c r="H23" s="782">
        <v>510719</v>
      </c>
      <c r="I23" s="782">
        <v>178791</v>
      </c>
      <c r="J23" s="782">
        <v>-2275</v>
      </c>
      <c r="K23" s="782">
        <v>97383</v>
      </c>
      <c r="L23" s="782">
        <v>-240621</v>
      </c>
      <c r="M23" s="782">
        <v>-644784</v>
      </c>
      <c r="N23" s="782">
        <v>4649</v>
      </c>
      <c r="O23" s="782">
        <v>49722</v>
      </c>
      <c r="P23" s="782">
        <v>385822</v>
      </c>
    </row>
    <row r="25" spans="1:16">
      <c r="A25" s="782" t="s">
        <v>1448</v>
      </c>
    </row>
    <row r="26" spans="1:16">
      <c r="B26" s="782" t="s">
        <v>1434</v>
      </c>
      <c r="D26" s="782">
        <v>-93241</v>
      </c>
      <c r="E26" s="782">
        <v>1486231</v>
      </c>
      <c r="F26" s="782">
        <v>-5446055</v>
      </c>
      <c r="G26" s="782">
        <v>-3192365</v>
      </c>
      <c r="H26" s="782">
        <v>-2270339</v>
      </c>
      <c r="I26" s="782">
        <v>-580614</v>
      </c>
      <c r="J26" s="782">
        <v>-140496</v>
      </c>
      <c r="K26" s="782">
        <v>76639</v>
      </c>
      <c r="L26" s="782">
        <v>1229004</v>
      </c>
      <c r="M26" s="782">
        <v>5155347</v>
      </c>
      <c r="N26" s="782">
        <v>3384088</v>
      </c>
      <c r="O26" s="782">
        <v>-650710</v>
      </c>
      <c r="P26" s="782">
        <v>-1042511</v>
      </c>
    </row>
    <row r="27" spans="1:16">
      <c r="B27" s="782" t="s">
        <v>1435</v>
      </c>
      <c r="D27" s="782">
        <v>96210</v>
      </c>
      <c r="E27" s="782">
        <v>621953</v>
      </c>
      <c r="F27" s="782">
        <v>-2060505</v>
      </c>
      <c r="G27" s="782">
        <v>-822261</v>
      </c>
      <c r="H27" s="782">
        <v>-899239</v>
      </c>
      <c r="I27" s="782">
        <v>49856</v>
      </c>
      <c r="J27" s="782">
        <v>-114282</v>
      </c>
      <c r="K27" s="782">
        <v>101369</v>
      </c>
      <c r="L27" s="782">
        <v>869634</v>
      </c>
      <c r="M27" s="782">
        <v>1650435</v>
      </c>
      <c r="N27" s="782">
        <v>820942</v>
      </c>
      <c r="O27" s="782">
        <v>-476695</v>
      </c>
      <c r="P27" s="782">
        <v>-162583</v>
      </c>
    </row>
    <row r="28" spans="1:16">
      <c r="B28" s="782" t="s">
        <v>1436</v>
      </c>
      <c r="D28" s="782">
        <v>-42200</v>
      </c>
      <c r="E28" s="782">
        <v>8351</v>
      </c>
      <c r="F28" s="782">
        <v>-60022</v>
      </c>
      <c r="G28" s="782">
        <v>-14015</v>
      </c>
      <c r="H28" s="782">
        <v>-15288</v>
      </c>
      <c r="I28" s="782">
        <v>-49537</v>
      </c>
      <c r="J28" s="782">
        <v>57023</v>
      </c>
      <c r="K28" s="782">
        <v>28693</v>
      </c>
      <c r="L28" s="782">
        <v>34057</v>
      </c>
      <c r="M28" s="782">
        <v>55942</v>
      </c>
      <c r="N28" s="782">
        <v>186983</v>
      </c>
      <c r="O28" s="782">
        <v>23835</v>
      </c>
      <c r="P28" s="782">
        <v>213822</v>
      </c>
    </row>
    <row r="29" spans="1:16">
      <c r="B29" s="782" t="s">
        <v>1437</v>
      </c>
      <c r="D29" s="782">
        <v>0</v>
      </c>
      <c r="E29" s="782">
        <v>0</v>
      </c>
      <c r="F29" s="782">
        <v>0</v>
      </c>
      <c r="G29" s="782">
        <v>0</v>
      </c>
      <c r="H29" s="782">
        <v>0</v>
      </c>
      <c r="I29" s="782">
        <v>0</v>
      </c>
      <c r="J29" s="782">
        <v>0</v>
      </c>
      <c r="K29" s="782">
        <v>0</v>
      </c>
      <c r="L29" s="782">
        <v>0</v>
      </c>
      <c r="M29" s="782">
        <v>0</v>
      </c>
      <c r="N29" s="782">
        <v>0</v>
      </c>
      <c r="O29" s="782">
        <v>0</v>
      </c>
      <c r="P29" s="782">
        <v>0</v>
      </c>
    </row>
    <row r="30" spans="1:16">
      <c r="B30" s="782" t="s">
        <v>1438</v>
      </c>
      <c r="D30" s="782">
        <v>375510</v>
      </c>
      <c r="E30" s="782">
        <v>-17076</v>
      </c>
      <c r="F30" s="782">
        <v>-208914</v>
      </c>
      <c r="G30" s="782">
        <v>-581758</v>
      </c>
      <c r="H30" s="782">
        <v>-510719</v>
      </c>
      <c r="I30" s="782">
        <v>-178791</v>
      </c>
      <c r="J30" s="782">
        <v>2275</v>
      </c>
      <c r="K30" s="782">
        <v>-97383</v>
      </c>
      <c r="L30" s="782">
        <v>240621</v>
      </c>
      <c r="M30" s="782">
        <v>644784</v>
      </c>
      <c r="N30" s="782">
        <v>-4649</v>
      </c>
      <c r="O30" s="782">
        <v>-49722</v>
      </c>
      <c r="P30" s="782">
        <v>-385822</v>
      </c>
    </row>
    <row r="31" spans="1:16">
      <c r="B31" s="782" t="s">
        <v>1439</v>
      </c>
      <c r="D31" s="783">
        <v>-78377</v>
      </c>
      <c r="E31" s="783">
        <v>-862739</v>
      </c>
      <c r="F31" s="783">
        <v>573435</v>
      </c>
      <c r="G31" s="783">
        <v>-511122</v>
      </c>
      <c r="H31" s="783">
        <v>-272799</v>
      </c>
      <c r="I31" s="783">
        <v>-245786</v>
      </c>
      <c r="J31" s="783">
        <v>-3470</v>
      </c>
      <c r="K31" s="783">
        <v>7006</v>
      </c>
      <c r="L31" s="783">
        <v>164070</v>
      </c>
      <c r="M31" s="783">
        <v>487738</v>
      </c>
      <c r="N31" s="783">
        <v>270687</v>
      </c>
      <c r="O31" s="783">
        <v>354468</v>
      </c>
      <c r="P31" s="783">
        <v>-116889</v>
      </c>
    </row>
    <row r="32" spans="1:16">
      <c r="A32" s="782" t="s">
        <v>1448</v>
      </c>
      <c r="D32" s="782">
        <v>257902</v>
      </c>
      <c r="E32" s="782">
        <v>1236720</v>
      </c>
      <c r="F32" s="782">
        <v>-7202061</v>
      </c>
      <c r="G32" s="782">
        <v>-5121521</v>
      </c>
      <c r="H32" s="782">
        <v>-3968384</v>
      </c>
      <c r="I32" s="782">
        <v>-1004872</v>
      </c>
      <c r="J32" s="782">
        <v>-198950</v>
      </c>
      <c r="K32" s="782">
        <v>116324</v>
      </c>
      <c r="L32" s="782">
        <v>2537386</v>
      </c>
      <c r="M32" s="782">
        <v>7994246</v>
      </c>
      <c r="N32" s="782">
        <v>4658051</v>
      </c>
      <c r="O32" s="782">
        <v>-798824</v>
      </c>
      <c r="P32" s="782">
        <v>-1493983</v>
      </c>
    </row>
    <row r="34" spans="1:16">
      <c r="A34" s="782" t="s">
        <v>1449</v>
      </c>
    </row>
    <row r="35" spans="1:16">
      <c r="B35" s="782" t="s">
        <v>1434</v>
      </c>
      <c r="D35" s="782">
        <v>955672</v>
      </c>
      <c r="E35" s="782">
        <v>-5579988</v>
      </c>
      <c r="F35" s="782">
        <v>-3103187</v>
      </c>
      <c r="G35" s="782">
        <v>647284</v>
      </c>
      <c r="H35" s="782">
        <v>1858877</v>
      </c>
      <c r="I35" s="782">
        <v>637272</v>
      </c>
      <c r="J35" s="782">
        <v>323996</v>
      </c>
      <c r="K35" s="782">
        <v>486920</v>
      </c>
      <c r="L35" s="782">
        <v>-901358</v>
      </c>
      <c r="M35" s="782">
        <v>-2606962</v>
      </c>
      <c r="N35" s="782">
        <v>-188880</v>
      </c>
      <c r="O35" s="782">
        <v>3044978</v>
      </c>
      <c r="P35" s="782">
        <v>-4425376</v>
      </c>
    </row>
    <row r="36" spans="1:16">
      <c r="B36" s="782" t="s">
        <v>1435</v>
      </c>
      <c r="D36" s="782">
        <v>297166</v>
      </c>
      <c r="E36" s="782">
        <v>-1736842</v>
      </c>
      <c r="F36" s="782">
        <v>-965494</v>
      </c>
      <c r="G36" s="782">
        <v>233134</v>
      </c>
      <c r="H36" s="782">
        <v>655578</v>
      </c>
      <c r="I36" s="782">
        <v>226858</v>
      </c>
      <c r="J36" s="782">
        <v>112785</v>
      </c>
      <c r="K36" s="782">
        <v>168868</v>
      </c>
      <c r="L36" s="782">
        <v>-312423</v>
      </c>
      <c r="M36" s="782">
        <v>-912947</v>
      </c>
      <c r="N36" s="782">
        <v>-66251</v>
      </c>
      <c r="O36" s="782">
        <v>938940</v>
      </c>
      <c r="P36" s="782">
        <v>-1360628</v>
      </c>
    </row>
    <row r="37" spans="1:16">
      <c r="B37" s="782" t="s">
        <v>1436</v>
      </c>
      <c r="D37" s="782">
        <v>407</v>
      </c>
      <c r="E37" s="782">
        <v>-2419</v>
      </c>
      <c r="F37" s="782">
        <v>-1952</v>
      </c>
      <c r="G37" s="782">
        <v>480</v>
      </c>
      <c r="H37" s="782">
        <v>1349</v>
      </c>
      <c r="I37" s="782">
        <v>-469</v>
      </c>
      <c r="J37" s="782">
        <v>165</v>
      </c>
      <c r="K37" s="782">
        <v>310</v>
      </c>
      <c r="L37" s="782">
        <v>-585</v>
      </c>
      <c r="M37" s="782">
        <v>-1553</v>
      </c>
      <c r="N37" s="782">
        <v>-137</v>
      </c>
      <c r="O37" s="782">
        <v>2554</v>
      </c>
      <c r="P37" s="782">
        <v>-1850</v>
      </c>
    </row>
    <row r="38" spans="1:16">
      <c r="B38" s="782" t="s">
        <v>1437</v>
      </c>
      <c r="D38" s="782">
        <v>0</v>
      </c>
      <c r="E38" s="782">
        <v>0</v>
      </c>
      <c r="F38" s="782">
        <v>0</v>
      </c>
      <c r="G38" s="782">
        <v>0</v>
      </c>
      <c r="H38" s="782">
        <v>0</v>
      </c>
      <c r="I38" s="782">
        <v>0</v>
      </c>
      <c r="J38" s="782">
        <v>0</v>
      </c>
      <c r="K38" s="782">
        <v>0</v>
      </c>
      <c r="L38" s="782">
        <v>0</v>
      </c>
      <c r="M38" s="782">
        <v>0</v>
      </c>
      <c r="N38" s="782">
        <v>0</v>
      </c>
      <c r="O38" s="782">
        <v>0</v>
      </c>
      <c r="P38" s="782">
        <v>0</v>
      </c>
    </row>
    <row r="39" spans="1:16">
      <c r="B39" s="782" t="s">
        <v>1438</v>
      </c>
      <c r="D39" s="782">
        <v>0</v>
      </c>
      <c r="E39" s="782">
        <v>0</v>
      </c>
      <c r="F39" s="782">
        <v>0</v>
      </c>
      <c r="G39" s="782">
        <v>0</v>
      </c>
      <c r="H39" s="782">
        <v>0</v>
      </c>
      <c r="I39" s="782">
        <v>0</v>
      </c>
      <c r="J39" s="782">
        <v>0</v>
      </c>
      <c r="K39" s="782">
        <v>0</v>
      </c>
      <c r="L39" s="782">
        <v>0</v>
      </c>
      <c r="M39" s="782">
        <v>0</v>
      </c>
      <c r="N39" s="782">
        <v>0</v>
      </c>
      <c r="O39" s="782">
        <v>0</v>
      </c>
      <c r="P39" s="782">
        <v>0</v>
      </c>
    </row>
    <row r="40" spans="1:16">
      <c r="B40" s="782" t="s">
        <v>1439</v>
      </c>
      <c r="D40" s="783">
        <v>0</v>
      </c>
      <c r="E40" s="783">
        <v>0</v>
      </c>
      <c r="F40" s="783">
        <v>0</v>
      </c>
      <c r="G40" s="783">
        <v>0</v>
      </c>
      <c r="H40" s="783">
        <v>0</v>
      </c>
      <c r="I40" s="783">
        <v>0</v>
      </c>
      <c r="J40" s="783">
        <v>0</v>
      </c>
      <c r="K40" s="783">
        <v>0</v>
      </c>
      <c r="L40" s="783">
        <v>0</v>
      </c>
      <c r="M40" s="783">
        <v>0</v>
      </c>
      <c r="N40" s="783">
        <v>0</v>
      </c>
      <c r="O40" s="783">
        <v>0</v>
      </c>
      <c r="P40" s="783">
        <v>0</v>
      </c>
    </row>
    <row r="41" spans="1:16">
      <c r="A41" s="782" t="s">
        <v>1450</v>
      </c>
      <c r="D41" s="782">
        <v>1253245</v>
      </c>
      <c r="E41" s="782">
        <v>-7319249</v>
      </c>
      <c r="F41" s="782">
        <v>-4070633</v>
      </c>
      <c r="G41" s="782">
        <v>880898</v>
      </c>
      <c r="H41" s="782">
        <v>2515804</v>
      </c>
      <c r="I41" s="782">
        <v>863661</v>
      </c>
      <c r="J41" s="782">
        <v>436946</v>
      </c>
      <c r="K41" s="782">
        <v>656098</v>
      </c>
      <c r="L41" s="782">
        <v>-1214366</v>
      </c>
      <c r="M41" s="782">
        <v>-3521462</v>
      </c>
      <c r="N41" s="782">
        <v>-255268</v>
      </c>
      <c r="O41" s="782">
        <v>3986472</v>
      </c>
      <c r="P41" s="782">
        <v>-5787854</v>
      </c>
    </row>
    <row r="43" spans="1:16">
      <c r="A43" s="782" t="s">
        <v>1451</v>
      </c>
    </row>
    <row r="44" spans="1:16">
      <c r="B44" s="782" t="s">
        <v>1434</v>
      </c>
      <c r="D44" s="782">
        <v>22053451.06749</v>
      </c>
      <c r="E44" s="782">
        <v>17838630.537940003</v>
      </c>
      <c r="F44" s="782">
        <v>15392331.434899997</v>
      </c>
      <c r="G44" s="782">
        <v>9335433.8068300001</v>
      </c>
      <c r="H44" s="782">
        <v>6176184.7046499997</v>
      </c>
      <c r="I44" s="782">
        <v>3137237.9128</v>
      </c>
      <c r="J44" s="782">
        <v>2719095.96147</v>
      </c>
      <c r="K44" s="782">
        <v>2706113.12733</v>
      </c>
      <c r="L44" s="782">
        <v>2771534.1403299998</v>
      </c>
      <c r="M44" s="782">
        <v>10154965.928239999</v>
      </c>
      <c r="N44" s="782">
        <v>17140392.246090002</v>
      </c>
      <c r="O44" s="782">
        <v>22670233.084459998</v>
      </c>
      <c r="P44" s="782">
        <v>132095603.95253</v>
      </c>
    </row>
    <row r="45" spans="1:16">
      <c r="B45" s="782" t="s">
        <v>1435</v>
      </c>
      <c r="D45" s="782">
        <v>8976015.0812400002</v>
      </c>
      <c r="E45" s="782">
        <v>7996750.3179900013</v>
      </c>
      <c r="F45" s="782">
        <v>6599190.9129899992</v>
      </c>
      <c r="G45" s="782">
        <v>5328961.634779999</v>
      </c>
      <c r="H45" s="782">
        <v>3407480.6242300002</v>
      </c>
      <c r="I45" s="782">
        <v>2653201.50722</v>
      </c>
      <c r="J45" s="782">
        <v>2140781.7692299997</v>
      </c>
      <c r="K45" s="782">
        <v>2194676.1103099999</v>
      </c>
      <c r="L45" s="782">
        <v>2712638.96893</v>
      </c>
      <c r="M45" s="782">
        <v>4706468.5913500004</v>
      </c>
      <c r="N45" s="782">
        <v>7144518.0081899995</v>
      </c>
      <c r="O45" s="782">
        <v>8998066.1063599996</v>
      </c>
      <c r="P45" s="782">
        <v>62858749.63282001</v>
      </c>
    </row>
    <row r="46" spans="1:16">
      <c r="B46" s="782" t="s">
        <v>1436</v>
      </c>
      <c r="D46" s="782">
        <v>0</v>
      </c>
      <c r="E46" s="782">
        <v>0</v>
      </c>
      <c r="F46" s="782">
        <v>0</v>
      </c>
      <c r="G46" s="782">
        <v>0</v>
      </c>
      <c r="H46" s="782">
        <v>0</v>
      </c>
      <c r="I46" s="782">
        <v>0</v>
      </c>
      <c r="J46" s="782">
        <v>0</v>
      </c>
      <c r="K46" s="782">
        <v>0</v>
      </c>
      <c r="L46" s="782">
        <v>0</v>
      </c>
      <c r="M46" s="782">
        <v>0</v>
      </c>
      <c r="N46" s="782">
        <v>0</v>
      </c>
      <c r="O46" s="782">
        <v>0</v>
      </c>
      <c r="P46" s="782">
        <v>0</v>
      </c>
    </row>
    <row r="47" spans="1:16">
      <c r="B47" s="782" t="s">
        <v>1437</v>
      </c>
      <c r="D47" s="782">
        <v>141223.598</v>
      </c>
      <c r="E47" s="782">
        <v>142095.962</v>
      </c>
      <c r="F47" s="782">
        <v>133435.25399999999</v>
      </c>
      <c r="G47" s="782">
        <v>97799.154999999999</v>
      </c>
      <c r="H47" s="782">
        <v>74295.216</v>
      </c>
      <c r="I47" s="782">
        <v>52474.186000000002</v>
      </c>
      <c r="J47" s="782">
        <v>38599.68</v>
      </c>
      <c r="K47" s="782">
        <v>36912.334999999999</v>
      </c>
      <c r="L47" s="782">
        <v>11737.691999999999</v>
      </c>
      <c r="M47" s="782">
        <v>107004.38</v>
      </c>
      <c r="N47" s="782">
        <v>95173.206999999995</v>
      </c>
      <c r="O47" s="782">
        <v>62449.625</v>
      </c>
      <c r="P47" s="782">
        <v>993200.29</v>
      </c>
    </row>
    <row r="48" spans="1:16">
      <c r="B48" s="782" t="s">
        <v>1438</v>
      </c>
      <c r="D48" s="782">
        <v>3077513</v>
      </c>
      <c r="E48" s="782">
        <v>3420232</v>
      </c>
      <c r="F48" s="782">
        <v>3499491</v>
      </c>
      <c r="G48" s="782">
        <v>3290952</v>
      </c>
      <c r="H48" s="782">
        <v>2895329</v>
      </c>
      <c r="I48" s="782">
        <v>2523674</v>
      </c>
      <c r="J48" s="782">
        <v>2379351</v>
      </c>
      <c r="K48" s="782">
        <v>2395829</v>
      </c>
      <c r="L48" s="782">
        <v>2299480</v>
      </c>
      <c r="M48" s="782">
        <v>2489826</v>
      </c>
      <c r="N48" s="782">
        <v>3158336</v>
      </c>
      <c r="O48" s="782">
        <v>3207391</v>
      </c>
      <c r="P48" s="782">
        <v>34637404</v>
      </c>
    </row>
    <row r="49" spans="1:16">
      <c r="B49" s="782" t="s">
        <v>1439</v>
      </c>
      <c r="D49" s="783">
        <v>5287101</v>
      </c>
      <c r="E49" s="783">
        <v>5006272</v>
      </c>
      <c r="F49" s="783">
        <v>4672829</v>
      </c>
      <c r="G49" s="783">
        <v>5354778</v>
      </c>
      <c r="H49" s="783">
        <v>4052325</v>
      </c>
      <c r="I49" s="783">
        <v>3877775</v>
      </c>
      <c r="J49" s="783">
        <v>3880400</v>
      </c>
      <c r="K49" s="783">
        <v>4156934</v>
      </c>
      <c r="L49" s="783">
        <v>4919734</v>
      </c>
      <c r="M49" s="783">
        <v>4491986</v>
      </c>
      <c r="N49" s="783">
        <v>5605803</v>
      </c>
      <c r="O49" s="783">
        <v>5525094</v>
      </c>
      <c r="P49" s="783">
        <v>56831031</v>
      </c>
    </row>
    <row r="50" spans="1:16">
      <c r="A50" s="782" t="s">
        <v>1452</v>
      </c>
      <c r="D50" s="782">
        <v>39535303.74673</v>
      </c>
      <c r="E50" s="782">
        <v>34403980.817930005</v>
      </c>
      <c r="F50" s="782">
        <v>30297277.601889998</v>
      </c>
      <c r="G50" s="782">
        <v>23407924.596609998</v>
      </c>
      <c r="H50" s="782">
        <v>16605614.544880001</v>
      </c>
      <c r="I50" s="782">
        <v>12244362.60602</v>
      </c>
      <c r="J50" s="782">
        <v>11158228.410699999</v>
      </c>
      <c r="K50" s="782">
        <v>11490464.57264</v>
      </c>
      <c r="L50" s="782">
        <v>12715124.80126</v>
      </c>
      <c r="M50" s="782">
        <v>21950250.899590001</v>
      </c>
      <c r="N50" s="782">
        <v>33144222.461279999</v>
      </c>
      <c r="O50" s="782">
        <v>40463233.815819994</v>
      </c>
      <c r="P50" s="782">
        <v>287415988.87535</v>
      </c>
    </row>
  </sheetData>
  <pageMargins left="0.7" right="0.7" top="0.75" bottom="0.75" header="0.3" footer="0.3"/>
  <pageSetup orientation="portrait" r:id="rId1"/>
  <headerFooter>
    <oddFooter>&amp;R&amp;F
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>
    <tabColor theme="7" tint="0.59999389629810485"/>
    <pageSetUpPr fitToPage="1"/>
  </sheetPr>
  <dimension ref="A1:J50"/>
  <sheetViews>
    <sheetView zoomScale="75" workbookViewId="0">
      <pane ySplit="3" topLeftCell="A4" activePane="bottomLeft" state="frozen"/>
      <selection activeCell="H15" sqref="H15"/>
      <selection pane="bottomLeft" activeCell="D40" sqref="D40"/>
    </sheetView>
  </sheetViews>
  <sheetFormatPr defaultColWidth="9.21875" defaultRowHeight="13.2"/>
  <cols>
    <col min="1" max="1" width="5.21875" style="236" customWidth="1"/>
    <col min="2" max="2" width="12.5546875" style="236" customWidth="1"/>
    <col min="3" max="3" width="9.77734375" style="236" customWidth="1"/>
    <col min="4" max="4" width="9.21875" style="236"/>
    <col min="5" max="5" width="14.21875" style="236" bestFit="1" customWidth="1"/>
    <col min="6" max="6" width="28.21875" style="236" bestFit="1" customWidth="1"/>
    <col min="7" max="7" width="9.21875" style="236"/>
    <col min="8" max="8" width="9.77734375" style="236" bestFit="1" customWidth="1"/>
    <col min="9" max="16384" width="9.21875" style="236"/>
  </cols>
  <sheetData>
    <row r="1" spans="1:10">
      <c r="A1" s="236" t="s">
        <v>925</v>
      </c>
    </row>
    <row r="2" spans="1:10">
      <c r="A2" s="236" t="s">
        <v>924</v>
      </c>
    </row>
    <row r="4" spans="1:10">
      <c r="E4" s="236" t="s">
        <v>864</v>
      </c>
    </row>
    <row r="5" spans="1:10">
      <c r="B5" s="530"/>
      <c r="C5" s="238"/>
      <c r="D5" s="530"/>
      <c r="E5" s="236">
        <v>1</v>
      </c>
      <c r="F5" s="531" t="s">
        <v>1120</v>
      </c>
      <c r="G5" s="237" t="s">
        <v>906</v>
      </c>
    </row>
    <row r="6" spans="1:10">
      <c r="B6" s="530"/>
      <c r="C6" s="238"/>
      <c r="D6" s="530"/>
      <c r="E6" s="236">
        <v>2</v>
      </c>
      <c r="F6" s="530" t="s">
        <v>915</v>
      </c>
      <c r="G6" s="237" t="s">
        <v>906</v>
      </c>
    </row>
    <row r="7" spans="1:10">
      <c r="B7" s="530"/>
      <c r="C7" s="238"/>
      <c r="D7" s="530"/>
      <c r="E7" s="236" t="s">
        <v>863</v>
      </c>
      <c r="F7" s="530"/>
      <c r="G7" s="237"/>
      <c r="J7" s="238"/>
    </row>
    <row r="8" spans="1:10">
      <c r="B8" s="530"/>
      <c r="C8" s="238"/>
      <c r="D8" s="530"/>
      <c r="E8" s="236">
        <v>1</v>
      </c>
      <c r="F8" s="530" t="s">
        <v>850</v>
      </c>
      <c r="G8" s="237" t="s">
        <v>904</v>
      </c>
      <c r="J8" s="755"/>
    </row>
    <row r="9" spans="1:10">
      <c r="B9" s="530"/>
      <c r="C9" s="238"/>
      <c r="D9" s="530"/>
      <c r="E9" s="236">
        <v>2</v>
      </c>
      <c r="F9" s="530" t="s">
        <v>862</v>
      </c>
      <c r="G9" s="237" t="s">
        <v>902</v>
      </c>
      <c r="J9" s="755"/>
    </row>
    <row r="10" spans="1:10">
      <c r="B10" s="530"/>
      <c r="C10" s="238"/>
      <c r="D10" s="530"/>
      <c r="E10" s="236">
        <v>3</v>
      </c>
      <c r="F10" s="530" t="s">
        <v>922</v>
      </c>
      <c r="G10" s="237" t="s">
        <v>902</v>
      </c>
      <c r="J10" s="755"/>
    </row>
    <row r="11" spans="1:10">
      <c r="B11" s="530"/>
      <c r="C11" s="238"/>
      <c r="D11" s="530"/>
      <c r="E11" s="236">
        <v>4</v>
      </c>
      <c r="F11" s="530" t="s">
        <v>853</v>
      </c>
      <c r="G11" s="237" t="s">
        <v>902</v>
      </c>
      <c r="J11" s="755"/>
    </row>
    <row r="12" spans="1:10">
      <c r="B12" s="531"/>
      <c r="D12" s="530"/>
      <c r="E12" s="236">
        <v>5</v>
      </c>
      <c r="F12" s="530" t="s">
        <v>849</v>
      </c>
      <c r="G12" s="239" t="s">
        <v>902</v>
      </c>
      <c r="J12" s="755"/>
    </row>
    <row r="13" spans="1:10">
      <c r="B13" s="531"/>
      <c r="D13" s="530"/>
      <c r="E13" s="236">
        <v>6</v>
      </c>
      <c r="F13" s="530" t="s">
        <v>921</v>
      </c>
      <c r="G13" s="239" t="s">
        <v>902</v>
      </c>
      <c r="J13" s="755"/>
    </row>
    <row r="14" spans="1:10">
      <c r="B14" s="530"/>
      <c r="D14" s="530"/>
      <c r="E14" s="236">
        <v>7</v>
      </c>
      <c r="F14" s="530" t="s">
        <v>920</v>
      </c>
      <c r="G14" s="237" t="s">
        <v>902</v>
      </c>
      <c r="J14" s="755"/>
    </row>
    <row r="15" spans="1:10">
      <c r="B15" s="530"/>
      <c r="D15" s="530"/>
      <c r="E15" s="236">
        <v>8</v>
      </c>
      <c r="F15" s="530" t="s">
        <v>846</v>
      </c>
      <c r="G15" s="237" t="s">
        <v>902</v>
      </c>
      <c r="J15" s="755"/>
    </row>
    <row r="16" spans="1:10">
      <c r="B16" s="531"/>
      <c r="D16" s="530"/>
      <c r="E16" s="236">
        <v>9</v>
      </c>
      <c r="F16" s="530" t="s">
        <v>919</v>
      </c>
      <c r="G16" s="237" t="s">
        <v>902</v>
      </c>
      <c r="J16" s="755"/>
    </row>
    <row r="17" spans="2:10">
      <c r="B17" s="530"/>
      <c r="C17" s="238"/>
      <c r="D17" s="530"/>
      <c r="E17" s="236">
        <v>10</v>
      </c>
      <c r="F17" s="530" t="s">
        <v>845</v>
      </c>
      <c r="G17" s="237" t="s">
        <v>902</v>
      </c>
      <c r="H17" s="238"/>
      <c r="J17" s="755"/>
    </row>
    <row r="18" spans="2:10">
      <c r="B18" s="530"/>
      <c r="C18" s="238"/>
      <c r="D18" s="530"/>
      <c r="E18" s="236">
        <v>11</v>
      </c>
      <c r="F18" s="530" t="s">
        <v>843</v>
      </c>
      <c r="G18" s="237" t="s">
        <v>902</v>
      </c>
      <c r="J18" s="755"/>
    </row>
    <row r="19" spans="2:10">
      <c r="B19" s="530"/>
      <c r="C19" s="238"/>
      <c r="D19" s="530"/>
      <c r="E19" s="236">
        <v>12</v>
      </c>
      <c r="F19" s="530" t="s">
        <v>917</v>
      </c>
      <c r="G19" s="237" t="s">
        <v>902</v>
      </c>
      <c r="J19" s="755"/>
    </row>
    <row r="20" spans="2:10">
      <c r="B20" s="530"/>
      <c r="C20" s="238"/>
      <c r="D20" s="530"/>
      <c r="E20" s="236">
        <v>13</v>
      </c>
      <c r="F20" s="530" t="s">
        <v>861</v>
      </c>
      <c r="G20" s="237" t="s">
        <v>906</v>
      </c>
      <c r="J20" s="755"/>
    </row>
    <row r="21" spans="2:10">
      <c r="B21" s="530"/>
      <c r="D21" s="530"/>
      <c r="E21" s="236">
        <v>14</v>
      </c>
      <c r="F21" s="530" t="s">
        <v>860</v>
      </c>
      <c r="G21" s="237" t="s">
        <v>906</v>
      </c>
      <c r="J21" s="755"/>
    </row>
    <row r="22" spans="2:10">
      <c r="B22" s="531"/>
      <c r="D22" s="530"/>
      <c r="E22" s="236">
        <v>15</v>
      </c>
      <c r="F22" s="530" t="s">
        <v>916</v>
      </c>
      <c r="G22" s="237" t="s">
        <v>906</v>
      </c>
      <c r="H22" s="238"/>
      <c r="J22" s="755"/>
    </row>
    <row r="23" spans="2:10" ht="13.8">
      <c r="B23" s="531"/>
      <c r="D23" s="530"/>
      <c r="E23" s="236">
        <v>16</v>
      </c>
      <c r="F23" s="530" t="s">
        <v>914</v>
      </c>
      <c r="G23" s="237" t="s">
        <v>906</v>
      </c>
      <c r="J23" s="756"/>
    </row>
    <row r="24" spans="2:10">
      <c r="B24" s="531"/>
      <c r="D24" s="530"/>
      <c r="E24" s="236">
        <v>17</v>
      </c>
      <c r="F24" s="530" t="s">
        <v>913</v>
      </c>
      <c r="G24" s="237" t="s">
        <v>906</v>
      </c>
      <c r="J24" s="755"/>
    </row>
    <row r="25" spans="2:10">
      <c r="B25" s="530"/>
      <c r="C25" s="238"/>
      <c r="D25" s="530"/>
      <c r="E25" s="236">
        <v>18</v>
      </c>
      <c r="F25" s="530" t="s">
        <v>855</v>
      </c>
      <c r="G25" s="237" t="s">
        <v>906</v>
      </c>
      <c r="J25" s="755"/>
    </row>
    <row r="26" spans="2:10">
      <c r="B26" s="530"/>
      <c r="C26" s="238"/>
      <c r="D26" s="530"/>
      <c r="E26" s="236">
        <v>19</v>
      </c>
      <c r="F26" s="530" t="s">
        <v>912</v>
      </c>
      <c r="G26" s="239" t="s">
        <v>906</v>
      </c>
      <c r="J26" s="755"/>
    </row>
    <row r="27" spans="2:10">
      <c r="B27" s="530"/>
      <c r="C27" s="238"/>
      <c r="D27" s="530"/>
      <c r="E27" s="236">
        <v>20</v>
      </c>
      <c r="F27" s="530" t="s">
        <v>854</v>
      </c>
      <c r="G27" s="237" t="s">
        <v>906</v>
      </c>
      <c r="J27" s="755"/>
    </row>
    <row r="28" spans="2:10">
      <c r="B28" s="530"/>
      <c r="C28" s="238"/>
      <c r="D28" s="530"/>
      <c r="E28" s="236">
        <v>21</v>
      </c>
      <c r="F28" s="530" t="s">
        <v>852</v>
      </c>
      <c r="G28" s="237" t="s">
        <v>906</v>
      </c>
      <c r="J28" s="755"/>
    </row>
    <row r="29" spans="2:10">
      <c r="B29" s="530"/>
      <c r="C29" s="238"/>
      <c r="D29" s="530"/>
      <c r="E29" s="236">
        <v>22</v>
      </c>
      <c r="F29" s="530" t="s">
        <v>851</v>
      </c>
      <c r="G29" s="237" t="s">
        <v>906</v>
      </c>
      <c r="J29" s="755"/>
    </row>
    <row r="30" spans="2:10">
      <c r="B30" s="530"/>
      <c r="C30" s="238"/>
      <c r="D30" s="530"/>
      <c r="E30" s="236">
        <v>23</v>
      </c>
      <c r="F30" s="530" t="s">
        <v>911</v>
      </c>
      <c r="G30" s="237" t="s">
        <v>906</v>
      </c>
      <c r="J30" s="755"/>
    </row>
    <row r="31" spans="2:10">
      <c r="B31" s="530"/>
      <c r="C31" s="238"/>
      <c r="D31" s="532"/>
      <c r="E31" s="236">
        <v>24</v>
      </c>
      <c r="F31" s="530" t="s">
        <v>847</v>
      </c>
      <c r="G31" s="237" t="s">
        <v>906</v>
      </c>
      <c r="J31" s="755"/>
    </row>
    <row r="32" spans="2:10">
      <c r="E32" s="236">
        <v>25</v>
      </c>
      <c r="F32" s="530" t="s">
        <v>856</v>
      </c>
      <c r="G32" s="237" t="s">
        <v>902</v>
      </c>
      <c r="J32" s="755"/>
    </row>
    <row r="33" spans="1:10">
      <c r="E33" s="236">
        <v>26</v>
      </c>
      <c r="F33" s="530" t="s">
        <v>844</v>
      </c>
      <c r="G33" s="237" t="s">
        <v>906</v>
      </c>
      <c r="J33" s="755"/>
    </row>
    <row r="34" spans="1:10">
      <c r="E34" s="236">
        <v>27</v>
      </c>
      <c r="F34" s="530" t="s">
        <v>859</v>
      </c>
      <c r="G34" s="237" t="s">
        <v>902</v>
      </c>
      <c r="H34" s="238"/>
      <c r="J34" s="755"/>
    </row>
    <row r="35" spans="1:10">
      <c r="A35" s="250" t="s">
        <v>666</v>
      </c>
      <c r="B35" s="249"/>
      <c r="C35" s="249"/>
      <c r="D35" s="248"/>
      <c r="E35" s="236">
        <v>28</v>
      </c>
      <c r="F35" s="530" t="s">
        <v>908</v>
      </c>
      <c r="G35" s="237" t="s">
        <v>902</v>
      </c>
      <c r="J35" s="755"/>
    </row>
    <row r="36" spans="1:10">
      <c r="A36" s="245"/>
      <c r="B36" s="247" t="s">
        <v>910</v>
      </c>
      <c r="C36" s="247" t="s">
        <v>1119</v>
      </c>
      <c r="D36" s="246" t="s">
        <v>909</v>
      </c>
      <c r="E36" s="236">
        <v>29</v>
      </c>
      <c r="F36" s="530" t="s">
        <v>858</v>
      </c>
      <c r="G36" s="239" t="s">
        <v>904</v>
      </c>
      <c r="J36" s="755"/>
    </row>
    <row r="37" spans="1:10">
      <c r="A37" s="245" t="s">
        <v>886</v>
      </c>
      <c r="B37" s="244">
        <f>COUNTIF($C$5:$C$31,$A37)</f>
        <v>0</v>
      </c>
      <c r="C37" s="244">
        <f>COUNTIF($G$5:$G$6,$A37)</f>
        <v>0</v>
      </c>
      <c r="D37" s="243">
        <f>COUNTIF($G$7:$G$49,$A37)</f>
        <v>1</v>
      </c>
      <c r="E37" s="236">
        <v>29</v>
      </c>
      <c r="F37" s="530" t="s">
        <v>858</v>
      </c>
      <c r="G37" s="239" t="s">
        <v>904</v>
      </c>
      <c r="J37" s="755"/>
    </row>
    <row r="38" spans="1:10">
      <c r="A38" s="245" t="s">
        <v>887</v>
      </c>
      <c r="B38" s="244">
        <f>COUNTIF($C$5:$C$31,$A38)</f>
        <v>0</v>
      </c>
      <c r="C38" s="244">
        <f>COUNTIF($G$5:$G$6,$A38)</f>
        <v>0</v>
      </c>
      <c r="D38" s="243">
        <f>COUNTIF($G$7:$G$49,$A38)</f>
        <v>0</v>
      </c>
      <c r="E38" s="236">
        <v>29</v>
      </c>
      <c r="F38" s="530" t="s">
        <v>858</v>
      </c>
      <c r="G38" s="239" t="s">
        <v>904</v>
      </c>
      <c r="J38" s="755"/>
    </row>
    <row r="39" spans="1:10">
      <c r="A39" s="245" t="s">
        <v>904</v>
      </c>
      <c r="B39" s="244">
        <f>COUNTIF($C$5:$C$31,$A39)</f>
        <v>0</v>
      </c>
      <c r="C39" s="244">
        <f>COUNTIF($G$5:$G$6,$A39)</f>
        <v>0</v>
      </c>
      <c r="D39" s="243">
        <f>COUNTIF($G$7:$G$49,$A39)</f>
        <v>8</v>
      </c>
      <c r="E39" s="236">
        <v>29</v>
      </c>
      <c r="F39" s="530" t="s">
        <v>858</v>
      </c>
      <c r="G39" s="239" t="s">
        <v>904</v>
      </c>
      <c r="J39" s="755"/>
    </row>
    <row r="40" spans="1:10">
      <c r="A40" s="245" t="s">
        <v>902</v>
      </c>
      <c r="B40" s="244">
        <f>COUNTIF($C$5:$C$31,$A40)</f>
        <v>0</v>
      </c>
      <c r="C40" s="244">
        <f>COUNTIF($G$5:$G$6,$A40)</f>
        <v>0</v>
      </c>
      <c r="D40" s="243">
        <f>COUNTIF($G$7:$G$49,$A40)</f>
        <v>19</v>
      </c>
      <c r="E40" s="236">
        <v>29</v>
      </c>
      <c r="F40" s="530" t="s">
        <v>858</v>
      </c>
      <c r="G40" s="239" t="s">
        <v>886</v>
      </c>
      <c r="J40" s="755"/>
    </row>
    <row r="41" spans="1:10">
      <c r="A41" s="245" t="s">
        <v>906</v>
      </c>
      <c r="B41" s="244">
        <f>COUNTIF($C$5:$C$31,$A41)</f>
        <v>0</v>
      </c>
      <c r="C41" s="244">
        <f>COUNTIF($G$5:$G$6,$A41)</f>
        <v>2</v>
      </c>
      <c r="D41" s="243">
        <f>COUNTIF($G$7:$G$49,$A41)</f>
        <v>14</v>
      </c>
      <c r="E41" s="236">
        <v>30</v>
      </c>
      <c r="F41" s="530" t="s">
        <v>907</v>
      </c>
      <c r="G41" s="237" t="s">
        <v>906</v>
      </c>
      <c r="J41" s="755"/>
    </row>
    <row r="42" spans="1:10">
      <c r="A42" s="242"/>
      <c r="B42" s="241"/>
      <c r="C42" s="241"/>
      <c r="D42" s="240"/>
      <c r="E42" s="236">
        <v>31</v>
      </c>
      <c r="F42" s="530" t="s">
        <v>905</v>
      </c>
      <c r="G42" s="237" t="s">
        <v>904</v>
      </c>
      <c r="J42" s="755"/>
    </row>
    <row r="43" spans="1:10">
      <c r="E43" s="236">
        <v>32</v>
      </c>
      <c r="F43" s="530" t="s">
        <v>848</v>
      </c>
      <c r="G43" s="237" t="s">
        <v>902</v>
      </c>
      <c r="J43" s="755"/>
    </row>
    <row r="44" spans="1:10">
      <c r="E44" s="236">
        <v>33</v>
      </c>
      <c r="F44" s="530" t="s">
        <v>903</v>
      </c>
      <c r="G44" s="237" t="s">
        <v>902</v>
      </c>
      <c r="J44" s="238"/>
    </row>
    <row r="45" spans="1:10">
      <c r="E45" s="236">
        <v>34</v>
      </c>
      <c r="F45" s="530" t="s">
        <v>903</v>
      </c>
      <c r="G45" s="237" t="s">
        <v>902</v>
      </c>
      <c r="J45" s="238"/>
    </row>
    <row r="46" spans="1:10">
      <c r="E46" s="236">
        <v>35</v>
      </c>
      <c r="F46" s="530" t="s">
        <v>1121</v>
      </c>
      <c r="G46" s="237" t="s">
        <v>902</v>
      </c>
    </row>
    <row r="47" spans="1:10">
      <c r="E47" s="236">
        <v>36</v>
      </c>
      <c r="F47" s="530" t="s">
        <v>918</v>
      </c>
      <c r="G47" s="237" t="s">
        <v>904</v>
      </c>
    </row>
    <row r="48" spans="1:10">
      <c r="E48" s="236">
        <v>37</v>
      </c>
      <c r="F48" s="530" t="s">
        <v>1214</v>
      </c>
      <c r="G48" s="237" t="s">
        <v>904</v>
      </c>
    </row>
    <row r="49" spans="5:7">
      <c r="E49" s="236">
        <v>38</v>
      </c>
      <c r="F49" s="530" t="s">
        <v>1203</v>
      </c>
      <c r="G49" s="237" t="s">
        <v>902</v>
      </c>
    </row>
    <row r="50" spans="5:7">
      <c r="F50" s="238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>
    <tabColor rgb="FF7030A0"/>
  </sheetPr>
  <dimension ref="A1:R39"/>
  <sheetViews>
    <sheetView workbookViewId="0">
      <selection activeCell="D15" sqref="D15"/>
    </sheetView>
  </sheetViews>
  <sheetFormatPr defaultColWidth="9.21875" defaultRowHeight="13.2"/>
  <cols>
    <col min="1" max="1" width="28.77734375" style="218" customWidth="1"/>
    <col min="2" max="2" width="8.44140625" style="218" customWidth="1"/>
    <col min="3" max="3" width="3.21875" style="218" customWidth="1"/>
    <col min="4" max="4" width="12.21875" style="218" customWidth="1"/>
    <col min="5" max="5" width="3.77734375" style="218" customWidth="1"/>
    <col min="6" max="6" width="12.21875" style="218" customWidth="1"/>
    <col min="7" max="7" width="3.77734375" style="218" customWidth="1"/>
    <col min="8" max="8" width="15.77734375" style="218" hidden="1" customWidth="1"/>
    <col min="9" max="9" width="3.77734375" style="218" hidden="1" customWidth="1"/>
    <col min="10" max="10" width="12.44140625" style="218" bestFit="1" customWidth="1"/>
    <col min="11" max="11" width="3.77734375" style="218" customWidth="1"/>
    <col min="12" max="12" width="12.77734375" style="218" bestFit="1" customWidth="1"/>
    <col min="13" max="13" width="2.77734375" style="218" customWidth="1"/>
    <col min="14" max="16384" width="9.21875" style="218"/>
  </cols>
  <sheetData>
    <row r="1" spans="1:18">
      <c r="A1" s="218" t="s">
        <v>901</v>
      </c>
    </row>
    <row r="2" spans="1:18">
      <c r="A2" s="218" t="s">
        <v>900</v>
      </c>
    </row>
    <row r="3" spans="1:18">
      <c r="A3" s="218" t="s">
        <v>899</v>
      </c>
    </row>
    <row r="4" spans="1:18">
      <c r="A4" s="218" t="s">
        <v>898</v>
      </c>
    </row>
    <row r="5" spans="1:18">
      <c r="A5" s="218" t="s">
        <v>1236</v>
      </c>
      <c r="B5" s="222"/>
      <c r="C5" s="222"/>
      <c r="D5" s="222"/>
      <c r="H5" s="818" t="s">
        <v>897</v>
      </c>
    </row>
    <row r="6" spans="1:18">
      <c r="D6" s="220" t="s">
        <v>896</v>
      </c>
      <c r="F6" s="220" t="s">
        <v>895</v>
      </c>
      <c r="G6" s="220"/>
      <c r="H6" s="818"/>
      <c r="J6" s="220" t="s">
        <v>894</v>
      </c>
      <c r="L6" s="220" t="s">
        <v>893</v>
      </c>
    </row>
    <row r="7" spans="1:18">
      <c r="D7" s="220" t="s">
        <v>892</v>
      </c>
      <c r="F7" s="220" t="s">
        <v>891</v>
      </c>
      <c r="G7" s="220"/>
      <c r="H7" s="220" t="s">
        <v>890</v>
      </c>
      <c r="J7" s="220" t="s">
        <v>401</v>
      </c>
      <c r="L7" s="220" t="s">
        <v>402</v>
      </c>
    </row>
    <row r="8" spans="1:18">
      <c r="C8" s="222"/>
      <c r="D8" s="235"/>
      <c r="E8" s="234"/>
      <c r="F8" s="235"/>
      <c r="G8" s="235"/>
      <c r="H8" s="235"/>
      <c r="I8" s="234"/>
      <c r="J8" s="234"/>
      <c r="K8" s="234"/>
      <c r="L8" s="234"/>
      <c r="M8" s="222"/>
    </row>
    <row r="9" spans="1:18">
      <c r="A9" s="218" t="s">
        <v>889</v>
      </c>
      <c r="C9" s="222"/>
      <c r="D9" s="233">
        <v>0.5</v>
      </c>
      <c r="E9" s="222"/>
      <c r="F9" s="233">
        <v>10</v>
      </c>
      <c r="G9" s="222"/>
      <c r="H9" s="233">
        <v>0</v>
      </c>
      <c r="I9" s="222"/>
      <c r="J9" s="233">
        <v>110</v>
      </c>
      <c r="K9" s="222"/>
      <c r="L9" s="233">
        <v>250</v>
      </c>
      <c r="M9" s="222"/>
      <c r="P9" s="222"/>
      <c r="Q9" s="222"/>
      <c r="R9" s="222"/>
    </row>
    <row r="10" spans="1:18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</row>
    <row r="11" spans="1:18">
      <c r="A11" s="218" t="s">
        <v>888</v>
      </c>
      <c r="C11" s="222"/>
      <c r="D11" s="222" t="s">
        <v>887</v>
      </c>
      <c r="E11" s="222"/>
      <c r="F11" s="222" t="s">
        <v>886</v>
      </c>
      <c r="G11" s="222"/>
      <c r="H11" s="222" t="s">
        <v>885</v>
      </c>
      <c r="I11" s="222"/>
      <c r="J11" s="222" t="s">
        <v>885</v>
      </c>
      <c r="K11" s="222"/>
      <c r="L11" s="222" t="s">
        <v>885</v>
      </c>
      <c r="M11" s="222"/>
    </row>
    <row r="12" spans="1:18">
      <c r="A12" s="218" t="s">
        <v>884</v>
      </c>
      <c r="C12" s="222"/>
      <c r="D12" s="222" t="s">
        <v>883</v>
      </c>
      <c r="E12" s="222"/>
      <c r="F12" s="222" t="s">
        <v>883</v>
      </c>
      <c r="G12" s="222"/>
      <c r="H12" s="222" t="s">
        <v>882</v>
      </c>
      <c r="I12" s="222"/>
      <c r="J12" s="222" t="s">
        <v>882</v>
      </c>
      <c r="K12" s="222"/>
      <c r="L12" s="222" t="s">
        <v>881</v>
      </c>
      <c r="M12" s="222"/>
    </row>
    <row r="13" spans="1:18"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</row>
    <row r="14" spans="1:18">
      <c r="A14" s="218" t="s">
        <v>880</v>
      </c>
      <c r="C14" s="222"/>
      <c r="D14" s="233">
        <v>83</v>
      </c>
      <c r="E14" s="222" t="s">
        <v>879</v>
      </c>
      <c r="F14" s="233">
        <v>83</v>
      </c>
      <c r="G14" s="222" t="s">
        <v>879</v>
      </c>
      <c r="H14" s="233">
        <v>0</v>
      </c>
      <c r="I14" s="222" t="s">
        <v>879</v>
      </c>
      <c r="J14" s="233">
        <v>250</v>
      </c>
      <c r="K14" s="222" t="s">
        <v>879</v>
      </c>
      <c r="L14" s="233">
        <v>300</v>
      </c>
      <c r="M14" s="222" t="s">
        <v>879</v>
      </c>
    </row>
    <row r="15" spans="1:18">
      <c r="A15" s="218" t="s">
        <v>878</v>
      </c>
      <c r="C15" s="222"/>
      <c r="D15" s="232">
        <v>21.38</v>
      </c>
      <c r="E15" s="229"/>
      <c r="F15" s="232">
        <v>21.38</v>
      </c>
      <c r="G15" s="229"/>
      <c r="H15" s="232">
        <v>0</v>
      </c>
      <c r="I15" s="229"/>
      <c r="J15" s="232">
        <v>37.130000000000003</v>
      </c>
      <c r="K15" s="229"/>
      <c r="L15" s="232">
        <v>143.19999999999999</v>
      </c>
      <c r="M15" s="229"/>
    </row>
    <row r="16" spans="1:18">
      <c r="A16" s="218" t="s">
        <v>877</v>
      </c>
      <c r="C16" s="222"/>
      <c r="D16" s="229">
        <f>D15*D14</f>
        <v>1774.54</v>
      </c>
      <c r="E16" s="229"/>
      <c r="F16" s="229">
        <f>F15*F14</f>
        <v>1774.54</v>
      </c>
      <c r="G16" s="229"/>
      <c r="H16" s="229">
        <f>H15*H14</f>
        <v>0</v>
      </c>
      <c r="I16" s="229"/>
      <c r="J16" s="229">
        <f>J15*J14</f>
        <v>9282.5</v>
      </c>
      <c r="K16" s="229"/>
      <c r="L16" s="229">
        <f>L15*L14</f>
        <v>42960</v>
      </c>
      <c r="M16" s="229"/>
    </row>
    <row r="17" spans="1:13">
      <c r="A17" s="218" t="s">
        <v>876</v>
      </c>
      <c r="C17" s="222"/>
      <c r="D17" s="229">
        <f>F27</f>
        <v>971.29</v>
      </c>
      <c r="E17" s="229"/>
      <c r="F17" s="229">
        <f>F27</f>
        <v>971.29</v>
      </c>
      <c r="G17" s="229"/>
      <c r="H17" s="229">
        <v>0</v>
      </c>
      <c r="I17" s="229"/>
      <c r="J17" s="229">
        <f>F29</f>
        <v>1071.29</v>
      </c>
      <c r="K17" s="229"/>
      <c r="L17" s="229">
        <f>F29</f>
        <v>1071.29</v>
      </c>
      <c r="M17" s="229"/>
    </row>
    <row r="18" spans="1:13">
      <c r="A18" s="218" t="s">
        <v>875</v>
      </c>
      <c r="B18" s="218" t="s">
        <v>874</v>
      </c>
      <c r="C18" s="222"/>
      <c r="D18" s="230">
        <f>(D16+D17)</f>
        <v>2745.83</v>
      </c>
      <c r="E18" s="230"/>
      <c r="F18" s="230">
        <f>(F16+F17)</f>
        <v>2745.83</v>
      </c>
      <c r="G18" s="230"/>
      <c r="H18" s="230">
        <f>(H16+H17)</f>
        <v>0</v>
      </c>
      <c r="I18" s="230"/>
      <c r="J18" s="230">
        <f>(J16+J17)</f>
        <v>10353.790000000001</v>
      </c>
      <c r="K18" s="230"/>
      <c r="L18" s="230">
        <f>(L16+L17)</f>
        <v>44031.29</v>
      </c>
      <c r="M18" s="229"/>
    </row>
    <row r="19" spans="1:13"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1:13">
      <c r="A20" s="218" t="s">
        <v>873</v>
      </c>
      <c r="C20" s="222"/>
      <c r="D20" s="633">
        <f>D18/$D$18</f>
        <v>1</v>
      </c>
      <c r="E20" s="230"/>
      <c r="F20" s="633">
        <f>F18/$D$18</f>
        <v>1</v>
      </c>
      <c r="G20" s="230"/>
      <c r="H20" s="633">
        <f>H18/$D$18</f>
        <v>0</v>
      </c>
      <c r="I20" s="633"/>
      <c r="J20" s="633">
        <f>J18/$D$18</f>
        <v>3.7707323468677965</v>
      </c>
      <c r="K20" s="633"/>
      <c r="L20" s="633">
        <f>L18/$D$18</f>
        <v>16.035694125273597</v>
      </c>
      <c r="M20" s="222"/>
    </row>
    <row r="21" spans="1:13">
      <c r="C21" s="222"/>
      <c r="D21" s="229"/>
      <c r="E21" s="229"/>
      <c r="F21" s="229"/>
      <c r="G21" s="229"/>
      <c r="H21" s="229"/>
      <c r="I21" s="229"/>
      <c r="J21" s="222"/>
      <c r="K21" s="222"/>
      <c r="L21" s="222"/>
      <c r="M21" s="222"/>
    </row>
    <row r="22" spans="1:13">
      <c r="A22" s="220"/>
      <c r="C22" s="222"/>
      <c r="D22" s="229"/>
      <c r="E22" s="229"/>
      <c r="F22" s="229"/>
      <c r="G22" s="229"/>
      <c r="H22" s="229"/>
      <c r="I22" s="229"/>
      <c r="J22" s="222"/>
      <c r="K22" s="222"/>
      <c r="L22" s="222"/>
      <c r="M22" s="222"/>
    </row>
    <row r="23" spans="1:13">
      <c r="A23" s="467" t="s">
        <v>1235</v>
      </c>
      <c r="C23" s="222"/>
      <c r="D23" s="229"/>
      <c r="E23" s="229"/>
      <c r="F23" s="229"/>
      <c r="G23" s="229"/>
      <c r="H23" s="229"/>
      <c r="I23" s="229"/>
      <c r="J23" s="222"/>
      <c r="K23" s="222"/>
      <c r="L23" s="222"/>
      <c r="M23" s="222"/>
    </row>
    <row r="24" spans="1:13">
      <c r="A24" s="226"/>
      <c r="C24" s="222"/>
      <c r="D24" s="229"/>
      <c r="E24" s="229"/>
      <c r="F24" s="229"/>
      <c r="G24" s="229"/>
      <c r="H24" s="229"/>
      <c r="I24" s="229"/>
      <c r="J24" s="222"/>
      <c r="K24" s="222"/>
      <c r="L24" s="222"/>
      <c r="M24" s="222"/>
    </row>
    <row r="25" spans="1:13">
      <c r="A25" s="225" t="s">
        <v>872</v>
      </c>
      <c r="C25" s="222"/>
      <c r="D25" s="229" t="s">
        <v>871</v>
      </c>
      <c r="E25" s="229"/>
      <c r="F25" s="232">
        <v>440.84</v>
      </c>
      <c r="G25" s="229"/>
      <c r="H25" s="229"/>
      <c r="I25" s="229"/>
      <c r="J25" s="229"/>
      <c r="K25" s="222"/>
      <c r="L25" s="229"/>
      <c r="M25" s="222"/>
    </row>
    <row r="26" spans="1:13">
      <c r="B26" s="637">
        <v>0.5</v>
      </c>
      <c r="C26" s="222"/>
      <c r="D26" s="634" t="s">
        <v>870</v>
      </c>
      <c r="E26" s="222"/>
      <c r="F26" s="635">
        <v>1060.9000000000001</v>
      </c>
      <c r="G26" s="222"/>
      <c r="H26" s="634"/>
      <c r="I26" s="222"/>
      <c r="J26" s="634"/>
      <c r="K26" s="222"/>
      <c r="L26" s="634"/>
      <c r="M26" s="222"/>
    </row>
    <row r="27" spans="1:13">
      <c r="A27" s="218" t="s">
        <v>869</v>
      </c>
      <c r="B27" s="231"/>
      <c r="C27" s="222"/>
      <c r="D27" s="229"/>
      <c r="E27" s="229"/>
      <c r="F27" s="229">
        <f>F25+F26/2</f>
        <v>971.29</v>
      </c>
      <c r="G27" s="229"/>
      <c r="H27" s="229"/>
      <c r="I27" s="229"/>
      <c r="J27" s="229"/>
      <c r="K27" s="229"/>
      <c r="L27" s="229"/>
      <c r="M27" s="222"/>
    </row>
    <row r="28" spans="1:13">
      <c r="B28" s="222"/>
      <c r="C28" s="222"/>
      <c r="D28" s="230"/>
      <c r="E28" s="230"/>
      <c r="F28" s="230"/>
      <c r="G28" s="230"/>
      <c r="H28" s="230"/>
      <c r="I28" s="230"/>
      <c r="J28" s="230"/>
      <c r="K28" s="636"/>
      <c r="L28" s="230"/>
      <c r="M28" s="222"/>
    </row>
    <row r="29" spans="1:13">
      <c r="A29" s="225" t="s">
        <v>868</v>
      </c>
      <c r="B29" s="638">
        <v>100</v>
      </c>
      <c r="C29" s="222"/>
      <c r="D29" s="229"/>
      <c r="E29" s="229"/>
      <c r="F29" s="229">
        <f>F27+B29</f>
        <v>1071.29</v>
      </c>
      <c r="G29" s="229"/>
      <c r="H29" s="229"/>
      <c r="I29" s="229"/>
      <c r="J29" s="229"/>
      <c r="K29" s="222"/>
      <c r="L29" s="229"/>
      <c r="M29" s="222"/>
    </row>
    <row r="30" spans="1:13">
      <c r="A30" s="228" t="s">
        <v>867</v>
      </c>
      <c r="C30" s="222"/>
      <c r="D30" s="633"/>
      <c r="E30" s="230"/>
      <c r="F30" s="633"/>
      <c r="G30" s="230"/>
      <c r="H30" s="633"/>
      <c r="I30" s="230"/>
      <c r="J30" s="633"/>
      <c r="K30" s="636"/>
      <c r="L30" s="633"/>
      <c r="M30" s="222"/>
    </row>
    <row r="31" spans="1:13">
      <c r="A31" s="221" t="s">
        <v>1234</v>
      </c>
      <c r="C31" s="222"/>
      <c r="D31" s="229"/>
      <c r="E31" s="229"/>
      <c r="F31" s="229"/>
      <c r="G31" s="229"/>
      <c r="H31" s="229"/>
      <c r="I31" s="229"/>
      <c r="J31" s="222"/>
      <c r="K31" s="222"/>
      <c r="L31" s="222"/>
      <c r="M31" s="222"/>
    </row>
    <row r="32" spans="1:13">
      <c r="A32" s="221" t="s">
        <v>866</v>
      </c>
      <c r="C32" s="222"/>
      <c r="D32" s="229"/>
      <c r="E32" s="229"/>
      <c r="F32" s="229"/>
      <c r="G32" s="229"/>
      <c r="H32" s="229"/>
      <c r="I32" s="229"/>
      <c r="J32" s="222"/>
      <c r="K32" s="222"/>
      <c r="L32" s="222"/>
      <c r="M32" s="222"/>
    </row>
    <row r="33" spans="1:12">
      <c r="A33" s="221" t="s">
        <v>865</v>
      </c>
      <c r="C33" s="222"/>
      <c r="D33" s="227"/>
      <c r="E33" s="227"/>
      <c r="F33" s="227"/>
      <c r="G33" s="227"/>
      <c r="H33" s="227"/>
      <c r="I33" s="227"/>
      <c r="J33" s="227"/>
      <c r="L33" s="227"/>
    </row>
    <row r="38" spans="1:12">
      <c r="A38" s="226"/>
      <c r="B38" s="225"/>
    </row>
    <row r="39" spans="1:12">
      <c r="A39" s="225"/>
      <c r="B39" s="225"/>
    </row>
  </sheetData>
  <mergeCells count="1">
    <mergeCell ref="H5:H6"/>
  </mergeCells>
  <printOptions horizontalCentered="1" gridLines="1" gridLinesSet="0"/>
  <pageMargins left="0.75" right="0.75" top="1.32" bottom="1" header="0.84" footer="0.5"/>
  <pageSetup orientation="landscape" r:id="rId1"/>
  <headerFooter alignWithMargins="0"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>
    <tabColor theme="7" tint="0.59999389629810485"/>
    <pageSetUpPr fitToPage="1"/>
  </sheetPr>
  <dimension ref="A1:M72"/>
  <sheetViews>
    <sheetView zoomScaleNormal="100" workbookViewId="0">
      <pane ySplit="8" topLeftCell="A9" activePane="bottomLeft" state="frozen"/>
      <selection activeCell="H15" sqref="H15"/>
      <selection pane="bottomLeft" activeCell="F16" sqref="F16"/>
    </sheetView>
  </sheetViews>
  <sheetFormatPr defaultColWidth="9.21875" defaultRowHeight="13.2"/>
  <cols>
    <col min="1" max="1" width="9.77734375" style="585" customWidth="1"/>
    <col min="2" max="2" width="10.44140625" style="585" customWidth="1"/>
    <col min="3" max="3" width="10.21875" style="585" customWidth="1"/>
    <col min="4" max="4" width="12.77734375" style="585" customWidth="1"/>
    <col min="5" max="5" width="13.77734375" style="585" customWidth="1"/>
    <col min="6" max="6" width="18.5546875" style="585" customWidth="1"/>
    <col min="7" max="7" width="14.44140625" style="585" customWidth="1"/>
    <col min="8" max="8" width="9" style="585" customWidth="1"/>
    <col min="9" max="9" width="9.77734375" style="585" customWidth="1"/>
    <col min="10" max="10" width="9.21875" style="585"/>
    <col min="11" max="11" width="9.77734375" style="585" customWidth="1"/>
    <col min="12" max="16384" width="9.21875" style="585"/>
  </cols>
  <sheetData>
    <row r="1" spans="1:13">
      <c r="A1" s="585" t="s">
        <v>901</v>
      </c>
    </row>
    <row r="2" spans="1:13">
      <c r="A2" s="585" t="s">
        <v>938</v>
      </c>
    </row>
    <row r="3" spans="1:13">
      <c r="A3" s="738" t="s">
        <v>937</v>
      </c>
    </row>
    <row r="4" spans="1:13">
      <c r="A4" s="738" t="s">
        <v>1236</v>
      </c>
    </row>
    <row r="6" spans="1:13">
      <c r="A6" s="739"/>
    </row>
    <row r="8" spans="1:13" s="751" customFormat="1" ht="26.4">
      <c r="A8" s="751" t="s">
        <v>936</v>
      </c>
      <c r="B8" s="751" t="s">
        <v>935</v>
      </c>
      <c r="C8" s="751" t="s">
        <v>934</v>
      </c>
      <c r="D8" s="752" t="s">
        <v>1238</v>
      </c>
      <c r="E8" s="752" t="s">
        <v>1406</v>
      </c>
      <c r="F8" s="751" t="s">
        <v>933</v>
      </c>
      <c r="G8" s="751" t="s">
        <v>932</v>
      </c>
      <c r="H8" s="753" t="s">
        <v>873</v>
      </c>
    </row>
    <row r="9" spans="1:13">
      <c r="A9" s="579" t="s">
        <v>398</v>
      </c>
    </row>
    <row r="10" spans="1:13">
      <c r="B10" s="585" t="s">
        <v>886</v>
      </c>
      <c r="C10" s="259">
        <f>$A$15*M10</f>
        <v>7452.2799277605782</v>
      </c>
      <c r="D10" s="740">
        <f>VLOOKUP(B10,Cost,4)</f>
        <v>903.30047407434483</v>
      </c>
      <c r="E10" s="740">
        <f>$D$66</f>
        <v>108.2901890287084</v>
      </c>
      <c r="F10" s="740">
        <f>C10*(D10+E10)</f>
        <v>7538656.7937528966</v>
      </c>
      <c r="L10" s="259">
        <v>6827</v>
      </c>
      <c r="M10" s="586">
        <f>L10/SUM($L$10:$L$14)</f>
        <v>4.5066573369332022E-2</v>
      </c>
    </row>
    <row r="11" spans="1:13">
      <c r="B11" s="585" t="s">
        <v>887</v>
      </c>
      <c r="C11" s="259">
        <f>$A$15*M11</f>
        <v>157777.22110423117</v>
      </c>
      <c r="D11" s="740">
        <f>VLOOKUP(B11,Cost,4)</f>
        <v>240.64206570465001</v>
      </c>
      <c r="E11" s="740">
        <f>$D$66</f>
        <v>108.2901890287084</v>
      </c>
      <c r="F11" s="740">
        <f>C11*(D11+E11)</f>
        <v>55053561.505462997</v>
      </c>
      <c r="L11" s="259">
        <v>144539</v>
      </c>
      <c r="M11" s="586">
        <f>L11/SUM($L$10:$L$14)</f>
        <v>0.95413467822321385</v>
      </c>
    </row>
    <row r="12" spans="1:13">
      <c r="B12" s="585" t="s">
        <v>904</v>
      </c>
      <c r="C12" s="259">
        <f>$A$15*M12</f>
        <v>63.312177502579985</v>
      </c>
      <c r="D12" s="740">
        <f>VLOOKUP(B12,Cost,4)</f>
        <v>4350.7061017707247</v>
      </c>
      <c r="E12" s="740">
        <f>$D$66</f>
        <v>108.2901890287084</v>
      </c>
      <c r="F12" s="740">
        <f>C12*(D12+E12)</f>
        <v>282308.76464643946</v>
      </c>
      <c r="L12" s="259">
        <v>58</v>
      </c>
      <c r="M12" s="586">
        <f>L12/SUM($L$10:$L$14)</f>
        <v>3.8287113745733958E-4</v>
      </c>
    </row>
    <row r="13" spans="1:13">
      <c r="B13" s="585" t="s">
        <v>902</v>
      </c>
      <c r="C13" s="259">
        <f>$A$15*M13</f>
        <v>67.678534571723432</v>
      </c>
      <c r="D13" s="740">
        <f>VLOOKUP(B13,Cost,4)</f>
        <v>3470.6157863039771</v>
      </c>
      <c r="E13" s="740">
        <f>$D$66</f>
        <v>108.2901890287084</v>
      </c>
      <c r="F13" s="740">
        <f>C13*(D13+E13)</f>
        <v>242215.11178050074</v>
      </c>
      <c r="L13" s="259">
        <v>62</v>
      </c>
      <c r="M13" s="586">
        <f>L13/SUM($L$10:$L$14)</f>
        <v>4.0927604348888022E-4</v>
      </c>
    </row>
    <row r="14" spans="1:13">
      <c r="B14" s="585" t="s">
        <v>906</v>
      </c>
      <c r="C14" s="259">
        <f>$A$15*M14</f>
        <v>1.0915892672858618</v>
      </c>
      <c r="D14" s="740">
        <f>VLOOKUP(B14,Cost,4)</f>
        <v>33237.14720028943</v>
      </c>
      <c r="E14" s="740">
        <f>$D$66</f>
        <v>108.2901890287084</v>
      </c>
      <c r="F14" s="740">
        <f>C14*(D14+E14)</f>
        <v>36399.521567132368</v>
      </c>
      <c r="L14" s="259">
        <v>1</v>
      </c>
      <c r="M14" s="586">
        <f>L14/SUM($L$10:$L$14)</f>
        <v>6.6012265078851648E-6</v>
      </c>
    </row>
    <row r="15" spans="1:13">
      <c r="A15" s="259">
        <f>Factors!E43/12</f>
        <v>165361.58333333334</v>
      </c>
      <c r="C15" s="532"/>
      <c r="F15" s="741">
        <f>SUM(F10:F14)</f>
        <v>63153141.697209969</v>
      </c>
      <c r="G15" s="740">
        <f>F15/A15</f>
        <v>381.9093916747691</v>
      </c>
      <c r="H15" s="263">
        <f>G15/$G$15</f>
        <v>1</v>
      </c>
      <c r="L15" s="532"/>
      <c r="M15" s="742">
        <f>SUM(M10:M14)</f>
        <v>1</v>
      </c>
    </row>
    <row r="16" spans="1:13">
      <c r="A16" s="261"/>
      <c r="C16" s="532"/>
      <c r="F16" s="743"/>
      <c r="G16" s="740"/>
      <c r="H16" s="260"/>
      <c r="L16" s="532"/>
    </row>
    <row r="17" spans="1:13">
      <c r="A17" s="262" t="s">
        <v>931</v>
      </c>
      <c r="C17" s="532"/>
      <c r="H17" s="260"/>
      <c r="L17" s="532"/>
    </row>
    <row r="18" spans="1:13">
      <c r="B18" s="585" t="s">
        <v>886</v>
      </c>
      <c r="C18" s="259">
        <f>$A$23*M18</f>
        <v>2007.9618306114698</v>
      </c>
      <c r="D18" s="740">
        <f>VLOOKUP(B18,Cost,4)</f>
        <v>903.30047407434483</v>
      </c>
      <c r="E18" s="740">
        <f>$D$68</f>
        <v>128.19145412388207</v>
      </c>
      <c r="F18" s="740">
        <f>C18*(D18+E18)</f>
        <v>2071196.4204058668</v>
      </c>
      <c r="H18" s="260"/>
      <c r="L18" s="259">
        <v>1703</v>
      </c>
      <c r="M18" s="586">
        <f>L18/SUM($L$18:$L$22)</f>
        <v>0.64679073300417778</v>
      </c>
    </row>
    <row r="19" spans="1:13">
      <c r="B19" s="585" t="s">
        <v>887</v>
      </c>
      <c r="C19" s="259">
        <f>$A$23*M19</f>
        <v>82.535131029244212</v>
      </c>
      <c r="D19" s="740">
        <f>VLOOKUP(B19,Cost,4)</f>
        <v>240.64206570465001</v>
      </c>
      <c r="E19" s="740">
        <f>$D$68</f>
        <v>128.19145412388207</v>
      </c>
      <c r="F19" s="740">
        <f>C19*(D19+E19)</f>
        <v>30441.722887025237</v>
      </c>
      <c r="H19" s="260"/>
      <c r="L19" s="259">
        <v>70</v>
      </c>
      <c r="M19" s="586">
        <f>L19/SUM($L$18:$L$22)</f>
        <v>2.6585643752373718E-2</v>
      </c>
    </row>
    <row r="20" spans="1:13">
      <c r="B20" s="585" t="s">
        <v>904</v>
      </c>
      <c r="C20" s="259">
        <f>$A$23*M20</f>
        <v>468.09210026585646</v>
      </c>
      <c r="D20" s="740">
        <f>VLOOKUP(B20,Cost,4)</f>
        <v>4350.7061017707247</v>
      </c>
      <c r="E20" s="740">
        <f>$D$68</f>
        <v>128.19145412388207</v>
      </c>
      <c r="F20" s="740">
        <f>C20*(D20+E20)</f>
        <v>2096536.5638143178</v>
      </c>
      <c r="H20" s="260"/>
      <c r="L20" s="259">
        <v>397</v>
      </c>
      <c r="M20" s="586">
        <f>L20/SUM($L$18:$L$22)</f>
        <v>0.1507785795670338</v>
      </c>
    </row>
    <row r="21" spans="1:13">
      <c r="B21" s="585" t="s">
        <v>902</v>
      </c>
      <c r="C21" s="259">
        <f>($A$23*M21)+3</f>
        <v>544.19464489175846</v>
      </c>
      <c r="D21" s="740">
        <f>VLOOKUP(B21,Cost,4)</f>
        <v>3470.6157863039771</v>
      </c>
      <c r="E21" s="740">
        <f>$D$68</f>
        <v>128.19145412388207</v>
      </c>
      <c r="F21" s="740">
        <f>C21*(D21+E21)</f>
        <v>1958451.628238528</v>
      </c>
      <c r="H21" s="260"/>
      <c r="L21" s="259">
        <v>459</v>
      </c>
      <c r="M21" s="586">
        <f>L21/SUM($L$18:$L$22)</f>
        <v>0.17432586403342196</v>
      </c>
    </row>
    <row r="22" spans="1:13">
      <c r="B22" s="585" t="s">
        <v>906</v>
      </c>
      <c r="C22" s="259">
        <f>$A$23*M22</f>
        <v>4.7162932016710979</v>
      </c>
      <c r="D22" s="740">
        <f>VLOOKUP(B22,Cost,4)</f>
        <v>33237.14720028943</v>
      </c>
      <c r="E22" s="740">
        <f>$D$68</f>
        <v>128.19145412388207</v>
      </c>
      <c r="F22" s="740">
        <f>C22*(D22+E22)</f>
        <v>157360.7198672634</v>
      </c>
      <c r="H22" s="260"/>
      <c r="L22" s="259">
        <v>4</v>
      </c>
      <c r="M22" s="586">
        <f>L22/SUM($L$18:$L$22)</f>
        <v>1.5191796429927839E-3</v>
      </c>
    </row>
    <row r="23" spans="1:13">
      <c r="A23" s="259">
        <f>Factors!F43/12</f>
        <v>3104.5</v>
      </c>
      <c r="F23" s="744">
        <f>SUM(F18:F22)</f>
        <v>6313987.0552130016</v>
      </c>
      <c r="G23" s="740">
        <f>F23/A23</f>
        <v>2033.8177017919154</v>
      </c>
      <c r="H23" s="257">
        <f>G23/$G$15</f>
        <v>5.325393263761101</v>
      </c>
      <c r="M23" s="742">
        <f>SUM(M18:M22)</f>
        <v>1</v>
      </c>
    </row>
    <row r="24" spans="1:13">
      <c r="H24" s="260"/>
    </row>
    <row r="25" spans="1:13">
      <c r="A25" s="262" t="s">
        <v>930</v>
      </c>
      <c r="G25" s="745"/>
      <c r="H25" s="260"/>
    </row>
    <row r="26" spans="1:13">
      <c r="B26" s="585" t="s">
        <v>886</v>
      </c>
      <c r="C26" s="261">
        <v>0</v>
      </c>
      <c r="D26" s="740">
        <f>VLOOKUP(B26,Cost,4)</f>
        <v>903.30047407434483</v>
      </c>
      <c r="E26" s="740">
        <v>0</v>
      </c>
      <c r="F26" s="740">
        <f>C26*D26</f>
        <v>0</v>
      </c>
      <c r="H26" s="260"/>
    </row>
    <row r="27" spans="1:13">
      <c r="B27" s="585" t="s">
        <v>887</v>
      </c>
      <c r="C27" s="261">
        <v>0</v>
      </c>
      <c r="D27" s="740">
        <f>VLOOKUP(B27,Cost,4)</f>
        <v>240.64206570465001</v>
      </c>
      <c r="E27" s="740">
        <v>0</v>
      </c>
      <c r="F27" s="740">
        <f>C27*D27</f>
        <v>0</v>
      </c>
      <c r="H27" s="260"/>
    </row>
    <row r="28" spans="1:13">
      <c r="B28" s="585" t="s">
        <v>904</v>
      </c>
      <c r="C28" s="261">
        <v>0</v>
      </c>
      <c r="D28" s="740">
        <f>VLOOKUP(B28,Cost,4)</f>
        <v>4350.7061017707247</v>
      </c>
      <c r="E28" s="740">
        <v>0</v>
      </c>
      <c r="F28" s="740">
        <f>C28*D28</f>
        <v>0</v>
      </c>
      <c r="H28" s="260"/>
    </row>
    <row r="29" spans="1:13">
      <c r="B29" s="585" t="s">
        <v>902</v>
      </c>
      <c r="C29" s="261">
        <v>0</v>
      </c>
      <c r="D29" s="740">
        <f>VLOOKUP(B29,Cost,4)</f>
        <v>3470.6157863039771</v>
      </c>
      <c r="E29" s="740">
        <v>0</v>
      </c>
      <c r="F29" s="740">
        <f>C29*D29</f>
        <v>0</v>
      </c>
      <c r="H29" s="260"/>
    </row>
    <row r="30" spans="1:13">
      <c r="B30" s="585" t="s">
        <v>906</v>
      </c>
      <c r="C30" s="261">
        <v>0</v>
      </c>
      <c r="D30" s="740">
        <f>VLOOKUP(B30,Cost,4)</f>
        <v>33237.14720028943</v>
      </c>
      <c r="E30" s="740">
        <v>0</v>
      </c>
      <c r="F30" s="740">
        <f>C30*D30</f>
        <v>0</v>
      </c>
      <c r="H30" s="260"/>
    </row>
    <row r="31" spans="1:13">
      <c r="A31" s="259">
        <f>Factors!G43/12</f>
        <v>8.3333333333333339E-4</v>
      </c>
      <c r="F31" s="744">
        <f>SUM(F26:F30)</f>
        <v>0</v>
      </c>
      <c r="G31" s="740">
        <f>F31/A31</f>
        <v>0</v>
      </c>
      <c r="H31" s="257">
        <f>G31/$G$15</f>
        <v>0</v>
      </c>
      <c r="I31" s="745"/>
    </row>
    <row r="32" spans="1:13">
      <c r="H32" s="260"/>
    </row>
    <row r="33" spans="1:9">
      <c r="A33" s="262" t="s">
        <v>929</v>
      </c>
      <c r="H33" s="260"/>
    </row>
    <row r="34" spans="1:9">
      <c r="B34" s="585" t="s">
        <v>886</v>
      </c>
      <c r="C34" s="261">
        <f>'Meters 121_131_146'!C37</f>
        <v>0</v>
      </c>
      <c r="D34" s="740">
        <f>VLOOKUP(B34,Cost,4)</f>
        <v>903.30047407434483</v>
      </c>
      <c r="E34" s="740">
        <f>$D$70</f>
        <v>180</v>
      </c>
      <c r="F34" s="740">
        <f>C34*(D34+E34)</f>
        <v>0</v>
      </c>
      <c r="H34" s="260"/>
    </row>
    <row r="35" spans="1:9">
      <c r="B35" s="585" t="s">
        <v>887</v>
      </c>
      <c r="C35" s="261">
        <f>'Meters 121_131_146'!C38</f>
        <v>0</v>
      </c>
      <c r="D35" s="740">
        <f>VLOOKUP(B35,Cost,4)</f>
        <v>240.64206570465001</v>
      </c>
      <c r="E35" s="740">
        <f>$D$70</f>
        <v>180</v>
      </c>
      <c r="F35" s="740">
        <f>C35*(D35+E35)</f>
        <v>0</v>
      </c>
      <c r="H35" s="260"/>
    </row>
    <row r="36" spans="1:9">
      <c r="B36" s="585" t="s">
        <v>904</v>
      </c>
      <c r="C36" s="261">
        <f>'Meters 121_131_146'!C39</f>
        <v>0</v>
      </c>
      <c r="D36" s="740">
        <f>VLOOKUP(B36,Cost,4)</f>
        <v>4350.7061017707247</v>
      </c>
      <c r="E36" s="740">
        <f>$D$70</f>
        <v>180</v>
      </c>
      <c r="F36" s="740">
        <f>C36*(D36+E36)</f>
        <v>0</v>
      </c>
      <c r="H36" s="260"/>
    </row>
    <row r="37" spans="1:9">
      <c r="B37" s="585" t="s">
        <v>902</v>
      </c>
      <c r="C37" s="261">
        <f>'Meters 121_131_146'!C40</f>
        <v>0</v>
      </c>
      <c r="D37" s="740">
        <f>VLOOKUP(B37,Cost,4)</f>
        <v>3470.6157863039771</v>
      </c>
      <c r="E37" s="740">
        <f>$D$70</f>
        <v>180</v>
      </c>
      <c r="F37" s="740">
        <f>C37*(D37+E37)</f>
        <v>0</v>
      </c>
      <c r="H37" s="260"/>
    </row>
    <row r="38" spans="1:9">
      <c r="B38" s="585" t="s">
        <v>906</v>
      </c>
      <c r="C38" s="261">
        <f>'Meters 121_131_146'!C41</f>
        <v>2</v>
      </c>
      <c r="D38" s="740">
        <f>VLOOKUP(B38,Cost,4)</f>
        <v>33237.14720028943</v>
      </c>
      <c r="E38" s="740">
        <f>$D$70</f>
        <v>180</v>
      </c>
      <c r="F38" s="740">
        <f>C38*(D38+E38)</f>
        <v>66834.294400578859</v>
      </c>
      <c r="H38" s="260"/>
    </row>
    <row r="39" spans="1:9">
      <c r="A39" s="259">
        <f>Factors!H43/12</f>
        <v>2</v>
      </c>
      <c r="F39" s="744">
        <f>SUM(F34:F38)</f>
        <v>66834.294400578859</v>
      </c>
      <c r="G39" s="740">
        <f>F39/A39</f>
        <v>33417.14720028943</v>
      </c>
      <c r="H39" s="257">
        <f>G39/$G$15</f>
        <v>87.500197504300175</v>
      </c>
      <c r="I39" s="745"/>
    </row>
    <row r="40" spans="1:9">
      <c r="H40" s="260"/>
    </row>
    <row r="41" spans="1:9">
      <c r="A41" s="262" t="s">
        <v>402</v>
      </c>
      <c r="H41" s="260"/>
    </row>
    <row r="42" spans="1:9">
      <c r="B42" s="585" t="s">
        <v>886</v>
      </c>
      <c r="C42" s="261">
        <f>'Meters 121_131_146'!D37</f>
        <v>1</v>
      </c>
      <c r="D42" s="740">
        <f>VLOOKUP(B42,Cost,4)</f>
        <v>903.30047407434483</v>
      </c>
      <c r="E42" s="740">
        <v>0</v>
      </c>
      <c r="F42" s="740">
        <f>C42*D42</f>
        <v>903.30047407434483</v>
      </c>
      <c r="H42" s="260"/>
    </row>
    <row r="43" spans="1:9">
      <c r="B43" s="585" t="s">
        <v>887</v>
      </c>
      <c r="C43" s="261">
        <f>'Meters 121_131_146'!D38</f>
        <v>0</v>
      </c>
      <c r="D43" s="740">
        <f>VLOOKUP(B43,Cost,4)</f>
        <v>240.64206570465001</v>
      </c>
      <c r="E43" s="740">
        <v>0</v>
      </c>
      <c r="F43" s="740">
        <f>C43*D43</f>
        <v>0</v>
      </c>
      <c r="H43" s="260"/>
    </row>
    <row r="44" spans="1:9">
      <c r="B44" s="585" t="s">
        <v>904</v>
      </c>
      <c r="C44" s="261">
        <f>'Meters 121_131_146'!D39</f>
        <v>8</v>
      </c>
      <c r="D44" s="740">
        <f>VLOOKUP(B44,Cost,4)</f>
        <v>4350.7061017707247</v>
      </c>
      <c r="E44" s="740">
        <v>0</v>
      </c>
      <c r="F44" s="740">
        <f>C44*D44</f>
        <v>34805.648814165797</v>
      </c>
      <c r="H44" s="260"/>
    </row>
    <row r="45" spans="1:9">
      <c r="B45" s="585" t="s">
        <v>902</v>
      </c>
      <c r="C45" s="261">
        <f>'Meters 121_131_146'!D40</f>
        <v>19</v>
      </c>
      <c r="D45" s="740">
        <f>VLOOKUP(B45,Cost,4)</f>
        <v>3470.6157863039771</v>
      </c>
      <c r="E45" s="740">
        <v>0</v>
      </c>
      <c r="F45" s="740">
        <f>C45*D45</f>
        <v>65941.699939775572</v>
      </c>
      <c r="H45" s="260"/>
    </row>
    <row r="46" spans="1:9">
      <c r="B46" s="585" t="s">
        <v>906</v>
      </c>
      <c r="C46" s="261">
        <f>'Meters 121_131_146'!D41</f>
        <v>14</v>
      </c>
      <c r="D46" s="740">
        <f>VLOOKUP(B46,Cost,4)</f>
        <v>33237.14720028943</v>
      </c>
      <c r="E46" s="740">
        <v>0</v>
      </c>
      <c r="F46" s="740">
        <f>C46*D46</f>
        <v>465320.06080405205</v>
      </c>
      <c r="H46" s="260"/>
    </row>
    <row r="47" spans="1:9">
      <c r="A47" s="259">
        <f>Factors!I43/12</f>
        <v>38</v>
      </c>
      <c r="F47" s="744">
        <f>SUM(F42:F46)</f>
        <v>566970.71003206773</v>
      </c>
      <c r="G47" s="740">
        <f>F47/A47</f>
        <v>14920.281842949151</v>
      </c>
      <c r="H47" s="257">
        <f>G47/$G$15</f>
        <v>39.067596053398816</v>
      </c>
      <c r="I47" s="745"/>
    </row>
    <row r="49" spans="1:8">
      <c r="A49" s="261"/>
      <c r="F49" s="746"/>
      <c r="G49" s="740"/>
      <c r="H49" s="740"/>
    </row>
    <row r="50" spans="1:8">
      <c r="A50" s="261"/>
      <c r="F50" s="746"/>
      <c r="G50" s="740"/>
      <c r="H50" s="740"/>
    </row>
    <row r="51" spans="1:8">
      <c r="A51" s="253" t="s">
        <v>928</v>
      </c>
      <c r="B51" s="252" t="s">
        <v>927</v>
      </c>
      <c r="C51" s="252" t="s">
        <v>926</v>
      </c>
      <c r="D51" s="519" t="s">
        <v>1238</v>
      </c>
      <c r="E51" s="519"/>
    </row>
    <row r="52" spans="1:8">
      <c r="A52" s="747" t="s">
        <v>886</v>
      </c>
      <c r="B52" s="597">
        <v>794.03842639023321</v>
      </c>
      <c r="C52" s="597">
        <v>109.26204768411159</v>
      </c>
      <c r="D52" s="740">
        <f>B52+C52</f>
        <v>903.30047407434483</v>
      </c>
      <c r="E52" s="740"/>
      <c r="G52" s="745"/>
      <c r="H52" s="745"/>
    </row>
    <row r="53" spans="1:8">
      <c r="A53" s="747" t="s">
        <v>887</v>
      </c>
      <c r="B53" s="597">
        <v>150.78693367965002</v>
      </c>
      <c r="C53" s="597">
        <v>89.855132025000003</v>
      </c>
      <c r="D53" s="740">
        <f>B53+C53</f>
        <v>240.64206570465001</v>
      </c>
      <c r="E53" s="740"/>
    </row>
    <row r="54" spans="1:8">
      <c r="A54" s="747" t="s">
        <v>904</v>
      </c>
      <c r="B54" s="597">
        <v>4032.001599260725</v>
      </c>
      <c r="C54" s="597">
        <v>318.70450251000005</v>
      </c>
      <c r="D54" s="740">
        <f>B54+C54</f>
        <v>4350.7061017707247</v>
      </c>
      <c r="E54" s="740"/>
    </row>
    <row r="55" spans="1:8">
      <c r="A55" s="747" t="s">
        <v>902</v>
      </c>
      <c r="B55" s="597">
        <v>2760.3940950539773</v>
      </c>
      <c r="C55" s="597">
        <v>710.22169124999982</v>
      </c>
      <c r="D55" s="740">
        <f>B55+C55</f>
        <v>3470.6157863039771</v>
      </c>
      <c r="E55" s="740"/>
    </row>
    <row r="56" spans="1:8">
      <c r="A56" s="747" t="s">
        <v>906</v>
      </c>
      <c r="B56" s="737">
        <v>27744.32</v>
      </c>
      <c r="C56" s="737">
        <v>5492.8272002894264</v>
      </c>
      <c r="D56" s="748">
        <f>B56+C56</f>
        <v>33237.14720028943</v>
      </c>
      <c r="E56" s="743"/>
    </row>
    <row r="57" spans="1:8">
      <c r="B57" s="745">
        <f>SUM(B52:B56)</f>
        <v>35481.541054384586</v>
      </c>
      <c r="C57" s="745">
        <f>SUM(C52:C56)</f>
        <v>6720.8705737585378</v>
      </c>
      <c r="D57" s="745">
        <f>SUM(D52:D56)</f>
        <v>42202.411628143127</v>
      </c>
      <c r="E57" s="745"/>
    </row>
    <row r="58" spans="1:8">
      <c r="B58" s="749">
        <f>B57/D57</f>
        <v>0.84074676506693624</v>
      </c>
      <c r="C58" s="749">
        <f>C57/D57</f>
        <v>0.15925323493306373</v>
      </c>
      <c r="D58" s="750">
        <f>SUM(B58:C58)</f>
        <v>1</v>
      </c>
      <c r="E58" s="750"/>
    </row>
    <row r="62" spans="1:8">
      <c r="A62" s="585" t="s">
        <v>1405</v>
      </c>
    </row>
    <row r="64" spans="1:8" ht="39.6">
      <c r="B64" s="751" t="s">
        <v>1402</v>
      </c>
      <c r="C64" s="751" t="s">
        <v>1403</v>
      </c>
      <c r="D64" s="751" t="s">
        <v>1407</v>
      </c>
      <c r="E64" s="751"/>
    </row>
    <row r="66" spans="1:5">
      <c r="A66" s="585" t="s">
        <v>892</v>
      </c>
      <c r="B66" s="757">
        <v>17890947</v>
      </c>
      <c r="C66" s="757">
        <v>165213</v>
      </c>
      <c r="D66" s="723">
        <f>B66/C66</f>
        <v>108.2901890287084</v>
      </c>
      <c r="E66" s="723"/>
    </row>
    <row r="67" spans="1:5">
      <c r="B67" s="757"/>
      <c r="C67" s="757"/>
      <c r="D67" s="723"/>
      <c r="E67" s="723"/>
    </row>
    <row r="68" spans="1:5">
      <c r="A68" s="585" t="s">
        <v>891</v>
      </c>
      <c r="B68" s="757">
        <v>387010</v>
      </c>
      <c r="C68" s="757">
        <v>3019</v>
      </c>
      <c r="D68" s="723">
        <f>B68/C68</f>
        <v>128.19145412388207</v>
      </c>
      <c r="E68" s="723"/>
    </row>
    <row r="69" spans="1:5">
      <c r="B69" s="757"/>
      <c r="C69" s="757"/>
      <c r="D69" s="723"/>
      <c r="E69" s="723"/>
    </row>
    <row r="70" spans="1:5">
      <c r="A70" s="585" t="s">
        <v>1366</v>
      </c>
      <c r="B70" s="757">
        <v>180</v>
      </c>
      <c r="C70" s="757">
        <v>1</v>
      </c>
      <c r="D70" s="723">
        <f>B70/C70</f>
        <v>180</v>
      </c>
      <c r="E70" s="723"/>
    </row>
    <row r="71" spans="1:5">
      <c r="B71" s="603"/>
      <c r="C71" s="603"/>
      <c r="D71" s="723"/>
      <c r="E71" s="723"/>
    </row>
    <row r="72" spans="1:5">
      <c r="A72" s="585" t="s">
        <v>863</v>
      </c>
      <c r="B72" s="603">
        <v>0</v>
      </c>
      <c r="C72" s="603">
        <v>0</v>
      </c>
      <c r="D72" s="723" t="s">
        <v>1404</v>
      </c>
      <c r="E72" s="723"/>
    </row>
  </sheetData>
  <printOptions horizontalCentered="1"/>
  <pageMargins left="0.75" right="0.75" top="1" bottom="1" header="0.68" footer="0.5"/>
  <pageSetup scale="62" orientation="portrait" r:id="rId1"/>
  <headerFooter alignWithMargins="0">
    <oddHeader>&amp;A</oddHeader>
    <oddFooter>Page 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4">
    <tabColor theme="7" tint="0.59999389629810485"/>
    <pageSetUpPr fitToPage="1"/>
  </sheetPr>
  <dimension ref="A1:I56"/>
  <sheetViews>
    <sheetView zoomScaleNormal="100" workbookViewId="0">
      <pane ySplit="8" topLeftCell="A45" activePane="bottomLeft" state="frozen"/>
      <selection activeCell="H15" sqref="H15"/>
      <selection pane="bottomLeft" activeCell="J23" sqref="J23"/>
    </sheetView>
  </sheetViews>
  <sheetFormatPr defaultColWidth="9.21875" defaultRowHeight="13.2"/>
  <cols>
    <col min="1" max="1" width="9.77734375" style="236" customWidth="1"/>
    <col min="2" max="2" width="10.44140625" style="236" customWidth="1"/>
    <col min="3" max="3" width="10.21875" style="236" customWidth="1"/>
    <col min="4" max="4" width="12.77734375" style="236" customWidth="1"/>
    <col min="5" max="5" width="15.44140625" style="236" customWidth="1"/>
    <col min="6" max="6" width="18.5546875" style="236" customWidth="1"/>
    <col min="7" max="7" width="14.44140625" style="236" customWidth="1"/>
    <col min="8" max="8" width="9.21875" style="236" customWidth="1"/>
    <col min="9" max="9" width="9.77734375" style="236" customWidth="1"/>
    <col min="10" max="10" width="9.21875" style="236"/>
    <col min="11" max="11" width="9.77734375" style="236" customWidth="1"/>
    <col min="12" max="16384" width="9.21875" style="236"/>
  </cols>
  <sheetData>
    <row r="1" spans="1:8">
      <c r="A1" s="236" t="s">
        <v>901</v>
      </c>
    </row>
    <row r="2" spans="1:8">
      <c r="A2" s="236" t="s">
        <v>938</v>
      </c>
    </row>
    <row r="3" spans="1:8">
      <c r="A3" s="265" t="s">
        <v>937</v>
      </c>
    </row>
    <row r="4" spans="1:8">
      <c r="A4" s="266" t="str">
        <f>'Average Meter Type'!A4</f>
        <v>Twelve Months Ended December 31, 2019</v>
      </c>
    </row>
    <row r="6" spans="1:8">
      <c r="A6" s="266">
        <f>'Average Meter Type'!A6</f>
        <v>0</v>
      </c>
    </row>
    <row r="8" spans="1:8">
      <c r="A8" s="236" t="s">
        <v>936</v>
      </c>
      <c r="B8" s="236" t="s">
        <v>935</v>
      </c>
      <c r="C8" s="236" t="s">
        <v>934</v>
      </c>
      <c r="D8" s="266" t="str">
        <f>'Average Meter Type'!D8</f>
        <v>2019 Total Cost</v>
      </c>
      <c r="E8" s="266" t="str">
        <f>'Average Meter Type'!E8</f>
        <v>Average AMI module cost</v>
      </c>
      <c r="F8" s="236" t="s">
        <v>933</v>
      </c>
      <c r="G8" s="236" t="s">
        <v>932</v>
      </c>
      <c r="H8" s="264" t="s">
        <v>873</v>
      </c>
    </row>
    <row r="9" spans="1:8">
      <c r="A9" s="262" t="s">
        <v>398</v>
      </c>
      <c r="E9" s="266"/>
    </row>
    <row r="10" spans="1:8">
      <c r="B10" s="236" t="s">
        <v>886</v>
      </c>
      <c r="C10" s="269">
        <v>0</v>
      </c>
      <c r="D10" s="268">
        <f>VLOOKUP(B10,Cost,4)</f>
        <v>903.30047407434483</v>
      </c>
      <c r="E10" s="754">
        <f>'Average Meter Type'!E10</f>
        <v>108.2901890287084</v>
      </c>
      <c r="F10" s="268">
        <f>C10*(D10+E10)</f>
        <v>0</v>
      </c>
    </row>
    <row r="11" spans="1:8">
      <c r="B11" s="236" t="s">
        <v>887</v>
      </c>
      <c r="C11" s="269">
        <v>0</v>
      </c>
      <c r="D11" s="268">
        <f>VLOOKUP(B11,Cost,4)</f>
        <v>240.64206570465001</v>
      </c>
      <c r="E11" s="754">
        <f>'Average Meter Type'!E11</f>
        <v>108.2901890287084</v>
      </c>
      <c r="F11" s="268">
        <f>C11*(D11+E11)</f>
        <v>0</v>
      </c>
    </row>
    <row r="12" spans="1:8">
      <c r="B12" s="236" t="s">
        <v>904</v>
      </c>
      <c r="C12" s="269">
        <v>0</v>
      </c>
      <c r="D12" s="268">
        <f>VLOOKUP(B12,Cost,4)</f>
        <v>4350.7061017707247</v>
      </c>
      <c r="E12" s="754">
        <f>'Average Meter Type'!E12</f>
        <v>108.2901890287084</v>
      </c>
      <c r="F12" s="268">
        <f>C12*(D12+E12)</f>
        <v>0</v>
      </c>
    </row>
    <row r="13" spans="1:8">
      <c r="B13" s="236" t="s">
        <v>902</v>
      </c>
      <c r="C13" s="269">
        <v>0</v>
      </c>
      <c r="D13" s="268">
        <f>VLOOKUP(B13,Cost,4)</f>
        <v>3470.6157863039771</v>
      </c>
      <c r="E13" s="754">
        <f>'Average Meter Type'!E13</f>
        <v>108.2901890287084</v>
      </c>
      <c r="F13" s="268">
        <f>C13*(D13+E13)</f>
        <v>0</v>
      </c>
    </row>
    <row r="14" spans="1:8">
      <c r="B14" s="236" t="s">
        <v>906</v>
      </c>
      <c r="C14" s="269">
        <v>0</v>
      </c>
      <c r="D14" s="268">
        <f>VLOOKUP(B14,Cost,4)</f>
        <v>33237.14720028943</v>
      </c>
      <c r="E14" s="754">
        <f>'Average Meter Type'!E14</f>
        <v>108.2901890287084</v>
      </c>
      <c r="F14" s="268">
        <f>C14*(D14+E14)</f>
        <v>0</v>
      </c>
    </row>
    <row r="15" spans="1:8">
      <c r="A15" s="261">
        <f>'Average Meter Type'!A15</f>
        <v>165361.58333333334</v>
      </c>
      <c r="E15" s="754">
        <f>'Average Meter Type'!E15</f>
        <v>0</v>
      </c>
      <c r="F15" s="271">
        <f>SUM(F10:F14)</f>
        <v>0</v>
      </c>
      <c r="G15" s="736">
        <f>F15/A15</f>
        <v>0</v>
      </c>
    </row>
    <row r="16" spans="1:8">
      <c r="A16" s="269"/>
      <c r="E16" s="754">
        <f>'Average Meter Type'!E16</f>
        <v>0</v>
      </c>
      <c r="F16" s="270"/>
      <c r="G16" s="268"/>
    </row>
    <row r="17" spans="1:9">
      <c r="A17" s="262" t="s">
        <v>931</v>
      </c>
      <c r="E17" s="754">
        <f>'Average Meter Type'!E17</f>
        <v>0</v>
      </c>
    </row>
    <row r="18" spans="1:9">
      <c r="B18" s="236" t="s">
        <v>886</v>
      </c>
      <c r="C18" s="269">
        <v>0</v>
      </c>
      <c r="D18" s="268">
        <f>VLOOKUP(B18,Cost,4)</f>
        <v>903.30047407434483</v>
      </c>
      <c r="E18" s="754">
        <f>'Average Meter Type'!E18</f>
        <v>128.19145412388207</v>
      </c>
      <c r="F18" s="268">
        <f>C18*(D18+E18)</f>
        <v>0</v>
      </c>
    </row>
    <row r="19" spans="1:9">
      <c r="B19" s="236" t="s">
        <v>887</v>
      </c>
      <c r="C19" s="269">
        <v>0</v>
      </c>
      <c r="D19" s="268">
        <f>VLOOKUP(B19,Cost,4)</f>
        <v>240.64206570465001</v>
      </c>
      <c r="E19" s="754">
        <f>'Average Meter Type'!E19</f>
        <v>128.19145412388207</v>
      </c>
      <c r="F19" s="268">
        <f>C19*(D19+E19)</f>
        <v>0</v>
      </c>
    </row>
    <row r="20" spans="1:9">
      <c r="B20" s="236" t="s">
        <v>904</v>
      </c>
      <c r="C20" s="261">
        <f>'Average Meter Type'!C20</f>
        <v>468.09210026585646</v>
      </c>
      <c r="D20" s="268">
        <f>VLOOKUP(B20,Cost,4)</f>
        <v>4350.7061017707247</v>
      </c>
      <c r="E20" s="754">
        <f>'Average Meter Type'!E20</f>
        <v>128.19145412388207</v>
      </c>
      <c r="F20" s="268">
        <f>C20*(D20+E20)</f>
        <v>2096536.5638143178</v>
      </c>
    </row>
    <row r="21" spans="1:9">
      <c r="B21" s="236" t="s">
        <v>902</v>
      </c>
      <c r="C21" s="261">
        <f>'Average Meter Type'!C21</f>
        <v>544.19464489175846</v>
      </c>
      <c r="D21" s="268">
        <f>VLOOKUP(B21,Cost,4)</f>
        <v>3470.6157863039771</v>
      </c>
      <c r="E21" s="754">
        <f>'Average Meter Type'!E21</f>
        <v>128.19145412388207</v>
      </c>
      <c r="F21" s="268">
        <f>C21*(D21+E21)</f>
        <v>1958451.628238528</v>
      </c>
    </row>
    <row r="22" spans="1:9">
      <c r="B22" s="236" t="s">
        <v>906</v>
      </c>
      <c r="C22" s="261">
        <f>'Average Meter Type'!C22</f>
        <v>4.7162932016710979</v>
      </c>
      <c r="D22" s="268">
        <f>VLOOKUP(B22,Cost,4)</f>
        <v>33237.14720028943</v>
      </c>
      <c r="E22" s="754">
        <f>'Average Meter Type'!E22</f>
        <v>128.19145412388207</v>
      </c>
      <c r="F22" s="268">
        <f>C22*(D22+E22)</f>
        <v>157360.7198672634</v>
      </c>
    </row>
    <row r="23" spans="1:9">
      <c r="A23" s="261">
        <f>'Average Meter Type'!A23</f>
        <v>3104.5</v>
      </c>
      <c r="E23" s="754">
        <f>'Average Meter Type'!E23</f>
        <v>0</v>
      </c>
      <c r="F23" s="258">
        <f>SUM(F18:F22)</f>
        <v>4212348.9119201088</v>
      </c>
      <c r="G23" s="268">
        <f>F23/A23</f>
        <v>1356.8526049025959</v>
      </c>
      <c r="H23" s="257">
        <f>G23/$G$23</f>
        <v>1</v>
      </c>
    </row>
    <row r="24" spans="1:9">
      <c r="E24" s="754">
        <f>'Average Meter Type'!E24</f>
        <v>0</v>
      </c>
      <c r="H24" s="260"/>
    </row>
    <row r="25" spans="1:9">
      <c r="A25" s="262" t="s">
        <v>930</v>
      </c>
      <c r="E25" s="754">
        <f>'Average Meter Type'!E25</f>
        <v>0</v>
      </c>
      <c r="H25" s="260"/>
    </row>
    <row r="26" spans="1:9">
      <c r="B26" s="236" t="s">
        <v>886</v>
      </c>
      <c r="C26" s="261">
        <v>0</v>
      </c>
      <c r="D26" s="268">
        <f>VLOOKUP(B26,Cost,4)</f>
        <v>903.30047407434483</v>
      </c>
      <c r="E26" s="754">
        <f>'Average Meter Type'!E26</f>
        <v>0</v>
      </c>
      <c r="F26" s="268">
        <f>C26*D26</f>
        <v>0</v>
      </c>
      <c r="H26" s="260"/>
    </row>
    <row r="27" spans="1:9">
      <c r="B27" s="236" t="s">
        <v>887</v>
      </c>
      <c r="C27" s="261">
        <f>'Average Meter Type'!C27</f>
        <v>0</v>
      </c>
      <c r="D27" s="268">
        <f>VLOOKUP(B27,Cost,4)</f>
        <v>240.64206570465001</v>
      </c>
      <c r="E27" s="754">
        <f>'Average Meter Type'!E27</f>
        <v>0</v>
      </c>
      <c r="F27" s="268">
        <f>C27*D27</f>
        <v>0</v>
      </c>
      <c r="H27" s="260"/>
    </row>
    <row r="28" spans="1:9">
      <c r="B28" s="236" t="s">
        <v>904</v>
      </c>
      <c r="C28" s="261">
        <f>'Average Meter Type'!C28</f>
        <v>0</v>
      </c>
      <c r="D28" s="268">
        <f>VLOOKUP(B28,Cost,4)</f>
        <v>4350.7061017707247</v>
      </c>
      <c r="E28" s="754">
        <f>'Average Meter Type'!E28</f>
        <v>0</v>
      </c>
      <c r="F28" s="268">
        <f>C28*D28</f>
        <v>0</v>
      </c>
      <c r="H28" s="260"/>
    </row>
    <row r="29" spans="1:9">
      <c r="B29" s="236" t="s">
        <v>902</v>
      </c>
      <c r="C29" s="261">
        <f>'Average Meter Type'!C29</f>
        <v>0</v>
      </c>
      <c r="D29" s="268">
        <f>VLOOKUP(B29,Cost,4)</f>
        <v>3470.6157863039771</v>
      </c>
      <c r="E29" s="754">
        <f>'Average Meter Type'!E29</f>
        <v>0</v>
      </c>
      <c r="F29" s="268">
        <f>C29*D29</f>
        <v>0</v>
      </c>
      <c r="H29" s="260"/>
    </row>
    <row r="30" spans="1:9">
      <c r="B30" s="236" t="s">
        <v>906</v>
      </c>
      <c r="C30" s="261">
        <f>'Average Meter Type'!C30</f>
        <v>0</v>
      </c>
      <c r="D30" s="268">
        <f>VLOOKUP(B30,Cost,4)</f>
        <v>33237.14720028943</v>
      </c>
      <c r="E30" s="754">
        <f>'Average Meter Type'!E30</f>
        <v>0</v>
      </c>
      <c r="F30" s="268">
        <f>C30*D30</f>
        <v>0</v>
      </c>
      <c r="H30" s="260"/>
    </row>
    <row r="31" spans="1:9">
      <c r="A31" s="261">
        <f>'Average Meter Type'!A31</f>
        <v>8.3333333333333339E-4</v>
      </c>
      <c r="E31" s="754">
        <f>'Average Meter Type'!E31</f>
        <v>0</v>
      </c>
      <c r="F31" s="258">
        <f>SUM(F26:F30)</f>
        <v>0</v>
      </c>
      <c r="G31" s="268">
        <f>F31/A31</f>
        <v>0</v>
      </c>
      <c r="H31" s="257">
        <f>G31/$G$23</f>
        <v>0</v>
      </c>
      <c r="I31" s="256"/>
    </row>
    <row r="32" spans="1:9">
      <c r="E32" s="754">
        <f>'Average Meter Type'!E32</f>
        <v>0</v>
      </c>
      <c r="H32" s="260"/>
    </row>
    <row r="33" spans="1:9">
      <c r="A33" s="262" t="s">
        <v>929</v>
      </c>
      <c r="E33" s="754">
        <f>'Average Meter Type'!E33</f>
        <v>0</v>
      </c>
      <c r="H33" s="260"/>
    </row>
    <row r="34" spans="1:9">
      <c r="B34" s="236" t="s">
        <v>886</v>
      </c>
      <c r="C34" s="261">
        <f>'Meters 121_131_146'!C37</f>
        <v>0</v>
      </c>
      <c r="D34" s="268">
        <f>VLOOKUP(B34,Cost,4)</f>
        <v>903.30047407434483</v>
      </c>
      <c r="E34" s="754">
        <f>'Average Meter Type'!E34</f>
        <v>180</v>
      </c>
      <c r="F34" s="268">
        <f>C34*(D34+E34)</f>
        <v>0</v>
      </c>
      <c r="H34" s="260"/>
    </row>
    <row r="35" spans="1:9">
      <c r="B35" s="236" t="s">
        <v>887</v>
      </c>
      <c r="C35" s="261">
        <f>'Meters 121_131_146'!C38</f>
        <v>0</v>
      </c>
      <c r="D35" s="268">
        <f>VLOOKUP(B35,Cost,4)</f>
        <v>240.64206570465001</v>
      </c>
      <c r="E35" s="754">
        <f>'Average Meter Type'!E35</f>
        <v>180</v>
      </c>
      <c r="F35" s="268">
        <f>C35*(D35+E35)</f>
        <v>0</v>
      </c>
      <c r="H35" s="260"/>
    </row>
    <row r="36" spans="1:9">
      <c r="B36" s="236" t="s">
        <v>904</v>
      </c>
      <c r="C36" s="261">
        <f>'Average Meter Type'!C36</f>
        <v>0</v>
      </c>
      <c r="D36" s="268">
        <f>VLOOKUP(B36,Cost,4)</f>
        <v>4350.7061017707247</v>
      </c>
      <c r="E36" s="754">
        <f>'Average Meter Type'!E36</f>
        <v>180</v>
      </c>
      <c r="F36" s="268">
        <f>C36*(D36+E36)</f>
        <v>0</v>
      </c>
      <c r="H36" s="260"/>
    </row>
    <row r="37" spans="1:9">
      <c r="B37" s="236" t="s">
        <v>902</v>
      </c>
      <c r="C37" s="261">
        <f>'Average Meter Type'!C37</f>
        <v>0</v>
      </c>
      <c r="D37" s="268">
        <f>VLOOKUP(B37,Cost,4)</f>
        <v>3470.6157863039771</v>
      </c>
      <c r="E37" s="754">
        <f>'Average Meter Type'!E37</f>
        <v>180</v>
      </c>
      <c r="F37" s="268">
        <f>C37*(D37+E37)</f>
        <v>0</v>
      </c>
      <c r="H37" s="260"/>
    </row>
    <row r="38" spans="1:9">
      <c r="B38" s="236" t="s">
        <v>906</v>
      </c>
      <c r="C38" s="261">
        <f>'Average Meter Type'!C38</f>
        <v>2</v>
      </c>
      <c r="D38" s="268">
        <f>VLOOKUP(B38,Cost,4)</f>
        <v>33237.14720028943</v>
      </c>
      <c r="E38" s="754">
        <f>'Average Meter Type'!E38</f>
        <v>180</v>
      </c>
      <c r="F38" s="268">
        <f>C38*(D38+E38)</f>
        <v>66834.294400578859</v>
      </c>
      <c r="H38" s="260"/>
    </row>
    <row r="39" spans="1:9">
      <c r="A39" s="261">
        <f>'Average Meter Type'!A39</f>
        <v>2</v>
      </c>
      <c r="E39" s="754">
        <f>'Average Meter Type'!E39</f>
        <v>0</v>
      </c>
      <c r="F39" s="258">
        <f>SUM(F34:F38)</f>
        <v>66834.294400578859</v>
      </c>
      <c r="G39" s="268">
        <f>F39/A39</f>
        <v>33417.14720028943</v>
      </c>
      <c r="H39" s="257">
        <f>G39/$G$23</f>
        <v>24.628428378695077</v>
      </c>
      <c r="I39" s="256"/>
    </row>
    <row r="40" spans="1:9">
      <c r="E40" s="754">
        <f>'Average Meter Type'!E40</f>
        <v>0</v>
      </c>
      <c r="H40" s="260"/>
    </row>
    <row r="41" spans="1:9">
      <c r="A41" s="262" t="s">
        <v>402</v>
      </c>
      <c r="E41" s="754">
        <f>'Average Meter Type'!E41</f>
        <v>0</v>
      </c>
      <c r="H41" s="260"/>
    </row>
    <row r="42" spans="1:9">
      <c r="B42" s="236" t="s">
        <v>886</v>
      </c>
      <c r="C42" s="261">
        <v>0</v>
      </c>
      <c r="D42" s="268">
        <f>VLOOKUP(B42,Cost,4)</f>
        <v>903.30047407434483</v>
      </c>
      <c r="E42" s="754">
        <f>'Average Meter Type'!E42</f>
        <v>0</v>
      </c>
      <c r="F42" s="268">
        <f>C42*(D42+E42)</f>
        <v>0</v>
      </c>
      <c r="H42" s="260"/>
    </row>
    <row r="43" spans="1:9">
      <c r="B43" s="236" t="s">
        <v>887</v>
      </c>
      <c r="C43" s="261">
        <v>0</v>
      </c>
      <c r="D43" s="268">
        <f>VLOOKUP(B43,Cost,4)</f>
        <v>240.64206570465001</v>
      </c>
      <c r="E43" s="754">
        <f>'Average Meter Type'!E43</f>
        <v>0</v>
      </c>
      <c r="F43" s="268">
        <f>C43*(D43+E43)</f>
        <v>0</v>
      </c>
      <c r="H43" s="260"/>
    </row>
    <row r="44" spans="1:9">
      <c r="B44" s="236" t="s">
        <v>904</v>
      </c>
      <c r="C44" s="261">
        <f>'Average Meter Type'!C44</f>
        <v>8</v>
      </c>
      <c r="D44" s="268">
        <f>VLOOKUP(B44,Cost,4)</f>
        <v>4350.7061017707247</v>
      </c>
      <c r="E44" s="754">
        <f>'Average Meter Type'!E44</f>
        <v>0</v>
      </c>
      <c r="F44" s="268">
        <f>C44*(D44+E44)</f>
        <v>34805.648814165797</v>
      </c>
      <c r="H44" s="260"/>
    </row>
    <row r="45" spans="1:9">
      <c r="B45" s="236" t="s">
        <v>902</v>
      </c>
      <c r="C45" s="261">
        <f>'Average Meter Type'!C45</f>
        <v>19</v>
      </c>
      <c r="D45" s="268">
        <f>VLOOKUP(B45,Cost,4)</f>
        <v>3470.6157863039771</v>
      </c>
      <c r="E45" s="754">
        <f>'Average Meter Type'!E45</f>
        <v>0</v>
      </c>
      <c r="F45" s="268">
        <f>C45*(D45+E45)</f>
        <v>65941.699939775572</v>
      </c>
      <c r="H45" s="260"/>
    </row>
    <row r="46" spans="1:9">
      <c r="B46" s="236" t="s">
        <v>906</v>
      </c>
      <c r="C46" s="261">
        <f>'Average Meter Type'!C46</f>
        <v>14</v>
      </c>
      <c r="D46" s="268">
        <f>VLOOKUP(B46,Cost,4)</f>
        <v>33237.14720028943</v>
      </c>
      <c r="E46" s="754">
        <f>'Average Meter Type'!E46</f>
        <v>0</v>
      </c>
      <c r="F46" s="268">
        <f>C46*(D46+E46)</f>
        <v>465320.06080405205</v>
      </c>
      <c r="H46" s="260"/>
    </row>
    <row r="47" spans="1:9">
      <c r="A47" s="261">
        <f>'Average Meter Type'!A47</f>
        <v>38</v>
      </c>
      <c r="F47" s="258">
        <f>SUM(F42:F46)</f>
        <v>566067.40955799341</v>
      </c>
      <c r="G47" s="268">
        <f>F47/A47</f>
        <v>14896.510777841931</v>
      </c>
      <c r="H47" s="257">
        <f>G47/$G$23</f>
        <v>10.978724383192162</v>
      </c>
      <c r="I47" s="256"/>
    </row>
    <row r="48" spans="1:9">
      <c r="H48" s="260"/>
    </row>
    <row r="49" spans="1:8">
      <c r="A49" s="269"/>
      <c r="F49" s="254"/>
      <c r="G49" s="268"/>
      <c r="H49" s="257"/>
    </row>
    <row r="50" spans="1:8">
      <c r="A50" s="269"/>
      <c r="F50" s="254"/>
      <c r="G50" s="268"/>
      <c r="H50" s="257"/>
    </row>
    <row r="51" spans="1:8">
      <c r="A51" s="253" t="str">
        <f>'Average Meter Type'!A51</f>
        <v>Equip Type</v>
      </c>
      <c r="B51" s="252" t="str">
        <f>'Average Meter Type'!B51</f>
        <v>Orig Cost</v>
      </c>
      <c r="C51" s="252" t="str">
        <f>'Average Meter Type'!C51</f>
        <v>Install Cost</v>
      </c>
      <c r="D51" s="251" t="str">
        <f>'Average Meter Type'!D51</f>
        <v>2019 Total Cost</v>
      </c>
      <c r="E51" s="251"/>
    </row>
    <row r="52" spans="1:8">
      <c r="A52" s="236" t="str">
        <f>'Average Meter Type'!A52</f>
        <v>COM</v>
      </c>
      <c r="B52" s="267">
        <f>'Average Meter Type'!B52</f>
        <v>794.03842639023321</v>
      </c>
      <c r="C52" s="267">
        <f>'Average Meter Type'!C52</f>
        <v>109.26204768411159</v>
      </c>
      <c r="D52" s="267">
        <f>'Average Meter Type'!D52</f>
        <v>903.30047407434483</v>
      </c>
      <c r="E52" s="267"/>
    </row>
    <row r="53" spans="1:8">
      <c r="A53" s="236" t="str">
        <f>'Average Meter Type'!A53</f>
        <v>DOM</v>
      </c>
      <c r="B53" s="267">
        <f>'Average Meter Type'!B53</f>
        <v>150.78693367965002</v>
      </c>
      <c r="C53" s="267">
        <f>'Average Meter Type'!C53</f>
        <v>89.855132025000003</v>
      </c>
      <c r="D53" s="267">
        <f>'Average Meter Type'!D53</f>
        <v>240.64206570465001</v>
      </c>
      <c r="E53" s="267"/>
    </row>
    <row r="54" spans="1:8">
      <c r="A54" s="236" t="str">
        <f>'Average Meter Type'!A54</f>
        <v>IND</v>
      </c>
      <c r="B54" s="267">
        <f>'Average Meter Type'!B54</f>
        <v>4032.001599260725</v>
      </c>
      <c r="C54" s="267">
        <f>'Average Meter Type'!C54</f>
        <v>318.70450251000005</v>
      </c>
      <c r="D54" s="267">
        <f>'Average Meter Type'!D54</f>
        <v>4350.7061017707247</v>
      </c>
      <c r="E54" s="267"/>
    </row>
    <row r="55" spans="1:8">
      <c r="A55" s="236" t="str">
        <f>'Average Meter Type'!A55</f>
        <v>ROT</v>
      </c>
      <c r="B55" s="267">
        <f>'Average Meter Type'!B55</f>
        <v>2760.3940950539773</v>
      </c>
      <c r="C55" s="267">
        <f>'Average Meter Type'!C55</f>
        <v>710.22169124999982</v>
      </c>
      <c r="D55" s="267">
        <f>'Average Meter Type'!D55</f>
        <v>3470.6157863039771</v>
      </c>
      <c r="E55" s="267"/>
    </row>
    <row r="56" spans="1:8">
      <c r="A56" s="236" t="str">
        <f>'Average Meter Type'!A56</f>
        <v>TBN</v>
      </c>
      <c r="B56" s="267">
        <f>'Average Meter Type'!B56</f>
        <v>27744.32</v>
      </c>
      <c r="C56" s="267">
        <f>'Average Meter Type'!C56</f>
        <v>5492.8272002894264</v>
      </c>
      <c r="D56" s="267">
        <f>'Average Meter Type'!D56</f>
        <v>33237.14720028943</v>
      </c>
      <c r="E56" s="267"/>
    </row>
  </sheetData>
  <printOptions horizontalCentered="1"/>
  <pageMargins left="0.75" right="0.75" top="1" bottom="1" header="0.68" footer="0.5"/>
  <pageSetup scale="90" orientation="portrait" r:id="rId1"/>
  <headerFooter alignWithMargins="0">
    <oddHeader>&amp;A</oddHeader>
    <oddFooter>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5">
    <tabColor rgb="FF00B0F0"/>
  </sheetPr>
  <dimension ref="A1:H21"/>
  <sheetViews>
    <sheetView zoomScaleNormal="100" zoomScaleSheetLayoutView="100" workbookViewId="0">
      <selection activeCell="E16" sqref="E16"/>
    </sheetView>
  </sheetViews>
  <sheetFormatPr defaultColWidth="9.21875" defaultRowHeight="13.2"/>
  <cols>
    <col min="1" max="4" width="9.21875" style="236"/>
    <col min="5" max="5" width="11" style="236" customWidth="1"/>
    <col min="6" max="16384" width="9.21875" style="236"/>
  </cols>
  <sheetData>
    <row r="1" spans="1:8">
      <c r="A1" s="236" t="s">
        <v>901</v>
      </c>
    </row>
    <row r="2" spans="1:8">
      <c r="A2" s="236" t="s">
        <v>940</v>
      </c>
    </row>
    <row r="3" spans="1:8">
      <c r="A3" s="236" t="s">
        <v>898</v>
      </c>
    </row>
    <row r="4" spans="1:8">
      <c r="A4" s="576" t="s">
        <v>1236</v>
      </c>
      <c r="B4" s="238"/>
      <c r="C4" s="238"/>
      <c r="D4" s="238"/>
    </row>
    <row r="7" spans="1:8">
      <c r="A7" s="260" t="s">
        <v>945</v>
      </c>
    </row>
    <row r="9" spans="1:8">
      <c r="A9" s="236" t="s">
        <v>944</v>
      </c>
      <c r="E9" s="468">
        <f>PROFORMA!AT136</f>
        <v>638000</v>
      </c>
    </row>
    <row r="10" spans="1:8">
      <c r="E10" s="466"/>
    </row>
    <row r="11" spans="1:8">
      <c r="A11" s="236" t="s">
        <v>182</v>
      </c>
      <c r="E11" s="533">
        <v>295440</v>
      </c>
      <c r="G11" s="238" t="s">
        <v>1146</v>
      </c>
      <c r="H11" s="238"/>
    </row>
    <row r="12" spans="1:8">
      <c r="A12" s="236" t="s">
        <v>1188</v>
      </c>
      <c r="E12" s="468">
        <f>PROFORMA!T136</f>
        <v>-8000</v>
      </c>
      <c r="G12" s="238" t="s">
        <v>1189</v>
      </c>
      <c r="H12" s="238"/>
    </row>
    <row r="13" spans="1:8">
      <c r="A13" s="236" t="s">
        <v>1190</v>
      </c>
      <c r="E13" s="468">
        <f>PROFORMA!U136</f>
        <v>0</v>
      </c>
      <c r="G13" s="238" t="s">
        <v>1191</v>
      </c>
      <c r="H13" s="238"/>
    </row>
    <row r="14" spans="1:8">
      <c r="A14" s="236" t="s">
        <v>1200</v>
      </c>
      <c r="E14" s="468">
        <f>PROFORMA!V136</f>
        <v>-31000</v>
      </c>
      <c r="G14" s="238" t="s">
        <v>1202</v>
      </c>
      <c r="H14" s="238"/>
    </row>
    <row r="15" spans="1:8">
      <c r="A15" s="236" t="s">
        <v>1201</v>
      </c>
      <c r="E15" s="468">
        <f>PROFORMA!AC136</f>
        <v>17000</v>
      </c>
      <c r="G15" s="238" t="s">
        <v>1342</v>
      </c>
      <c r="H15" s="238"/>
    </row>
    <row r="16" spans="1:8">
      <c r="A16" s="236" t="s">
        <v>943</v>
      </c>
      <c r="E16" s="468">
        <f>PROFORMA!Z136</f>
        <v>-83000</v>
      </c>
      <c r="G16" s="238" t="s">
        <v>1229</v>
      </c>
      <c r="H16" s="238"/>
    </row>
    <row r="17" spans="1:5">
      <c r="A17" s="236" t="s">
        <v>942</v>
      </c>
      <c r="E17" s="275">
        <f>SUM(E11:E16)</f>
        <v>190440</v>
      </c>
    </row>
    <row r="18" spans="1:5">
      <c r="E18" s="255"/>
    </row>
    <row r="19" spans="1:5">
      <c r="A19" s="236" t="s">
        <v>941</v>
      </c>
      <c r="E19" s="255">
        <f>E9-E17</f>
        <v>447560</v>
      </c>
    </row>
    <row r="20" spans="1:5">
      <c r="E20" s="255"/>
    </row>
    <row r="21" spans="1:5">
      <c r="E21" s="469"/>
    </row>
  </sheetData>
  <printOptions horizontalCentered="1"/>
  <pageMargins left="0.75" right="0.75" top="1.25" bottom="1" header="0.75" footer="0.5"/>
  <pageSetup orientation="portrait" r:id="rId1"/>
  <headerFooter alignWithMargins="0">
    <oddHeader>&amp;A</oddHeader>
    <oddFooter>&amp;R&amp;F 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6">
    <tabColor rgb="FF00B0F0"/>
  </sheetPr>
  <dimension ref="A1:M30"/>
  <sheetViews>
    <sheetView zoomScaleNormal="100" zoomScaleSheetLayoutView="100" workbookViewId="0">
      <selection activeCell="H25" sqref="H25"/>
    </sheetView>
  </sheetViews>
  <sheetFormatPr defaultColWidth="9.21875" defaultRowHeight="13.2"/>
  <cols>
    <col min="1" max="2" width="9.21875" style="236"/>
    <col min="3" max="3" width="14.44140625" style="236" customWidth="1"/>
    <col min="4" max="4" width="10.5546875" style="236" customWidth="1"/>
    <col min="5" max="5" width="13" style="236" customWidth="1"/>
    <col min="6" max="7" width="10.5546875" style="236" customWidth="1"/>
    <col min="8" max="16384" width="9.21875" style="236"/>
  </cols>
  <sheetData>
    <row r="1" spans="1:7">
      <c r="A1" s="236" t="s">
        <v>901</v>
      </c>
    </row>
    <row r="2" spans="1:7">
      <c r="A2" s="236" t="s">
        <v>940</v>
      </c>
    </row>
    <row r="3" spans="1:7">
      <c r="A3" s="236" t="s">
        <v>898</v>
      </c>
    </row>
    <row r="4" spans="1:7">
      <c r="A4" s="236" t="str">
        <f>'Acct 928'!A4</f>
        <v>Twelve Months Ended December 31, 2019</v>
      </c>
    </row>
    <row r="7" spans="1:7">
      <c r="A7" s="260" t="s">
        <v>956</v>
      </c>
    </row>
    <row r="9" spans="1:7">
      <c r="A9" s="244" t="s">
        <v>955</v>
      </c>
      <c r="B9" s="244"/>
      <c r="C9" s="244"/>
      <c r="D9" s="282"/>
      <c r="E9" s="280"/>
    </row>
    <row r="10" spans="1:7">
      <c r="A10" s="244" t="s">
        <v>1237</v>
      </c>
      <c r="B10" s="244"/>
      <c r="C10" s="244"/>
      <c r="D10" s="244"/>
      <c r="E10" s="280"/>
    </row>
    <row r="11" spans="1:7">
      <c r="A11" s="273" t="s">
        <v>954</v>
      </c>
      <c r="B11" s="244"/>
      <c r="C11" s="244"/>
      <c r="D11" s="244"/>
      <c r="E11" s="277"/>
    </row>
    <row r="12" spans="1:7">
      <c r="A12" s="244"/>
      <c r="B12" s="244"/>
      <c r="C12" s="244"/>
      <c r="D12" s="244"/>
      <c r="E12" s="244"/>
    </row>
    <row r="13" spans="1:7">
      <c r="A13" s="273"/>
      <c r="B13" s="244"/>
      <c r="C13" s="244"/>
      <c r="D13" s="244"/>
      <c r="E13" s="264" t="s">
        <v>953</v>
      </c>
    </row>
    <row r="14" spans="1:7">
      <c r="A14" s="244"/>
      <c r="B14" s="244"/>
      <c r="C14" s="277"/>
      <c r="D14" s="264" t="s">
        <v>120</v>
      </c>
      <c r="E14" s="264" t="s">
        <v>952</v>
      </c>
      <c r="F14" s="264" t="s">
        <v>951</v>
      </c>
      <c r="G14" s="281" t="s">
        <v>950</v>
      </c>
    </row>
    <row r="15" spans="1:7">
      <c r="A15" s="244" t="s">
        <v>939</v>
      </c>
      <c r="B15" s="244"/>
      <c r="C15" s="280"/>
      <c r="D15" s="551">
        <f>PROFORMA!F31</f>
        <v>871000</v>
      </c>
      <c r="E15" s="522">
        <v>0.26290000000000002</v>
      </c>
      <c r="F15" s="261">
        <f>ROUND(D15*E15,-3)</f>
        <v>229000</v>
      </c>
      <c r="G15" s="272">
        <f>D15-F15</f>
        <v>642000</v>
      </c>
    </row>
    <row r="16" spans="1:7">
      <c r="A16" s="273" t="s">
        <v>1230</v>
      </c>
      <c r="B16" s="244"/>
      <c r="C16" s="280"/>
      <c r="D16" s="551">
        <f>PROFORMA!AC31</f>
        <v>30000</v>
      </c>
      <c r="E16" s="552">
        <f>E15</f>
        <v>0.26290000000000002</v>
      </c>
      <c r="F16" s="261">
        <f>ROUND(D16*E16,-3)</f>
        <v>8000</v>
      </c>
      <c r="G16" s="272">
        <f>D16-F16</f>
        <v>22000</v>
      </c>
    </row>
    <row r="17" spans="1:13">
      <c r="A17" s="273" t="s">
        <v>1232</v>
      </c>
      <c r="B17" s="244"/>
      <c r="C17" s="277"/>
      <c r="D17" s="551">
        <f>PROFORMA!AD31</f>
        <v>0</v>
      </c>
      <c r="E17" s="552">
        <f>E15</f>
        <v>0.26290000000000002</v>
      </c>
      <c r="F17" s="261">
        <f>ROUND(D17*E17,-3)</f>
        <v>0</v>
      </c>
      <c r="G17" s="272">
        <f>D17-F17</f>
        <v>0</v>
      </c>
    </row>
    <row r="18" spans="1:13">
      <c r="A18" s="273" t="s">
        <v>1231</v>
      </c>
      <c r="B18" s="244"/>
      <c r="C18" s="277"/>
      <c r="D18" s="551">
        <f>PROFORMA!AE31</f>
        <v>10000</v>
      </c>
      <c r="E18" s="552">
        <f>E15</f>
        <v>0.26290000000000002</v>
      </c>
      <c r="F18" s="261">
        <f>ROUND(D18*E18,-3)</f>
        <v>3000</v>
      </c>
      <c r="G18" s="272">
        <f>D18-F18</f>
        <v>7000</v>
      </c>
    </row>
    <row r="19" spans="1:13">
      <c r="A19" s="273" t="s">
        <v>949</v>
      </c>
      <c r="B19" s="244"/>
      <c r="C19" s="277"/>
      <c r="D19" s="274">
        <f>IF(ROUND(SUM(D15:D18),0)&lt;&gt;ROUND(F19+G19,0),#VALUE!,SUM(D15:D18))</f>
        <v>911000</v>
      </c>
      <c r="F19" s="274">
        <f>SUM(F15:F18)</f>
        <v>240000</v>
      </c>
      <c r="G19" s="274">
        <f>SUM(G15:G18)</f>
        <v>671000</v>
      </c>
      <c r="M19" s="469">
        <f>D19-PROFORMA!AV31</f>
        <v>0</v>
      </c>
    </row>
    <row r="20" spans="1:13">
      <c r="A20" s="244"/>
      <c r="B20" s="244"/>
      <c r="C20" s="244"/>
      <c r="D20" s="244"/>
      <c r="E20" s="244"/>
    </row>
    <row r="21" spans="1:13">
      <c r="A21" s="244"/>
      <c r="B21" s="244" t="s">
        <v>353</v>
      </c>
      <c r="C21" s="244"/>
      <c r="D21" s="244"/>
      <c r="E21" s="244"/>
      <c r="F21" s="521">
        <v>0.75</v>
      </c>
      <c r="G21" s="521">
        <v>0.05</v>
      </c>
    </row>
    <row r="22" spans="1:13">
      <c r="A22" s="244"/>
      <c r="B22" s="244" t="s">
        <v>406</v>
      </c>
      <c r="C22" s="244"/>
      <c r="D22" s="244"/>
      <c r="E22" s="244"/>
      <c r="F22" s="279">
        <f>1-F21</f>
        <v>0.25</v>
      </c>
      <c r="G22" s="279">
        <f>1-G21</f>
        <v>0.95</v>
      </c>
    </row>
    <row r="23" spans="1:13">
      <c r="A23" s="244"/>
      <c r="B23" s="244"/>
      <c r="C23" s="244"/>
      <c r="D23" s="244"/>
      <c r="E23" s="278"/>
    </row>
    <row r="24" spans="1:13">
      <c r="A24" s="244"/>
      <c r="B24" s="244" t="s">
        <v>353</v>
      </c>
      <c r="C24" s="244"/>
      <c r="D24" s="277">
        <f>F24+G24</f>
        <v>213550</v>
      </c>
      <c r="E24" s="244"/>
      <c r="F24" s="261">
        <f>F$19*F21</f>
        <v>180000</v>
      </c>
      <c r="G24" s="261">
        <f>G$19*G21</f>
        <v>33550</v>
      </c>
    </row>
    <row r="25" spans="1:13">
      <c r="A25" s="244"/>
      <c r="B25" s="244" t="s">
        <v>406</v>
      </c>
      <c r="C25" s="244"/>
      <c r="D25" s="277">
        <f>F25+G25</f>
        <v>697450</v>
      </c>
      <c r="E25" s="244"/>
      <c r="F25" s="261">
        <f>F$19*F22</f>
        <v>60000</v>
      </c>
      <c r="G25" s="261">
        <f>G$19*G22</f>
        <v>637450</v>
      </c>
    </row>
    <row r="26" spans="1:13">
      <c r="A26" s="244"/>
      <c r="B26" s="244"/>
      <c r="C26" s="244"/>
      <c r="D26" s="277"/>
      <c r="E26" s="244"/>
      <c r="F26" s="261"/>
      <c r="G26" s="261"/>
    </row>
    <row r="27" spans="1:13">
      <c r="B27" s="244" t="s">
        <v>948</v>
      </c>
      <c r="E27" s="276">
        <f>ROUND(D24/SUM($D$24:$D$25),4)</f>
        <v>0.2344</v>
      </c>
    </row>
    <row r="28" spans="1:13">
      <c r="B28" s="244" t="s">
        <v>947</v>
      </c>
      <c r="E28" s="276">
        <f>ROUND(D25/SUM($D$24:$D$25),4)</f>
        <v>0.76559999999999995</v>
      </c>
    </row>
    <row r="30" spans="1:13">
      <c r="B30" s="236" t="s">
        <v>946</v>
      </c>
    </row>
  </sheetData>
  <conditionalFormatting sqref="M19">
    <cfRule type="cellIs" dxfId="1" priority="1" operator="notEqual">
      <formula>0</formula>
    </cfRule>
    <cfRule type="cellIs" dxfId="0" priority="2" operator="greaterThan">
      <formula>0</formula>
    </cfRule>
  </conditionalFormatting>
  <printOptions horizontalCentered="1"/>
  <pageMargins left="0.75" right="0.75" top="1.25" bottom="1" header="0.75" footer="0.5"/>
  <pageSetup orientation="portrait" r:id="rId1"/>
  <headerFooter alignWithMargins="0">
    <oddHeader>&amp;A</oddHeader>
    <oddFooter>&amp;R&amp;F 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7">
    <tabColor rgb="FF00B0F0"/>
    <pageSetUpPr autoPageBreaks="0"/>
  </sheetPr>
  <dimension ref="A1:E28"/>
  <sheetViews>
    <sheetView view="pageBreakPreview" zoomScaleNormal="100" workbookViewId="0">
      <selection activeCell="E10" sqref="E10"/>
    </sheetView>
  </sheetViews>
  <sheetFormatPr defaultColWidth="9.21875" defaultRowHeight="13.2"/>
  <cols>
    <col min="1" max="1" width="15.44140625" style="236" customWidth="1"/>
    <col min="2" max="2" width="7.44140625" style="236" customWidth="1"/>
    <col min="3" max="3" width="8.77734375" style="236" bestFit="1" customWidth="1"/>
    <col min="4" max="4" width="13.44140625" style="236" customWidth="1"/>
    <col min="5" max="5" width="13" style="236" customWidth="1"/>
    <col min="6" max="16384" width="9.21875" style="236"/>
  </cols>
  <sheetData>
    <row r="1" spans="1:5">
      <c r="A1" s="236" t="s">
        <v>901</v>
      </c>
    </row>
    <row r="2" spans="1:5">
      <c r="A2" s="236" t="s">
        <v>940</v>
      </c>
    </row>
    <row r="3" spans="1:5">
      <c r="A3" s="236" t="s">
        <v>898</v>
      </c>
    </row>
    <row r="4" spans="1:5">
      <c r="A4" s="236" t="str">
        <f>'Acct 928'!A4</f>
        <v>Twelve Months Ended December 31, 2019</v>
      </c>
    </row>
    <row r="7" spans="1:5">
      <c r="A7" s="260" t="s">
        <v>962</v>
      </c>
      <c r="E7" s="237" t="s">
        <v>961</v>
      </c>
    </row>
    <row r="8" spans="1:5">
      <c r="C8" s="237" t="s">
        <v>960</v>
      </c>
      <c r="D8" s="237" t="s">
        <v>959</v>
      </c>
      <c r="E8" s="237" t="s">
        <v>958</v>
      </c>
    </row>
    <row r="9" spans="1:5">
      <c r="A9" s="236" t="s">
        <v>892</v>
      </c>
      <c r="C9" s="576">
        <v>4.6999999999999999E-4</v>
      </c>
      <c r="D9" s="468">
        <f>Factors!E41</f>
        <v>137563490.95253</v>
      </c>
      <c r="E9" s="255">
        <f>D9*C9</f>
        <v>64654.840747689093</v>
      </c>
    </row>
    <row r="10" spans="1:5">
      <c r="A10" s="236" t="s">
        <v>957</v>
      </c>
      <c r="C10" s="576">
        <v>3.8000000000000002E-4</v>
      </c>
      <c r="D10" s="468">
        <f>Factors!F41</f>
        <v>61637160.764819965</v>
      </c>
      <c r="E10" s="255">
        <f>D10*C10</f>
        <v>23422.121090631586</v>
      </c>
    </row>
    <row r="11" spans="1:5">
      <c r="A11" s="236" t="s">
        <v>923</v>
      </c>
      <c r="C11" s="576">
        <v>3.1E-4</v>
      </c>
      <c r="D11" s="468">
        <f>Factors!G41</f>
        <v>0</v>
      </c>
      <c r="E11" s="255">
        <f>D11*C11</f>
        <v>0</v>
      </c>
    </row>
    <row r="12" spans="1:5">
      <c r="A12" s="236" t="s">
        <v>864</v>
      </c>
      <c r="C12" s="576">
        <v>2.7999999999999998E-4</v>
      </c>
      <c r="D12" s="468">
        <f>Factors!H41</f>
        <v>993200.28999999806</v>
      </c>
      <c r="E12" s="255">
        <f>D12*C12</f>
        <v>278.09608119999945</v>
      </c>
    </row>
    <row r="13" spans="1:5">
      <c r="E13" s="275">
        <f>SUM(E9:E12)</f>
        <v>88355.057919520681</v>
      </c>
    </row>
    <row r="15" spans="1:5">
      <c r="E15" s="255"/>
    </row>
    <row r="28" spans="1:5">
      <c r="A28" s="244"/>
      <c r="B28" s="244"/>
      <c r="C28" s="244"/>
      <c r="D28" s="244"/>
      <c r="E28" s="244"/>
    </row>
  </sheetData>
  <printOptions horizontalCentered="1"/>
  <pageMargins left="0.75" right="0.75" top="1.25" bottom="1" header="0.75" footer="0.5"/>
  <pageSetup orientation="portrait" r:id="rId1"/>
  <headerFooter alignWithMargins="0">
    <oddHeader>&amp;A</oddHeader>
    <oddFooter>&amp;R&amp;F 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9A4F-1B4B-4A9A-A97D-8BAEBB8B9173}">
  <sheetPr codeName="Sheet9">
    <pageSetUpPr fitToPage="1"/>
  </sheetPr>
  <dimension ref="B1:J18"/>
  <sheetViews>
    <sheetView view="pageBreakPreview" zoomScale="60" zoomScaleNormal="100" workbookViewId="0">
      <selection activeCell="H47" sqref="H47"/>
    </sheetView>
  </sheetViews>
  <sheetFormatPr defaultRowHeight="13.2"/>
  <cols>
    <col min="2" max="2" width="24" customWidth="1"/>
    <col min="3" max="3" width="27.77734375" bestFit="1" customWidth="1"/>
    <col min="4" max="4" width="11" customWidth="1"/>
    <col min="5" max="5" width="13.5546875" customWidth="1"/>
    <col min="6" max="6" width="17.21875" customWidth="1"/>
    <col min="7" max="7" width="13.5546875" hidden="1" customWidth="1"/>
    <col min="8" max="9" width="15.21875" customWidth="1"/>
    <col min="10" max="10" width="13.77734375" customWidth="1"/>
  </cols>
  <sheetData>
    <row r="1" spans="2:10" ht="39" customHeight="1" thickBot="1">
      <c r="B1" t="s">
        <v>1115</v>
      </c>
      <c r="C1" s="24" t="s">
        <v>4</v>
      </c>
      <c r="D1" t="s">
        <v>1293</v>
      </c>
      <c r="E1" s="604" t="s">
        <v>892</v>
      </c>
      <c r="F1" s="604" t="s">
        <v>891</v>
      </c>
      <c r="G1" s="604" t="s">
        <v>890</v>
      </c>
      <c r="H1" s="604" t="s">
        <v>1366</v>
      </c>
      <c r="I1" s="703" t="s">
        <v>863</v>
      </c>
      <c r="J1" s="704" t="s">
        <v>1294</v>
      </c>
    </row>
    <row r="2" spans="2:10">
      <c r="B2" s="24" t="s">
        <v>283</v>
      </c>
      <c r="C2" t="str">
        <f>Factors!B22</f>
        <v>Throughput</v>
      </c>
      <c r="D2" t="str">
        <f>Factors!C22</f>
        <v>E01</v>
      </c>
      <c r="E2" s="27">
        <f>Factors!E22</f>
        <v>0.57954636062282483</v>
      </c>
      <c r="F2" s="27">
        <f>Factors!F22</f>
        <v>0.25967349296698267</v>
      </c>
      <c r="G2" s="27">
        <f>Factors!G22</f>
        <v>0</v>
      </c>
      <c r="H2" s="27">
        <f>Factors!H22</f>
        <v>4.1842905370703433E-3</v>
      </c>
      <c r="I2" s="27">
        <f>Factors!I22</f>
        <v>0.15659585587312225</v>
      </c>
      <c r="J2" s="705">
        <f>SUM(Table1[[#This Row],[Schedule 101]:[Schedule 146]])</f>
        <v>1</v>
      </c>
    </row>
    <row r="3" spans="2:10">
      <c r="B3" s="24" t="s">
        <v>283</v>
      </c>
      <c r="C3" t="str">
        <f>Factors!B23</f>
        <v>Sales</v>
      </c>
      <c r="D3" t="str">
        <f>Factors!C23</f>
        <v>E04</v>
      </c>
      <c r="E3" s="27">
        <f>Factors!E23</f>
        <v>0.68715142634589732</v>
      </c>
      <c r="F3" s="27">
        <f>Factors!F23</f>
        <v>0.30788738088998363</v>
      </c>
      <c r="G3" s="27">
        <f>Factors!G23</f>
        <v>0</v>
      </c>
      <c r="H3" s="27">
        <f>Factors!H23</f>
        <v>4.9611927641191175E-3</v>
      </c>
      <c r="I3" s="27">
        <f>Factors!I23</f>
        <v>0</v>
      </c>
      <c r="J3" s="520">
        <f>SUM(Table1[[#This Row],[Schedule 101]:[Schedule 146]])</f>
        <v>1</v>
      </c>
    </row>
    <row r="4" spans="2:10">
      <c r="B4" s="24" t="s">
        <v>283</v>
      </c>
      <c r="C4" t="str">
        <f>Factors!B24</f>
        <v>Winter Therms</v>
      </c>
      <c r="D4" t="str">
        <f>Factors!C24</f>
        <v>E06</v>
      </c>
      <c r="E4" s="27">
        <f>Factors!E24</f>
        <v>0.62666865804938321</v>
      </c>
      <c r="F4" s="27">
        <f>Factors!F24</f>
        <v>0.26171562870848047</v>
      </c>
      <c r="G4" s="27">
        <f>Factors!G24</f>
        <v>0</v>
      </c>
      <c r="H4" s="27">
        <f>Factors!H24</f>
        <v>3.7851025121685613E-3</v>
      </c>
      <c r="I4" s="27">
        <f>Factors!I24</f>
        <v>0.10783061072996776</v>
      </c>
      <c r="J4" s="520">
        <f>SUM(Table1[[#This Row],[Schedule 101]:[Schedule 146]])</f>
        <v>1</v>
      </c>
    </row>
    <row r="5" spans="2:10">
      <c r="B5" s="24" t="s">
        <v>283</v>
      </c>
      <c r="C5" t="str">
        <f>Factors!B25</f>
        <v>Excess Winter over Summer Therms</v>
      </c>
      <c r="D5" t="str">
        <f>Factors!C25</f>
        <v>E07</v>
      </c>
      <c r="E5" s="27">
        <f>Factors!E25</f>
        <v>0.7430327475393852</v>
      </c>
      <c r="F5" s="27">
        <f>Factors!F25</f>
        <v>0.25329721584812909</v>
      </c>
      <c r="G5" s="27">
        <f>Factors!G25</f>
        <v>0</v>
      </c>
      <c r="H5" s="27">
        <f>Factors!H25</f>
        <v>3.6700366124856115E-3</v>
      </c>
      <c r="I5" s="27">
        <f>Factors!I25</f>
        <v>0</v>
      </c>
      <c r="J5" s="520">
        <f>SUM(Table1[[#This Row],[Schedule 101]:[Schedule 146]])</f>
        <v>0.99999999999999989</v>
      </c>
    </row>
    <row r="6" spans="2:10">
      <c r="B6" s="24" t="s">
        <v>283</v>
      </c>
      <c r="C6" t="str">
        <f>Factors!B26</f>
        <v>GTI Expense</v>
      </c>
      <c r="D6" t="str">
        <f>Factors!C26</f>
        <v>E08</v>
      </c>
      <c r="E6" s="27">
        <f>Factors!E26</f>
        <v>0.73176162485888208</v>
      </c>
      <c r="F6" s="27">
        <f>Factors!F26</f>
        <v>0.26509089170611966</v>
      </c>
      <c r="G6" s="27">
        <f>Factors!G26</f>
        <v>0</v>
      </c>
      <c r="H6" s="27">
        <f>Factors!H26</f>
        <v>3.147483434998218E-3</v>
      </c>
      <c r="I6" s="27">
        <f>Factors!I26</f>
        <v>0</v>
      </c>
      <c r="J6" s="520">
        <f>SUM(Table1[[#This Row],[Schedule 101]:[Schedule 146]])</f>
        <v>1</v>
      </c>
    </row>
    <row r="7" spans="2:10">
      <c r="B7" s="24" t="s">
        <v>1372</v>
      </c>
      <c r="C7" t="str">
        <f>Factors!B27</f>
        <v>Coincident Peak - All</v>
      </c>
      <c r="D7" t="str">
        <f>Factors!C27</f>
        <v>D01</v>
      </c>
      <c r="E7" s="27">
        <f>Factors!E27</f>
        <v>0.68280822589988643</v>
      </c>
      <c r="F7" s="27">
        <f>Factors!F27</f>
        <v>0.2311133763384062</v>
      </c>
      <c r="G7" s="27">
        <f>Factors!G27</f>
        <v>0</v>
      </c>
      <c r="H7" s="27">
        <f>Factors!H27</f>
        <v>2.9034272030534218E-3</v>
      </c>
      <c r="I7" s="27">
        <f>Factors!I27</f>
        <v>8.317497055865393E-2</v>
      </c>
      <c r="J7" s="520">
        <f>SUM(Table1[[#This Row],[Schedule 101]:[Schedule 146]])</f>
        <v>1</v>
      </c>
    </row>
    <row r="8" spans="2:10">
      <c r="B8" s="24" t="s">
        <v>1372</v>
      </c>
      <c r="C8" t="str">
        <f>Factors!B28</f>
        <v>Coincident Peak - Small Mains</v>
      </c>
      <c r="D8" t="str">
        <f>Factors!C28</f>
        <v>D02</v>
      </c>
      <c r="E8" s="27">
        <f>Factors!E28</f>
        <v>0.74711903540480429</v>
      </c>
      <c r="F8" s="27">
        <f>Factors!F28</f>
        <v>0.25288096459519571</v>
      </c>
      <c r="G8" s="27">
        <f>Factors!G28</f>
        <v>0</v>
      </c>
      <c r="H8" s="27">
        <f>Factors!H28</f>
        <v>0</v>
      </c>
      <c r="I8" s="27">
        <f>Factors!I28</f>
        <v>0</v>
      </c>
      <c r="J8" s="520">
        <f>SUM(Table1[[#This Row],[Schedule 101]:[Schedule 146]])</f>
        <v>1</v>
      </c>
    </row>
    <row r="9" spans="2:10">
      <c r="B9" s="24" t="s">
        <v>1372</v>
      </c>
      <c r="C9" t="str">
        <f>Factors!B29</f>
        <v>Purchased Gas - Demand</v>
      </c>
      <c r="D9" t="str">
        <f>Factors!C29</f>
        <v>D05</v>
      </c>
      <c r="E9" s="27">
        <f>Factors!E29</f>
        <v>1</v>
      </c>
      <c r="F9" s="27">
        <f>Factors!F29</f>
        <v>0</v>
      </c>
      <c r="G9" s="27">
        <f>Factors!G29</f>
        <v>0</v>
      </c>
      <c r="H9" s="27">
        <f>Factors!H29</f>
        <v>0</v>
      </c>
      <c r="I9" s="27">
        <f>Factors!I29</f>
        <v>0</v>
      </c>
      <c r="J9" s="520">
        <f>SUM(Table1[[#This Row],[Schedule 101]:[Schedule 146]])</f>
        <v>1</v>
      </c>
    </row>
    <row r="10" spans="2:10">
      <c r="B10" s="24" t="s">
        <v>1372</v>
      </c>
      <c r="C10" t="str">
        <f>Factors!B30</f>
        <v>DA 131/132</v>
      </c>
      <c r="D10" t="str">
        <f>Factors!C30</f>
        <v>D06</v>
      </c>
      <c r="E10" s="27">
        <f>Factors!E30</f>
        <v>0</v>
      </c>
      <c r="F10" s="27">
        <f>Factors!F30</f>
        <v>0</v>
      </c>
      <c r="G10" s="27">
        <f>Factors!G30</f>
        <v>0</v>
      </c>
      <c r="H10" s="27">
        <f>Factors!H30</f>
        <v>1</v>
      </c>
      <c r="I10" s="27">
        <f>Factors!I30</f>
        <v>0</v>
      </c>
      <c r="J10" s="520">
        <f>SUM(Table1[[#This Row],[Schedule 101]:[Schedule 146]])</f>
        <v>1</v>
      </c>
    </row>
    <row r="11" spans="2:10">
      <c r="B11" s="24" t="s">
        <v>1372</v>
      </c>
      <c r="C11" t="str">
        <f>Factors!B31</f>
        <v>DA 146</v>
      </c>
      <c r="D11" t="str">
        <f>Factors!C31</f>
        <v>D07</v>
      </c>
      <c r="E11" s="27">
        <f>Factors!E31</f>
        <v>0</v>
      </c>
      <c r="F11" s="27">
        <f>Factors!F31</f>
        <v>0</v>
      </c>
      <c r="G11" s="27">
        <f>Factors!G31</f>
        <v>0</v>
      </c>
      <c r="H11" s="27">
        <f>Factors!H31</f>
        <v>0</v>
      </c>
      <c r="I11" s="27">
        <f>Factors!I31</f>
        <v>1</v>
      </c>
      <c r="J11" s="520">
        <f>SUM(Table1[[#This Row],[Schedule 101]:[Schedule 146]])</f>
        <v>1</v>
      </c>
    </row>
    <row r="12" spans="2:10">
      <c r="B12" s="24" t="s">
        <v>1370</v>
      </c>
      <c r="C12" t="str">
        <f>Factors!B32</f>
        <v>All Customers</v>
      </c>
      <c r="D12" t="str">
        <f>Factors!C32</f>
        <v>C01</v>
      </c>
      <c r="E12" s="27">
        <f>Factors!E32</f>
        <v>0.98133895264908833</v>
      </c>
      <c r="F12" s="27">
        <f>Factors!F32</f>
        <v>1.8423667196980523E-2</v>
      </c>
      <c r="G12" s="27">
        <f>Factors!G32</f>
        <v>0</v>
      </c>
      <c r="H12" s="27">
        <f>Factors!H32</f>
        <v>1.186900769655695E-5</v>
      </c>
      <c r="I12" s="27">
        <f>Factors!I32</f>
        <v>2.2551114623458202E-4</v>
      </c>
      <c r="J12" s="520">
        <f>SUM(Table1[[#This Row],[Schedule 101]:[Schedule 146]])</f>
        <v>1</v>
      </c>
    </row>
    <row r="13" spans="2:10">
      <c r="B13" t="s">
        <v>1370</v>
      </c>
      <c r="C13" t="str">
        <f>Factors!B33</f>
        <v>Service Cost</v>
      </c>
      <c r="D13" t="str">
        <f>Factors!C33</f>
        <v>C02</v>
      </c>
      <c r="E13" s="27">
        <f>Factors!E33</f>
        <v>0.97799070127816601</v>
      </c>
      <c r="F13" s="27">
        <f>Factors!F33</f>
        <v>1.8360807092647372E-2</v>
      </c>
      <c r="G13" s="27">
        <f>Factors!G33</f>
        <v>0</v>
      </c>
      <c r="H13" s="27">
        <f>Factors!H33</f>
        <v>4.4602151212011673E-5</v>
      </c>
      <c r="I13" s="27">
        <f>Factors!I33</f>
        <v>3.6038894779746164E-3</v>
      </c>
      <c r="J13" s="520">
        <f>SUM(Table1[[#This Row],[Schedule 101]:[Schedule 146]])</f>
        <v>1</v>
      </c>
    </row>
    <row r="14" spans="2:10">
      <c r="B14" t="s">
        <v>1370</v>
      </c>
      <c r="C14" t="str">
        <f>Factors!B34</f>
        <v>Meter Cost</v>
      </c>
      <c r="D14" t="str">
        <f>Factors!C34</f>
        <v>C03</v>
      </c>
      <c r="E14" s="27">
        <f>Factors!E34</f>
        <v>0.90088873732061836</v>
      </c>
      <c r="F14" s="27">
        <f>Factors!F34</f>
        <v>9.0069942250883578E-2</v>
      </c>
      <c r="G14" s="27">
        <f>Factors!G34</f>
        <v>0</v>
      </c>
      <c r="H14" s="27">
        <f>Factors!H34</f>
        <v>9.534009152059648E-4</v>
      </c>
      <c r="I14" s="27">
        <f>Factors!I34</f>
        <v>8.0879195132920762E-3</v>
      </c>
      <c r="J14" s="520">
        <f>SUM(Table1[[#This Row],[Schedule 101]:[Schedule 146]])</f>
        <v>1</v>
      </c>
    </row>
    <row r="15" spans="2:10">
      <c r="B15" t="s">
        <v>1370</v>
      </c>
      <c r="C15" t="str">
        <f>Factors!B35</f>
        <v>Regulator Cost</v>
      </c>
      <c r="D15" t="str">
        <f>Factors!C35</f>
        <v>C04</v>
      </c>
      <c r="E15" s="27">
        <f>Factors!E35</f>
        <v>0.98133895264908833</v>
      </c>
      <c r="F15" s="27">
        <f>Factors!F35</f>
        <v>1.8423667196980523E-2</v>
      </c>
      <c r="G15" s="27">
        <f>Factors!G35</f>
        <v>0</v>
      </c>
      <c r="H15" s="27">
        <f>Factors!H35</f>
        <v>1.186900769655695E-5</v>
      </c>
      <c r="I15" s="27">
        <f>Factors!I35</f>
        <v>2.2551114623458202E-4</v>
      </c>
      <c r="J15" s="520">
        <f>SUM(Table1[[#This Row],[Schedule 101]:[Schedule 146]])</f>
        <v>1</v>
      </c>
    </row>
    <row r="16" spans="2:10">
      <c r="B16" t="s">
        <v>1370</v>
      </c>
      <c r="C16" t="str">
        <f>Factors!B36</f>
        <v>Ind Meas &amp; Reg Cost</v>
      </c>
      <c r="D16" t="str">
        <f>Factors!C36</f>
        <v>C06</v>
      </c>
      <c r="E16" s="27">
        <f>Factors!E36</f>
        <v>0</v>
      </c>
      <c r="F16" s="27">
        <f>Factors!F36</f>
        <v>0.86937689004476892</v>
      </c>
      <c r="G16" s="27">
        <f>Factors!G36</f>
        <v>0</v>
      </c>
      <c r="H16" s="27">
        <f>Factors!H36</f>
        <v>1.379377450189097E-2</v>
      </c>
      <c r="I16" s="27">
        <f>Factors!I36</f>
        <v>0.11682933545334015</v>
      </c>
      <c r="J16" s="520">
        <f>SUM(Table1[[#This Row],[Schedule 101]:[Schedule 146]])</f>
        <v>1</v>
      </c>
    </row>
    <row r="17" spans="2:10">
      <c r="B17" t="s">
        <v>1370</v>
      </c>
      <c r="C17" t="str">
        <f>Factors!B37</f>
        <v>DA 101</v>
      </c>
      <c r="D17" t="str">
        <f>Factors!C37</f>
        <v>C10</v>
      </c>
      <c r="E17" s="27">
        <f>Factors!E37</f>
        <v>1</v>
      </c>
      <c r="F17" s="27">
        <f>Factors!F37</f>
        <v>0</v>
      </c>
      <c r="G17" s="27">
        <f>Factors!G37</f>
        <v>0</v>
      </c>
      <c r="H17" s="27">
        <f>Factors!H37</f>
        <v>0</v>
      </c>
      <c r="I17" s="27">
        <f>Factors!I37</f>
        <v>0</v>
      </c>
      <c r="J17" s="520">
        <f>SUM(Table1[[#This Row],[Schedule 101]:[Schedule 146]])</f>
        <v>1</v>
      </c>
    </row>
    <row r="18" spans="2:10">
      <c r="B18" s="24" t="s">
        <v>1371</v>
      </c>
      <c r="C18" t="str">
        <f>Factors!B38</f>
        <v>Revenues From Retail Rates</v>
      </c>
      <c r="D18" t="str">
        <f>Factors!C38</f>
        <v>R01</v>
      </c>
      <c r="E18" s="27">
        <f>Factors!E38</f>
        <v>0.76846603205758302</v>
      </c>
      <c r="F18" s="27">
        <f>Factors!F38</f>
        <v>0.19480849578410545</v>
      </c>
      <c r="G18" s="27">
        <f>Factors!G38</f>
        <v>0</v>
      </c>
      <c r="H18" s="27">
        <f>Factors!H38</f>
        <v>2.0982480527427026E-3</v>
      </c>
      <c r="I18" s="27">
        <f>Factors!I38</f>
        <v>3.4627224105568857E-2</v>
      </c>
      <c r="J18" s="520">
        <f>SUM(Table1[[#This Row],[Schedule 101]:[Schedule 146]])</f>
        <v>1</v>
      </c>
    </row>
  </sheetData>
  <phoneticPr fontId="8" type="noConversion"/>
  <pageMargins left="0.7" right="0.7" top="0.75" bottom="0.75" header="0.3" footer="0.3"/>
  <pageSetup scale="85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475B-DE6A-444A-B898-A6E55B504D51}">
  <sheetPr codeName="Sheet10">
    <pageSetUpPr fitToPage="1"/>
  </sheetPr>
  <dimension ref="A1:I61"/>
  <sheetViews>
    <sheetView view="pageBreakPreview" zoomScale="60" zoomScaleNormal="100" workbookViewId="0">
      <selection activeCell="F17" sqref="F17"/>
    </sheetView>
  </sheetViews>
  <sheetFormatPr defaultColWidth="8.77734375" defaultRowHeight="15.6"/>
  <cols>
    <col min="1" max="1" width="8.6640625" style="714" bestFit="1" customWidth="1"/>
    <col min="2" max="2" width="21.33203125" style="714" customWidth="1"/>
    <col min="3" max="3" width="36" style="714" bestFit="1" customWidth="1"/>
    <col min="4" max="4" width="15.21875" style="714" customWidth="1"/>
    <col min="5" max="5" width="16.88671875" style="714" customWidth="1"/>
    <col min="6" max="6" width="22.33203125" style="714" bestFit="1" customWidth="1"/>
    <col min="7" max="7" width="10.33203125" style="714" customWidth="1"/>
    <col min="8" max="41" width="8.77734375" style="714"/>
    <col min="42" max="42" width="15.21875" style="714" customWidth="1"/>
    <col min="43" max="43" width="14.88671875" style="714" customWidth="1"/>
    <col min="44" max="44" width="11" style="714" customWidth="1"/>
    <col min="45" max="47" width="8.77734375" style="714"/>
    <col min="48" max="48" width="20.77734375" style="714" bestFit="1" customWidth="1"/>
    <col min="49" max="49" width="25.44140625" style="714" bestFit="1" customWidth="1"/>
    <col min="50" max="50" width="16.33203125" style="714" bestFit="1" customWidth="1"/>
    <col min="51" max="16384" width="8.77734375" style="714"/>
  </cols>
  <sheetData>
    <row r="1" spans="1:9">
      <c r="A1" s="706"/>
      <c r="B1" s="812" t="s">
        <v>1373</v>
      </c>
      <c r="C1" s="812"/>
      <c r="D1" s="812"/>
      <c r="E1" s="812"/>
      <c r="F1" s="812"/>
      <c r="G1" s="667"/>
      <c r="H1" s="667"/>
    </row>
    <row r="2" spans="1:9">
      <c r="A2" s="707"/>
      <c r="B2" s="815" t="s">
        <v>1374</v>
      </c>
      <c r="C2" s="815"/>
      <c r="D2" s="815"/>
      <c r="E2" s="815"/>
      <c r="F2" s="815"/>
      <c r="G2" s="667"/>
      <c r="H2" s="667"/>
    </row>
    <row r="3" spans="1:9">
      <c r="A3" s="707"/>
      <c r="B3" s="815" t="s">
        <v>1375</v>
      </c>
      <c r="C3" s="815"/>
      <c r="D3" s="815"/>
      <c r="E3" s="815"/>
      <c r="F3" s="815"/>
      <c r="G3" s="667"/>
      <c r="H3" s="667"/>
    </row>
    <row r="4" spans="1:9">
      <c r="A4" s="707"/>
      <c r="B4" s="815" t="s">
        <v>1382</v>
      </c>
      <c r="C4" s="815"/>
      <c r="D4" s="815"/>
      <c r="E4" s="815"/>
      <c r="F4" s="815"/>
      <c r="G4" s="667"/>
      <c r="H4" s="667"/>
    </row>
    <row r="5" spans="1:9">
      <c r="A5" s="708"/>
      <c r="B5" s="816" t="s">
        <v>1376</v>
      </c>
      <c r="C5" s="816"/>
      <c r="D5" s="816"/>
      <c r="E5" s="816"/>
      <c r="F5" s="816"/>
      <c r="G5" s="667"/>
      <c r="H5" s="667"/>
    </row>
    <row r="7" spans="1:9">
      <c r="A7" s="706"/>
      <c r="B7" s="812" t="s">
        <v>1377</v>
      </c>
      <c r="C7" s="812"/>
      <c r="D7" s="812"/>
      <c r="E7" s="812"/>
      <c r="F7" s="812"/>
      <c r="G7" s="667"/>
      <c r="H7" s="667"/>
    </row>
    <row r="8" spans="1:9">
      <c r="F8" s="667"/>
      <c r="G8" s="667"/>
      <c r="H8" s="667"/>
      <c r="I8" s="667"/>
    </row>
    <row r="9" spans="1:9">
      <c r="D9" s="814" t="s">
        <v>1383</v>
      </c>
      <c r="E9" s="814"/>
      <c r="F9" s="814"/>
      <c r="G9" s="814"/>
    </row>
    <row r="10" spans="1:9">
      <c r="A10" s="709"/>
      <c r="B10" s="710" t="s">
        <v>1378</v>
      </c>
      <c r="C10" s="711" t="s">
        <v>1379</v>
      </c>
      <c r="D10" s="712" t="s">
        <v>1380</v>
      </c>
      <c r="E10" s="712" t="s">
        <v>83</v>
      </c>
      <c r="F10" s="712" t="s">
        <v>1255</v>
      </c>
      <c r="G10" s="712" t="s">
        <v>1369</v>
      </c>
    </row>
    <row r="11" spans="1:9">
      <c r="A11" s="713"/>
      <c r="B11" s="713" t="str">
        <f>'A-RR Cross Reference'!E3</f>
        <v>1Adj G-ROO</v>
      </c>
      <c r="C11" s="714" t="str">
        <f>'A-RR Cross Reference'!E2</f>
        <v>Total Washington CBR/ROO</v>
      </c>
      <c r="D11" s="715">
        <f>'A-RR Cross Reference'!E157</f>
        <v>24474000</v>
      </c>
      <c r="E11" s="715">
        <f>'A-RR Cross Reference'!E249</f>
        <v>405933000</v>
      </c>
      <c r="F11" s="715">
        <f>'A-RR Cross Reference'!E251</f>
        <v>7527598.1748940749</v>
      </c>
      <c r="G11" s="717">
        <f>'A-RR Cross Reference'!E253</f>
        <v>6.0290737634043058E-2</v>
      </c>
    </row>
    <row r="12" spans="1:9">
      <c r="A12" s="713"/>
      <c r="B12" s="713" t="str">
        <f>'A-RR Cross Reference'!F3</f>
        <v>1.01G-DFIT</v>
      </c>
      <c r="C12" s="714" t="str">
        <f>'A-RR Cross Reference'!F2</f>
        <v>Deferred FITRate Base</v>
      </c>
      <c r="D12" s="715">
        <f>'A-RR Cross Reference'!F157</f>
        <v>0</v>
      </c>
      <c r="E12" s="715">
        <f>'A-RR Cross Reference'!F249</f>
        <v>-994000</v>
      </c>
      <c r="F12" s="715">
        <f>'A-RR Cross Reference'!F251</f>
        <v>-97760.181504587264</v>
      </c>
      <c r="G12" s="719">
        <f>(D$11+D12)/(E$11+E12)-G$11</f>
        <v>1.4799511335840398E-4</v>
      </c>
    </row>
    <row r="13" spans="1:9">
      <c r="A13" s="713"/>
      <c r="B13" s="713" t="str">
        <f>'A-RR Cross Reference'!G3</f>
        <v>1.02G-DDC</v>
      </c>
      <c r="C13" s="714" t="str">
        <f>'A-RR Cross Reference'!G2</f>
        <v>Deferred Debitsand Credits</v>
      </c>
      <c r="D13" s="715">
        <f>'A-RR Cross Reference'!G157</f>
        <v>-12000</v>
      </c>
      <c r="E13" s="715">
        <f>'A-RR Cross Reference'!G249</f>
        <v>-1000</v>
      </c>
      <c r="F13" s="715">
        <f>'A-RR Cross Reference'!G251</f>
        <v>15785.948484571714</v>
      </c>
      <c r="G13" s="719">
        <f>(D$11+D13)/(E$11+E13)-G$11</f>
        <v>-2.9413077220735717E-5</v>
      </c>
    </row>
    <row r="14" spans="1:9">
      <c r="A14" s="713"/>
      <c r="B14" s="713" t="str">
        <f>'A-RR Cross Reference'!H3</f>
        <v>1.03G-WC</v>
      </c>
      <c r="C14" s="714" t="str">
        <f>'A-RR Cross Reference'!H2</f>
        <v>Working Capital</v>
      </c>
      <c r="D14" s="715">
        <f>'A-RR Cross Reference'!H157</f>
        <v>0</v>
      </c>
      <c r="E14" s="715">
        <f>'A-RR Cross Reference'!H249</f>
        <v>-1144000</v>
      </c>
      <c r="F14" s="715">
        <f>'A-RR Cross Reference'!H251</f>
        <v>-112512.72398515878</v>
      </c>
      <c r="G14" s="719">
        <f>(D$11+D14)/(E$11+E14)-G$11</f>
        <v>1.7039149743037357E-4</v>
      </c>
    </row>
    <row r="15" spans="1:9">
      <c r="A15" s="713"/>
      <c r="B15" s="713" t="str">
        <f>'A-RR Cross Reference'!I3</f>
        <v>1.04G-AMI</v>
      </c>
      <c r="C15" s="714" t="str">
        <f>'A-RR Cross Reference'!I2</f>
        <v>RemoveAMI Rate Base</v>
      </c>
      <c r="D15" s="715">
        <f>'A-RR Cross Reference'!I157</f>
        <v>0</v>
      </c>
      <c r="E15" s="715">
        <f>'A-RR Cross Reference'!I249</f>
        <v>-22321000</v>
      </c>
      <c r="F15" s="715">
        <f>'A-RR Cross Reference'!I251</f>
        <v>-2195276.6713922457</v>
      </c>
      <c r="G15" s="719">
        <f>(D$11+D15)/(E$11+E15)-G$11</f>
        <v>3.5081007756000218E-3</v>
      </c>
    </row>
    <row r="16" spans="1:9">
      <c r="A16" s="713"/>
      <c r="B16" s="713" t="str">
        <f>'A-RR Cross Reference'!J3</f>
        <v>2.01G-EBO</v>
      </c>
      <c r="C16" s="714" t="str">
        <f>'A-RR Cross Reference'!J2</f>
        <v>EliminateB &amp; O Taxes</v>
      </c>
      <c r="D16" s="715">
        <f>'A-RR Cross Reference'!J157</f>
        <v>-9000</v>
      </c>
      <c r="E16" s="715">
        <f>'A-RR Cross Reference'!J249</f>
        <v>0</v>
      </c>
      <c r="F16" s="715">
        <f>'A-RR Cross Reference'!J251</f>
        <v>11913.224075831642</v>
      </c>
      <c r="G16" s="719">
        <f t="shared" ref="G16:G30" si="0">(D$11+D16)/(E$11+E16)-G$11</f>
        <v>-2.217114646998336E-5</v>
      </c>
    </row>
    <row r="17" spans="1:7">
      <c r="A17" s="713"/>
      <c r="B17" s="713" t="str">
        <f>'A-RR Cross Reference'!K3</f>
        <v>2.02G-RPT</v>
      </c>
      <c r="C17" s="714" t="str">
        <f>'A-RR Cross Reference'!K2</f>
        <v>RestateProperty Taxes</v>
      </c>
      <c r="D17" s="715">
        <f>'A-RR Cross Reference'!K157</f>
        <v>-189000</v>
      </c>
      <c r="E17" s="715">
        <f>'A-RR Cross Reference'!K249</f>
        <v>0</v>
      </c>
      <c r="F17" s="715">
        <f>'A-RR Cross Reference'!K251</f>
        <v>250177.70559246448</v>
      </c>
      <c r="G17" s="719">
        <f t="shared" si="0"/>
        <v>-4.6559407586966445E-4</v>
      </c>
    </row>
    <row r="18" spans="1:7">
      <c r="A18" s="713"/>
      <c r="B18" s="713" t="str">
        <f>'A-RR Cross Reference'!L3</f>
        <v>2.03G-UE</v>
      </c>
      <c r="C18" s="714" t="str">
        <f>'A-RR Cross Reference'!L2</f>
        <v>UncollectibleExpense</v>
      </c>
      <c r="D18" s="715">
        <f>'A-RR Cross Reference'!L157</f>
        <v>-131000</v>
      </c>
      <c r="E18" s="715">
        <f>'A-RR Cross Reference'!L249</f>
        <v>0</v>
      </c>
      <c r="F18" s="715">
        <f>'A-RR Cross Reference'!L251</f>
        <v>173403.59488154945</v>
      </c>
      <c r="G18" s="719">
        <f t="shared" si="0"/>
        <v>-3.2271335417421304E-4</v>
      </c>
    </row>
    <row r="19" spans="1:7">
      <c r="A19" s="713"/>
      <c r="B19" s="713" t="str">
        <f>'A-RR Cross Reference'!M3</f>
        <v>2.04G-RE</v>
      </c>
      <c r="C19" s="714" t="str">
        <f>'A-RR Cross Reference'!M2</f>
        <v>RegulatoryExpense</v>
      </c>
      <c r="D19" s="715">
        <f>'A-RR Cross Reference'!M157</f>
        <v>46000</v>
      </c>
      <c r="E19" s="715">
        <f>'A-RR Cross Reference'!M249</f>
        <v>0</v>
      </c>
      <c r="F19" s="715">
        <f>'A-RR Cross Reference'!M251</f>
        <v>-60889.811943139503</v>
      </c>
      <c r="G19" s="719">
        <f t="shared" si="0"/>
        <v>1.1331919306880461E-4</v>
      </c>
    </row>
    <row r="20" spans="1:7">
      <c r="A20" s="713"/>
      <c r="B20" s="713" t="str">
        <f>'A-RR Cross Reference'!N3</f>
        <v>2.05G-ID</v>
      </c>
      <c r="C20" s="714" t="str">
        <f>'A-RR Cross Reference'!N2</f>
        <v>Injuries &amp;Damages</v>
      </c>
      <c r="D20" s="715">
        <f>'A-RR Cross Reference'!N157</f>
        <v>7000</v>
      </c>
      <c r="E20" s="715">
        <f>'A-RR Cross Reference'!N249</f>
        <v>0</v>
      </c>
      <c r="F20" s="715">
        <f>'A-RR Cross Reference'!N251</f>
        <v>-9265.8409478690555</v>
      </c>
      <c r="G20" s="719">
        <f t="shared" si="0"/>
        <v>1.7244225032207738E-5</v>
      </c>
    </row>
    <row r="21" spans="1:7">
      <c r="A21" s="713"/>
      <c r="B21" s="713" t="str">
        <f>'A-RR Cross Reference'!O3</f>
        <v>2.06G-FIT</v>
      </c>
      <c r="C21" s="714" t="str">
        <f>'A-RR Cross Reference'!O2</f>
        <v>FIT/DFITExpense</v>
      </c>
      <c r="D21" s="715">
        <f>'A-RR Cross Reference'!O157</f>
        <v>-53000</v>
      </c>
      <c r="E21" s="715">
        <f>'A-RR Cross Reference'!O249</f>
        <v>0</v>
      </c>
      <c r="F21" s="715">
        <f>'A-RR Cross Reference'!O251</f>
        <v>70155.652891008562</v>
      </c>
      <c r="G21" s="719">
        <f t="shared" si="0"/>
        <v>-1.3056341810101929E-4</v>
      </c>
    </row>
    <row r="22" spans="1:7">
      <c r="A22" s="713"/>
      <c r="B22" s="713" t="str">
        <f>'A-RR Cross Reference'!P3</f>
        <v>2.07G-OSC</v>
      </c>
      <c r="C22" s="714" t="str">
        <f>'A-RR Cross Reference'!P2</f>
        <v>Office SpaceCharges to Subs</v>
      </c>
      <c r="D22" s="715">
        <f>'A-RR Cross Reference'!P157</f>
        <v>13000</v>
      </c>
      <c r="E22" s="715">
        <f>'A-RR Cross Reference'!P249</f>
        <v>0</v>
      </c>
      <c r="F22" s="715">
        <f>'A-RR Cross Reference'!P251</f>
        <v>-17207.990331756817</v>
      </c>
      <c r="G22" s="719">
        <f t="shared" si="0"/>
        <v>3.2024989345527666E-5</v>
      </c>
    </row>
    <row r="23" spans="1:7">
      <c r="A23" s="713"/>
      <c r="B23" s="713" t="str">
        <f>'A-RR Cross Reference'!Q3</f>
        <v>2.08G-RET</v>
      </c>
      <c r="C23" s="714" t="str">
        <f>'A-RR Cross Reference'!Q2</f>
        <v>RestateExcise Tax</v>
      </c>
      <c r="D23" s="715">
        <f>'A-RR Cross Reference'!Q157</f>
        <v>-1000</v>
      </c>
      <c r="E23" s="715">
        <f>'A-RR Cross Reference'!Q249</f>
        <v>0</v>
      </c>
      <c r="F23" s="715">
        <f>'A-RR Cross Reference'!Q251</f>
        <v>1323.6915639812937</v>
      </c>
      <c r="G23" s="719">
        <f t="shared" si="0"/>
        <v>-2.463460718887811E-6</v>
      </c>
    </row>
    <row r="24" spans="1:7">
      <c r="A24" s="713"/>
      <c r="B24" s="713" t="str">
        <f>'A-RR Cross Reference'!R3</f>
        <v>2.09G-NGL</v>
      </c>
      <c r="C24" s="714" t="str">
        <f>'A-RR Cross Reference'!R2</f>
        <v>Net Gains/Losses</v>
      </c>
      <c r="D24" s="715">
        <f>'A-RR Cross Reference'!R157</f>
        <v>9000</v>
      </c>
      <c r="E24" s="715">
        <f>'A-RR Cross Reference'!R249</f>
        <v>0</v>
      </c>
      <c r="F24" s="715">
        <f>'A-RR Cross Reference'!R251</f>
        <v>-11913.224075831642</v>
      </c>
      <c r="G24" s="719">
        <f t="shared" si="0"/>
        <v>2.217114646998336E-5</v>
      </c>
    </row>
    <row r="25" spans="1:7">
      <c r="A25" s="713"/>
      <c r="B25" s="713" t="str">
        <f>'A-RR Cross Reference'!S3</f>
        <v>2.1G-WNGC</v>
      </c>
      <c r="C25" s="714" t="str">
        <f>'A-RR Cross Reference'!S2</f>
        <v>Weather NormalizationGas Cost Adjust</v>
      </c>
      <c r="D25" s="715">
        <f>'A-RR Cross Reference'!S157</f>
        <v>-5000</v>
      </c>
      <c r="E25" s="715">
        <f>'A-RR Cross Reference'!S249</f>
        <v>0</v>
      </c>
      <c r="F25" s="715">
        <f>'A-RR Cross Reference'!S251</f>
        <v>6618.4578199064681</v>
      </c>
      <c r="G25" s="719">
        <f t="shared" si="0"/>
        <v>-1.2317303594439055E-5</v>
      </c>
    </row>
    <row r="26" spans="1:7">
      <c r="A26" s="713"/>
      <c r="B26" s="713" t="str">
        <f>'A-RR Cross Reference'!T3</f>
        <v>2.11G-EAS</v>
      </c>
      <c r="C26" s="714" t="str">
        <f>'A-RR Cross Reference'!T2</f>
        <v>EliminateAdder Schedules</v>
      </c>
      <c r="D26" s="715">
        <f>'A-RR Cross Reference'!T157</f>
        <v>0</v>
      </c>
      <c r="E26" s="715">
        <f>'A-RR Cross Reference'!T249</f>
        <v>0</v>
      </c>
      <c r="F26" s="715">
        <f>'A-RR Cross Reference'!T251</f>
        <v>0</v>
      </c>
      <c r="G26" s="719">
        <f t="shared" si="0"/>
        <v>0</v>
      </c>
    </row>
    <row r="27" spans="1:7">
      <c r="A27" s="713"/>
      <c r="B27" s="713" t="str">
        <f>'A-RR Cross Reference'!U3</f>
        <v>2.12G-MR</v>
      </c>
      <c r="C27" s="714" t="str">
        <f>'A-RR Cross Reference'!U2</f>
        <v>Misc. RestatingAdjustments</v>
      </c>
      <c r="D27" s="715">
        <f>'A-RR Cross Reference'!U157</f>
        <v>-35000</v>
      </c>
      <c r="E27" s="715">
        <f>'A-RR Cross Reference'!U249</f>
        <v>0</v>
      </c>
      <c r="F27" s="715">
        <f>'A-RR Cross Reference'!U251</f>
        <v>46329.204739345274</v>
      </c>
      <c r="G27" s="719">
        <f t="shared" si="0"/>
        <v>-8.622112516105257E-5</v>
      </c>
    </row>
    <row r="28" spans="1:7">
      <c r="A28" s="713"/>
      <c r="B28" s="713" t="str">
        <f>'A-RR Cross Reference'!V3</f>
        <v>2.13G-RI</v>
      </c>
      <c r="C28" s="714" t="str">
        <f>'A-RR Cross Reference'!V2</f>
        <v>Restating Incentives</v>
      </c>
      <c r="D28" s="715">
        <f>'A-RR Cross Reference'!V157</f>
        <v>-173000</v>
      </c>
      <c r="E28" s="715">
        <f>'A-RR Cross Reference'!V249</f>
        <v>0</v>
      </c>
      <c r="F28" s="715">
        <f>'A-RR Cross Reference'!V251</f>
        <v>228998.6405687638</v>
      </c>
      <c r="G28" s="719">
        <f t="shared" si="0"/>
        <v>-4.2617870436747335E-4</v>
      </c>
    </row>
    <row r="29" spans="1:7">
      <c r="A29" s="713"/>
      <c r="B29" s="713" t="str">
        <f>'A-RR Cross Reference'!W3</f>
        <v>2.14G-DI</v>
      </c>
      <c r="C29" s="714" t="str">
        <f>'A-RR Cross Reference'!W2</f>
        <v>Restate Debt Int</v>
      </c>
      <c r="D29" s="715">
        <f>'A-RR Cross Reference'!W157</f>
        <v>-222000</v>
      </c>
      <c r="E29" s="715">
        <f>'A-RR Cross Reference'!W249</f>
        <v>0</v>
      </c>
      <c r="F29" s="715">
        <f>'A-RR Cross Reference'!W251</f>
        <v>293859.52720384719</v>
      </c>
      <c r="G29" s="719">
        <f t="shared" si="0"/>
        <v>-5.468882795929414E-4</v>
      </c>
    </row>
    <row r="30" spans="1:7">
      <c r="A30" s="713"/>
      <c r="B30" s="713" t="str">
        <f>'A-RR Cross Reference'!X3</f>
        <v>2.15G-EOP19</v>
      </c>
      <c r="C30" s="714" t="str">
        <f>'A-RR Cross Reference'!X2</f>
        <v>Restate 2019 Rate Base</v>
      </c>
      <c r="D30" s="715">
        <f>'A-RR Cross Reference'!X157</f>
        <v>207000</v>
      </c>
      <c r="E30" s="715">
        <f>'A-RR Cross Reference'!X249</f>
        <v>14717000</v>
      </c>
      <c r="F30" s="715">
        <f>'A-RR Cross Reference'!X251</f>
        <v>1173416.9641663458</v>
      </c>
      <c r="G30" s="719">
        <f t="shared" si="0"/>
        <v>-1.6172561173427163E-3</v>
      </c>
    </row>
    <row r="31" spans="1:7">
      <c r="A31" s="713"/>
      <c r="D31" s="715"/>
      <c r="E31" s="715"/>
      <c r="F31" s="715"/>
      <c r="G31" s="715"/>
    </row>
    <row r="32" spans="1:7" ht="16.2" thickBot="1">
      <c r="A32" s="713"/>
      <c r="C32" s="714" t="s">
        <v>1384</v>
      </c>
      <c r="D32" s="716">
        <f>SUM(D11:D30)</f>
        <v>23926000</v>
      </c>
      <c r="E32" s="716">
        <f>SUM(E11:E30)</f>
        <v>396190000</v>
      </c>
      <c r="F32" s="716">
        <f>SUM(F11:F30)</f>
        <v>7294754.3427011007</v>
      </c>
      <c r="G32" s="718">
        <f>SUM(G11:G30)</f>
        <v>6.0640204511735241E-2</v>
      </c>
    </row>
    <row r="33" spans="1:9" ht="16.2" thickTop="1">
      <c r="A33" s="713"/>
    </row>
    <row r="34" spans="1:9">
      <c r="A34" s="713"/>
    </row>
    <row r="35" spans="1:9">
      <c r="A35" s="713"/>
    </row>
    <row r="36" spans="1:9">
      <c r="A36" s="713"/>
      <c r="B36" s="813" t="s">
        <v>1381</v>
      </c>
      <c r="C36" s="813"/>
      <c r="D36" s="813"/>
      <c r="E36" s="813"/>
      <c r="F36" s="813"/>
    </row>
    <row r="38" spans="1:9">
      <c r="D38" s="814" t="s">
        <v>1383</v>
      </c>
      <c r="E38" s="814"/>
      <c r="F38" s="814"/>
      <c r="G38" s="814"/>
      <c r="H38" s="667"/>
    </row>
    <row r="39" spans="1:9">
      <c r="B39" s="710" t="s">
        <v>1378</v>
      </c>
      <c r="C39" s="711" t="s">
        <v>1379</v>
      </c>
      <c r="D39" s="712" t="s">
        <v>1380</v>
      </c>
      <c r="E39" s="712" t="s">
        <v>83</v>
      </c>
      <c r="F39" s="712" t="s">
        <v>1255</v>
      </c>
      <c r="G39" s="712" t="s">
        <v>1369</v>
      </c>
      <c r="H39" s="667"/>
      <c r="I39" s="667"/>
    </row>
    <row r="40" spans="1:9">
      <c r="B40" s="609" t="str">
        <f>'A-RR Cross Reference'!Z3</f>
        <v>3.01G-PREV</v>
      </c>
      <c r="C40" s="609" t="str">
        <f>'A-RR Cross Reference'!Z2</f>
        <v>Pro Forma RevenueNormalization</v>
      </c>
      <c r="D40" s="715">
        <f>'A-RR Cross Reference'!Z157</f>
        <v>8187000</v>
      </c>
      <c r="E40" s="715">
        <f>'A-RR Cross Reference'!Z249</f>
        <v>0</v>
      </c>
      <c r="F40" s="715">
        <f>'A-RR Cross Reference'!Z251</f>
        <v>-10837062.834314851</v>
      </c>
      <c r="G40" s="719">
        <f>(D$11+D40)/(E$11+E40)-G$11</f>
        <v>2.0168352905528743E-2</v>
      </c>
    </row>
    <row r="41" spans="1:9">
      <c r="B41" s="609" t="str">
        <f>'A-RR Cross Reference'!AA3</f>
        <v>3.02G-PRA</v>
      </c>
      <c r="C41" s="609" t="str">
        <f>'A-RR Cross Reference'!AA2</f>
        <v>Pro Forma Def. Debits &amp; Credits</v>
      </c>
      <c r="D41" s="715">
        <f>'A-RR Cross Reference'!AA157</f>
        <v>182000</v>
      </c>
      <c r="E41" s="715">
        <f>'A-RR Cross Reference'!AA249</f>
        <v>0</v>
      </c>
      <c r="F41" s="715">
        <f>'A-RR Cross Reference'!AA251</f>
        <v>-240911.86464459542</v>
      </c>
      <c r="G41" s="719">
        <f t="shared" ref="G41:G57" si="1">(D$11+D41)/(E$11+E41)-G$11</f>
        <v>4.4834985083744977E-4</v>
      </c>
    </row>
    <row r="42" spans="1:9">
      <c r="B42" s="609" t="str">
        <f>'A-RR Cross Reference'!AB3</f>
        <v>3.03G-ARAM</v>
      </c>
      <c r="C42" s="609" t="str">
        <f>'A-RR Cross Reference'!AB2</f>
        <v>Pro FormaARAM</v>
      </c>
      <c r="D42" s="715">
        <f>'A-RR Cross Reference'!AB157</f>
        <v>-41000</v>
      </c>
      <c r="E42" s="715">
        <f>'A-RR Cross Reference'!AB249</f>
        <v>0</v>
      </c>
      <c r="F42" s="715">
        <f>'A-RR Cross Reference'!AB251</f>
        <v>54271.354123233039</v>
      </c>
      <c r="G42" s="719">
        <f t="shared" si="1"/>
        <v>-1.010018894743725E-4</v>
      </c>
    </row>
    <row r="43" spans="1:9">
      <c r="B43" s="609" t="str">
        <f>'A-RR Cross Reference'!AC3</f>
        <v>3.04G-PLN</v>
      </c>
      <c r="C43" s="609" t="str">
        <f>'A-RR Cross Reference'!AC2</f>
        <v>Pro FormaNon-Exec Labor</v>
      </c>
      <c r="D43" s="715">
        <f>'A-RR Cross Reference'!AC157</f>
        <v>-772000</v>
      </c>
      <c r="E43" s="715">
        <f>'A-RR Cross Reference'!AC249</f>
        <v>0</v>
      </c>
      <c r="F43" s="715">
        <f>'A-RR Cross Reference'!AC251</f>
        <v>1021889.8873935586</v>
      </c>
      <c r="G43" s="719">
        <f t="shared" si="1"/>
        <v>-1.9017916749808489E-3</v>
      </c>
    </row>
    <row r="44" spans="1:9">
      <c r="B44" s="609" t="str">
        <f>'A-RR Cross Reference'!AD3</f>
        <v>3.05G-PLE</v>
      </c>
      <c r="C44" s="609" t="str">
        <f>'A-RR Cross Reference'!AD2</f>
        <v>Pro FormaExec Labor</v>
      </c>
      <c r="D44" s="715">
        <f>'A-RR Cross Reference'!AD157</f>
        <v>77000</v>
      </c>
      <c r="E44" s="715">
        <f>'A-RR Cross Reference'!AD249</f>
        <v>0</v>
      </c>
      <c r="F44" s="715">
        <f>'A-RR Cross Reference'!AD251</f>
        <v>-101924.25042655961</v>
      </c>
      <c r="G44" s="719">
        <f t="shared" si="1"/>
        <v>1.8968647535430594E-4</v>
      </c>
    </row>
    <row r="45" spans="1:9">
      <c r="B45" s="609" t="str">
        <f>'A-RR Cross Reference'!AE3</f>
        <v>3.06G-PEB</v>
      </c>
      <c r="C45" s="609" t="str">
        <f>'A-RR Cross Reference'!AE2</f>
        <v>Pro FormaEmpl. Benefits</v>
      </c>
      <c r="D45" s="715">
        <f>'A-RR Cross Reference'!AE157</f>
        <v>-269000</v>
      </c>
      <c r="E45" s="715">
        <f>'A-RR Cross Reference'!AE249</f>
        <v>0</v>
      </c>
      <c r="F45" s="715">
        <f>'A-RR Cross Reference'!AE251</f>
        <v>356073.03071096796</v>
      </c>
      <c r="G45" s="719">
        <f t="shared" si="1"/>
        <v>-6.6267093338063382E-4</v>
      </c>
    </row>
    <row r="46" spans="1:9">
      <c r="B46" s="609" t="str">
        <f>'A-RR Cross Reference'!AF3</f>
        <v>3.07G-PINS</v>
      </c>
      <c r="C46" s="609" t="str">
        <f>'A-RR Cross Reference'!AF2</f>
        <v>Pro FormaInsurance Exp</v>
      </c>
      <c r="D46" s="715">
        <f>'A-RR Cross Reference'!AF157</f>
        <v>-852000</v>
      </c>
      <c r="E46" s="715">
        <f>'A-RR Cross Reference'!AF249</f>
        <v>0</v>
      </c>
      <c r="F46" s="715">
        <f>'A-RR Cross Reference'!AF251</f>
        <v>1127785.2125120622</v>
      </c>
      <c r="G46" s="719">
        <f t="shared" si="1"/>
        <v>-2.0988685324918183E-3</v>
      </c>
    </row>
    <row r="47" spans="1:9">
      <c r="B47" s="609" t="str">
        <f>'A-RR Cross Reference'!AG3</f>
        <v>3.08G-PIT</v>
      </c>
      <c r="C47" s="609" t="str">
        <f>'A-RR Cross Reference'!AG2</f>
        <v>Pro FormaIS/IT</v>
      </c>
      <c r="D47" s="715">
        <f>'A-RR Cross Reference'!AG157</f>
        <v>-493000</v>
      </c>
      <c r="E47" s="715">
        <f>'A-RR Cross Reference'!AG249</f>
        <v>0</v>
      </c>
      <c r="F47" s="715">
        <f>'A-RR Cross Reference'!AG251</f>
        <v>652579.94104277773</v>
      </c>
      <c r="G47" s="719">
        <f t="shared" si="1"/>
        <v>-1.2144861344113439E-3</v>
      </c>
    </row>
    <row r="48" spans="1:9">
      <c r="B48" s="609" t="str">
        <f>'A-RR Cross Reference'!AH3</f>
        <v>3.09G-PPT</v>
      </c>
      <c r="C48" s="609" t="str">
        <f>'A-RR Cross Reference'!AH2</f>
        <v>Pro FormaProperty Tax</v>
      </c>
      <c r="D48" s="715">
        <f>'A-RR Cross Reference'!AH157</f>
        <v>-366000</v>
      </c>
      <c r="E48" s="715">
        <f>'A-RR Cross Reference'!AH249</f>
        <v>0</v>
      </c>
      <c r="F48" s="715">
        <f>'A-RR Cross Reference'!AH251</f>
        <v>484471.11241715343</v>
      </c>
      <c r="G48" s="719">
        <f t="shared" si="1"/>
        <v>-9.016266231126821E-4</v>
      </c>
    </row>
    <row r="49" spans="2:7">
      <c r="B49" s="609" t="str">
        <f>'A-RR Cross Reference'!AI3</f>
        <v>3.1G-PFEE</v>
      </c>
      <c r="C49" s="609" t="str">
        <f>'A-RR Cross Reference'!AI2</f>
        <v>Pro Forma Fee Free Amort</v>
      </c>
      <c r="D49" s="715">
        <f>'A-RR Cross Reference'!AI157</f>
        <v>-689000</v>
      </c>
      <c r="E49" s="715">
        <f>'A-RR Cross Reference'!AI249</f>
        <v>0</v>
      </c>
      <c r="F49" s="715">
        <f>'A-RR Cross Reference'!AI251</f>
        <v>912023.48758311127</v>
      </c>
      <c r="G49" s="719">
        <f t="shared" si="1"/>
        <v>-1.6973244353132161E-3</v>
      </c>
    </row>
    <row r="50" spans="2:7">
      <c r="B50" s="609" t="str">
        <f>'A-RR Cross Reference'!AJ3</f>
        <v>3.11G-PCAP1</v>
      </c>
      <c r="C50" s="609" t="str">
        <f>'A-RR Cross Reference'!AJ2</f>
        <v>Pro Forma2020 Customer AT Center</v>
      </c>
      <c r="D50" s="715">
        <f>'A-RR Cross Reference'!AJ157</f>
        <v>-456000</v>
      </c>
      <c r="E50" s="715">
        <f>'A-RR Cross Reference'!AJ249</f>
        <v>-491000</v>
      </c>
      <c r="F50" s="715">
        <f>'A-RR Cross Reference'!AJ251</f>
        <v>555313.36412239913</v>
      </c>
      <c r="G50" s="719">
        <f t="shared" si="1"/>
        <v>-1.0516849458657093E-3</v>
      </c>
    </row>
    <row r="51" spans="2:7">
      <c r="B51" s="609" t="str">
        <f>'A-RR Cross Reference'!AK3</f>
        <v>3.12G-PCAP2</v>
      </c>
      <c r="C51" s="609" t="str">
        <f>'A-RR Cross Reference'!AK2</f>
        <v>Pro Forma2020 Large &amp; Distinct</v>
      </c>
      <c r="D51" s="715">
        <f>'A-RR Cross Reference'!AK157</f>
        <v>-147000</v>
      </c>
      <c r="E51" s="715">
        <f>'A-RR Cross Reference'!AK249</f>
        <v>5095000</v>
      </c>
      <c r="F51" s="715">
        <f>'A-RR Cross Reference'!AK251</f>
        <v>695677.35282866273</v>
      </c>
      <c r="G51" s="719">
        <f t="shared" si="1"/>
        <v>-1.1049887312919102E-3</v>
      </c>
    </row>
    <row r="52" spans="2:7">
      <c r="B52" s="609" t="str">
        <f>'A-RR Cross Reference'!AL3</f>
        <v>3.13G-PCAP3</v>
      </c>
      <c r="C52" s="609" t="str">
        <f>'A-RR Cross Reference'!AL2</f>
        <v>Pro Forma2020 Programmatic</v>
      </c>
      <c r="D52" s="715">
        <f>'A-RR Cross Reference'!AL157</f>
        <v>-180000</v>
      </c>
      <c r="E52" s="715">
        <f>'A-RR Cross Reference'!AL249</f>
        <v>4280000</v>
      </c>
      <c r="F52" s="715">
        <f>'A-RR Cross Reference'!AL251</f>
        <v>659203.69362894015</v>
      </c>
      <c r="G52" s="719">
        <f t="shared" si="1"/>
        <v>-1.0678461118338659E-3</v>
      </c>
    </row>
    <row r="53" spans="2:7">
      <c r="B53" s="609" t="str">
        <f>'A-RR Cross Reference'!AM3</f>
        <v>3.14G-PCAP4</v>
      </c>
      <c r="C53" s="609" t="str">
        <f>'A-RR Cross Reference'!AM2</f>
        <v>Pro Forma2020 Mandatory</v>
      </c>
      <c r="D53" s="715">
        <f>'A-RR Cross Reference'!AM157</f>
        <v>-218000</v>
      </c>
      <c r="E53" s="715">
        <f>'A-RR Cross Reference'!AM249</f>
        <v>9637000</v>
      </c>
      <c r="F53" s="715">
        <f>'A-RR Cross Reference'!AM251</f>
        <v>1236366.4401830402</v>
      </c>
      <c r="G53" s="719">
        <f t="shared" si="1"/>
        <v>-1.9227129931883302E-3</v>
      </c>
    </row>
    <row r="54" spans="2:7">
      <c r="B54" s="609" t="str">
        <f>'A-RR Cross Reference'!AN3</f>
        <v>3.15G-PCAP5</v>
      </c>
      <c r="C54" s="609" t="str">
        <f>'A-RR Cross Reference'!AN2</f>
        <v>Pro Forma2020 Short Lived</v>
      </c>
      <c r="D54" s="715">
        <f>'A-RR Cross Reference'!AN157</f>
        <v>-507000</v>
      </c>
      <c r="E54" s="715">
        <f>'A-RR Cross Reference'!AN249</f>
        <v>-36000</v>
      </c>
      <c r="F54" s="715">
        <f>'A-RR Cross Reference'!AN251</f>
        <v>667571.01274317876</v>
      </c>
      <c r="G54" s="719">
        <f t="shared" si="1"/>
        <v>-1.2437380257680555E-3</v>
      </c>
    </row>
    <row r="55" spans="2:7">
      <c r="B55" s="609" t="str">
        <f>'A-RR Cross Reference'!AO3</f>
        <v>3.16G-PAMI</v>
      </c>
      <c r="C55" s="609" t="str">
        <f>'A-RR Cross Reference'!AO2</f>
        <v>Pro FormaAMI Capital Adds</v>
      </c>
      <c r="D55" s="715">
        <f>'A-RR Cross Reference'!AO157</f>
        <v>-2735000</v>
      </c>
      <c r="E55" s="715">
        <f>'A-RR Cross Reference'!AO249</f>
        <v>53964000</v>
      </c>
      <c r="F55" s="715">
        <f>'A-RR Cross Reference'!AO251</f>
        <v>8927671.1102992464</v>
      </c>
      <c r="G55" s="719">
        <f t="shared" si="1"/>
        <v>-1.3021457773552556E-2</v>
      </c>
    </row>
    <row r="56" spans="2:7">
      <c r="B56" s="609" t="str">
        <f>'A-RR Cross Reference'!AP3</f>
        <v>3.17G-PLEAP</v>
      </c>
      <c r="C56" s="609" t="str">
        <f>'A-RR Cross Reference'!AP2</f>
        <v>Pro FormaLEAP Def. Amort</v>
      </c>
      <c r="D56" s="715">
        <f>'A-RR Cross Reference'!AP57</f>
        <v>0</v>
      </c>
      <c r="E56" s="715">
        <f>'A-RR Cross Reference'!AP249</f>
        <v>-3959000</v>
      </c>
      <c r="F56" s="715">
        <f>'A-RR Cross Reference'!AP251</f>
        <v>1230829.7031092192</v>
      </c>
      <c r="G56" s="719">
        <f t="shared" si="1"/>
        <v>5.9379718661698583E-4</v>
      </c>
    </row>
    <row r="57" spans="2:7">
      <c r="B57" s="609" t="str">
        <f>'A-RR Cross Reference'!AQ3</f>
        <v>3.18G-PTAX</v>
      </c>
      <c r="C57" s="609" t="str">
        <f>'A-RR Cross Reference'!AQ2</f>
        <v>Pro FormaTax Repairs</v>
      </c>
      <c r="D57" s="715">
        <f>'A-RR Cross Reference'!AQ157</f>
        <v>0</v>
      </c>
      <c r="E57" s="715">
        <f>'A-RR Cross Reference'!AQ249</f>
        <v>-15228000</v>
      </c>
      <c r="F57" s="715">
        <f>'A-RR Cross Reference'!AQ251</f>
        <v>-1497678.1126276206</v>
      </c>
      <c r="G57" s="719">
        <f t="shared" si="1"/>
        <v>2.3498735687825997E-3</v>
      </c>
    </row>
    <row r="58" spans="2:7">
      <c r="D58" s="715"/>
      <c r="E58" s="715"/>
      <c r="F58" s="715"/>
      <c r="G58" s="715"/>
    </row>
    <row r="59" spans="2:7" ht="16.2" thickBot="1">
      <c r="C59" s="714" t="s">
        <v>1385</v>
      </c>
      <c r="D59" s="716">
        <f>SUM(D40:D57)</f>
        <v>721000</v>
      </c>
      <c r="E59" s="716">
        <f>SUM(E40:E57)</f>
        <v>53262000</v>
      </c>
      <c r="F59" s="716">
        <f>SUM(F40:F57)</f>
        <v>5904149.6406839238</v>
      </c>
      <c r="G59" s="718">
        <f>SUM(G40:G57)</f>
        <v>-4.2401388175452581E-3</v>
      </c>
    </row>
    <row r="60" spans="2:7" ht="16.8" thickTop="1" thickBot="1"/>
    <row r="61" spans="2:7" ht="16.2" thickBot="1">
      <c r="C61" s="714" t="s">
        <v>1386</v>
      </c>
      <c r="D61" s="720">
        <f>D59+D32</f>
        <v>24647000</v>
      </c>
      <c r="E61" s="721">
        <f>E59+E32</f>
        <v>449452000</v>
      </c>
      <c r="F61" s="721">
        <f>F59+F32</f>
        <v>13198903.983385025</v>
      </c>
      <c r="G61" s="722">
        <f>G59+G32</f>
        <v>5.6400065694189983E-2</v>
      </c>
    </row>
  </sheetData>
  <mergeCells count="9">
    <mergeCell ref="B7:F7"/>
    <mergeCell ref="B36:F36"/>
    <mergeCell ref="D38:G38"/>
    <mergeCell ref="D9:G9"/>
    <mergeCell ref="B1:F1"/>
    <mergeCell ref="B2:F2"/>
    <mergeCell ref="B3:F3"/>
    <mergeCell ref="B4:F4"/>
    <mergeCell ref="B5:F5"/>
  </mergeCells>
  <phoneticPr fontId="8" type="noConversion"/>
  <pageMargins left="0.7" right="0.7" top="0.75" bottom="0.75" header="0.3" footer="0.3"/>
  <pageSetup scale="95" fitToHeight="2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84CD-6C1B-4F29-A046-A2F4A1868FB8}">
  <sheetPr>
    <pageSetUpPr fitToPage="1"/>
  </sheetPr>
  <dimension ref="B1:L28"/>
  <sheetViews>
    <sheetView view="pageBreakPreview" zoomScale="60" zoomScaleNormal="100" workbookViewId="0">
      <selection activeCell="H47" sqref="H47"/>
    </sheetView>
  </sheetViews>
  <sheetFormatPr defaultColWidth="8.77734375" defaultRowHeight="15.6"/>
  <cols>
    <col min="1" max="1" width="3.77734375" style="601" customWidth="1"/>
    <col min="2" max="2" width="48.44140625" style="601" customWidth="1"/>
    <col min="3" max="3" width="15.44140625" style="601" customWidth="1"/>
    <col min="4" max="4" width="14.77734375" style="601" customWidth="1"/>
    <col min="5" max="5" width="13.109375" style="601" hidden="1" customWidth="1"/>
    <col min="6" max="6" width="13.109375" style="601" bestFit="1" customWidth="1"/>
    <col min="7" max="7" width="16.21875" style="601" customWidth="1"/>
    <col min="8" max="8" width="15.77734375" style="601" customWidth="1"/>
    <col min="9" max="9" width="12.88671875" style="601" customWidth="1"/>
    <col min="10" max="11" width="8.77734375" style="601"/>
    <col min="12" max="12" width="12.109375" style="601" bestFit="1" customWidth="1"/>
    <col min="13" max="16384" width="8.77734375" style="601"/>
  </cols>
  <sheetData>
    <row r="1" spans="2:10">
      <c r="B1" s="706" t="s">
        <v>1373</v>
      </c>
      <c r="C1" s="706"/>
      <c r="D1" s="706"/>
      <c r="E1" s="706"/>
      <c r="F1" s="706"/>
    </row>
    <row r="2" spans="2:10">
      <c r="B2" s="707" t="s">
        <v>1374</v>
      </c>
      <c r="C2" s="707"/>
      <c r="D2" s="707"/>
      <c r="E2" s="707"/>
      <c r="F2" s="707"/>
    </row>
    <row r="3" spans="2:10">
      <c r="B3" s="707" t="s">
        <v>1375</v>
      </c>
      <c r="C3" s="707"/>
      <c r="D3" s="707"/>
      <c r="E3" s="707"/>
      <c r="F3" s="707"/>
    </row>
    <row r="4" spans="2:10">
      <c r="B4" s="707" t="s">
        <v>1382</v>
      </c>
      <c r="C4" s="707"/>
      <c r="D4" s="707"/>
      <c r="E4" s="707"/>
      <c r="F4" s="707"/>
    </row>
    <row r="5" spans="2:10">
      <c r="B5" s="708" t="s">
        <v>1376</v>
      </c>
      <c r="C5" s="708"/>
      <c r="D5" s="708"/>
      <c r="E5" s="708"/>
      <c r="F5" s="708"/>
    </row>
    <row r="7" spans="2:10" ht="19.95" customHeight="1">
      <c r="C7" s="777" t="str">
        <f>'B-COS Results'!E2</f>
        <v>Schedule 101</v>
      </c>
      <c r="D7" s="777" t="str">
        <f>'B-COS Results'!F2</f>
        <v>Schedule 111</v>
      </c>
      <c r="E7" s="777" t="str">
        <f>'B-COS Results'!G2</f>
        <v>Schedule 121</v>
      </c>
      <c r="F7" s="777" t="str">
        <f>'B-COS Results'!H2</f>
        <v>Schedule 131</v>
      </c>
      <c r="G7" s="777" t="str">
        <f>'B-COS Results'!I2</f>
        <v>Schedule 146</v>
      </c>
      <c r="H7" s="777" t="s">
        <v>120</v>
      </c>
    </row>
    <row r="8" spans="2:10">
      <c r="B8" s="601" t="s">
        <v>83</v>
      </c>
      <c r="C8" s="643">
        <f>'B-COS Results'!E249</f>
        <v>366160708.52457148</v>
      </c>
      <c r="D8" s="643">
        <f>'B-COS Results'!F249</f>
        <v>64141242.973698683</v>
      </c>
      <c r="E8" s="643">
        <f>'B-COS Results'!G249</f>
        <v>0</v>
      </c>
      <c r="F8" s="643">
        <f>'B-COS Results'!H249</f>
        <v>847681.86534979579</v>
      </c>
      <c r="G8" s="643">
        <f>'B-COS Results'!I249</f>
        <v>22490366.636379857</v>
      </c>
      <c r="H8" s="724">
        <f>SUM(C8:G8)</f>
        <v>453639999.99999976</v>
      </c>
    </row>
    <row r="9" spans="2:10">
      <c r="B9" s="601" t="s">
        <v>652</v>
      </c>
      <c r="C9" s="725">
        <f>H9</f>
        <v>7.341063398289395E-2</v>
      </c>
      <c r="D9" s="725">
        <f>H9</f>
        <v>7.341063398289395E-2</v>
      </c>
      <c r="E9" s="725"/>
      <c r="F9" s="725">
        <f>H9</f>
        <v>7.341063398289395E-2</v>
      </c>
      <c r="G9" s="725">
        <f>H9</f>
        <v>7.341063398289395E-2</v>
      </c>
      <c r="H9" s="725">
        <f>Summary!C83</f>
        <v>7.341063398289395E-2</v>
      </c>
    </row>
    <row r="10" spans="2:10">
      <c r="B10" s="601" t="s">
        <v>1387</v>
      </c>
      <c r="C10" s="643">
        <f>C8*C9</f>
        <v>26880089.752414435</v>
      </c>
      <c r="D10" s="643">
        <f>D8*D9</f>
        <v>4708649.3111500619</v>
      </c>
      <c r="E10" s="643">
        <f>E8*E9</f>
        <v>0</v>
      </c>
      <c r="F10" s="643">
        <f>F8*F9</f>
        <v>62228.863151130652</v>
      </c>
      <c r="G10" s="643">
        <f>G8*G9</f>
        <v>1651032.0732843713</v>
      </c>
      <c r="H10" s="724">
        <f>SUM(C10:G10)</f>
        <v>33302000</v>
      </c>
    </row>
    <row r="11" spans="2:10">
      <c r="B11" s="601" t="s">
        <v>1388</v>
      </c>
      <c r="C11" s="643">
        <f>'B-COS Results'!E155-'B-COS Results'!E16</f>
        <v>67814593.797547936</v>
      </c>
      <c r="D11" s="643">
        <f>'B-COS Results'!F155-'B-COS Results'!F16</f>
        <v>10420470.654819384</v>
      </c>
      <c r="E11" s="643">
        <f>'B-COS Results'!G155-'B-COS Results'!G16</f>
        <v>0</v>
      </c>
      <c r="F11" s="643">
        <f>'B-COS Results'!H155-'B-COS Results'!H16</f>
        <v>124700.24624902614</v>
      </c>
      <c r="G11" s="643">
        <f>'B-COS Results'!I155-'B-COS Results'!I16</f>
        <v>2617235.3306967011</v>
      </c>
      <c r="H11" s="724">
        <f>SUM(C11:G11)</f>
        <v>80977000.029313043</v>
      </c>
    </row>
    <row r="12" spans="2:10">
      <c r="B12" s="601" t="s">
        <v>1389</v>
      </c>
      <c r="C12" s="643">
        <f>ROUND('B-COS Results'!E9,-3)</f>
        <v>79469000</v>
      </c>
      <c r="D12" s="643">
        <f>ROUND('B-COS Results'!F9,-3)</f>
        <v>20146000</v>
      </c>
      <c r="E12" s="643">
        <f>ROUND('B-COS Results'!G9,-3)</f>
        <v>0</v>
      </c>
      <c r="F12" s="643">
        <f>ROUND('B-COS Results'!H9,-3)</f>
        <v>217000</v>
      </c>
      <c r="G12" s="643">
        <f>ROUND('B-COS Results'!I9,-3)</f>
        <v>3581000</v>
      </c>
      <c r="H12" s="724">
        <f>SUM(C12:G12)</f>
        <v>103413000</v>
      </c>
    </row>
    <row r="13" spans="2:10">
      <c r="B13" s="601" t="s">
        <v>1390</v>
      </c>
      <c r="C13" s="643">
        <f>C12-C11</f>
        <v>11654406.202452064</v>
      </c>
      <c r="D13" s="643">
        <f>D12-D11</f>
        <v>9725529.3451806158</v>
      </c>
      <c r="E13" s="643">
        <f>E12-E11</f>
        <v>0</v>
      </c>
      <c r="F13" s="643">
        <f>F12-F11</f>
        <v>92299.753750973861</v>
      </c>
      <c r="G13" s="643">
        <f>G12-G11</f>
        <v>963764.66930329893</v>
      </c>
      <c r="H13" s="724">
        <f t="shared" ref="H13:H15" si="0">SUM(C13:G13)</f>
        <v>22435999.97068695</v>
      </c>
    </row>
    <row r="14" spans="2:10">
      <c r="B14" s="601" t="s">
        <v>1391</v>
      </c>
      <c r="C14" s="643">
        <f>C10-C13</f>
        <v>15225683.549962372</v>
      </c>
      <c r="D14" s="643">
        <f>D10-D13</f>
        <v>-5016880.0340305539</v>
      </c>
      <c r="E14" s="643">
        <f>E10-E13</f>
        <v>0</v>
      </c>
      <c r="F14" s="643">
        <f>F10-F13</f>
        <v>-30070.890599843209</v>
      </c>
      <c r="G14" s="643">
        <f>G10-G13</f>
        <v>687267.40398107236</v>
      </c>
      <c r="H14" s="724">
        <f t="shared" si="0"/>
        <v>10866000.029313048</v>
      </c>
      <c r="I14" s="726">
        <f>Summary!M80</f>
        <v>0.755463</v>
      </c>
      <c r="J14" s="601" t="s">
        <v>1401</v>
      </c>
    </row>
    <row r="15" spans="2:10">
      <c r="B15" s="601" t="s">
        <v>1392</v>
      </c>
      <c r="C15" s="643">
        <f>C14/I14*I15</f>
        <v>881097.33161949029</v>
      </c>
      <c r="D15" s="643">
        <f>D14/I14*I15</f>
        <v>-290322.57215475512</v>
      </c>
      <c r="E15" s="643">
        <f>E14/I14*I15</f>
        <v>0</v>
      </c>
      <c r="F15" s="643">
        <f>F14/I14*I15</f>
        <v>-1740.1768124235673</v>
      </c>
      <c r="G15" s="643">
        <f>G14/I14*I15</f>
        <v>39771.578975071607</v>
      </c>
      <c r="H15" s="724">
        <f t="shared" si="0"/>
        <v>628806.1616273832</v>
      </c>
      <c r="I15" s="601">
        <f>SUM(Summary!L73:L75)</f>
        <v>4.3718E-2</v>
      </c>
      <c r="J15" s="601" t="s">
        <v>1401</v>
      </c>
    </row>
    <row r="16" spans="2:10">
      <c r="B16" s="601" t="s">
        <v>1393</v>
      </c>
      <c r="C16" s="643">
        <f>C14/I14*I16</f>
        <v>4047327.9893520842</v>
      </c>
      <c r="D16" s="643">
        <f>D14/I14*I16</f>
        <v>-1333599.1723671204</v>
      </c>
      <c r="E16" s="643">
        <f>E14/I14*I16</f>
        <v>0</v>
      </c>
      <c r="F16" s="643">
        <f>F14/I14*I16</f>
        <v>-7993.5167961500611</v>
      </c>
      <c r="G16" s="643">
        <f>G14/I14*I16</f>
        <v>182691.08189292523</v>
      </c>
      <c r="H16" s="724">
        <f>SUM(C16:G16)</f>
        <v>2888426.3820817387</v>
      </c>
      <c r="I16" s="601">
        <f>Summary!L77</f>
        <v>0.200819</v>
      </c>
      <c r="J16" s="601" t="s">
        <v>1401</v>
      </c>
    </row>
    <row r="17" spans="2:12">
      <c r="B17" s="601" t="s">
        <v>1394</v>
      </c>
      <c r="C17" s="643">
        <f>ROUND(C10+C11+C15+C16,-3)</f>
        <v>99623000</v>
      </c>
      <c r="D17" s="643">
        <f>ROUND(D10+D11+D15+D16,-3)</f>
        <v>13505000</v>
      </c>
      <c r="E17" s="643">
        <f t="shared" ref="E17" si="1">ROUND(E10+E11+E15+E16,-3)</f>
        <v>0</v>
      </c>
      <c r="F17" s="643">
        <f>ROUND(F10+F11+F15+F16,-3)</f>
        <v>177000</v>
      </c>
      <c r="G17" s="643">
        <f>ROUND(G10+G11+G15+G16,-3)</f>
        <v>4491000</v>
      </c>
      <c r="H17" s="724">
        <f>SUM(C17:G17)</f>
        <v>117796000</v>
      </c>
    </row>
    <row r="18" spans="2:12">
      <c r="C18" s="643"/>
      <c r="D18" s="643"/>
      <c r="E18" s="643"/>
      <c r="F18" s="643"/>
      <c r="G18" s="643"/>
    </row>
    <row r="19" spans="2:12">
      <c r="B19" s="601" t="s">
        <v>1395</v>
      </c>
      <c r="C19" s="727">
        <f>C12/C17</f>
        <v>0.79769731889222373</v>
      </c>
      <c r="D19" s="727">
        <f>D12/D17</f>
        <v>1.4917437985931137</v>
      </c>
      <c r="E19" s="727">
        <v>0</v>
      </c>
      <c r="F19" s="727">
        <f>F12/F17</f>
        <v>1.2259887005649717</v>
      </c>
      <c r="G19" s="727">
        <f>G12/G17</f>
        <v>0.79737252282342463</v>
      </c>
      <c r="H19" s="727">
        <f>H12/H17</f>
        <v>0.87789907976501746</v>
      </c>
    </row>
    <row r="20" spans="2:12">
      <c r="B20" s="601" t="s">
        <v>1396</v>
      </c>
      <c r="C20" s="727">
        <f>C19/H19</f>
        <v>0.90864353008063192</v>
      </c>
      <c r="D20" s="727">
        <f>D19/H19</f>
        <v>1.6992201415593244</v>
      </c>
      <c r="E20" s="727">
        <v>0</v>
      </c>
      <c r="F20" s="727">
        <f>F19/H19</f>
        <v>1.3965030022506977</v>
      </c>
      <c r="G20" s="727">
        <f>G19/H19</f>
        <v>0.90827356036966467</v>
      </c>
      <c r="H20" s="728">
        <f>H19/H19</f>
        <v>1</v>
      </c>
    </row>
    <row r="21" spans="2:12">
      <c r="C21" s="643"/>
      <c r="D21" s="643"/>
      <c r="E21" s="643"/>
      <c r="F21" s="643"/>
      <c r="G21" s="643"/>
    </row>
    <row r="22" spans="2:12">
      <c r="B22" s="601" t="s">
        <v>185</v>
      </c>
      <c r="C22" s="643">
        <f>Summary!D58</f>
        <v>9828000</v>
      </c>
      <c r="D22" s="643">
        <f>Summary!E58</f>
        <v>2492000</v>
      </c>
      <c r="E22" s="643">
        <f>Summary!F58</f>
        <v>0</v>
      </c>
      <c r="F22" s="643">
        <f>Summary!G58</f>
        <v>27000</v>
      </c>
      <c r="G22" s="643">
        <f>Summary!H58</f>
        <v>443000</v>
      </c>
      <c r="H22" s="724">
        <f>SUM(C22:G22)</f>
        <v>12790000</v>
      </c>
    </row>
    <row r="23" spans="2:12">
      <c r="C23" s="643"/>
      <c r="D23" s="643"/>
      <c r="E23" s="643"/>
      <c r="F23" s="643"/>
      <c r="G23" s="643"/>
    </row>
    <row r="24" spans="2:12">
      <c r="B24" s="601" t="s">
        <v>1397</v>
      </c>
      <c r="C24" s="643">
        <f>C12+C22</f>
        <v>89297000</v>
      </c>
      <c r="D24" s="643">
        <f>D12+D22</f>
        <v>22638000</v>
      </c>
      <c r="E24" s="643">
        <f>E12+E22</f>
        <v>0</v>
      </c>
      <c r="F24" s="643">
        <f>F12+F22</f>
        <v>244000</v>
      </c>
      <c r="G24" s="643">
        <f>G12+G22</f>
        <v>4024000</v>
      </c>
      <c r="H24" s="724">
        <f>SUM(C24:G24)</f>
        <v>116203000</v>
      </c>
    </row>
    <row r="25" spans="2:12">
      <c r="B25" s="601" t="s">
        <v>1398</v>
      </c>
      <c r="C25" s="643">
        <f>C24-C17</f>
        <v>-10326000</v>
      </c>
      <c r="D25" s="643">
        <f>D24-D17</f>
        <v>9133000</v>
      </c>
      <c r="E25" s="643">
        <f>E24-E17</f>
        <v>0</v>
      </c>
      <c r="F25" s="643">
        <f>F24-F17</f>
        <v>67000</v>
      </c>
      <c r="G25" s="643">
        <f>G24-G17</f>
        <v>-467000</v>
      </c>
      <c r="H25" s="724">
        <f>SUM(C25:G25)</f>
        <v>-1593000</v>
      </c>
      <c r="L25" s="724"/>
    </row>
    <row r="26" spans="2:12">
      <c r="C26" s="643"/>
      <c r="D26" s="643"/>
      <c r="E26" s="643"/>
      <c r="F26" s="643"/>
      <c r="G26" s="643"/>
    </row>
    <row r="27" spans="2:12">
      <c r="B27" s="601" t="s">
        <v>1399</v>
      </c>
      <c r="C27" s="729">
        <f>C24/C17</f>
        <v>0.89634923662206523</v>
      </c>
      <c r="D27" s="729">
        <f>D24/D17</f>
        <v>1.6762680488707886</v>
      </c>
      <c r="E27" s="727">
        <v>0</v>
      </c>
      <c r="F27" s="729">
        <f>F24/F17</f>
        <v>1.3785310734463276</v>
      </c>
      <c r="G27" s="729">
        <f>G24/G17</f>
        <v>0.89601425072366958</v>
      </c>
      <c r="H27" s="729">
        <f>(H24)/H17</f>
        <v>0.98647662059832253</v>
      </c>
    </row>
    <row r="28" spans="2:12">
      <c r="B28" s="601" t="s">
        <v>1400</v>
      </c>
      <c r="C28" s="729">
        <f>C27/H27</f>
        <v>0.90863708060147153</v>
      </c>
      <c r="D28" s="729">
        <f>D27/H27</f>
        <v>1.6992476191215666</v>
      </c>
      <c r="E28" s="727">
        <v>0</v>
      </c>
      <c r="F28" s="729">
        <f>F27/H27</f>
        <v>1.3974290364937532</v>
      </c>
      <c r="G28" s="729">
        <f>G27/H27</f>
        <v>0.90829750245901897</v>
      </c>
      <c r="H28" s="729">
        <f>H27/H27</f>
        <v>1</v>
      </c>
    </row>
  </sheetData>
  <pageMargins left="0.7" right="0.7" top="0.75" bottom="0.75" header="0.3" footer="0.3"/>
  <pageSetup scale="98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2:P47"/>
  <sheetViews>
    <sheetView showGridLines="0" zoomScale="75" workbookViewId="0">
      <pane xSplit="1" ySplit="2" topLeftCell="B3" activePane="bottomRight" state="frozen"/>
      <selection activeCell="I12" sqref="I12"/>
      <selection pane="topRight" activeCell="I12" sqref="I12"/>
      <selection pane="bottomLeft" activeCell="I12" sqref="I12"/>
      <selection pane="bottomRight" activeCell="F12" sqref="F12"/>
    </sheetView>
  </sheetViews>
  <sheetFormatPr defaultRowHeight="13.2"/>
  <cols>
    <col min="1" max="1" width="20.77734375" customWidth="1"/>
    <col min="2" max="2" width="3.77734375" customWidth="1"/>
    <col min="3" max="14" width="15.77734375" customWidth="1"/>
    <col min="15" max="15" width="1.77734375" customWidth="1"/>
  </cols>
  <sheetData>
    <row r="2" spans="1:14" ht="13.8">
      <c r="A2" s="122" t="s">
        <v>631</v>
      </c>
    </row>
    <row r="3" spans="1:14">
      <c r="A3" s="114"/>
    </row>
    <row r="4" spans="1:14">
      <c r="A4" s="17" t="s">
        <v>632</v>
      </c>
    </row>
    <row r="5" spans="1:14">
      <c r="A5" s="17" t="s">
        <v>645</v>
      </c>
    </row>
    <row r="6" spans="1:14">
      <c r="A6" s="17" t="s">
        <v>646</v>
      </c>
    </row>
    <row r="7" spans="1:14">
      <c r="A7" s="17"/>
    </row>
    <row r="8" spans="1:14">
      <c r="A8" s="114"/>
    </row>
    <row r="9" spans="1:14">
      <c r="B9" s="121" t="s">
        <v>592</v>
      </c>
      <c r="G9" s="121" t="s">
        <v>611</v>
      </c>
      <c r="M9" s="121" t="s">
        <v>623</v>
      </c>
    </row>
    <row r="10" spans="1:14">
      <c r="B10" s="1"/>
      <c r="G10" s="1"/>
    </row>
    <row r="11" spans="1:14">
      <c r="C11" t="s">
        <v>573</v>
      </c>
      <c r="D11" t="s">
        <v>574</v>
      </c>
      <c r="E11" t="s">
        <v>576</v>
      </c>
      <c r="F11" t="s">
        <v>575</v>
      </c>
      <c r="G11" t="s">
        <v>573</v>
      </c>
      <c r="H11" t="s">
        <v>574</v>
      </c>
      <c r="I11" t="s">
        <v>576</v>
      </c>
      <c r="J11" t="s">
        <v>575</v>
      </c>
      <c r="K11" t="s">
        <v>621</v>
      </c>
      <c r="L11" t="s">
        <v>622</v>
      </c>
      <c r="M11" t="s">
        <v>624</v>
      </c>
      <c r="N11" t="s">
        <v>628</v>
      </c>
    </row>
    <row r="12" spans="1:14">
      <c r="C12" s="110" t="s">
        <v>578</v>
      </c>
      <c r="D12" s="110" t="s">
        <v>578</v>
      </c>
      <c r="E12" s="110" t="s">
        <v>578</v>
      </c>
      <c r="F12" s="110" t="s">
        <v>578</v>
      </c>
      <c r="G12" s="110" t="s">
        <v>578</v>
      </c>
      <c r="H12" s="110" t="s">
        <v>578</v>
      </c>
      <c r="I12" s="110" t="s">
        <v>578</v>
      </c>
      <c r="J12" s="110" t="s">
        <v>578</v>
      </c>
      <c r="K12" s="110" t="s">
        <v>578</v>
      </c>
      <c r="L12" s="110" t="s">
        <v>578</v>
      </c>
      <c r="M12" s="110" t="s">
        <v>578</v>
      </c>
      <c r="N12" s="110" t="s">
        <v>578</v>
      </c>
    </row>
    <row r="13" spans="1:14">
      <c r="C13" s="110"/>
    </row>
    <row r="14" spans="1:14">
      <c r="A14" t="s">
        <v>593</v>
      </c>
      <c r="B14" s="115" t="s">
        <v>594</v>
      </c>
    </row>
    <row r="15" spans="1:14">
      <c r="C15" s="123" t="s">
        <v>633</v>
      </c>
      <c r="D15" s="124" t="s">
        <v>634</v>
      </c>
      <c r="E15" s="123" t="s">
        <v>635</v>
      </c>
      <c r="F15" s="124" t="s">
        <v>636</v>
      </c>
      <c r="G15" s="123" t="s">
        <v>637</v>
      </c>
      <c r="H15" s="124" t="s">
        <v>638</v>
      </c>
      <c r="I15" s="123" t="s">
        <v>639</v>
      </c>
      <c r="J15" s="124" t="s">
        <v>640</v>
      </c>
      <c r="K15" s="123" t="s">
        <v>641</v>
      </c>
      <c r="L15" s="124" t="s">
        <v>642</v>
      </c>
      <c r="M15" s="125" t="s">
        <v>643</v>
      </c>
      <c r="N15" s="125" t="s">
        <v>644</v>
      </c>
    </row>
    <row r="16" spans="1:14">
      <c r="C16" s="34" t="s">
        <v>647</v>
      </c>
      <c r="D16" s="34"/>
      <c r="E16" s="34" t="s">
        <v>647</v>
      </c>
      <c r="F16" s="34"/>
      <c r="G16" s="34" t="s">
        <v>647</v>
      </c>
      <c r="H16" s="34"/>
      <c r="I16" s="34" t="s">
        <v>647</v>
      </c>
      <c r="J16" s="34"/>
      <c r="K16" s="34" t="s">
        <v>647</v>
      </c>
      <c r="L16" s="34"/>
      <c r="M16" s="34" t="s">
        <v>647</v>
      </c>
      <c r="N16" s="34" t="s">
        <v>647</v>
      </c>
    </row>
    <row r="17" spans="1:14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>
      <c r="A18" t="s">
        <v>577</v>
      </c>
      <c r="B18" s="36">
        <v>0</v>
      </c>
      <c r="C18" s="112" t="s">
        <v>605</v>
      </c>
      <c r="D18" s="112" t="s">
        <v>606</v>
      </c>
      <c r="E18" s="112" t="s">
        <v>610</v>
      </c>
      <c r="F18" s="112" t="s">
        <v>607</v>
      </c>
      <c r="G18" s="112" t="s">
        <v>612</v>
      </c>
      <c r="H18" s="112" t="s">
        <v>614</v>
      </c>
      <c r="I18" s="112" t="s">
        <v>615</v>
      </c>
      <c r="J18" s="112" t="s">
        <v>616</v>
      </c>
      <c r="K18" s="112" t="s">
        <v>618</v>
      </c>
      <c r="L18" s="112" t="s">
        <v>619</v>
      </c>
      <c r="M18" s="112" t="s">
        <v>658</v>
      </c>
      <c r="N18" s="112" t="s">
        <v>630</v>
      </c>
    </row>
    <row r="19" spans="1:14">
      <c r="A19" t="s">
        <v>579</v>
      </c>
      <c r="B19" s="36">
        <v>1</v>
      </c>
      <c r="C19" s="113" t="s">
        <v>603</v>
      </c>
      <c r="D19" s="111" t="str">
        <f>C19</f>
        <v>$1:$6</v>
      </c>
      <c r="E19" s="111" t="str">
        <f>C19</f>
        <v>$1:$6</v>
      </c>
      <c r="F19" s="111" t="str">
        <f>C19</f>
        <v>$1:$6</v>
      </c>
      <c r="G19" s="113" t="s">
        <v>613</v>
      </c>
      <c r="H19" s="111" t="str">
        <f>G19</f>
        <v>$159:$164</v>
      </c>
      <c r="I19" s="111" t="str">
        <f>G19</f>
        <v>$159:$164</v>
      </c>
      <c r="J19" s="111" t="str">
        <f>G19</f>
        <v>$159:$164</v>
      </c>
      <c r="K19" s="111" t="str">
        <f>H19</f>
        <v>$159:$164</v>
      </c>
      <c r="L19" s="111" t="str">
        <f>I19</f>
        <v>$159:$164</v>
      </c>
      <c r="M19" s="113" t="s">
        <v>625</v>
      </c>
      <c r="N19" s="113" t="s">
        <v>629</v>
      </c>
    </row>
    <row r="20" spans="1:14">
      <c r="A20" t="s">
        <v>580</v>
      </c>
      <c r="B20" s="36">
        <v>2</v>
      </c>
      <c r="C20" s="112" t="s">
        <v>604</v>
      </c>
      <c r="D20" s="111" t="str">
        <f>$C20</f>
        <v>$A:$D</v>
      </c>
      <c r="E20" s="111" t="str">
        <f>$C20</f>
        <v>$A:$D</v>
      </c>
      <c r="F20" s="111" t="str">
        <f>$C20</f>
        <v>$A:$D</v>
      </c>
      <c r="G20" s="112" t="s">
        <v>604</v>
      </c>
      <c r="H20" s="111" t="str">
        <f>$G20</f>
        <v>$A:$D</v>
      </c>
      <c r="I20" s="111" t="str">
        <f>$G20</f>
        <v>$A:$D</v>
      </c>
      <c r="J20" s="111" t="str">
        <f>$G20</f>
        <v>$A:$D</v>
      </c>
      <c r="K20" s="111"/>
      <c r="L20" s="113" t="s">
        <v>620</v>
      </c>
      <c r="M20" s="113"/>
      <c r="N20" s="113"/>
    </row>
    <row r="21" spans="1:14">
      <c r="A21" t="s">
        <v>581</v>
      </c>
      <c r="B21" s="36">
        <v>3</v>
      </c>
      <c r="C21" s="112">
        <v>1</v>
      </c>
      <c r="D21" s="36">
        <f>C21</f>
        <v>1</v>
      </c>
      <c r="E21" s="36">
        <f>C21</f>
        <v>1</v>
      </c>
      <c r="F21" s="36">
        <f>C21</f>
        <v>1</v>
      </c>
      <c r="G21" s="112">
        <v>1</v>
      </c>
      <c r="H21" s="36">
        <f>G21</f>
        <v>1</v>
      </c>
      <c r="I21" s="36">
        <f>G21</f>
        <v>1</v>
      </c>
      <c r="J21" s="36">
        <f>G21</f>
        <v>1</v>
      </c>
      <c r="K21" s="36">
        <f>H21</f>
        <v>1</v>
      </c>
      <c r="L21" s="36">
        <f>I21</f>
        <v>1</v>
      </c>
      <c r="M21" s="36">
        <f>J21</f>
        <v>1</v>
      </c>
      <c r="N21" s="36">
        <f>K21</f>
        <v>1</v>
      </c>
    </row>
    <row r="22" spans="1:14">
      <c r="A22" t="s">
        <v>582</v>
      </c>
      <c r="B22" s="36">
        <v>4</v>
      </c>
      <c r="C22" s="112">
        <v>2</v>
      </c>
      <c r="D22" s="36">
        <f>C22</f>
        <v>2</v>
      </c>
      <c r="E22" s="36">
        <f>C22</f>
        <v>2</v>
      </c>
      <c r="F22" s="36">
        <f>C22</f>
        <v>2</v>
      </c>
      <c r="G22" s="112">
        <v>4</v>
      </c>
      <c r="H22" s="36">
        <f>G22</f>
        <v>4</v>
      </c>
      <c r="I22" s="36">
        <f>G22</f>
        <v>4</v>
      </c>
      <c r="J22" s="36">
        <f>G22</f>
        <v>4</v>
      </c>
      <c r="K22" s="112">
        <v>3</v>
      </c>
      <c r="L22" s="112">
        <v>3</v>
      </c>
      <c r="M22" s="112">
        <v>1</v>
      </c>
      <c r="N22" s="112">
        <v>1</v>
      </c>
    </row>
    <row r="23" spans="1:14">
      <c r="A23" t="s">
        <v>583</v>
      </c>
      <c r="B23" s="36">
        <v>5</v>
      </c>
      <c r="C23" s="112" t="b">
        <v>0</v>
      </c>
      <c r="D23" s="36" t="b">
        <f>C23</f>
        <v>0</v>
      </c>
      <c r="E23" s="36" t="b">
        <f>C23</f>
        <v>0</v>
      </c>
      <c r="F23" s="36" t="b">
        <f>C23</f>
        <v>0</v>
      </c>
      <c r="G23" s="112" t="b">
        <v>0</v>
      </c>
      <c r="H23" s="36" t="b">
        <f>G23</f>
        <v>0</v>
      </c>
      <c r="I23" s="36" t="b">
        <f>G23</f>
        <v>0</v>
      </c>
      <c r="J23" s="36" t="b">
        <f>G23</f>
        <v>0</v>
      </c>
      <c r="K23" s="36" t="b">
        <f>H23</f>
        <v>0</v>
      </c>
      <c r="L23" s="36" t="b">
        <f>I23</f>
        <v>0</v>
      </c>
      <c r="M23" s="36" t="b">
        <f>J23</f>
        <v>0</v>
      </c>
      <c r="N23" s="36" t="b">
        <f>K23</f>
        <v>0</v>
      </c>
    </row>
    <row r="24" spans="1:14">
      <c r="A24" t="s">
        <v>584</v>
      </c>
      <c r="B24" s="36">
        <v>6</v>
      </c>
      <c r="C24" s="112" t="s">
        <v>585</v>
      </c>
      <c r="D24" s="36" t="str">
        <f>C24</f>
        <v>Landscape</v>
      </c>
      <c r="E24" s="36" t="str">
        <f>C24</f>
        <v>Landscape</v>
      </c>
      <c r="F24" s="36" t="str">
        <f>C24</f>
        <v>Landscape</v>
      </c>
      <c r="G24" s="112" t="s">
        <v>585</v>
      </c>
      <c r="H24" s="36" t="str">
        <f>G24</f>
        <v>Landscape</v>
      </c>
      <c r="I24" s="36" t="str">
        <f>G24</f>
        <v>Landscape</v>
      </c>
      <c r="J24" s="36" t="str">
        <f>G24</f>
        <v>Landscape</v>
      </c>
      <c r="K24" s="36" t="str">
        <f>H24</f>
        <v>Landscape</v>
      </c>
      <c r="L24" s="36" t="str">
        <f>I24</f>
        <v>Landscape</v>
      </c>
      <c r="M24" s="112" t="s">
        <v>626</v>
      </c>
      <c r="N24" s="112" t="s">
        <v>585</v>
      </c>
    </row>
    <row r="25" spans="1:14" ht="76.5" customHeight="1">
      <c r="A25" t="s">
        <v>586</v>
      </c>
      <c r="B25" s="36">
        <v>7</v>
      </c>
      <c r="C25" s="117" t="str">
        <f>"AVISTA UTILITIES --  "&amp;Scen&amp;CHAR(10)&amp;"Pro-Forma Rate Base Dollars"</f>
        <v>AVISTA UTILITIES --  Base Case
Pro-Forma Rate Base Dollars</v>
      </c>
      <c r="D25" s="117" t="str">
        <f>"AVISTA UTILITIES --  "&amp;Scen&amp;CHAR(10)&amp;"Rate Base Classification %'s"</f>
        <v>AVISTA UTILITIES --  Base Case
Rate Base Classification %'s</v>
      </c>
      <c r="E25" s="117" t="str">
        <f>"AVISTA UTILITIES --  "&amp;Scen&amp;CHAR(10)&amp;"Classification Dollars"</f>
        <v>AVISTA UTILITIES --  Base Case
Classification Dollars</v>
      </c>
      <c r="F25" s="118" t="str">
        <f>E25</f>
        <v>AVISTA UTILITIES --  Base Case
Classification Dollars</v>
      </c>
      <c r="G25" s="117" t="str">
        <f>"AVISTA UTILITIES --  "&amp;Scen&amp;CHAR(10)&amp;"Pro-Forma Revenue Requirement Dollars"</f>
        <v>AVISTA UTILITIES --  Base Case
Pro-Forma Revenue Requirement Dollars</v>
      </c>
      <c r="H25" s="117" t="str">
        <f>"AVISTA UTILITIES --  "&amp;Scen&amp;CHAR(10)&amp;"Revenue Requirement Classification %'s"</f>
        <v>AVISTA UTILITIES --  Base Case
Revenue Requirement Classification %'s</v>
      </c>
      <c r="I25" s="117" t="str">
        <f>"AVISTA UTILITIES --  "&amp;Scen&amp;CHAR(10)&amp;"Classification Dollars"</f>
        <v>AVISTA UTILITIES --  Base Case
Classification Dollars</v>
      </c>
      <c r="J25" s="118" t="str">
        <f>I25</f>
        <v>AVISTA UTILITIES --  Base Case
Classification Dollars</v>
      </c>
      <c r="K25" s="117" t="str">
        <f>"AVISTA UTILITIES --  "&amp;Scen&amp;CHAR(10)&amp;"Pro-Forma Labor Expense"</f>
        <v>AVISTA UTILITIES --  Base Case
Pro-Forma Labor Expense</v>
      </c>
      <c r="L25" s="117" t="str">
        <f>"AVISTA UTILITIES --  "&amp;Scen&amp;CHAR(10)&amp;"Pro-Forma Labor Expense"</f>
        <v>AVISTA UTILITIES --  Base Case
Pro-Forma Labor Expense</v>
      </c>
      <c r="M25" s="117" t="str">
        <f>"AVISTA UTILITIES --  "&amp;Scen&amp;CHAR(10)&amp;"Cost of Service General Summary"</f>
        <v>AVISTA UTILITIES --  Base Case
Cost of Service General Summary</v>
      </c>
      <c r="N25" s="117" t="str">
        <f>"AVISTA UTILITIES --  "&amp;Scen&amp;CHAR(10)&amp;"Allocation Percentages"</f>
        <v>AVISTA UTILITIES --  Base Case
Allocation Percentages</v>
      </c>
    </row>
    <row r="26" spans="1:14">
      <c r="A26" t="s">
        <v>587</v>
      </c>
      <c r="B26" s="36">
        <v>8</v>
      </c>
      <c r="C26" s="112"/>
      <c r="G26" s="112"/>
    </row>
    <row r="27" spans="1:14">
      <c r="A27" t="s">
        <v>588</v>
      </c>
      <c r="B27" s="36">
        <v>9</v>
      </c>
      <c r="C27" s="112" t="s">
        <v>609</v>
      </c>
      <c r="D27" s="36" t="str">
        <f>$C27</f>
        <v>WA Gas</v>
      </c>
      <c r="E27" s="36" t="str">
        <f>$C27</f>
        <v>WA Gas</v>
      </c>
      <c r="F27" s="36" t="str">
        <f>$C27</f>
        <v>WA Gas</v>
      </c>
      <c r="G27" s="112" t="s">
        <v>609</v>
      </c>
      <c r="H27" s="36" t="str">
        <f t="shared" ref="H27:N27" si="0">$G27</f>
        <v>WA Gas</v>
      </c>
      <c r="I27" s="36" t="str">
        <f t="shared" si="0"/>
        <v>WA Gas</v>
      </c>
      <c r="J27" s="36" t="str">
        <f t="shared" si="0"/>
        <v>WA Gas</v>
      </c>
      <c r="K27" s="36" t="str">
        <f t="shared" si="0"/>
        <v>WA Gas</v>
      </c>
      <c r="L27" s="36" t="str">
        <f t="shared" si="0"/>
        <v>WA Gas</v>
      </c>
      <c r="M27" s="36" t="str">
        <f t="shared" si="0"/>
        <v>WA Gas</v>
      </c>
      <c r="N27" s="36" t="str">
        <f t="shared" si="0"/>
        <v>WA Gas</v>
      </c>
    </row>
    <row r="28" spans="1:14">
      <c r="A28" t="s">
        <v>589</v>
      </c>
      <c r="B28" s="36">
        <v>10</v>
      </c>
      <c r="C28" s="116" t="str">
        <f ca="1">MID(C42,C44+1,C46-1)&amp;"  "&amp;C47</f>
        <v>2019 Avista - WA Cost of Service (NG) - Base Case.xlsm  Detail</v>
      </c>
      <c r="D28" s="116" t="str">
        <f t="shared" ref="D28:N28" ca="1" si="1">MID(D42,D44+1,D46-1)&amp;"  "&amp;D47</f>
        <v>2019 Avista - WA Cost of Service (NG) - Base Case.xlsm  Detail</v>
      </c>
      <c r="E28" s="116" t="str">
        <f t="shared" ca="1" si="1"/>
        <v>2019 Avista - WA Cost of Service (NG) - Base Case.xlsm  Detail</v>
      </c>
      <c r="F28" s="116" t="str">
        <f t="shared" ca="1" si="1"/>
        <v>2019 Avista - WA Cost of Service (NG) - Base Case.xlsm  Detail</v>
      </c>
      <c r="G28" s="116" t="str">
        <f t="shared" ca="1" si="1"/>
        <v>2019 Avista - WA Cost of Service (NG) - Base Case.xlsm  Detail</v>
      </c>
      <c r="H28" s="116" t="str">
        <f t="shared" ca="1" si="1"/>
        <v>2019 Avista - WA Cost of Service (NG) - Base Case.xlsm  Detail</v>
      </c>
      <c r="I28" s="116" t="str">
        <f t="shared" ca="1" si="1"/>
        <v>2019 Avista - WA Cost of Service (NG) - Base Case.xlsm  Detail</v>
      </c>
      <c r="J28" s="116" t="str">
        <f t="shared" ca="1" si="1"/>
        <v>2019 Avista - WA Cost of Service (NG) - Base Case.xlsm  Detail</v>
      </c>
      <c r="K28" s="116" t="str">
        <f t="shared" ca="1" si="1"/>
        <v>2019 Avista - WA Cost of Service (NG) - Base Case.xlsm  Detail</v>
      </c>
      <c r="L28" s="116" t="str">
        <f t="shared" ca="1" si="1"/>
        <v>2019 Avista - WA Cost of Service (NG) - Base Case.xlsm  Detail</v>
      </c>
      <c r="M28" s="116" t="str">
        <f t="shared" ca="1" si="1"/>
        <v>2019 Avista - WA Cost of Service (NG) - Base Case.xlsm  Summary</v>
      </c>
      <c r="N28" s="116" t="str">
        <f t="shared" ca="1" si="1"/>
        <v>2019 Avista - WA Cost of Service (NG) - Base Case.xlsm  Factors</v>
      </c>
    </row>
    <row r="29" spans="1:14">
      <c r="A29" t="s">
        <v>590</v>
      </c>
      <c r="B29" s="36">
        <v>11</v>
      </c>
      <c r="C29" s="116">
        <f ca="1">TODAY()</f>
        <v>44134</v>
      </c>
      <c r="D29" s="116">
        <f ca="1">$C$29</f>
        <v>44134</v>
      </c>
      <c r="E29" s="116">
        <f t="shared" ref="E29:N29" ca="1" si="2">$C$29</f>
        <v>44134</v>
      </c>
      <c r="F29" s="116">
        <f t="shared" ca="1" si="2"/>
        <v>44134</v>
      </c>
      <c r="G29" s="116">
        <f t="shared" ca="1" si="2"/>
        <v>44134</v>
      </c>
      <c r="H29" s="116">
        <f t="shared" ca="1" si="2"/>
        <v>44134</v>
      </c>
      <c r="I29" s="116">
        <f t="shared" ca="1" si="2"/>
        <v>44134</v>
      </c>
      <c r="J29" s="116">
        <f t="shared" ca="1" si="2"/>
        <v>44134</v>
      </c>
      <c r="K29" s="116">
        <f t="shared" ca="1" si="2"/>
        <v>44134</v>
      </c>
      <c r="L29" s="116">
        <f t="shared" ca="1" si="2"/>
        <v>44134</v>
      </c>
      <c r="M29" s="116">
        <f t="shared" ca="1" si="2"/>
        <v>44134</v>
      </c>
      <c r="N29" s="116">
        <f t="shared" ca="1" si="2"/>
        <v>44134</v>
      </c>
    </row>
    <row r="30" spans="1:14">
      <c r="A30" t="s">
        <v>591</v>
      </c>
      <c r="B30" s="36">
        <v>12</v>
      </c>
      <c r="C30" t="str">
        <f t="shared" ref="C30:N30" si="3">"Page &amp;P of "&amp;$P$35</f>
        <v>Page &amp;P of 35</v>
      </c>
      <c r="D30" t="str">
        <f t="shared" si="3"/>
        <v>Page &amp;P of 35</v>
      </c>
      <c r="E30" t="str">
        <f t="shared" si="3"/>
        <v>Page &amp;P of 35</v>
      </c>
      <c r="F30" t="str">
        <f t="shared" si="3"/>
        <v>Page &amp;P of 35</v>
      </c>
      <c r="G30" t="str">
        <f t="shared" si="3"/>
        <v>Page &amp;P of 35</v>
      </c>
      <c r="H30" t="str">
        <f t="shared" si="3"/>
        <v>Page &amp;P of 35</v>
      </c>
      <c r="I30" t="str">
        <f t="shared" si="3"/>
        <v>Page &amp;P of 35</v>
      </c>
      <c r="J30" t="str">
        <f t="shared" si="3"/>
        <v>Page &amp;P of 35</v>
      </c>
      <c r="K30" t="str">
        <f t="shared" si="3"/>
        <v>Page &amp;P of 35</v>
      </c>
      <c r="L30" t="str">
        <f t="shared" si="3"/>
        <v>Page &amp;P of 35</v>
      </c>
      <c r="M30" t="str">
        <f t="shared" si="3"/>
        <v>Page &amp;P of 35</v>
      </c>
      <c r="N30" t="str">
        <f t="shared" si="3"/>
        <v>Page &amp;P of 35</v>
      </c>
    </row>
    <row r="31" spans="1:14">
      <c r="A31" t="s">
        <v>602</v>
      </c>
      <c r="B31" s="36">
        <v>13</v>
      </c>
      <c r="C31" s="38">
        <f>M35+1</f>
        <v>4</v>
      </c>
      <c r="D31" s="38">
        <f>C31+C35</f>
        <v>6</v>
      </c>
      <c r="E31" s="38">
        <f>H31+H35</f>
        <v>16</v>
      </c>
      <c r="F31" s="38">
        <f>E31+E35</f>
        <v>18</v>
      </c>
      <c r="G31" s="38">
        <f>D31+D35</f>
        <v>8</v>
      </c>
      <c r="H31" s="38">
        <f>G31+G35</f>
        <v>12</v>
      </c>
      <c r="I31" s="38">
        <f>F31+F35</f>
        <v>20</v>
      </c>
      <c r="J31" s="38">
        <f>I31+I35</f>
        <v>24</v>
      </c>
      <c r="K31" s="38">
        <f>J31+J35</f>
        <v>28</v>
      </c>
      <c r="L31" s="38">
        <f>K31+K35</f>
        <v>31</v>
      </c>
      <c r="M31" s="112">
        <v>1</v>
      </c>
      <c r="N31" s="38">
        <f>L31+L35</f>
        <v>34</v>
      </c>
    </row>
    <row r="32" spans="1:14">
      <c r="A32" t="s">
        <v>648</v>
      </c>
      <c r="B32" s="36">
        <v>14</v>
      </c>
      <c r="C32" s="126" t="b">
        <v>1</v>
      </c>
      <c r="D32" s="36" t="b">
        <f t="shared" ref="D32:N32" si="4">$C$32</f>
        <v>1</v>
      </c>
      <c r="E32" s="36" t="b">
        <f t="shared" si="4"/>
        <v>1</v>
      </c>
      <c r="F32" s="36" t="b">
        <f t="shared" si="4"/>
        <v>1</v>
      </c>
      <c r="G32" s="36" t="b">
        <f t="shared" si="4"/>
        <v>1</v>
      </c>
      <c r="H32" s="36" t="b">
        <f t="shared" si="4"/>
        <v>1</v>
      </c>
      <c r="I32" s="36" t="b">
        <f t="shared" si="4"/>
        <v>1</v>
      </c>
      <c r="J32" s="36" t="b">
        <f t="shared" si="4"/>
        <v>1</v>
      </c>
      <c r="K32" s="36" t="b">
        <f t="shared" si="4"/>
        <v>1</v>
      </c>
      <c r="L32" s="36" t="b">
        <f t="shared" si="4"/>
        <v>1</v>
      </c>
      <c r="M32" s="36" t="b">
        <f t="shared" si="4"/>
        <v>1</v>
      </c>
      <c r="N32" s="36" t="b">
        <f t="shared" si="4"/>
        <v>1</v>
      </c>
    </row>
    <row r="33" spans="1:16">
      <c r="A33" t="s">
        <v>608</v>
      </c>
      <c r="B33" s="36">
        <v>15</v>
      </c>
      <c r="C33" s="112"/>
      <c r="D33" s="36"/>
      <c r="E33" s="36"/>
      <c r="F33" s="36"/>
      <c r="G33" s="112"/>
      <c r="H33" s="36"/>
      <c r="I33" s="36"/>
      <c r="J33" s="36"/>
    </row>
    <row r="35" spans="1:16">
      <c r="A35" t="s">
        <v>627</v>
      </c>
      <c r="C35" s="36">
        <f>C21*C22</f>
        <v>2</v>
      </c>
      <c r="D35" s="36">
        <f t="shared" ref="D35:L35" si="5">D21*D22</f>
        <v>2</v>
      </c>
      <c r="E35" s="36">
        <f t="shared" si="5"/>
        <v>2</v>
      </c>
      <c r="F35" s="36">
        <f t="shared" si="5"/>
        <v>2</v>
      </c>
      <c r="G35" s="36">
        <f t="shared" si="5"/>
        <v>4</v>
      </c>
      <c r="H35" s="36">
        <f t="shared" si="5"/>
        <v>4</v>
      </c>
      <c r="I35" s="36">
        <f t="shared" si="5"/>
        <v>4</v>
      </c>
      <c r="J35" s="36">
        <f t="shared" si="5"/>
        <v>4</v>
      </c>
      <c r="K35" s="36">
        <f t="shared" si="5"/>
        <v>3</v>
      </c>
      <c r="L35" s="36">
        <f t="shared" si="5"/>
        <v>3</v>
      </c>
      <c r="M35" s="112">
        <v>3</v>
      </c>
      <c r="N35" s="112">
        <v>2</v>
      </c>
      <c r="P35" s="36">
        <f>SUM(C35:O35)</f>
        <v>35</v>
      </c>
    </row>
    <row r="36" spans="1:16">
      <c r="M36" s="36"/>
    </row>
    <row r="37" spans="1:16">
      <c r="A37" t="s">
        <v>596</v>
      </c>
      <c r="C37" t="s">
        <v>595</v>
      </c>
      <c r="D37" t="s">
        <v>599</v>
      </c>
    </row>
    <row r="38" spans="1:16">
      <c r="C38" t="s">
        <v>597</v>
      </c>
      <c r="D38" t="s">
        <v>598</v>
      </c>
    </row>
    <row r="39" spans="1:16">
      <c r="C39" t="s">
        <v>600</v>
      </c>
      <c r="D39" t="s">
        <v>601</v>
      </c>
    </row>
    <row r="42" spans="1:16">
      <c r="A42" t="s">
        <v>659</v>
      </c>
      <c r="C42" t="str">
        <f ca="1">CELL("filename",$A$1)</f>
        <v>M:\2020\2020 WA Elec and Gas GRC\Direct Testimony Exhibits-FILING 200xxx\I. UE_AVA Dir Evidence-(Oct20)\3. UE_AVA WP's (Oct20)\18. UE__Anderson WP(AVA_Oct20)\[2019 Avista - WA Cost of Service (NG) - Base Case.xlsm]Print</v>
      </c>
      <c r="D42" t="str">
        <f t="shared" ref="D42:N42" ca="1" si="6">CELL("filename",$A$1)</f>
        <v>M:\2020\2020 WA Elec and Gas GRC\Direct Testimony Exhibits-FILING 200xxx\I. UE_AVA Dir Evidence-(Oct20)\3. UE_AVA WP's (Oct20)\18. UE__Anderson WP(AVA_Oct20)\[2019 Avista - WA Cost of Service (NG) - Base Case.xlsm]Print</v>
      </c>
      <c r="E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F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G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H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I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J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K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L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M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  <c r="N42" t="str">
        <f t="shared" ca="1" si="6"/>
        <v>M:\2020\2020 WA Elec and Gas GRC\Direct Testimony Exhibits-FILING 200xxx\I. UE_AVA Dir Evidence-(Oct20)\3. UE_AVA WP's (Oct20)\18. UE__Anderson WP(AVA_Oct20)\[2019 Avista - WA Cost of Service (NG) - Base Case.xlsm]Print</v>
      </c>
    </row>
    <row r="43" spans="1:16">
      <c r="A43" t="s">
        <v>660</v>
      </c>
      <c r="C43">
        <f ca="1">LEN(C42)</f>
        <v>219</v>
      </c>
      <c r="D43">
        <f ca="1">$C43</f>
        <v>219</v>
      </c>
      <c r="E43">
        <f t="shared" ref="E43:N43" ca="1" si="7">$C43</f>
        <v>219</v>
      </c>
      <c r="F43">
        <f t="shared" ca="1" si="7"/>
        <v>219</v>
      </c>
      <c r="G43">
        <f t="shared" ca="1" si="7"/>
        <v>219</v>
      </c>
      <c r="H43">
        <f t="shared" ca="1" si="7"/>
        <v>219</v>
      </c>
      <c r="I43">
        <f t="shared" ca="1" si="7"/>
        <v>219</v>
      </c>
      <c r="J43">
        <f t="shared" ca="1" si="7"/>
        <v>219</v>
      </c>
      <c r="K43">
        <f t="shared" ca="1" si="7"/>
        <v>219</v>
      </c>
      <c r="L43">
        <f t="shared" ca="1" si="7"/>
        <v>219</v>
      </c>
      <c r="M43">
        <f t="shared" ca="1" si="7"/>
        <v>219</v>
      </c>
      <c r="N43">
        <f t="shared" ca="1" si="7"/>
        <v>219</v>
      </c>
    </row>
    <row r="44" spans="1:16">
      <c r="A44" t="s">
        <v>661</v>
      </c>
      <c r="C44">
        <f ca="1">FIND("[",C42,1)</f>
        <v>159</v>
      </c>
      <c r="D44">
        <f t="shared" ref="D44:N46" ca="1" si="8">$C44</f>
        <v>159</v>
      </c>
      <c r="E44">
        <f t="shared" ca="1" si="8"/>
        <v>159</v>
      </c>
      <c r="F44">
        <f t="shared" ca="1" si="8"/>
        <v>159</v>
      </c>
      <c r="G44">
        <f t="shared" ca="1" si="8"/>
        <v>159</v>
      </c>
      <c r="H44">
        <f t="shared" ca="1" si="8"/>
        <v>159</v>
      </c>
      <c r="I44">
        <f t="shared" ca="1" si="8"/>
        <v>159</v>
      </c>
      <c r="J44">
        <f t="shared" ca="1" si="8"/>
        <v>159</v>
      </c>
      <c r="K44">
        <f t="shared" ca="1" si="8"/>
        <v>159</v>
      </c>
      <c r="L44">
        <f t="shared" ca="1" si="8"/>
        <v>159</v>
      </c>
      <c r="M44">
        <f t="shared" ca="1" si="8"/>
        <v>159</v>
      </c>
      <c r="N44">
        <f t="shared" ca="1" si="8"/>
        <v>159</v>
      </c>
    </row>
    <row r="45" spans="1:16">
      <c r="A45" t="s">
        <v>662</v>
      </c>
      <c r="C45">
        <f ca="1">FIND("]",C42,1)</f>
        <v>214</v>
      </c>
      <c r="D45">
        <f t="shared" ca="1" si="8"/>
        <v>214</v>
      </c>
      <c r="E45">
        <f t="shared" ca="1" si="8"/>
        <v>214</v>
      </c>
      <c r="F45">
        <f t="shared" ca="1" si="8"/>
        <v>214</v>
      </c>
      <c r="G45">
        <f t="shared" ca="1" si="8"/>
        <v>214</v>
      </c>
      <c r="H45">
        <f t="shared" ca="1" si="8"/>
        <v>214</v>
      </c>
      <c r="I45">
        <f t="shared" ca="1" si="8"/>
        <v>214</v>
      </c>
      <c r="J45">
        <f t="shared" ca="1" si="8"/>
        <v>214</v>
      </c>
      <c r="K45">
        <f t="shared" ca="1" si="8"/>
        <v>214</v>
      </c>
      <c r="L45">
        <f t="shared" ca="1" si="8"/>
        <v>214</v>
      </c>
      <c r="M45">
        <f t="shared" ca="1" si="8"/>
        <v>214</v>
      </c>
      <c r="N45">
        <f t="shared" ca="1" si="8"/>
        <v>214</v>
      </c>
    </row>
    <row r="46" spans="1:16">
      <c r="A46" t="s">
        <v>663</v>
      </c>
      <c r="C46">
        <f ca="1">C45-C44</f>
        <v>55</v>
      </c>
      <c r="D46">
        <f t="shared" ca="1" si="8"/>
        <v>55</v>
      </c>
      <c r="E46">
        <f t="shared" ca="1" si="8"/>
        <v>55</v>
      </c>
      <c r="F46">
        <f t="shared" ca="1" si="8"/>
        <v>55</v>
      </c>
      <c r="G46">
        <f t="shared" ca="1" si="8"/>
        <v>55</v>
      </c>
      <c r="H46">
        <f t="shared" ca="1" si="8"/>
        <v>55</v>
      </c>
      <c r="I46">
        <f t="shared" ca="1" si="8"/>
        <v>55</v>
      </c>
      <c r="J46">
        <f t="shared" ca="1" si="8"/>
        <v>55</v>
      </c>
      <c r="K46">
        <f t="shared" ca="1" si="8"/>
        <v>55</v>
      </c>
      <c r="L46">
        <f t="shared" ca="1" si="8"/>
        <v>55</v>
      </c>
      <c r="M46">
        <f t="shared" ca="1" si="8"/>
        <v>55</v>
      </c>
      <c r="N46">
        <f t="shared" ca="1" si="8"/>
        <v>55</v>
      </c>
    </row>
    <row r="47" spans="1:16">
      <c r="A47" t="s">
        <v>664</v>
      </c>
      <c r="C47" s="129" t="s">
        <v>665</v>
      </c>
      <c r="D47" s="129" t="s">
        <v>665</v>
      </c>
      <c r="E47" s="129" t="s">
        <v>665</v>
      </c>
      <c r="F47" s="129" t="s">
        <v>665</v>
      </c>
      <c r="G47" s="129" t="s">
        <v>665</v>
      </c>
      <c r="H47" s="129" t="s">
        <v>665</v>
      </c>
      <c r="I47" s="129" t="s">
        <v>665</v>
      </c>
      <c r="J47" s="129" t="s">
        <v>665</v>
      </c>
      <c r="K47" s="129" t="s">
        <v>665</v>
      </c>
      <c r="L47" s="129" t="s">
        <v>665</v>
      </c>
      <c r="M47" s="129" t="s">
        <v>666</v>
      </c>
      <c r="N47" s="129" t="s">
        <v>667</v>
      </c>
    </row>
  </sheetData>
  <phoneticPr fontId="8" type="noConversion"/>
  <conditionalFormatting sqref="D21:F22 C21">
    <cfRule type="expression" dxfId="15" priority="1" stopIfTrue="1">
      <formula>AND(C$23=FALSE,OR(ISBLANK(C21),C21&lt;1))</formula>
    </cfRule>
  </conditionalFormatting>
  <conditionalFormatting sqref="G21 H21:J22">
    <cfRule type="expression" dxfId="14" priority="2" stopIfTrue="1">
      <formula>AND(C$23=FALSE,OR(ISBLANK(G21),G21&lt;1))</formula>
    </cfRule>
  </conditionalFormatting>
  <conditionalFormatting sqref="K21:N22">
    <cfRule type="expression" dxfId="13" priority="3" stopIfTrue="1">
      <formula>AND(#REF!=FALSE,OR(ISBLANK(K21),K21&lt;1))</formula>
    </cfRule>
  </conditionalFormatting>
  <dataValidations count="3">
    <dataValidation allowBlank="1" showInputMessage="1" showErrorMessage="1" prompt="FALSE if not Fit To Page_x000a_-or-_x000a_Number for Zoom Pct (between 1-100)" sqref="C23:D23 G23:H23" xr:uid="{00000000-0002-0000-0000-000000000000}"/>
    <dataValidation type="list" allowBlank="1" showInputMessage="1" showErrorMessage="1" sqref="G24 C24 M24:N24" xr:uid="{00000000-0002-0000-0000-000001000000}">
      <formula1>"Portrait,Landscape"</formula1>
    </dataValidation>
    <dataValidation type="list" allowBlank="1" showInputMessage="1" showErrorMessage="1" sqref="C32" xr:uid="{00000000-0002-0000-0000-000002000000}">
      <formula1>"FALSE,TRUE"</formula1>
    </dataValidation>
  </dataValidations>
  <hyperlinks>
    <hyperlink ref="C12" location="Detail!D7" display="GoTo" xr:uid="{00000000-0004-0000-0000-000000000000}"/>
    <hyperlink ref="D12" location="Detail!R7" display="GoTo" xr:uid="{00000000-0004-0000-0000-000001000000}"/>
    <hyperlink ref="E12" location="Detail!AK7" display="GoTo" xr:uid="{00000000-0004-0000-0000-000002000000}"/>
    <hyperlink ref="F12" location="Detail!BA7" display="GoTo" xr:uid="{00000000-0004-0000-0000-000003000000}"/>
    <hyperlink ref="G12" location="Detail!A165" display="GoTo" xr:uid="{00000000-0004-0000-0000-000004000000}"/>
    <hyperlink ref="H12" location="Detail!R165" display="GoTo" xr:uid="{00000000-0004-0000-0000-000005000000}"/>
    <hyperlink ref="I12" location="Detail!AK165" display="GoTo" xr:uid="{00000000-0004-0000-0000-000006000000}"/>
    <hyperlink ref="J12" location="Detail!BA165" display="GoTo" xr:uid="{00000000-0004-0000-0000-000007000000}"/>
    <hyperlink ref="K12" location="Detail!BQ165" display="GoTo" xr:uid="{00000000-0004-0000-0000-000008000000}"/>
    <hyperlink ref="L12" location="Detail!CM165" display="GoTo" xr:uid="{00000000-0004-0000-0000-000009000000}"/>
    <hyperlink ref="M12" location="Summary!B5" display="GoTo" xr:uid="{00000000-0004-0000-0000-00000A000000}"/>
    <hyperlink ref="N12" location="Factors!B3" display="GoTo" xr:uid="{00000000-0004-0000-0000-00000B000000}"/>
  </hyperlinks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autoPageBreaks="0" fitToPage="1"/>
  </sheetPr>
  <dimension ref="A1:CS448"/>
  <sheetViews>
    <sheetView topLeftCell="A133" zoomScale="85" zoomScaleNormal="85" workbookViewId="0">
      <selection activeCell="R13" sqref="R13"/>
    </sheetView>
  </sheetViews>
  <sheetFormatPr defaultRowHeight="13.2" outlineLevelCol="1"/>
  <cols>
    <col min="1" max="1" width="4.21875" style="50" bestFit="1" customWidth="1"/>
    <col min="2" max="2" width="8" customWidth="1"/>
    <col min="3" max="3" width="5.21875" style="36" customWidth="1"/>
    <col min="4" max="4" width="36.5546875" customWidth="1"/>
    <col min="5" max="5" width="12.77734375" customWidth="1"/>
    <col min="6" max="6" width="23.21875" style="61" customWidth="1"/>
    <col min="7" max="7" width="22.21875" style="61" bestFit="1" customWidth="1"/>
    <col min="8" max="14" width="12.77734375" customWidth="1" outlineLevel="1"/>
    <col min="15" max="15" width="0.77734375" customWidth="1" outlineLevel="1"/>
    <col min="16" max="16" width="29.21875" customWidth="1" outlineLevel="1"/>
    <col min="17" max="17" width="3.77734375" customWidth="1" outlineLevel="1"/>
    <col min="18" max="18" width="12.44140625" bestFit="1" customWidth="1"/>
    <col min="19" max="19" width="9.44140625" customWidth="1"/>
    <col min="20" max="20" width="15.77734375" customWidth="1"/>
    <col min="21" max="21" width="8.77734375" customWidth="1"/>
    <col min="22" max="22" width="7.77734375" customWidth="1"/>
    <col min="23" max="23" width="18.77734375" bestFit="1" customWidth="1"/>
    <col min="24" max="24" width="10.77734375" customWidth="1"/>
    <col min="25" max="25" width="8.21875" customWidth="1"/>
    <col min="26" max="34" width="7.77734375" customWidth="1"/>
    <col min="35" max="35" width="9.21875" style="36"/>
    <col min="36" max="36" width="1.77734375" customWidth="1"/>
    <col min="37" max="40" width="12.77734375" customWidth="1"/>
    <col min="41" max="41" width="13.77734375" customWidth="1"/>
    <col min="42" max="42" width="1.77734375" customWidth="1"/>
    <col min="43" max="43" width="29.21875" customWidth="1"/>
    <col min="45" max="50" width="12.77734375" customWidth="1"/>
    <col min="51" max="51" width="12.77734375" hidden="1" customWidth="1"/>
    <col min="53" max="58" width="12.77734375" customWidth="1"/>
    <col min="59" max="59" width="12.77734375" hidden="1" customWidth="1"/>
    <col min="61" max="66" width="12.77734375" customWidth="1"/>
    <col min="67" max="67" width="12.77734375" hidden="1" customWidth="1"/>
    <col min="69" max="69" width="36.5546875" customWidth="1"/>
    <col min="70" max="70" width="12.77734375" customWidth="1"/>
    <col min="71" max="87" width="7.77734375" customWidth="1"/>
    <col min="88" max="88" width="1.77734375" customWidth="1"/>
    <col min="89" max="89" width="26.21875" customWidth="1"/>
    <col min="90" max="96" width="12.77734375" customWidth="1"/>
  </cols>
  <sheetData>
    <row r="1" spans="1:96">
      <c r="A1" s="50" t="str">
        <f>ColHdr</f>
        <v>A</v>
      </c>
      <c r="B1" s="50" t="str">
        <f t="shared" ref="B1:BN1" si="0">ColHdr</f>
        <v>B</v>
      </c>
      <c r="C1" s="50" t="str">
        <f t="shared" si="0"/>
        <v>C</v>
      </c>
      <c r="D1" s="50" t="str">
        <f t="shared" si="0"/>
        <v>D</v>
      </c>
      <c r="E1" s="50" t="str">
        <f t="shared" si="0"/>
        <v>E</v>
      </c>
      <c r="F1" s="50" t="str">
        <f t="shared" si="0"/>
        <v>F</v>
      </c>
      <c r="G1" s="50" t="str">
        <f t="shared" si="0"/>
        <v>G</v>
      </c>
      <c r="H1" s="50" t="str">
        <f t="shared" si="0"/>
        <v>H</v>
      </c>
      <c r="I1" s="50" t="str">
        <f t="shared" si="0"/>
        <v>I</v>
      </c>
      <c r="J1" s="50" t="str">
        <f t="shared" si="0"/>
        <v>J</v>
      </c>
      <c r="K1" s="50" t="str">
        <f t="shared" si="0"/>
        <v>K</v>
      </c>
      <c r="L1" s="50" t="str">
        <f t="shared" si="0"/>
        <v>L</v>
      </c>
      <c r="M1" s="50" t="str">
        <f t="shared" si="0"/>
        <v>M</v>
      </c>
      <c r="N1" s="50" t="str">
        <f t="shared" si="0"/>
        <v>N</v>
      </c>
      <c r="O1" s="50" t="str">
        <f t="shared" si="0"/>
        <v>O</v>
      </c>
      <c r="P1" s="50" t="str">
        <f t="shared" si="0"/>
        <v>P</v>
      </c>
      <c r="Q1" s="50" t="str">
        <f t="shared" si="0"/>
        <v>Q</v>
      </c>
      <c r="R1" s="479" t="str">
        <f t="shared" si="0"/>
        <v>R</v>
      </c>
      <c r="S1" s="479" t="str">
        <f t="shared" si="0"/>
        <v>S</v>
      </c>
      <c r="T1" s="479" t="str">
        <f t="shared" si="0"/>
        <v>T</v>
      </c>
      <c r="U1" s="479" t="str">
        <f t="shared" si="0"/>
        <v>U</v>
      </c>
      <c r="V1" s="479" t="str">
        <f t="shared" si="0"/>
        <v>V</v>
      </c>
      <c r="W1" s="479" t="str">
        <f t="shared" si="0"/>
        <v>W</v>
      </c>
      <c r="X1" s="479" t="str">
        <f t="shared" si="0"/>
        <v>X</v>
      </c>
      <c r="Y1" s="479" t="str">
        <f t="shared" si="0"/>
        <v>Y</v>
      </c>
      <c r="Z1" s="479" t="str">
        <f t="shared" si="0"/>
        <v>Z</v>
      </c>
      <c r="AA1" s="479" t="str">
        <f t="shared" si="0"/>
        <v>AA</v>
      </c>
      <c r="AB1" s="479" t="str">
        <f t="shared" si="0"/>
        <v>AB</v>
      </c>
      <c r="AC1" s="479" t="str">
        <f t="shared" si="0"/>
        <v>AC</v>
      </c>
      <c r="AD1" s="479" t="str">
        <f t="shared" si="0"/>
        <v>AD</v>
      </c>
      <c r="AE1" s="479" t="str">
        <f t="shared" si="0"/>
        <v>AE</v>
      </c>
      <c r="AF1" s="479" t="str">
        <f t="shared" si="0"/>
        <v>AF</v>
      </c>
      <c r="AG1" s="479" t="str">
        <f t="shared" si="0"/>
        <v>AG</v>
      </c>
      <c r="AH1" s="479" t="str">
        <f t="shared" si="0"/>
        <v>AH</v>
      </c>
      <c r="AI1" s="50" t="str">
        <f t="shared" si="0"/>
        <v>AI</v>
      </c>
      <c r="AJ1" s="50" t="str">
        <f t="shared" si="0"/>
        <v>AJ</v>
      </c>
      <c r="AK1" s="50" t="str">
        <f t="shared" si="0"/>
        <v>AK</v>
      </c>
      <c r="AL1" s="50" t="str">
        <f t="shared" si="0"/>
        <v>AL</v>
      </c>
      <c r="AM1" s="50" t="str">
        <f t="shared" si="0"/>
        <v>AM</v>
      </c>
      <c r="AN1" s="50" t="str">
        <f t="shared" si="0"/>
        <v>AN</v>
      </c>
      <c r="AO1" s="50" t="str">
        <f t="shared" si="0"/>
        <v>AO</v>
      </c>
      <c r="AP1" s="50" t="str">
        <f t="shared" si="0"/>
        <v>AP</v>
      </c>
      <c r="AQ1" s="50" t="str">
        <f t="shared" si="0"/>
        <v>AQ</v>
      </c>
      <c r="AR1" s="50" t="str">
        <f t="shared" si="0"/>
        <v>AR</v>
      </c>
      <c r="AS1" s="50" t="str">
        <f t="shared" si="0"/>
        <v>AS</v>
      </c>
      <c r="AT1" s="50" t="str">
        <f t="shared" si="0"/>
        <v>AT</v>
      </c>
      <c r="AU1" s="50" t="str">
        <f t="shared" si="0"/>
        <v>AU</v>
      </c>
      <c r="AV1" s="50" t="str">
        <f t="shared" si="0"/>
        <v>AV</v>
      </c>
      <c r="AW1" s="50" t="str">
        <f t="shared" si="0"/>
        <v>AW</v>
      </c>
      <c r="AX1" s="50" t="str">
        <f t="shared" si="0"/>
        <v>AX</v>
      </c>
      <c r="AY1" s="50" t="str">
        <f t="shared" si="0"/>
        <v>AY</v>
      </c>
      <c r="AZ1" s="50" t="str">
        <f t="shared" si="0"/>
        <v>AZ</v>
      </c>
      <c r="BA1" s="50" t="str">
        <f t="shared" si="0"/>
        <v>BA</v>
      </c>
      <c r="BB1" s="50" t="str">
        <f t="shared" si="0"/>
        <v>BB</v>
      </c>
      <c r="BC1" s="50" t="str">
        <f t="shared" si="0"/>
        <v>BC</v>
      </c>
      <c r="BD1" s="50" t="str">
        <f t="shared" si="0"/>
        <v>BD</v>
      </c>
      <c r="BE1" s="50" t="str">
        <f t="shared" si="0"/>
        <v>BE</v>
      </c>
      <c r="BF1" s="50" t="str">
        <f t="shared" si="0"/>
        <v>BF</v>
      </c>
      <c r="BG1" s="50" t="str">
        <f t="shared" si="0"/>
        <v>BG</v>
      </c>
      <c r="BH1" s="50" t="str">
        <f t="shared" si="0"/>
        <v>BH</v>
      </c>
      <c r="BI1" s="50" t="str">
        <f t="shared" si="0"/>
        <v>BI</v>
      </c>
      <c r="BJ1" s="50" t="str">
        <f t="shared" si="0"/>
        <v>BJ</v>
      </c>
      <c r="BK1" s="50" t="str">
        <f t="shared" si="0"/>
        <v>BK</v>
      </c>
      <c r="BL1" s="50" t="str">
        <f t="shared" si="0"/>
        <v>BL</v>
      </c>
      <c r="BM1" s="50" t="str">
        <f t="shared" si="0"/>
        <v>BM</v>
      </c>
      <c r="BN1" s="50" t="str">
        <f t="shared" si="0"/>
        <v>BN</v>
      </c>
      <c r="BO1" s="50" t="str">
        <f t="shared" ref="BO1:CR1" si="1">ColHdr</f>
        <v>BO</v>
      </c>
      <c r="BP1" s="50" t="str">
        <f t="shared" si="1"/>
        <v>BP</v>
      </c>
      <c r="BQ1" s="50" t="str">
        <f t="shared" si="1"/>
        <v>BQ</v>
      </c>
      <c r="BR1" s="50" t="str">
        <f t="shared" si="1"/>
        <v>BR</v>
      </c>
      <c r="BS1" s="50" t="str">
        <f t="shared" si="1"/>
        <v>BS</v>
      </c>
      <c r="BT1" s="50" t="str">
        <f t="shared" si="1"/>
        <v>BT</v>
      </c>
      <c r="BU1" s="50" t="str">
        <f t="shared" si="1"/>
        <v>BU</v>
      </c>
      <c r="BV1" s="50" t="str">
        <f t="shared" si="1"/>
        <v>BV</v>
      </c>
      <c r="BW1" s="50" t="str">
        <f t="shared" si="1"/>
        <v>BW</v>
      </c>
      <c r="BX1" s="50" t="str">
        <f t="shared" si="1"/>
        <v>BX</v>
      </c>
      <c r="BY1" s="50" t="str">
        <f t="shared" si="1"/>
        <v>BY</v>
      </c>
      <c r="BZ1" s="50" t="str">
        <f t="shared" si="1"/>
        <v>BZ</v>
      </c>
      <c r="CA1" s="50" t="str">
        <f t="shared" si="1"/>
        <v>CA</v>
      </c>
      <c r="CB1" s="50" t="str">
        <f t="shared" si="1"/>
        <v>CB</v>
      </c>
      <c r="CC1" s="50" t="str">
        <f t="shared" si="1"/>
        <v>CC</v>
      </c>
      <c r="CD1" s="50" t="str">
        <f t="shared" si="1"/>
        <v>CD</v>
      </c>
      <c r="CE1" s="50" t="str">
        <f t="shared" si="1"/>
        <v>CE</v>
      </c>
      <c r="CF1" s="50" t="str">
        <f t="shared" si="1"/>
        <v>CF</v>
      </c>
      <c r="CG1" s="50" t="str">
        <f t="shared" si="1"/>
        <v>CG</v>
      </c>
      <c r="CH1" s="50" t="str">
        <f t="shared" si="1"/>
        <v>CH</v>
      </c>
      <c r="CI1" s="50" t="str">
        <f t="shared" si="1"/>
        <v>CI</v>
      </c>
      <c r="CJ1" s="50" t="str">
        <f t="shared" si="1"/>
        <v>CJ</v>
      </c>
      <c r="CK1" s="50" t="str">
        <f t="shared" si="1"/>
        <v>CK</v>
      </c>
      <c r="CL1" s="50" t="str">
        <f t="shared" si="1"/>
        <v>CL</v>
      </c>
      <c r="CM1" s="50" t="str">
        <f t="shared" si="1"/>
        <v>CM</v>
      </c>
      <c r="CN1" s="50" t="str">
        <f t="shared" si="1"/>
        <v>CN</v>
      </c>
      <c r="CO1" s="50" t="str">
        <f t="shared" si="1"/>
        <v>CO</v>
      </c>
      <c r="CP1" s="50" t="str">
        <f t="shared" si="1"/>
        <v>CP</v>
      </c>
      <c r="CQ1" s="50" t="str">
        <f t="shared" si="1"/>
        <v>CQ</v>
      </c>
      <c r="CR1" s="50" t="str">
        <f t="shared" si="1"/>
        <v>CR</v>
      </c>
    </row>
    <row r="2" spans="1:96">
      <c r="A2" s="50">
        <f t="shared" ref="A2:A66" si="2">RowHdr</f>
        <v>2</v>
      </c>
      <c r="E2" s="2"/>
      <c r="F2" s="60"/>
      <c r="G2" s="60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</row>
    <row r="3" spans="1:96">
      <c r="A3" s="50">
        <f t="shared" si="2"/>
        <v>3</v>
      </c>
      <c r="E3" s="36" t="s">
        <v>789</v>
      </c>
      <c r="F3" s="60"/>
      <c r="G3" s="60"/>
      <c r="R3" s="477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S3" t="s">
        <v>464</v>
      </c>
      <c r="BA3" t="s">
        <v>111</v>
      </c>
      <c r="BI3" t="s">
        <v>121</v>
      </c>
      <c r="CM3" s="36" t="s">
        <v>789</v>
      </c>
    </row>
    <row r="4" spans="1:96">
      <c r="A4" s="50">
        <f t="shared" si="2"/>
        <v>4</v>
      </c>
      <c r="E4" s="58" t="s">
        <v>1149</v>
      </c>
      <c r="F4" s="60"/>
      <c r="G4" s="60"/>
      <c r="I4">
        <f>MATCH(I5,Factors!$C$58:$C$64,0)</f>
        <v>1</v>
      </c>
      <c r="J4">
        <f>MATCH(J5,Factors!$C$58:$C$64,0)</f>
        <v>2</v>
      </c>
      <c r="K4">
        <f>MATCH(K5,Factors!$C$58:$C$64,0)</f>
        <v>3</v>
      </c>
      <c r="L4">
        <f>MATCH(L5,Factors!$C$58:$C$64,0)</f>
        <v>4</v>
      </c>
      <c r="M4">
        <f>MATCH(M5,Factors!$C$58:$C$64,0)</f>
        <v>5</v>
      </c>
      <c r="N4">
        <f>MATCH(N5,Factors!$C$58:$C$64,0)</f>
        <v>6</v>
      </c>
      <c r="R4" s="474" t="s">
        <v>464</v>
      </c>
      <c r="S4" s="474" t="s">
        <v>464</v>
      </c>
      <c r="T4" s="474" t="s">
        <v>464</v>
      </c>
      <c r="U4" s="474" t="s">
        <v>464</v>
      </c>
      <c r="V4" s="474" t="s">
        <v>464</v>
      </c>
      <c r="W4" s="474" t="s">
        <v>111</v>
      </c>
      <c r="X4" s="474" t="s">
        <v>111</v>
      </c>
      <c r="Y4" s="474" t="s">
        <v>111</v>
      </c>
      <c r="Z4" s="474" t="s">
        <v>111</v>
      </c>
      <c r="AA4" s="474" t="s">
        <v>111</v>
      </c>
      <c r="AB4" s="474" t="s">
        <v>121</v>
      </c>
      <c r="AC4" s="474" t="s">
        <v>121</v>
      </c>
      <c r="AD4" s="474" t="s">
        <v>121</v>
      </c>
      <c r="AE4" s="474" t="s">
        <v>121</v>
      </c>
      <c r="AF4" s="474" t="s">
        <v>121</v>
      </c>
      <c r="AG4" s="474" t="s">
        <v>121</v>
      </c>
      <c r="AH4" s="474" t="s">
        <v>122</v>
      </c>
      <c r="AT4">
        <f>MATCH(AT5,Factors!$C$58:$C$64,0)</f>
        <v>1</v>
      </c>
      <c r="AU4">
        <f>MATCH(AU5,Factors!$C$58:$C$64,0)</f>
        <v>2</v>
      </c>
      <c r="AV4">
        <f>MATCH(AV5,Factors!$C$58:$C$64,0)</f>
        <v>3</v>
      </c>
      <c r="AW4">
        <f>MATCH(AW5,Factors!$C$58:$C$64,0)</f>
        <v>4</v>
      </c>
      <c r="AX4">
        <f>MATCH(AX5,Factors!$C$58:$C$64,0)</f>
        <v>5</v>
      </c>
      <c r="AY4">
        <f>MATCH(AY5,Factors!$C$58:$C$64,0)</f>
        <v>6</v>
      </c>
      <c r="BB4">
        <f>MATCH(BB5,Factors!$C$58:$C$64,0)</f>
        <v>1</v>
      </c>
      <c r="BC4">
        <f>MATCH(BC5,Factors!$C$58:$C$64,0)</f>
        <v>2</v>
      </c>
      <c r="BD4">
        <f>MATCH(BD5,Factors!$C$58:$C$64,0)</f>
        <v>3</v>
      </c>
      <c r="BE4">
        <f>MATCH(BE5,Factors!$C$58:$C$64,0)</f>
        <v>4</v>
      </c>
      <c r="BF4">
        <f>MATCH(BF5,Factors!$C$58:$C$64,0)</f>
        <v>5</v>
      </c>
      <c r="BG4">
        <f>MATCH(BG5,Factors!$C$58:$C$64,0)</f>
        <v>6</v>
      </c>
      <c r="BJ4">
        <f>MATCH(BJ5,Factors!$C$58:$C$64,0)</f>
        <v>1</v>
      </c>
      <c r="BK4">
        <f>MATCH(BK5,Factors!$C$58:$C$64,0)</f>
        <v>2</v>
      </c>
      <c r="BL4">
        <f>MATCH(BL5,Factors!$C$58:$C$64,0)</f>
        <v>3</v>
      </c>
      <c r="BM4">
        <f>MATCH(BM5,Factors!$C$58:$C$64,0)</f>
        <v>4</v>
      </c>
      <c r="BN4">
        <f>MATCH(BN5,Factors!$C$58:$C$64,0)</f>
        <v>5</v>
      </c>
      <c r="BO4">
        <f>MATCH(BO5,Factors!$C$58:$C$64,0)</f>
        <v>6</v>
      </c>
      <c r="BR4" s="36" t="s">
        <v>3</v>
      </c>
      <c r="CM4" s="58" t="s">
        <v>1149</v>
      </c>
    </row>
    <row r="5" spans="1:96" ht="13.8">
      <c r="A5" s="50">
        <f t="shared" si="2"/>
        <v>5</v>
      </c>
      <c r="B5" t="s">
        <v>219</v>
      </c>
      <c r="C5" s="36" t="s">
        <v>153</v>
      </c>
      <c r="D5" t="s">
        <v>4</v>
      </c>
      <c r="E5" s="58" t="s">
        <v>5</v>
      </c>
      <c r="F5" s="60" t="s">
        <v>217</v>
      </c>
      <c r="G5" s="60" t="s">
        <v>123</v>
      </c>
      <c r="H5" s="26" t="s">
        <v>120</v>
      </c>
      <c r="I5" s="26" t="s">
        <v>398</v>
      </c>
      <c r="J5" s="26" t="s">
        <v>399</v>
      </c>
      <c r="K5" s="26" t="s">
        <v>400</v>
      </c>
      <c r="L5" s="26" t="s">
        <v>401</v>
      </c>
      <c r="M5" s="26" t="s">
        <v>402</v>
      </c>
      <c r="N5" s="26" t="s">
        <v>282</v>
      </c>
      <c r="O5" s="26"/>
      <c r="P5" s="64" t="s">
        <v>230</v>
      </c>
      <c r="Q5" s="64"/>
      <c r="R5" s="474" t="s">
        <v>353</v>
      </c>
      <c r="S5" s="474" t="s">
        <v>406</v>
      </c>
      <c r="T5" s="480" t="s">
        <v>408</v>
      </c>
      <c r="U5" s="480" t="s">
        <v>429</v>
      </c>
      <c r="V5" s="480" t="s">
        <v>431</v>
      </c>
      <c r="W5" s="474" t="s">
        <v>410</v>
      </c>
      <c r="X5" s="474" t="s">
        <v>409</v>
      </c>
      <c r="Y5" s="474" t="s">
        <v>427</v>
      </c>
      <c r="Z5" s="474" t="s">
        <v>424</v>
      </c>
      <c r="AA5" s="474" t="s">
        <v>412</v>
      </c>
      <c r="AB5" s="474" t="s">
        <v>355</v>
      </c>
      <c r="AC5" s="474" t="s">
        <v>413</v>
      </c>
      <c r="AD5" s="474" t="s">
        <v>414</v>
      </c>
      <c r="AE5" s="474" t="s">
        <v>1159</v>
      </c>
      <c r="AF5" s="474" t="s">
        <v>417</v>
      </c>
      <c r="AG5" s="474" t="s">
        <v>424</v>
      </c>
      <c r="AH5" s="474" t="s">
        <v>351</v>
      </c>
      <c r="AK5" s="26" t="s">
        <v>120</v>
      </c>
      <c r="AL5" s="26" t="s">
        <v>465</v>
      </c>
      <c r="AM5" s="26" t="s">
        <v>158</v>
      </c>
      <c r="AN5" s="26" t="s">
        <v>159</v>
      </c>
      <c r="AO5" s="26" t="s">
        <v>160</v>
      </c>
      <c r="AP5" s="26"/>
      <c r="AQ5" s="64" t="s">
        <v>230</v>
      </c>
      <c r="AS5" s="26" t="s">
        <v>120</v>
      </c>
      <c r="AT5" s="26" t="s">
        <v>398</v>
      </c>
      <c r="AU5" s="26" t="s">
        <v>399</v>
      </c>
      <c r="AV5" s="26" t="s">
        <v>400</v>
      </c>
      <c r="AW5" s="26" t="s">
        <v>401</v>
      </c>
      <c r="AX5" s="26" t="s">
        <v>402</v>
      </c>
      <c r="AY5" s="26" t="s">
        <v>282</v>
      </c>
      <c r="BA5" s="26" t="s">
        <v>120</v>
      </c>
      <c r="BB5" s="26" t="s">
        <v>398</v>
      </c>
      <c r="BC5" s="26" t="s">
        <v>399</v>
      </c>
      <c r="BD5" s="26" t="s">
        <v>400</v>
      </c>
      <c r="BE5" s="26" t="s">
        <v>401</v>
      </c>
      <c r="BF5" s="26" t="s">
        <v>402</v>
      </c>
      <c r="BG5" s="26" t="s">
        <v>282</v>
      </c>
      <c r="BI5" s="26" t="s">
        <v>120</v>
      </c>
      <c r="BJ5" s="26" t="s">
        <v>398</v>
      </c>
      <c r="BK5" s="26" t="s">
        <v>399</v>
      </c>
      <c r="BL5" s="26" t="s">
        <v>400</v>
      </c>
      <c r="BM5" s="26" t="s">
        <v>401</v>
      </c>
      <c r="BN5" s="26" t="s">
        <v>402</v>
      </c>
      <c r="BO5" s="26" t="s">
        <v>282</v>
      </c>
      <c r="BR5" s="36" t="s">
        <v>571</v>
      </c>
      <c r="CL5" s="26"/>
      <c r="CM5" s="36" t="s">
        <v>571</v>
      </c>
    </row>
    <row r="6" spans="1:96">
      <c r="A6" s="50">
        <f t="shared" si="2"/>
        <v>6</v>
      </c>
      <c r="E6" s="2"/>
      <c r="F6" s="60"/>
      <c r="G6" s="60"/>
      <c r="P6" s="61"/>
      <c r="Q6" s="61"/>
      <c r="R6" s="25" t="s">
        <v>397</v>
      </c>
      <c r="S6" s="25" t="s">
        <v>405</v>
      </c>
      <c r="T6" s="25" t="s">
        <v>407</v>
      </c>
      <c r="U6" s="25" t="s">
        <v>425</v>
      </c>
      <c r="V6" s="25" t="s">
        <v>430</v>
      </c>
      <c r="W6" s="25" t="s">
        <v>125</v>
      </c>
      <c r="X6" s="25" t="s">
        <v>112</v>
      </c>
      <c r="Y6" s="25" t="s">
        <v>428</v>
      </c>
      <c r="Z6" s="25" t="s">
        <v>126</v>
      </c>
      <c r="AA6" s="25" t="s">
        <v>127</v>
      </c>
      <c r="AB6" s="25" t="s">
        <v>114</v>
      </c>
      <c r="AC6" s="25" t="s">
        <v>128</v>
      </c>
      <c r="AD6" s="25" t="s">
        <v>129</v>
      </c>
      <c r="AE6" s="25" t="s">
        <v>130</v>
      </c>
      <c r="AF6" s="25" t="s">
        <v>131</v>
      </c>
      <c r="AG6" s="25" t="s">
        <v>423</v>
      </c>
      <c r="AH6" s="25" t="s">
        <v>113</v>
      </c>
      <c r="AQ6" s="61"/>
      <c r="BR6" s="36" t="s">
        <v>572</v>
      </c>
      <c r="CM6" s="36" t="s">
        <v>572</v>
      </c>
    </row>
    <row r="7" spans="1:96">
      <c r="A7" s="50">
        <f t="shared" si="2"/>
        <v>7</v>
      </c>
      <c r="C7" s="10"/>
      <c r="D7" s="1" t="s">
        <v>83</v>
      </c>
      <c r="E7" s="9"/>
      <c r="F7" s="60"/>
      <c r="G7" s="60"/>
      <c r="P7" s="61"/>
      <c r="Q7" s="61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6">
        <f t="shared" ref="AI7:AI39" si="3">IF(SUM(R7:AH7)&lt;&gt;0,(ROUND(SUM(R7:AH7),8)&lt;&gt;1)+0,0)</f>
        <v>0</v>
      </c>
      <c r="AQ7" s="61"/>
    </row>
    <row r="8" spans="1:96">
      <c r="A8" s="50">
        <f t="shared" si="2"/>
        <v>8</v>
      </c>
      <c r="C8" s="34"/>
      <c r="D8" s="1" t="s">
        <v>84</v>
      </c>
      <c r="E8" s="2"/>
      <c r="F8" s="60"/>
      <c r="G8" s="60"/>
      <c r="P8" s="61"/>
      <c r="Q8" s="61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76">
        <f t="shared" si="3"/>
        <v>0</v>
      </c>
      <c r="AQ8" s="61"/>
    </row>
    <row r="9" spans="1:96">
      <c r="A9" s="50">
        <f t="shared" si="2"/>
        <v>9</v>
      </c>
      <c r="D9" t="s">
        <v>85</v>
      </c>
      <c r="E9" s="2"/>
      <c r="F9" s="60"/>
      <c r="G9" s="60"/>
      <c r="P9" s="61"/>
      <c r="Q9" s="61"/>
      <c r="AI9" s="76">
        <f t="shared" si="3"/>
        <v>0</v>
      </c>
      <c r="AQ9" s="61"/>
    </row>
    <row r="10" spans="1:96">
      <c r="A10" s="50">
        <f t="shared" si="2"/>
        <v>10</v>
      </c>
      <c r="B10" s="51">
        <v>303</v>
      </c>
      <c r="C10" s="36" t="s">
        <v>155</v>
      </c>
      <c r="D10" s="28" t="s">
        <v>278</v>
      </c>
      <c r="E10" s="436">
        <f>PROFORMA!AV250</f>
        <v>2522000</v>
      </c>
      <c r="F10" s="61" t="str">
        <f>"as Distrib Plant ("&amp;A$41&amp;")"</f>
        <v>as Distrib Plant (41)</v>
      </c>
      <c r="G10" s="60"/>
      <c r="H10" s="2">
        <f>SUM(I10:N10)</f>
        <v>2521999.9999999991</v>
      </c>
      <c r="I10" s="2">
        <f t="shared" ref="I10:N12" si="4">$E10*SUMPRODUCT($R10:$AH10,INDEX(AllocFactors,I$4,0))</f>
        <v>1998545.4033326285</v>
      </c>
      <c r="J10" s="2">
        <f t="shared" si="4"/>
        <v>370139.71254522156</v>
      </c>
      <c r="K10" s="2">
        <f t="shared" si="4"/>
        <v>0</v>
      </c>
      <c r="L10" s="2">
        <f t="shared" si="4"/>
        <v>4884.56192743054</v>
      </c>
      <c r="M10" s="2">
        <f t="shared" si="4"/>
        <v>148430.32219471896</v>
      </c>
      <c r="N10" s="2">
        <f t="shared" si="4"/>
        <v>0</v>
      </c>
      <c r="O10" s="2"/>
      <c r="P10" s="61" t="str">
        <f>E$1&amp;$A10&amp;"* Sum["&amp;$R$1&amp;$A10&amp;":"&amp;$AH$1&amp;$A10&amp;"* "&amp;Factors!D$1&amp;Factors!$A$58&amp;":"&amp;Factors!S$1&amp;Factors!$A$64&amp;"]"</f>
        <v>E10* Sum[R10:AH10* D1040:S1046]</v>
      </c>
      <c r="Q10" s="61"/>
      <c r="R10" s="14">
        <f>R$41</f>
        <v>0.18032917602090978</v>
      </c>
      <c r="S10" s="14">
        <f t="shared" ref="S10:AH10" si="5">S$41</f>
        <v>0</v>
      </c>
      <c r="T10" s="14">
        <f t="shared" si="5"/>
        <v>0</v>
      </c>
      <c r="U10" s="14">
        <f t="shared" si="5"/>
        <v>0</v>
      </c>
      <c r="V10" s="14">
        <f t="shared" si="5"/>
        <v>0</v>
      </c>
      <c r="W10" s="14">
        <f t="shared" si="5"/>
        <v>0.33248662332325996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  <c r="AB10" s="14">
        <f t="shared" si="5"/>
        <v>0</v>
      </c>
      <c r="AC10" s="14">
        <f t="shared" si="5"/>
        <v>0.34784812665025233</v>
      </c>
      <c r="AD10" s="14">
        <f t="shared" si="5"/>
        <v>0.13399956178953271</v>
      </c>
      <c r="AE10" s="14">
        <f t="shared" si="5"/>
        <v>0</v>
      </c>
      <c r="AF10" s="14">
        <f t="shared" si="5"/>
        <v>5.3365122160451877E-3</v>
      </c>
      <c r="AG10" s="14">
        <f t="shared" si="5"/>
        <v>0</v>
      </c>
      <c r="AH10" s="14">
        <f t="shared" si="5"/>
        <v>0</v>
      </c>
      <c r="AI10" s="76">
        <f t="shared" si="3"/>
        <v>0</v>
      </c>
      <c r="AK10" s="2">
        <f>SUM(AL10:AO10)</f>
        <v>2522000</v>
      </c>
      <c r="AL10" s="2">
        <f t="shared" ref="AL10:AO12" si="6">SUMIF($R$4:$AH$4,AL$5,$R10:$AH10)*$E10</f>
        <v>454790.1819247345</v>
      </c>
      <c r="AM10" s="2">
        <f t="shared" si="6"/>
        <v>838531.2640212616</v>
      </c>
      <c r="AN10" s="2">
        <f t="shared" si="6"/>
        <v>1228678.5540540039</v>
      </c>
      <c r="AO10" s="2">
        <f t="shared" si="6"/>
        <v>0</v>
      </c>
      <c r="AP10" s="2"/>
      <c r="AQ10" s="61" t="str">
        <f>E$1&amp;$A10&amp;"*["&amp;R$1&amp;$A10&amp;":"&amp;$AH$1&amp;$A10&amp;" when "&amp;R$1&amp;$A$4&amp;":"&amp;$AH$1&amp;$A$4&amp;" = E,D,C,or R]"</f>
        <v>E10*[R10:AH10 when R4:AH4 = E,D,C,or R]</v>
      </c>
      <c r="AS10" s="2">
        <f>SUM(AT10:AY10)</f>
        <v>454790.1819247345</v>
      </c>
      <c r="AT10" s="2">
        <f t="shared" ref="AT10:AY12" si="7">$E10*SUMPRODUCT($R10:$V10,INDEX(AllocFactors_E,AT$4,0))</f>
        <v>263571.99478147231</v>
      </c>
      <c r="AU10" s="2">
        <f t="shared" si="7"/>
        <v>118096.95510748531</v>
      </c>
      <c r="AV10" s="2">
        <f t="shared" si="7"/>
        <v>0</v>
      </c>
      <c r="AW10" s="2">
        <f t="shared" si="7"/>
        <v>1902.9742545801664</v>
      </c>
      <c r="AX10" s="2">
        <f t="shared" si="7"/>
        <v>71218.257781196764</v>
      </c>
      <c r="AY10" s="2">
        <f t="shared" si="7"/>
        <v>0</v>
      </c>
      <c r="BA10" s="2">
        <f>SUM(BB10:BG10)</f>
        <v>838531.2640212616</v>
      </c>
      <c r="BB10" s="2">
        <f t="shared" ref="BB10:BG12" si="8">$E10*SUMPRODUCT($W10:$AA10,INDEX(AllocFactors_D,BB$4,0))</f>
        <v>572556.0447479469</v>
      </c>
      <c r="BC10" s="2">
        <f t="shared" si="8"/>
        <v>193795.79159326528</v>
      </c>
      <c r="BD10" s="2">
        <f t="shared" si="8"/>
        <v>0</v>
      </c>
      <c r="BE10" s="2">
        <f t="shared" si="8"/>
        <v>2434.6144825701022</v>
      </c>
      <c r="BF10" s="2">
        <f t="shared" si="8"/>
        <v>69744.813197479292</v>
      </c>
      <c r="BG10" s="2">
        <f t="shared" si="8"/>
        <v>0</v>
      </c>
      <c r="BI10" s="2">
        <f>SUM(BJ10:BO10)</f>
        <v>1228678.5540540041</v>
      </c>
      <c r="BJ10" s="2">
        <f t="shared" ref="BJ10:BO12" si="9">$E10*SUMPRODUCT($AB10:$AG10,INDEX(AllocFactors_C,BJ$4,0))</f>
        <v>1162417.3638032097</v>
      </c>
      <c r="BK10" s="2">
        <f t="shared" si="9"/>
        <v>58246.965844471008</v>
      </c>
      <c r="BL10" s="2">
        <f t="shared" si="9"/>
        <v>0</v>
      </c>
      <c r="BM10" s="2">
        <f t="shared" si="9"/>
        <v>546.97319028027096</v>
      </c>
      <c r="BN10" s="2">
        <f t="shared" si="9"/>
        <v>7467.2512160429178</v>
      </c>
      <c r="BO10" s="2">
        <f t="shared" si="9"/>
        <v>0</v>
      </c>
    </row>
    <row r="11" spans="1:96">
      <c r="A11" s="50">
        <f t="shared" si="2"/>
        <v>11</v>
      </c>
      <c r="B11" s="51">
        <v>303.10000000000002</v>
      </c>
      <c r="C11" s="36" t="s">
        <v>152</v>
      </c>
      <c r="D11" s="28" t="s">
        <v>86</v>
      </c>
      <c r="E11" s="436">
        <f>PROFORMA!AV251</f>
        <v>35142000</v>
      </c>
      <c r="F11" s="61" t="s">
        <v>1159</v>
      </c>
      <c r="G11" s="60"/>
      <c r="H11" s="2">
        <f>SUM(I11:N11)</f>
        <v>35142000.000000007</v>
      </c>
      <c r="I11" s="2">
        <f>$E11*SUMPRODUCT($R11:$AH11,INDEX(AllocFactors,I$4,0))</f>
        <v>30757148.774188925</v>
      </c>
      <c r="J11" s="2">
        <f t="shared" si="4"/>
        <v>3331482.2521473323</v>
      </c>
      <c r="K11" s="2">
        <f t="shared" si="4"/>
        <v>0</v>
      </c>
      <c r="L11" s="2">
        <f t="shared" si="4"/>
        <v>41248.571020705007</v>
      </c>
      <c r="M11" s="2">
        <f t="shared" si="4"/>
        <v>1012120.4026430416</v>
      </c>
      <c r="N11" s="2">
        <f t="shared" si="4"/>
        <v>0</v>
      </c>
      <c r="O11" s="2"/>
      <c r="P11" s="61" t="s">
        <v>1160</v>
      </c>
      <c r="Q11" s="61"/>
      <c r="R11" s="14">
        <f>(R$116*0.25)+(R$253*0.25)+(BS$252*0.25)</f>
        <v>8.8133437743971782E-2</v>
      </c>
      <c r="S11" s="14">
        <f>(S$116*0.25)+(S$253*0.25)+(BT$252*0.25)</f>
        <v>1.48122630432825E-2</v>
      </c>
      <c r="T11" s="14">
        <f t="shared" ref="T11:AH11" si="10">(T$116*0.25)+(T$253*0.25)+(BU$252*0.25)</f>
        <v>6.2152272453224224E-3</v>
      </c>
      <c r="U11" s="14">
        <f t="shared" si="10"/>
        <v>4.15942131033116E-2</v>
      </c>
      <c r="V11" s="14">
        <f t="shared" si="10"/>
        <v>0</v>
      </c>
      <c r="W11" s="14">
        <f t="shared" si="10"/>
        <v>0.15413680450310352</v>
      </c>
      <c r="X11" s="14">
        <f t="shared" si="10"/>
        <v>0</v>
      </c>
      <c r="Y11" s="14">
        <f t="shared" si="10"/>
        <v>0</v>
      </c>
      <c r="Z11" s="14">
        <f t="shared" si="10"/>
        <v>0</v>
      </c>
      <c r="AA11" s="14">
        <f t="shared" si="10"/>
        <v>0</v>
      </c>
      <c r="AB11" s="14">
        <f>(AB$116*0.25)+(AB$253*0.25)+(CC$252*0.25)+0.25</f>
        <v>0.45505508837908676</v>
      </c>
      <c r="AC11" s="14">
        <f t="shared" si="10"/>
        <v>0.16681683403029823</v>
      </c>
      <c r="AD11" s="14">
        <f t="shared" si="10"/>
        <v>7.1278348815059178E-2</v>
      </c>
      <c r="AE11" s="14">
        <f t="shared" si="10"/>
        <v>0</v>
      </c>
      <c r="AF11" s="14">
        <f t="shared" si="10"/>
        <v>1.9577831365640468E-3</v>
      </c>
      <c r="AG11" s="14">
        <f t="shared" si="10"/>
        <v>0</v>
      </c>
      <c r="AH11" s="14">
        <f t="shared" si="10"/>
        <v>0</v>
      </c>
      <c r="AI11" s="76">
        <f t="shared" si="3"/>
        <v>0</v>
      </c>
      <c r="AK11" s="2">
        <f>SUM(AL11:AO11)</f>
        <v>35142000</v>
      </c>
      <c r="AL11" s="2">
        <f t="shared" si="6"/>
        <v>5297837.169797386</v>
      </c>
      <c r="AM11" s="2">
        <f t="shared" si="6"/>
        <v>5416675.5838480638</v>
      </c>
      <c r="AN11" s="2">
        <f t="shared" si="6"/>
        <v>24427487.24635455</v>
      </c>
      <c r="AO11" s="2">
        <f t="shared" si="6"/>
        <v>0</v>
      </c>
      <c r="AP11" s="2"/>
      <c r="AQ11" s="61" t="str">
        <f>E$1&amp;$A11&amp;"*      """</f>
        <v>E11*      "</v>
      </c>
      <c r="AS11" s="2">
        <f>SUM(AT11:AY11)</f>
        <v>5297837.169797387</v>
      </c>
      <c r="AT11" s="2">
        <f t="shared" si="7"/>
        <v>3375615.1098863576</v>
      </c>
      <c r="AU11" s="2">
        <f t="shared" si="7"/>
        <v>1391930.5863765453</v>
      </c>
      <c r="AV11" s="2">
        <f t="shared" si="7"/>
        <v>0</v>
      </c>
      <c r="AW11" s="2">
        <f t="shared" si="7"/>
        <v>21733.217039135558</v>
      </c>
      <c r="AX11" s="2">
        <f t="shared" si="7"/>
        <v>508558.2564953487</v>
      </c>
      <c r="AY11" s="2">
        <f t="shared" si="7"/>
        <v>0</v>
      </c>
      <c r="BA11" s="2">
        <f>SUM(BB11:BG11)</f>
        <v>5416675.5838480629</v>
      </c>
      <c r="BB11" s="2">
        <f t="shared" si="8"/>
        <v>3698550.6456825281</v>
      </c>
      <c r="BC11" s="2">
        <f t="shared" si="8"/>
        <v>1251866.1827129337</v>
      </c>
      <c r="BD11" s="2">
        <f t="shared" si="8"/>
        <v>0</v>
      </c>
      <c r="BE11" s="2">
        <f t="shared" si="8"/>
        <v>15726.923240259744</v>
      </c>
      <c r="BF11" s="2">
        <f t="shared" si="8"/>
        <v>450531.8322123423</v>
      </c>
      <c r="BG11" s="2">
        <f t="shared" si="8"/>
        <v>0</v>
      </c>
      <c r="BI11" s="2">
        <f>SUM(BJ11:BO11)</f>
        <v>24427487.246354554</v>
      </c>
      <c r="BJ11" s="2">
        <f t="shared" si="9"/>
        <v>23682983.01862004</v>
      </c>
      <c r="BK11" s="2">
        <f t="shared" si="9"/>
        <v>687685.48305785295</v>
      </c>
      <c r="BL11" s="2">
        <f t="shared" si="9"/>
        <v>0</v>
      </c>
      <c r="BM11" s="2">
        <f t="shared" si="9"/>
        <v>3788.4307413097054</v>
      </c>
      <c r="BN11" s="2">
        <f t="shared" si="9"/>
        <v>53030.313935350518</v>
      </c>
      <c r="BO11" s="2">
        <f t="shared" si="9"/>
        <v>0</v>
      </c>
    </row>
    <row r="12" spans="1:96">
      <c r="A12" s="50">
        <v>12</v>
      </c>
      <c r="B12" s="51">
        <v>303.12</v>
      </c>
      <c r="C12" s="38" t="s">
        <v>152</v>
      </c>
      <c r="D12" s="501" t="s">
        <v>1463</v>
      </c>
      <c r="E12" s="436">
        <f>PROFORMA!AV252</f>
        <v>17246000</v>
      </c>
      <c r="F12" s="61" t="s">
        <v>1159</v>
      </c>
      <c r="G12" s="60"/>
      <c r="H12" s="2">
        <f>SUM(I12:N12)</f>
        <v>17246000</v>
      </c>
      <c r="I12" s="2">
        <f>$E12*SUMPRODUCT($R12:$AH12,INDEX(AllocFactors,I$4,0))</f>
        <v>15094126.337705942</v>
      </c>
      <c r="J12" s="2">
        <f t="shared" si="4"/>
        <v>1634930.9350786207</v>
      </c>
      <c r="K12" s="2">
        <f t="shared" si="4"/>
        <v>0</v>
      </c>
      <c r="L12" s="2">
        <f t="shared" si="4"/>
        <v>20242.810762707828</v>
      </c>
      <c r="M12" s="2">
        <f t="shared" si="4"/>
        <v>496699.91645273165</v>
      </c>
      <c r="N12" s="2">
        <f t="shared" si="4"/>
        <v>0</v>
      </c>
      <c r="O12" s="2"/>
      <c r="P12" s="61" t="s">
        <v>1160</v>
      </c>
      <c r="Q12" s="61"/>
      <c r="R12" s="14">
        <f>(R$116*0.25)+(R$253*0.25)+(BS$252*0.25)</f>
        <v>8.8133437743971782E-2</v>
      </c>
      <c r="S12" s="14">
        <f>(S$116*0.25)+(S$253*0.25)+(BT$252*0.25)</f>
        <v>1.48122630432825E-2</v>
      </c>
      <c r="T12" s="14">
        <f t="shared" ref="T12" si="11">(T$116*0.25)+(T$253*0.25)+(BU$252*0.25)</f>
        <v>6.2152272453224224E-3</v>
      </c>
      <c r="U12" s="14">
        <f t="shared" ref="U12" si="12">(U$116*0.25)+(U$253*0.25)+(BV$252*0.25)</f>
        <v>4.15942131033116E-2</v>
      </c>
      <c r="V12" s="14">
        <f t="shared" ref="V12" si="13">(V$116*0.25)+(V$253*0.25)+(BW$252*0.25)</f>
        <v>0</v>
      </c>
      <c r="W12" s="14">
        <f t="shared" ref="W12" si="14">(W$116*0.25)+(W$253*0.25)+(BX$252*0.25)</f>
        <v>0.15413680450310352</v>
      </c>
      <c r="X12" s="14">
        <f t="shared" ref="X12" si="15">(X$116*0.25)+(X$253*0.25)+(BY$252*0.25)</f>
        <v>0</v>
      </c>
      <c r="Y12" s="14">
        <f t="shared" ref="Y12" si="16">(Y$116*0.25)+(Y$253*0.25)+(BZ$252*0.25)</f>
        <v>0</v>
      </c>
      <c r="Z12" s="14">
        <f t="shared" ref="Z12" si="17">(Z$116*0.25)+(Z$253*0.25)+(CA$252*0.25)</f>
        <v>0</v>
      </c>
      <c r="AA12" s="14">
        <f t="shared" ref="AA12" si="18">(AA$116*0.25)+(AA$253*0.25)+(CB$252*0.25)</f>
        <v>0</v>
      </c>
      <c r="AB12" s="14">
        <f>(AB$116*0.25)+(AB$253*0.25)+(CC$252*0.25)+0.25</f>
        <v>0.45505508837908676</v>
      </c>
      <c r="AC12" s="14">
        <f t="shared" ref="AC12" si="19">(AC$116*0.25)+(AC$253*0.25)+(CD$252*0.25)</f>
        <v>0.16681683403029823</v>
      </c>
      <c r="AD12" s="14">
        <f t="shared" ref="AD12" si="20">(AD$116*0.25)+(AD$253*0.25)+(CE$252*0.25)</f>
        <v>7.1278348815059178E-2</v>
      </c>
      <c r="AE12" s="14">
        <f t="shared" ref="AE12" si="21">(AE$116*0.25)+(AE$253*0.25)+(CF$252*0.25)</f>
        <v>0</v>
      </c>
      <c r="AF12" s="14">
        <f t="shared" ref="AF12" si="22">(AF$116*0.25)+(AF$253*0.25)+(CG$252*0.25)</f>
        <v>1.9577831365640468E-3</v>
      </c>
      <c r="AG12" s="14">
        <f t="shared" ref="AG12" si="23">(AG$116*0.25)+(AG$253*0.25)+(CH$252*0.25)</f>
        <v>0</v>
      </c>
      <c r="AH12" s="14">
        <f t="shared" ref="AH12" si="24">(AH$116*0.25)+(AH$253*0.25)+(CI$252*0.25)</f>
        <v>0</v>
      </c>
      <c r="AI12" s="76">
        <f t="shared" ref="AI12" si="25">IF(SUM(R12:AH12)&lt;&gt;0,(ROUND(SUM(R12:AH12),8)&lt;&gt;1)+0,0)</f>
        <v>0</v>
      </c>
      <c r="AK12" s="2">
        <f>SUM(AL12:AO12)</f>
        <v>17246000</v>
      </c>
      <c r="AL12" s="2">
        <f t="shared" si="6"/>
        <v>2599923.1640295293</v>
      </c>
      <c r="AM12" s="2">
        <f t="shared" si="6"/>
        <v>2658243.3304605233</v>
      </c>
      <c r="AN12" s="2">
        <f t="shared" si="6"/>
        <v>11987833.505509946</v>
      </c>
      <c r="AO12" s="2">
        <f t="shared" si="6"/>
        <v>0</v>
      </c>
      <c r="AP12" s="2"/>
      <c r="AQ12" s="61" t="str">
        <f>E$1&amp;$A12&amp;"*      """</f>
        <v>E12*      "</v>
      </c>
      <c r="AS12" s="2">
        <f>SUM(AT12:AY12)</f>
        <v>2599923.1640295298</v>
      </c>
      <c r="AT12" s="2">
        <f t="shared" si="7"/>
        <v>1656589.2147601196</v>
      </c>
      <c r="AU12" s="2">
        <f t="shared" si="7"/>
        <v>683092.45041972282</v>
      </c>
      <c r="AV12" s="2">
        <f t="shared" si="7"/>
        <v>0</v>
      </c>
      <c r="AW12" s="2">
        <f t="shared" si="7"/>
        <v>10665.615532893173</v>
      </c>
      <c r="AX12" s="2">
        <f t="shared" si="7"/>
        <v>249575.88331679426</v>
      </c>
      <c r="AY12" s="2"/>
      <c r="BA12" s="2">
        <f>SUM(BB12:BG12)</f>
        <v>2658243.3304605233</v>
      </c>
      <c r="BB12" s="2">
        <f t="shared" si="8"/>
        <v>1815070.4124819555</v>
      </c>
      <c r="BC12" s="2">
        <f t="shared" si="8"/>
        <v>614355.59123178117</v>
      </c>
      <c r="BD12" s="2">
        <f t="shared" si="8"/>
        <v>0</v>
      </c>
      <c r="BE12" s="2">
        <f t="shared" si="8"/>
        <v>7718.0159979944101</v>
      </c>
      <c r="BF12" s="2">
        <f t="shared" si="8"/>
        <v>221099.3107487922</v>
      </c>
      <c r="BG12" s="2"/>
      <c r="BI12" s="2">
        <f>SUM(BJ12:BO12)</f>
        <v>11987833.505509948</v>
      </c>
      <c r="BJ12" s="2">
        <f t="shared" si="9"/>
        <v>11622466.710463867</v>
      </c>
      <c r="BK12" s="2">
        <f t="shared" si="9"/>
        <v>337482.89342711662</v>
      </c>
      <c r="BL12" s="2">
        <f t="shared" si="9"/>
        <v>0</v>
      </c>
      <c r="BM12" s="2">
        <f t="shared" si="9"/>
        <v>1859.1792318202486</v>
      </c>
      <c r="BN12" s="2">
        <f t="shared" si="9"/>
        <v>26024.722387145153</v>
      </c>
      <c r="BO12" s="2"/>
    </row>
    <row r="13" spans="1:96">
      <c r="A13" s="50">
        <f t="shared" si="2"/>
        <v>13</v>
      </c>
      <c r="B13" s="51"/>
      <c r="D13" s="52" t="s">
        <v>87</v>
      </c>
      <c r="E13" s="4">
        <f>SUM(E9:E12)</f>
        <v>54910000</v>
      </c>
      <c r="F13" s="60"/>
      <c r="G13" s="60"/>
      <c r="H13" s="4">
        <f>IF(ROUND(SUM(H10:H12),3)&lt;&gt;ROUND(SUM(I13:N13),3),#VALUE!,SUM(H10:H12))</f>
        <v>54910000.000000007</v>
      </c>
      <c r="I13" s="4">
        <f>SUM(I10:I12)</f>
        <v>47849820.515227497</v>
      </c>
      <c r="J13" s="4">
        <f t="shared" ref="J13:M13" si="26">SUM(J10:J12)</f>
        <v>5336552.8997711744</v>
      </c>
      <c r="K13" s="4">
        <f t="shared" si="26"/>
        <v>0</v>
      </c>
      <c r="L13" s="4">
        <f t="shared" si="26"/>
        <v>66375.943710843378</v>
      </c>
      <c r="M13" s="4">
        <f t="shared" si="26"/>
        <v>1657250.6412904921</v>
      </c>
      <c r="N13" s="4">
        <f t="shared" ref="N13" si="27">SUM(N10:N11)</f>
        <v>0</v>
      </c>
      <c r="O13" s="5"/>
      <c r="P13" s="61" t="str">
        <f>A10&amp;":"&amp;A11</f>
        <v>10:11</v>
      </c>
      <c r="Q13" s="61"/>
      <c r="R13" s="13">
        <f>SUMPRODUCT($E10:$E12,R$10:R$12)/$E13</f>
        <v>9.2367960634782892E-2</v>
      </c>
      <c r="S13" s="13">
        <f t="shared" ref="S13:AF13" si="28">SUMPRODUCT($E10:$E12,S$10:S$12)/$E13</f>
        <v>1.4131940198715782E-2</v>
      </c>
      <c r="T13" s="13">
        <f t="shared" si="28"/>
        <v>5.9297637029311788E-3</v>
      </c>
      <c r="U13" s="13">
        <f t="shared" si="28"/>
        <v>3.9683803242693286E-2</v>
      </c>
      <c r="V13" s="13">
        <f t="shared" si="28"/>
        <v>0</v>
      </c>
      <c r="W13" s="13">
        <f t="shared" si="28"/>
        <v>0.16232835873847837</v>
      </c>
      <c r="X13" s="13">
        <f t="shared" si="28"/>
        <v>0</v>
      </c>
      <c r="Y13" s="13">
        <f t="shared" si="28"/>
        <v>0</v>
      </c>
      <c r="Z13" s="13">
        <f t="shared" si="28"/>
        <v>0</v>
      </c>
      <c r="AA13" s="13">
        <f t="shared" si="28"/>
        <v>0</v>
      </c>
      <c r="AB13" s="13">
        <f t="shared" si="28"/>
        <v>0.43415454325266067</v>
      </c>
      <c r="AC13" s="13">
        <f t="shared" si="28"/>
        <v>0.17513154756130395</v>
      </c>
      <c r="AD13" s="13">
        <f t="shared" si="28"/>
        <v>7.4159115508222948E-2</v>
      </c>
      <c r="AE13" s="13">
        <f t="shared" si="28"/>
        <v>0</v>
      </c>
      <c r="AF13" s="13">
        <f t="shared" si="28"/>
        <v>2.1129671602109494E-3</v>
      </c>
      <c r="AG13" s="13">
        <f t="shared" ref="AG13:AH13" si="29">SUMPRODUCT($E10:$E11,AG$10:AG$11)/$E13</f>
        <v>0</v>
      </c>
      <c r="AH13" s="13">
        <f t="shared" si="29"/>
        <v>0</v>
      </c>
      <c r="AI13" s="76">
        <f t="shared" si="3"/>
        <v>0</v>
      </c>
      <c r="AK13" s="4">
        <f>IF(ROUND(SUM(AK10:AK12),3)&lt;&gt;ROUND(SUM(AL13:AO13),3),#VALUE!,SUM(AK10:AK12))</f>
        <v>54910000</v>
      </c>
      <c r="AL13" s="4">
        <f>SUM(AL10:AL12)</f>
        <v>8352550.5157516496</v>
      </c>
      <c r="AM13" s="4">
        <f>SUM(AM10:AM12)</f>
        <v>8913450.1783298478</v>
      </c>
      <c r="AN13" s="4">
        <f t="shared" ref="AN13:AO13" si="30">SUM(AN10:AN12)</f>
        <v>37643999.3059185</v>
      </c>
      <c r="AO13" s="4">
        <f t="shared" si="30"/>
        <v>0</v>
      </c>
      <c r="AP13" s="5"/>
      <c r="AQ13" s="61" t="str">
        <f>$A10&amp;":"&amp;$A11</f>
        <v>10:11</v>
      </c>
      <c r="AS13" s="4">
        <f>IF(ROUND(SUM(AS10:AS12),3)&lt;&gt;ROUND(SUM(AT13:AY13),3),#VALUE!,SUM(AS10:AS12))</f>
        <v>8352550.5157516506</v>
      </c>
      <c r="AT13" s="4">
        <f>SUM(AT10:AT12)</f>
        <v>5295776.3194279494</v>
      </c>
      <c r="AU13" s="4">
        <f t="shared" ref="AU13:AX13" si="31">SUM(AU10:AU12)</f>
        <v>2193119.9919037535</v>
      </c>
      <c r="AV13" s="4">
        <f t="shared" si="31"/>
        <v>0</v>
      </c>
      <c r="AW13" s="4">
        <f t="shared" si="31"/>
        <v>34301.806826608896</v>
      </c>
      <c r="AX13" s="4">
        <f t="shared" si="31"/>
        <v>829352.39759333979</v>
      </c>
      <c r="AY13" s="4">
        <f t="shared" ref="AY13" si="32">SUM(AY10:AY11)</f>
        <v>0</v>
      </c>
      <c r="BA13" s="4">
        <f>IF(ROUND(SUM(BA10:BA12),3)&lt;&gt;ROUND(SUM(BB13:BG13),3),#VALUE!,SUM(BA10:BA12))</f>
        <v>8913450.1783298478</v>
      </c>
      <c r="BB13" s="4">
        <f>SUM(BB10:BB12)</f>
        <v>6086177.1029124307</v>
      </c>
      <c r="BC13" s="4">
        <f t="shared" ref="BC13:BF13" si="33">SUM(BC10:BC12)</f>
        <v>2060017.5655379803</v>
      </c>
      <c r="BD13" s="4">
        <f t="shared" si="33"/>
        <v>0</v>
      </c>
      <c r="BE13" s="4">
        <f t="shared" si="33"/>
        <v>25879.553720824257</v>
      </c>
      <c r="BF13" s="4">
        <f t="shared" si="33"/>
        <v>741375.95615861379</v>
      </c>
      <c r="BG13" s="4">
        <f t="shared" ref="BG13" si="34">SUM(BG10:BG11)</f>
        <v>0</v>
      </c>
      <c r="BI13" s="4">
        <f>IF(ROUND(SUM(BI10:BI12),3)&lt;&gt;ROUND(SUM(BJ13:BO13),3),#VALUE!,SUM(BI10:BI12))</f>
        <v>37643999.305918507</v>
      </c>
      <c r="BJ13" s="4">
        <f>SUM(BJ10:BJ12)</f>
        <v>36467867.092887118</v>
      </c>
      <c r="BK13" s="4">
        <f t="shared" ref="BK13:BM13" si="35">SUM(BK10:BK12)</f>
        <v>1083415.3423294406</v>
      </c>
      <c r="BL13" s="4">
        <f t="shared" si="35"/>
        <v>0</v>
      </c>
      <c r="BM13" s="4">
        <f t="shared" si="35"/>
        <v>6194.5831634102251</v>
      </c>
      <c r="BN13" s="4">
        <f>SUM(BN10:BN12)</f>
        <v>86522.287538538585</v>
      </c>
      <c r="BO13" s="4">
        <f t="shared" ref="BO13" si="36">SUM(BO10:BO11)</f>
        <v>0</v>
      </c>
    </row>
    <row r="14" spans="1:96">
      <c r="A14" s="50">
        <f t="shared" si="2"/>
        <v>14</v>
      </c>
      <c r="B14" s="51" t="s">
        <v>1150</v>
      </c>
      <c r="E14" s="2"/>
      <c r="F14" s="60"/>
      <c r="G14" s="60"/>
      <c r="P14" s="61"/>
      <c r="Q14" s="61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76">
        <f t="shared" si="3"/>
        <v>0</v>
      </c>
      <c r="AQ14" s="61"/>
    </row>
    <row r="15" spans="1:96">
      <c r="A15" s="50">
        <f t="shared" si="2"/>
        <v>15</v>
      </c>
      <c r="B15" s="51"/>
      <c r="D15" t="s">
        <v>237</v>
      </c>
      <c r="E15" s="2"/>
      <c r="F15" s="60"/>
      <c r="G15" s="60"/>
      <c r="P15" s="61"/>
      <c r="Q15" s="61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76">
        <f t="shared" si="3"/>
        <v>0</v>
      </c>
      <c r="AQ15" s="61"/>
    </row>
    <row r="16" spans="1:96">
      <c r="A16" s="50">
        <f t="shared" si="2"/>
        <v>16</v>
      </c>
      <c r="B16" s="51">
        <v>350</v>
      </c>
      <c r="C16" s="36" t="s">
        <v>395</v>
      </c>
      <c r="D16" s="28" t="s">
        <v>88</v>
      </c>
      <c r="E16" s="432">
        <f>PROFORMA!AV256</f>
        <v>974000</v>
      </c>
      <c r="F16" s="60" t="s">
        <v>550</v>
      </c>
      <c r="G16" s="8"/>
      <c r="H16" s="2">
        <f t="shared" ref="H16:H23" si="37">SUM(I16:N16)</f>
        <v>974000.00000000012</v>
      </c>
      <c r="I16" s="2">
        <f>$E16*SUMPRODUCT($R16:$AH16,INDEX(AllocFactors,I$4,0))</f>
        <v>708979.87509213726</v>
      </c>
      <c r="J16" s="2">
        <f t="shared" ref="I16:N23" si="38">$E16*SUMPRODUCT($R16:$AH16,INDEX(AllocFactors,J$4,0))</f>
        <v>247777.42767245541</v>
      </c>
      <c r="K16" s="2">
        <f t="shared" si="38"/>
        <v>0</v>
      </c>
      <c r="L16" s="2">
        <f t="shared" si="38"/>
        <v>3589.1853047788409</v>
      </c>
      <c r="M16" s="2">
        <f t="shared" si="38"/>
        <v>13653.511930628518</v>
      </c>
      <c r="N16" s="2">
        <f t="shared" si="38"/>
        <v>0</v>
      </c>
      <c r="O16" s="2"/>
      <c r="P16" s="61" t="str">
        <f>E$1&amp;$A16&amp;"* Sum["&amp;$R$1&amp;$A16&amp;":"&amp;$AH$1&amp;$A16&amp;"* "&amp;Factors!D$1&amp;Factors!$A$58&amp;":"&amp;Factors!S$1&amp;Factors!$A$64&amp;"]"</f>
        <v>E16* Sum[R16:AH16* D1040:S1046]</v>
      </c>
      <c r="Q16" s="61"/>
      <c r="R16" s="79"/>
      <c r="S16" s="79"/>
      <c r="T16" s="79">
        <v>0.13</v>
      </c>
      <c r="U16" s="79">
        <v>0.87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76">
        <f t="shared" si="3"/>
        <v>0</v>
      </c>
      <c r="AK16" s="2">
        <f t="shared" ref="AK16:AK23" si="39">SUM(AL16:AO16)</f>
        <v>974000</v>
      </c>
      <c r="AL16" s="2">
        <f t="shared" ref="AL16:AO23" si="40">SUMIF($R$4:$AH$4,AL$5,$R16:$AH16)*$E16</f>
        <v>974000</v>
      </c>
      <c r="AM16" s="2">
        <f t="shared" si="40"/>
        <v>0</v>
      </c>
      <c r="AN16" s="2">
        <f t="shared" si="40"/>
        <v>0</v>
      </c>
      <c r="AO16" s="2">
        <f t="shared" si="40"/>
        <v>0</v>
      </c>
      <c r="AP16" s="2"/>
      <c r="AQ16" s="61" t="str">
        <f>E$1&amp;$A16&amp;"*["&amp;R$1&amp;$A16&amp;":"&amp;$AH$1&amp;$A16&amp;" when "&amp;R$1&amp;$A$4&amp;":"&amp;$AH$1&amp;$A$4&amp;" = E,D,C,or R]"</f>
        <v>E16*[R16:AH16 when R4:AH4 = E,D,C,or R]</v>
      </c>
      <c r="AS16" s="2">
        <f t="shared" ref="AS16:AS23" si="41">SUM(AT16:AY16)</f>
        <v>974000.00000000012</v>
      </c>
      <c r="AT16" s="2">
        <f t="shared" ref="AT16:AY23" si="42">$E16*SUMPRODUCT($R16:$V16,INDEX(AllocFactors_E,AT$4,0))</f>
        <v>708979.87509213726</v>
      </c>
      <c r="AU16" s="2">
        <f t="shared" si="42"/>
        <v>247777.42767245541</v>
      </c>
      <c r="AV16" s="2">
        <f t="shared" si="42"/>
        <v>0</v>
      </c>
      <c r="AW16" s="2">
        <f t="shared" si="42"/>
        <v>3589.1853047788409</v>
      </c>
      <c r="AX16" s="2">
        <f t="shared" si="42"/>
        <v>13653.511930628518</v>
      </c>
      <c r="AY16" s="2">
        <f t="shared" si="42"/>
        <v>0</v>
      </c>
      <c r="BA16" s="2">
        <f t="shared" ref="BA16:BA23" si="43">SUM(BB16:BG16)</f>
        <v>0</v>
      </c>
      <c r="BB16" s="2">
        <f t="shared" ref="BB16:BG23" si="44">$E16*SUMPRODUCT($W16:$AA16,INDEX(AllocFactors_D,BB$4,0))</f>
        <v>0</v>
      </c>
      <c r="BC16" s="2">
        <f t="shared" si="44"/>
        <v>0</v>
      </c>
      <c r="BD16" s="2">
        <f t="shared" si="44"/>
        <v>0</v>
      </c>
      <c r="BE16" s="2">
        <f t="shared" si="44"/>
        <v>0</v>
      </c>
      <c r="BF16" s="2">
        <f t="shared" si="44"/>
        <v>0</v>
      </c>
      <c r="BG16" s="2">
        <f t="shared" si="44"/>
        <v>0</v>
      </c>
      <c r="BI16" s="2">
        <f t="shared" ref="BI16:BI23" si="45">SUM(BJ16:BO16)</f>
        <v>0</v>
      </c>
      <c r="BJ16" s="2">
        <f t="shared" ref="BJ16:BO23" si="46">$E16*SUMPRODUCT($AB16:$AG16,INDEX(AllocFactors_C,BJ$4,0))</f>
        <v>0</v>
      </c>
      <c r="BK16" s="2">
        <f t="shared" si="46"/>
        <v>0</v>
      </c>
      <c r="BL16" s="2">
        <f t="shared" si="46"/>
        <v>0</v>
      </c>
      <c r="BM16" s="2">
        <f t="shared" si="46"/>
        <v>0</v>
      </c>
      <c r="BN16" s="2">
        <f t="shared" si="46"/>
        <v>0</v>
      </c>
      <c r="BO16" s="2">
        <f t="shared" si="46"/>
        <v>0</v>
      </c>
    </row>
    <row r="17" spans="1:67">
      <c r="A17" s="50">
        <f t="shared" si="2"/>
        <v>17</v>
      </c>
      <c r="B17" s="51">
        <v>351</v>
      </c>
      <c r="C17" s="36" t="s">
        <v>395</v>
      </c>
      <c r="D17" s="28" t="s">
        <v>89</v>
      </c>
      <c r="E17" s="432">
        <f>PROFORMA!AV257</f>
        <v>2028000</v>
      </c>
      <c r="F17" s="60" t="s">
        <v>550</v>
      </c>
      <c r="G17" s="8"/>
      <c r="H17" s="2">
        <f t="shared" si="37"/>
        <v>2027999.9999999998</v>
      </c>
      <c r="I17" s="2">
        <f t="shared" si="38"/>
        <v>1476192.1834567292</v>
      </c>
      <c r="J17" s="2">
        <f t="shared" si="38"/>
        <v>515906.18410650879</v>
      </c>
      <c r="K17" s="2">
        <f t="shared" si="38"/>
        <v>0</v>
      </c>
      <c r="L17" s="2">
        <f t="shared" si="38"/>
        <v>7473.1702239132328</v>
      </c>
      <c r="M17" s="2">
        <f t="shared" si="38"/>
        <v>28428.462212848699</v>
      </c>
      <c r="N17" s="2">
        <f t="shared" si="38"/>
        <v>0</v>
      </c>
      <c r="O17" s="2"/>
      <c r="P17" s="61" t="str">
        <f t="shared" ref="P17:P23" si="47">E$1&amp;$A17&amp;"*     """</f>
        <v>E17*     "</v>
      </c>
      <c r="Q17" s="61"/>
      <c r="R17" s="79"/>
      <c r="S17" s="79"/>
      <c r="T17" s="79">
        <v>0.13</v>
      </c>
      <c r="U17" s="79">
        <v>0.87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76">
        <f t="shared" si="3"/>
        <v>0</v>
      </c>
      <c r="AK17" s="2">
        <f t="shared" si="39"/>
        <v>2028000</v>
      </c>
      <c r="AL17" s="2">
        <f t="shared" si="40"/>
        <v>2028000</v>
      </c>
      <c r="AM17" s="2">
        <f t="shared" si="40"/>
        <v>0</v>
      </c>
      <c r="AN17" s="2">
        <f t="shared" si="40"/>
        <v>0</v>
      </c>
      <c r="AO17" s="2">
        <f t="shared" si="40"/>
        <v>0</v>
      </c>
      <c r="AP17" s="2"/>
      <c r="AQ17" s="61" t="str">
        <f t="shared" ref="AQ17:AQ23" si="48">E$1&amp;$A17&amp;"*      """</f>
        <v>E17*      "</v>
      </c>
      <c r="AS17" s="2">
        <f t="shared" si="41"/>
        <v>2027999.9999999998</v>
      </c>
      <c r="AT17" s="2">
        <f t="shared" si="42"/>
        <v>1476192.1834567292</v>
      </c>
      <c r="AU17" s="2">
        <f t="shared" si="42"/>
        <v>515906.18410650879</v>
      </c>
      <c r="AV17" s="2">
        <f t="shared" si="42"/>
        <v>0</v>
      </c>
      <c r="AW17" s="2">
        <f t="shared" si="42"/>
        <v>7473.1702239132328</v>
      </c>
      <c r="AX17" s="2">
        <f t="shared" si="42"/>
        <v>28428.462212848699</v>
      </c>
      <c r="AY17" s="2">
        <f t="shared" si="42"/>
        <v>0</v>
      </c>
      <c r="BA17" s="2">
        <f t="shared" si="43"/>
        <v>0</v>
      </c>
      <c r="BB17" s="2">
        <f t="shared" si="44"/>
        <v>0</v>
      </c>
      <c r="BC17" s="2">
        <f t="shared" si="44"/>
        <v>0</v>
      </c>
      <c r="BD17" s="2">
        <f t="shared" si="44"/>
        <v>0</v>
      </c>
      <c r="BE17" s="2">
        <f t="shared" si="44"/>
        <v>0</v>
      </c>
      <c r="BF17" s="2">
        <f t="shared" si="44"/>
        <v>0</v>
      </c>
      <c r="BG17" s="2">
        <f t="shared" si="44"/>
        <v>0</v>
      </c>
      <c r="BI17" s="2">
        <f t="shared" si="45"/>
        <v>0</v>
      </c>
      <c r="BJ17" s="2">
        <f t="shared" si="46"/>
        <v>0</v>
      </c>
      <c r="BK17" s="2">
        <f t="shared" si="46"/>
        <v>0</v>
      </c>
      <c r="BL17" s="2">
        <f t="shared" si="46"/>
        <v>0</v>
      </c>
      <c r="BM17" s="2">
        <f t="shared" si="46"/>
        <v>0</v>
      </c>
      <c r="BN17" s="2">
        <f t="shared" si="46"/>
        <v>0</v>
      </c>
      <c r="BO17" s="2">
        <f t="shared" si="46"/>
        <v>0</v>
      </c>
    </row>
    <row r="18" spans="1:67">
      <c r="A18" s="50">
        <f t="shared" si="2"/>
        <v>18</v>
      </c>
      <c r="B18" s="51">
        <v>352</v>
      </c>
      <c r="C18" s="36" t="s">
        <v>395</v>
      </c>
      <c r="D18" s="28" t="s">
        <v>238</v>
      </c>
      <c r="E18" s="432">
        <f>PROFORMA!AV258</f>
        <v>14647000</v>
      </c>
      <c r="F18" s="60" t="s">
        <v>550</v>
      </c>
      <c r="G18" s="60"/>
      <c r="H18" s="2">
        <f t="shared" si="37"/>
        <v>14647000</v>
      </c>
      <c r="I18" s="2">
        <f t="shared" si="38"/>
        <v>10661630.626770569</v>
      </c>
      <c r="J18" s="2">
        <f t="shared" si="38"/>
        <v>3726073.9046390699</v>
      </c>
      <c r="K18" s="2">
        <f t="shared" si="38"/>
        <v>0</v>
      </c>
      <c r="L18" s="2">
        <f t="shared" si="38"/>
        <v>53974.124393322054</v>
      </c>
      <c r="M18" s="2">
        <f t="shared" si="38"/>
        <v>205321.34419703891</v>
      </c>
      <c r="N18" s="2">
        <f t="shared" si="38"/>
        <v>0</v>
      </c>
      <c r="O18" s="2"/>
      <c r="P18" s="61" t="str">
        <f t="shared" si="47"/>
        <v>E18*     "</v>
      </c>
      <c r="Q18" s="61"/>
      <c r="R18" s="79"/>
      <c r="S18" s="79"/>
      <c r="T18" s="79">
        <v>0.13</v>
      </c>
      <c r="U18" s="79">
        <v>0.87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76">
        <f t="shared" si="3"/>
        <v>0</v>
      </c>
      <c r="AK18" s="2">
        <f t="shared" si="39"/>
        <v>14647000</v>
      </c>
      <c r="AL18" s="2">
        <f t="shared" si="40"/>
        <v>14647000</v>
      </c>
      <c r="AM18" s="2">
        <f t="shared" si="40"/>
        <v>0</v>
      </c>
      <c r="AN18" s="2">
        <f t="shared" si="40"/>
        <v>0</v>
      </c>
      <c r="AO18" s="2">
        <f t="shared" si="40"/>
        <v>0</v>
      </c>
      <c r="AP18" s="2"/>
      <c r="AQ18" s="61" t="str">
        <f t="shared" si="48"/>
        <v>E18*      "</v>
      </c>
      <c r="AS18" s="2">
        <f t="shared" si="41"/>
        <v>14647000</v>
      </c>
      <c r="AT18" s="2">
        <f t="shared" si="42"/>
        <v>10661630.626770569</v>
      </c>
      <c r="AU18" s="2">
        <f t="shared" si="42"/>
        <v>3726073.9046390699</v>
      </c>
      <c r="AV18" s="2">
        <f t="shared" si="42"/>
        <v>0</v>
      </c>
      <c r="AW18" s="2">
        <f t="shared" si="42"/>
        <v>53974.124393322054</v>
      </c>
      <c r="AX18" s="2">
        <f t="shared" si="42"/>
        <v>205321.34419703891</v>
      </c>
      <c r="AY18" s="2">
        <f t="shared" si="42"/>
        <v>0</v>
      </c>
      <c r="BA18" s="2">
        <f t="shared" si="43"/>
        <v>0</v>
      </c>
      <c r="BB18" s="2">
        <f t="shared" si="44"/>
        <v>0</v>
      </c>
      <c r="BC18" s="2">
        <f t="shared" si="44"/>
        <v>0</v>
      </c>
      <c r="BD18" s="2">
        <f t="shared" si="44"/>
        <v>0</v>
      </c>
      <c r="BE18" s="2">
        <f t="shared" si="44"/>
        <v>0</v>
      </c>
      <c r="BF18" s="2">
        <f t="shared" si="44"/>
        <v>0</v>
      </c>
      <c r="BG18" s="2">
        <f t="shared" si="44"/>
        <v>0</v>
      </c>
      <c r="BI18" s="2">
        <f t="shared" si="45"/>
        <v>0</v>
      </c>
      <c r="BJ18" s="2">
        <f t="shared" si="46"/>
        <v>0</v>
      </c>
      <c r="BK18" s="2">
        <f t="shared" si="46"/>
        <v>0</v>
      </c>
      <c r="BL18" s="2">
        <f t="shared" si="46"/>
        <v>0</v>
      </c>
      <c r="BM18" s="2">
        <f t="shared" si="46"/>
        <v>0</v>
      </c>
      <c r="BN18" s="2">
        <f t="shared" si="46"/>
        <v>0</v>
      </c>
      <c r="BO18" s="2">
        <f t="shared" si="46"/>
        <v>0</v>
      </c>
    </row>
    <row r="19" spans="1:67">
      <c r="A19" s="50">
        <f t="shared" si="2"/>
        <v>19</v>
      </c>
      <c r="B19" s="51">
        <v>353</v>
      </c>
      <c r="C19" s="36" t="s">
        <v>395</v>
      </c>
      <c r="D19" s="28" t="s">
        <v>239</v>
      </c>
      <c r="E19" s="432">
        <f>PROFORMA!AV259</f>
        <v>860000</v>
      </c>
      <c r="F19" s="60" t="s">
        <v>550</v>
      </c>
      <c r="G19" s="60"/>
      <c r="H19" s="2">
        <f t="shared" si="37"/>
        <v>860000</v>
      </c>
      <c r="I19" s="2">
        <f t="shared" si="38"/>
        <v>625998.65767888911</v>
      </c>
      <c r="J19" s="2">
        <f t="shared" si="38"/>
        <v>218776.78418717827</v>
      </c>
      <c r="K19" s="2">
        <f t="shared" si="38"/>
        <v>0</v>
      </c>
      <c r="L19" s="2">
        <f t="shared" si="38"/>
        <v>3169.0958543221795</v>
      </c>
      <c r="M19" s="2">
        <f t="shared" si="38"/>
        <v>12055.462279610396</v>
      </c>
      <c r="N19" s="2">
        <f t="shared" si="38"/>
        <v>0</v>
      </c>
      <c r="O19" s="2"/>
      <c r="P19" s="61" t="str">
        <f t="shared" si="47"/>
        <v>E19*     "</v>
      </c>
      <c r="Q19" s="61"/>
      <c r="R19" s="79"/>
      <c r="S19" s="79"/>
      <c r="T19" s="79">
        <v>0.13</v>
      </c>
      <c r="U19" s="79">
        <v>0.87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76">
        <f t="shared" si="3"/>
        <v>0</v>
      </c>
      <c r="AK19" s="2">
        <f t="shared" si="39"/>
        <v>860000</v>
      </c>
      <c r="AL19" s="2">
        <f t="shared" si="40"/>
        <v>860000</v>
      </c>
      <c r="AM19" s="2">
        <f t="shared" si="40"/>
        <v>0</v>
      </c>
      <c r="AN19" s="2">
        <f t="shared" si="40"/>
        <v>0</v>
      </c>
      <c r="AO19" s="2">
        <f t="shared" si="40"/>
        <v>0</v>
      </c>
      <c r="AP19" s="2"/>
      <c r="AQ19" s="61" t="str">
        <f t="shared" si="48"/>
        <v>E19*      "</v>
      </c>
      <c r="AS19" s="2">
        <f t="shared" si="41"/>
        <v>860000</v>
      </c>
      <c r="AT19" s="2">
        <f t="shared" si="42"/>
        <v>625998.65767888911</v>
      </c>
      <c r="AU19" s="2">
        <f t="shared" si="42"/>
        <v>218776.78418717827</v>
      </c>
      <c r="AV19" s="2">
        <f t="shared" si="42"/>
        <v>0</v>
      </c>
      <c r="AW19" s="2">
        <f t="shared" si="42"/>
        <v>3169.0958543221795</v>
      </c>
      <c r="AX19" s="2">
        <f t="shared" si="42"/>
        <v>12055.462279610396</v>
      </c>
      <c r="AY19" s="2">
        <f t="shared" si="42"/>
        <v>0</v>
      </c>
      <c r="BA19" s="2">
        <f t="shared" si="43"/>
        <v>0</v>
      </c>
      <c r="BB19" s="2">
        <f t="shared" si="44"/>
        <v>0</v>
      </c>
      <c r="BC19" s="2">
        <f t="shared" si="44"/>
        <v>0</v>
      </c>
      <c r="BD19" s="2">
        <f t="shared" si="44"/>
        <v>0</v>
      </c>
      <c r="BE19" s="2">
        <f t="shared" si="44"/>
        <v>0</v>
      </c>
      <c r="BF19" s="2">
        <f t="shared" si="44"/>
        <v>0</v>
      </c>
      <c r="BG19" s="2">
        <f t="shared" si="44"/>
        <v>0</v>
      </c>
      <c r="BI19" s="2">
        <f t="shared" si="45"/>
        <v>0</v>
      </c>
      <c r="BJ19" s="2">
        <f t="shared" si="46"/>
        <v>0</v>
      </c>
      <c r="BK19" s="2">
        <f t="shared" si="46"/>
        <v>0</v>
      </c>
      <c r="BL19" s="2">
        <f t="shared" si="46"/>
        <v>0</v>
      </c>
      <c r="BM19" s="2">
        <f t="shared" si="46"/>
        <v>0</v>
      </c>
      <c r="BN19" s="2">
        <f t="shared" si="46"/>
        <v>0</v>
      </c>
      <c r="BO19" s="2">
        <f t="shared" si="46"/>
        <v>0</v>
      </c>
    </row>
    <row r="20" spans="1:67">
      <c r="A20" s="50">
        <f t="shared" si="2"/>
        <v>20</v>
      </c>
      <c r="B20" s="51">
        <v>354</v>
      </c>
      <c r="C20" s="36" t="s">
        <v>395</v>
      </c>
      <c r="D20" s="28" t="s">
        <v>240</v>
      </c>
      <c r="E20" s="432">
        <f>PROFORMA!AV260</f>
        <v>9678000</v>
      </c>
      <c r="F20" s="60" t="s">
        <v>550</v>
      </c>
      <c r="G20" s="60"/>
      <c r="H20" s="2">
        <f t="shared" si="37"/>
        <v>9678000</v>
      </c>
      <c r="I20" s="2">
        <f t="shared" si="38"/>
        <v>7044668.6151352199</v>
      </c>
      <c r="J20" s="2">
        <f t="shared" si="38"/>
        <v>2462001.9969343157</v>
      </c>
      <c r="K20" s="2">
        <f t="shared" si="38"/>
        <v>0</v>
      </c>
      <c r="L20" s="2">
        <f t="shared" si="38"/>
        <v>35663.383346662857</v>
      </c>
      <c r="M20" s="2">
        <f t="shared" si="38"/>
        <v>135666.00458380164</v>
      </c>
      <c r="N20" s="2">
        <f t="shared" si="38"/>
        <v>0</v>
      </c>
      <c r="O20" s="2"/>
      <c r="P20" s="61" t="str">
        <f t="shared" si="47"/>
        <v>E20*     "</v>
      </c>
      <c r="Q20" s="61"/>
      <c r="R20" s="79"/>
      <c r="S20" s="79"/>
      <c r="T20" s="79">
        <v>0.13</v>
      </c>
      <c r="U20" s="79">
        <v>0.87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76">
        <f t="shared" si="3"/>
        <v>0</v>
      </c>
      <c r="AK20" s="2">
        <f t="shared" si="39"/>
        <v>9678000</v>
      </c>
      <c r="AL20" s="2">
        <f t="shared" si="40"/>
        <v>9678000</v>
      </c>
      <c r="AM20" s="2">
        <f t="shared" si="40"/>
        <v>0</v>
      </c>
      <c r="AN20" s="2">
        <f t="shared" si="40"/>
        <v>0</v>
      </c>
      <c r="AO20" s="2">
        <f t="shared" si="40"/>
        <v>0</v>
      </c>
      <c r="AP20" s="2"/>
      <c r="AQ20" s="61" t="str">
        <f t="shared" si="48"/>
        <v>E20*      "</v>
      </c>
      <c r="AS20" s="2">
        <f t="shared" si="41"/>
        <v>9678000</v>
      </c>
      <c r="AT20" s="2">
        <f t="shared" si="42"/>
        <v>7044668.6151352199</v>
      </c>
      <c r="AU20" s="2">
        <f t="shared" si="42"/>
        <v>2462001.9969343157</v>
      </c>
      <c r="AV20" s="2">
        <f t="shared" si="42"/>
        <v>0</v>
      </c>
      <c r="AW20" s="2">
        <f t="shared" si="42"/>
        <v>35663.383346662857</v>
      </c>
      <c r="AX20" s="2">
        <f t="shared" si="42"/>
        <v>135666.00458380164</v>
      </c>
      <c r="AY20" s="2">
        <f t="shared" si="42"/>
        <v>0</v>
      </c>
      <c r="BA20" s="2">
        <f t="shared" si="43"/>
        <v>0</v>
      </c>
      <c r="BB20" s="2">
        <f t="shared" si="44"/>
        <v>0</v>
      </c>
      <c r="BC20" s="2">
        <f t="shared" si="44"/>
        <v>0</v>
      </c>
      <c r="BD20" s="2">
        <f t="shared" si="44"/>
        <v>0</v>
      </c>
      <c r="BE20" s="2">
        <f t="shared" si="44"/>
        <v>0</v>
      </c>
      <c r="BF20" s="2">
        <f t="shared" si="44"/>
        <v>0</v>
      </c>
      <c r="BG20" s="2">
        <f t="shared" si="44"/>
        <v>0</v>
      </c>
      <c r="BI20" s="2">
        <f t="shared" si="45"/>
        <v>0</v>
      </c>
      <c r="BJ20" s="2">
        <f t="shared" si="46"/>
        <v>0</v>
      </c>
      <c r="BK20" s="2">
        <f t="shared" si="46"/>
        <v>0</v>
      </c>
      <c r="BL20" s="2">
        <f t="shared" si="46"/>
        <v>0</v>
      </c>
      <c r="BM20" s="2">
        <f t="shared" si="46"/>
        <v>0</v>
      </c>
      <c r="BN20" s="2">
        <f t="shared" si="46"/>
        <v>0</v>
      </c>
      <c r="BO20" s="2">
        <f t="shared" si="46"/>
        <v>0</v>
      </c>
    </row>
    <row r="21" spans="1:67">
      <c r="A21" s="50">
        <f t="shared" si="2"/>
        <v>21</v>
      </c>
      <c r="B21" s="51">
        <v>355</v>
      </c>
      <c r="C21" s="36" t="s">
        <v>395</v>
      </c>
      <c r="D21" s="28" t="s">
        <v>241</v>
      </c>
      <c r="E21" s="432">
        <f>PROFORMA!AV261</f>
        <v>1174000</v>
      </c>
      <c r="F21" s="60" t="s">
        <v>550</v>
      </c>
      <c r="G21" s="60"/>
      <c r="H21" s="2">
        <f t="shared" si="37"/>
        <v>1174000</v>
      </c>
      <c r="I21" s="2">
        <f t="shared" si="38"/>
        <v>854560.95827327424</v>
      </c>
      <c r="J21" s="2">
        <f t="shared" si="38"/>
        <v>298655.74957645038</v>
      </c>
      <c r="K21" s="2">
        <f t="shared" si="38"/>
        <v>0</v>
      </c>
      <c r="L21" s="2">
        <f t="shared" si="38"/>
        <v>4326.1843406677199</v>
      </c>
      <c r="M21" s="2">
        <f t="shared" si="38"/>
        <v>16457.107809607678</v>
      </c>
      <c r="N21" s="2">
        <f t="shared" si="38"/>
        <v>0</v>
      </c>
      <c r="O21" s="2"/>
      <c r="P21" s="61" t="str">
        <f t="shared" si="47"/>
        <v>E21*     "</v>
      </c>
      <c r="Q21" s="61"/>
      <c r="R21" s="79"/>
      <c r="S21" s="79"/>
      <c r="T21" s="79">
        <v>0.13</v>
      </c>
      <c r="U21" s="79">
        <v>0.87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76">
        <f t="shared" si="3"/>
        <v>0</v>
      </c>
      <c r="AK21" s="2">
        <f t="shared" si="39"/>
        <v>1174000</v>
      </c>
      <c r="AL21" s="2">
        <f t="shared" si="40"/>
        <v>1174000</v>
      </c>
      <c r="AM21" s="2">
        <f t="shared" si="40"/>
        <v>0</v>
      </c>
      <c r="AN21" s="2">
        <f t="shared" si="40"/>
        <v>0</v>
      </c>
      <c r="AO21" s="2">
        <f t="shared" si="40"/>
        <v>0</v>
      </c>
      <c r="AP21" s="2"/>
      <c r="AQ21" s="61" t="str">
        <f t="shared" si="48"/>
        <v>E21*      "</v>
      </c>
      <c r="AS21" s="2">
        <f t="shared" si="41"/>
        <v>1174000</v>
      </c>
      <c r="AT21" s="2">
        <f t="shared" si="42"/>
        <v>854560.95827327424</v>
      </c>
      <c r="AU21" s="2">
        <f t="shared" si="42"/>
        <v>298655.74957645038</v>
      </c>
      <c r="AV21" s="2">
        <f t="shared" si="42"/>
        <v>0</v>
      </c>
      <c r="AW21" s="2">
        <f t="shared" si="42"/>
        <v>4326.1843406677199</v>
      </c>
      <c r="AX21" s="2">
        <f t="shared" si="42"/>
        <v>16457.107809607678</v>
      </c>
      <c r="AY21" s="2">
        <f t="shared" si="42"/>
        <v>0</v>
      </c>
      <c r="BA21" s="2">
        <f t="shared" si="43"/>
        <v>0</v>
      </c>
      <c r="BB21" s="2">
        <f t="shared" si="44"/>
        <v>0</v>
      </c>
      <c r="BC21" s="2">
        <f t="shared" si="44"/>
        <v>0</v>
      </c>
      <c r="BD21" s="2">
        <f t="shared" si="44"/>
        <v>0</v>
      </c>
      <c r="BE21" s="2">
        <f t="shared" si="44"/>
        <v>0</v>
      </c>
      <c r="BF21" s="2">
        <f t="shared" si="44"/>
        <v>0</v>
      </c>
      <c r="BG21" s="2">
        <f t="shared" si="44"/>
        <v>0</v>
      </c>
      <c r="BI21" s="2">
        <f t="shared" si="45"/>
        <v>0</v>
      </c>
      <c r="BJ21" s="2">
        <f t="shared" si="46"/>
        <v>0</v>
      </c>
      <c r="BK21" s="2">
        <f t="shared" si="46"/>
        <v>0</v>
      </c>
      <c r="BL21" s="2">
        <f t="shared" si="46"/>
        <v>0</v>
      </c>
      <c r="BM21" s="2">
        <f t="shared" si="46"/>
        <v>0</v>
      </c>
      <c r="BN21" s="2">
        <f t="shared" si="46"/>
        <v>0</v>
      </c>
      <c r="BO21" s="2">
        <f t="shared" si="46"/>
        <v>0</v>
      </c>
    </row>
    <row r="22" spans="1:67">
      <c r="A22" s="50">
        <f t="shared" si="2"/>
        <v>22</v>
      </c>
      <c r="B22" s="51">
        <v>356</v>
      </c>
      <c r="C22" s="36" t="s">
        <v>395</v>
      </c>
      <c r="D22" s="28" t="s">
        <v>242</v>
      </c>
      <c r="E22" s="432">
        <f>PROFORMA!AV262</f>
        <v>309000</v>
      </c>
      <c r="F22" s="60" t="s">
        <v>550</v>
      </c>
      <c r="G22" s="60"/>
      <c r="H22" s="2">
        <f t="shared" si="37"/>
        <v>309000</v>
      </c>
      <c r="I22" s="2">
        <f t="shared" si="38"/>
        <v>224922.77351485667</v>
      </c>
      <c r="J22" s="2">
        <f t="shared" si="38"/>
        <v>78607.007341672201</v>
      </c>
      <c r="K22" s="2">
        <f t="shared" si="38"/>
        <v>0</v>
      </c>
      <c r="L22" s="2">
        <f t="shared" si="38"/>
        <v>1138.663510448318</v>
      </c>
      <c r="M22" s="2">
        <f t="shared" si="38"/>
        <v>4331.5556330228046</v>
      </c>
      <c r="N22" s="2">
        <f t="shared" si="38"/>
        <v>0</v>
      </c>
      <c r="O22" s="2"/>
      <c r="P22" s="61" t="str">
        <f t="shared" si="47"/>
        <v>E22*     "</v>
      </c>
      <c r="Q22" s="61"/>
      <c r="R22" s="79"/>
      <c r="S22" s="79"/>
      <c r="T22" s="79">
        <v>0.13</v>
      </c>
      <c r="U22" s="79">
        <v>0.87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76">
        <f t="shared" si="3"/>
        <v>0</v>
      </c>
      <c r="AK22" s="2">
        <f t="shared" si="39"/>
        <v>309000</v>
      </c>
      <c r="AL22" s="2">
        <f t="shared" si="40"/>
        <v>309000</v>
      </c>
      <c r="AM22" s="2">
        <f t="shared" si="40"/>
        <v>0</v>
      </c>
      <c r="AN22" s="2">
        <f t="shared" si="40"/>
        <v>0</v>
      </c>
      <c r="AO22" s="2">
        <f t="shared" si="40"/>
        <v>0</v>
      </c>
      <c r="AP22" s="2"/>
      <c r="AQ22" s="61" t="str">
        <f t="shared" si="48"/>
        <v>E22*      "</v>
      </c>
      <c r="AS22" s="2">
        <f t="shared" si="41"/>
        <v>309000</v>
      </c>
      <c r="AT22" s="2">
        <f t="shared" si="42"/>
        <v>224922.77351485667</v>
      </c>
      <c r="AU22" s="2">
        <f t="shared" si="42"/>
        <v>78607.007341672201</v>
      </c>
      <c r="AV22" s="2">
        <f t="shared" si="42"/>
        <v>0</v>
      </c>
      <c r="AW22" s="2">
        <f t="shared" si="42"/>
        <v>1138.663510448318</v>
      </c>
      <c r="AX22" s="2">
        <f t="shared" si="42"/>
        <v>4331.5556330228046</v>
      </c>
      <c r="AY22" s="2">
        <f t="shared" si="42"/>
        <v>0</v>
      </c>
      <c r="BA22" s="2">
        <f t="shared" si="43"/>
        <v>0</v>
      </c>
      <c r="BB22" s="2">
        <f t="shared" si="44"/>
        <v>0</v>
      </c>
      <c r="BC22" s="2">
        <f t="shared" si="44"/>
        <v>0</v>
      </c>
      <c r="BD22" s="2">
        <f t="shared" si="44"/>
        <v>0</v>
      </c>
      <c r="BE22" s="2">
        <f t="shared" si="44"/>
        <v>0</v>
      </c>
      <c r="BF22" s="2">
        <f t="shared" si="44"/>
        <v>0</v>
      </c>
      <c r="BG22" s="2">
        <f t="shared" si="44"/>
        <v>0</v>
      </c>
      <c r="BI22" s="2">
        <f t="shared" si="45"/>
        <v>0</v>
      </c>
      <c r="BJ22" s="2">
        <f t="shared" si="46"/>
        <v>0</v>
      </c>
      <c r="BK22" s="2">
        <f t="shared" si="46"/>
        <v>0</v>
      </c>
      <c r="BL22" s="2">
        <f t="shared" si="46"/>
        <v>0</v>
      </c>
      <c r="BM22" s="2">
        <f t="shared" si="46"/>
        <v>0</v>
      </c>
      <c r="BN22" s="2">
        <f t="shared" si="46"/>
        <v>0</v>
      </c>
      <c r="BO22" s="2">
        <f t="shared" si="46"/>
        <v>0</v>
      </c>
    </row>
    <row r="23" spans="1:67">
      <c r="A23" s="50">
        <f t="shared" si="2"/>
        <v>23</v>
      </c>
      <c r="B23" s="51">
        <v>357</v>
      </c>
      <c r="C23" s="36" t="s">
        <v>395</v>
      </c>
      <c r="D23" s="28" t="s">
        <v>243</v>
      </c>
      <c r="E23" s="432">
        <f>PROFORMA!AV263</f>
        <v>2086000</v>
      </c>
      <c r="F23" s="60" t="s">
        <v>550</v>
      </c>
      <c r="G23" s="60"/>
      <c r="H23" s="2">
        <f t="shared" si="37"/>
        <v>2086000.0000000002</v>
      </c>
      <c r="I23" s="2">
        <f t="shared" si="38"/>
        <v>1518410.6975792591</v>
      </c>
      <c r="J23" s="2">
        <f t="shared" si="38"/>
        <v>530660.89745866728</v>
      </c>
      <c r="K23" s="2">
        <f t="shared" si="38"/>
        <v>0</v>
      </c>
      <c r="L23" s="2">
        <f t="shared" si="38"/>
        <v>7686.8999443210078</v>
      </c>
      <c r="M23" s="2">
        <f t="shared" si="38"/>
        <v>29241.505017752657</v>
      </c>
      <c r="N23" s="2">
        <f t="shared" si="38"/>
        <v>0</v>
      </c>
      <c r="O23" s="2"/>
      <c r="P23" s="61" t="str">
        <f t="shared" si="47"/>
        <v>E23*     "</v>
      </c>
      <c r="Q23" s="61"/>
      <c r="R23" s="79"/>
      <c r="S23" s="79"/>
      <c r="T23" s="79">
        <v>0.13</v>
      </c>
      <c r="U23" s="79">
        <v>0.87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76">
        <f t="shared" si="3"/>
        <v>0</v>
      </c>
      <c r="AK23" s="2">
        <f t="shared" si="39"/>
        <v>2086000</v>
      </c>
      <c r="AL23" s="2">
        <f t="shared" si="40"/>
        <v>2086000</v>
      </c>
      <c r="AM23" s="2">
        <f t="shared" si="40"/>
        <v>0</v>
      </c>
      <c r="AN23" s="2">
        <f t="shared" si="40"/>
        <v>0</v>
      </c>
      <c r="AO23" s="2">
        <f t="shared" si="40"/>
        <v>0</v>
      </c>
      <c r="AP23" s="2"/>
      <c r="AQ23" s="61" t="str">
        <f t="shared" si="48"/>
        <v>E23*      "</v>
      </c>
      <c r="AS23" s="2">
        <f t="shared" si="41"/>
        <v>2086000.0000000002</v>
      </c>
      <c r="AT23" s="2">
        <f t="shared" si="42"/>
        <v>1518410.6975792591</v>
      </c>
      <c r="AU23" s="2">
        <f t="shared" si="42"/>
        <v>530660.89745866728</v>
      </c>
      <c r="AV23" s="2">
        <f t="shared" si="42"/>
        <v>0</v>
      </c>
      <c r="AW23" s="2">
        <f t="shared" si="42"/>
        <v>7686.8999443210078</v>
      </c>
      <c r="AX23" s="2">
        <f t="shared" si="42"/>
        <v>29241.505017752657</v>
      </c>
      <c r="AY23" s="2">
        <f t="shared" si="42"/>
        <v>0</v>
      </c>
      <c r="BA23" s="2">
        <f t="shared" si="43"/>
        <v>0</v>
      </c>
      <c r="BB23" s="2">
        <f t="shared" si="44"/>
        <v>0</v>
      </c>
      <c r="BC23" s="2">
        <f t="shared" si="44"/>
        <v>0</v>
      </c>
      <c r="BD23" s="2">
        <f t="shared" si="44"/>
        <v>0</v>
      </c>
      <c r="BE23" s="2">
        <f t="shared" si="44"/>
        <v>0</v>
      </c>
      <c r="BF23" s="2">
        <f t="shared" si="44"/>
        <v>0</v>
      </c>
      <c r="BG23" s="2">
        <f t="shared" si="44"/>
        <v>0</v>
      </c>
      <c r="BI23" s="2">
        <f t="shared" si="45"/>
        <v>0</v>
      </c>
      <c r="BJ23" s="2">
        <f t="shared" si="46"/>
        <v>0</v>
      </c>
      <c r="BK23" s="2">
        <f t="shared" si="46"/>
        <v>0</v>
      </c>
      <c r="BL23" s="2">
        <f t="shared" si="46"/>
        <v>0</v>
      </c>
      <c r="BM23" s="2">
        <f t="shared" si="46"/>
        <v>0</v>
      </c>
      <c r="BN23" s="2">
        <f t="shared" si="46"/>
        <v>0</v>
      </c>
      <c r="BO23" s="2">
        <f t="shared" si="46"/>
        <v>0</v>
      </c>
    </row>
    <row r="24" spans="1:67">
      <c r="A24" s="50">
        <f t="shared" si="2"/>
        <v>24</v>
      </c>
      <c r="B24" s="51"/>
      <c r="D24" s="52" t="s">
        <v>244</v>
      </c>
      <c r="E24" s="4">
        <f>SUM(E16:E23)</f>
        <v>31756000</v>
      </c>
      <c r="F24" s="60"/>
      <c r="G24" s="60" t="s">
        <v>419</v>
      </c>
      <c r="H24" s="4">
        <f>IF(ROUND(SUM(H15:H23),3)&lt;&gt;ROUND(SUM(I24:N24),3),#VALUE!,SUM(H15:H23))</f>
        <v>31756000</v>
      </c>
      <c r="I24" s="4">
        <f t="shared" ref="I24:N24" si="49">SUM(I15:I23)</f>
        <v>23115364.387500934</v>
      </c>
      <c r="J24" s="4">
        <f t="shared" si="49"/>
        <v>8078459.9519163184</v>
      </c>
      <c r="K24" s="4">
        <f t="shared" si="49"/>
        <v>0</v>
      </c>
      <c r="L24" s="4">
        <f t="shared" si="49"/>
        <v>117020.7069184362</v>
      </c>
      <c r="M24" s="4">
        <f t="shared" si="49"/>
        <v>445154.95366431127</v>
      </c>
      <c r="N24" s="4">
        <f t="shared" si="49"/>
        <v>0</v>
      </c>
      <c r="O24" s="5"/>
      <c r="P24" s="61" t="str">
        <f>$A15&amp;":"&amp;A23</f>
        <v>15:23</v>
      </c>
      <c r="Q24" s="61"/>
      <c r="R24" s="130">
        <f t="shared" ref="R24:AH24" si="50">SUMPRODUCT($E16:$E23,R$16:R$23)/$E24</f>
        <v>0</v>
      </c>
      <c r="S24" s="130">
        <f t="shared" si="50"/>
        <v>0</v>
      </c>
      <c r="T24" s="13">
        <f t="shared" si="50"/>
        <v>0.13</v>
      </c>
      <c r="U24" s="13">
        <f t="shared" si="50"/>
        <v>0.87</v>
      </c>
      <c r="V24" s="13">
        <f t="shared" si="50"/>
        <v>0</v>
      </c>
      <c r="W24" s="13">
        <f t="shared" si="50"/>
        <v>0</v>
      </c>
      <c r="X24" s="13">
        <f t="shared" si="50"/>
        <v>0</v>
      </c>
      <c r="Y24" s="13">
        <f t="shared" si="50"/>
        <v>0</v>
      </c>
      <c r="Z24" s="13">
        <f t="shared" si="50"/>
        <v>0</v>
      </c>
      <c r="AA24" s="13">
        <f t="shared" si="50"/>
        <v>0</v>
      </c>
      <c r="AB24" s="13">
        <f t="shared" si="50"/>
        <v>0</v>
      </c>
      <c r="AC24" s="13">
        <f t="shared" si="50"/>
        <v>0</v>
      </c>
      <c r="AD24" s="13">
        <f t="shared" si="50"/>
        <v>0</v>
      </c>
      <c r="AE24" s="13">
        <f t="shared" si="50"/>
        <v>0</v>
      </c>
      <c r="AF24" s="13">
        <f t="shared" si="50"/>
        <v>0</v>
      </c>
      <c r="AG24" s="13">
        <f t="shared" si="50"/>
        <v>0</v>
      </c>
      <c r="AH24" s="13">
        <f t="shared" si="50"/>
        <v>0</v>
      </c>
      <c r="AI24" s="76">
        <f t="shared" si="3"/>
        <v>0</v>
      </c>
      <c r="AK24" s="4">
        <f>IF(ROUND(SUM(AK15:AK23),3)&lt;&gt;ROUND(SUM(AL24:AO24),3),#VALUE!,SUM(AK15:AK23))</f>
        <v>31756000</v>
      </c>
      <c r="AL24" s="4">
        <f>SUM(AL15:AL23)</f>
        <v>31756000</v>
      </c>
      <c r="AM24" s="4">
        <f>SUM(AM15:AM23)</f>
        <v>0</v>
      </c>
      <c r="AN24" s="4">
        <f>SUM(AN15:AN23)</f>
        <v>0</v>
      </c>
      <c r="AO24" s="4">
        <f>SUM(AO15:AO23)</f>
        <v>0</v>
      </c>
      <c r="AP24" s="5"/>
      <c r="AQ24" s="61" t="str">
        <f>$A15&amp;":"&amp;$A23</f>
        <v>15:23</v>
      </c>
      <c r="AS24" s="4">
        <f>IF(ROUND(SUM(AS15:AS23),3)&lt;&gt;ROUND(SUM(AT24:AY24),3),#VALUE!,SUM(AS15:AS23))</f>
        <v>31756000</v>
      </c>
      <c r="AT24" s="4">
        <f t="shared" ref="AT24:AY24" si="51">SUM(AT15:AT23)</f>
        <v>23115364.387500934</v>
      </c>
      <c r="AU24" s="4">
        <f t="shared" si="51"/>
        <v>8078459.9519163184</v>
      </c>
      <c r="AV24" s="4">
        <f t="shared" si="51"/>
        <v>0</v>
      </c>
      <c r="AW24" s="4">
        <f t="shared" si="51"/>
        <v>117020.7069184362</v>
      </c>
      <c r="AX24" s="4">
        <f t="shared" si="51"/>
        <v>445154.95366431127</v>
      </c>
      <c r="AY24" s="4">
        <f t="shared" si="51"/>
        <v>0</v>
      </c>
      <c r="BA24" s="4">
        <f>IF(ROUND(SUM(BA15:BA23),3)&lt;&gt;ROUND(SUM(BB24:BG24),3),#VALUE!,SUM(BA15:BA23))</f>
        <v>0</v>
      </c>
      <c r="BB24" s="4">
        <f t="shared" ref="BB24:BG24" si="52">SUM(BB15:BB23)</f>
        <v>0</v>
      </c>
      <c r="BC24" s="4">
        <f t="shared" si="52"/>
        <v>0</v>
      </c>
      <c r="BD24" s="4">
        <f t="shared" si="52"/>
        <v>0</v>
      </c>
      <c r="BE24" s="4">
        <f t="shared" si="52"/>
        <v>0</v>
      </c>
      <c r="BF24" s="4">
        <f t="shared" si="52"/>
        <v>0</v>
      </c>
      <c r="BG24" s="4">
        <f t="shared" si="52"/>
        <v>0</v>
      </c>
      <c r="BI24" s="4">
        <f>IF(ROUND(SUM(BI15:BI23),3)&lt;&gt;ROUND(SUM(BJ24:BO24),3),#VALUE!,SUM(BI15:BI23))</f>
        <v>0</v>
      </c>
      <c r="BJ24" s="4">
        <f t="shared" ref="BJ24:BO24" si="53">SUM(BJ15:BJ23)</f>
        <v>0</v>
      </c>
      <c r="BK24" s="4">
        <f t="shared" si="53"/>
        <v>0</v>
      </c>
      <c r="BL24" s="4">
        <f t="shared" si="53"/>
        <v>0</v>
      </c>
      <c r="BM24" s="4">
        <f t="shared" si="53"/>
        <v>0</v>
      </c>
      <c r="BN24" s="4">
        <f t="shared" si="53"/>
        <v>0</v>
      </c>
      <c r="BO24" s="4">
        <f t="shared" si="53"/>
        <v>0</v>
      </c>
    </row>
    <row r="25" spans="1:67">
      <c r="A25" s="50">
        <f t="shared" si="2"/>
        <v>25</v>
      </c>
      <c r="B25" s="51"/>
      <c r="E25" s="2"/>
      <c r="F25" s="60"/>
      <c r="G25" s="60"/>
      <c r="P25" s="61"/>
      <c r="Q25" s="61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76">
        <f t="shared" si="3"/>
        <v>0</v>
      </c>
      <c r="AQ25" s="61"/>
    </row>
    <row r="26" spans="1:67">
      <c r="A26" s="50">
        <f t="shared" si="2"/>
        <v>26</v>
      </c>
      <c r="B26" s="51"/>
      <c r="D26" t="s">
        <v>90</v>
      </c>
      <c r="E26" s="9"/>
      <c r="F26" s="60"/>
      <c r="G26" s="60"/>
      <c r="P26" s="61"/>
      <c r="Q26" s="6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76">
        <f t="shared" si="3"/>
        <v>0</v>
      </c>
      <c r="AQ26" s="61"/>
    </row>
    <row r="27" spans="1:67">
      <c r="A27" s="50">
        <f t="shared" si="2"/>
        <v>27</v>
      </c>
      <c r="B27" s="51">
        <v>374</v>
      </c>
      <c r="C27" s="36" t="s">
        <v>155</v>
      </c>
      <c r="D27" s="28" t="s">
        <v>88</v>
      </c>
      <c r="E27" s="432">
        <f>PROFORMA!AV267</f>
        <v>399000</v>
      </c>
      <c r="F27" s="60" t="str">
        <f>"as other Dist Plt ("&amp;A$29&amp;"-"&amp;A$39&amp;")"</f>
        <v>as other Dist Plt (29-39)</v>
      </c>
      <c r="G27" s="60"/>
      <c r="H27" s="2">
        <f t="shared" ref="H27:H40" si="54">SUM(I27:N27)</f>
        <v>398999.99999999988</v>
      </c>
      <c r="I27" s="2">
        <f t="shared" ref="I27:N40" si="55">$E27*SUMPRODUCT($R27:$AH27,INDEX(AllocFactors,I$4,0))</f>
        <v>316185.41472233098</v>
      </c>
      <c r="J27" s="2">
        <f t="shared" si="55"/>
        <v>58558.979106083818</v>
      </c>
      <c r="K27" s="2">
        <f t="shared" si="55"/>
        <v>0</v>
      </c>
      <c r="L27" s="2">
        <f t="shared" si="55"/>
        <v>772.77565782901877</v>
      </c>
      <c r="M27" s="2">
        <f t="shared" si="55"/>
        <v>23482.830513756093</v>
      </c>
      <c r="N27" s="2">
        <f t="shared" si="55"/>
        <v>0</v>
      </c>
      <c r="O27" s="2"/>
      <c r="P27" s="61" t="str">
        <f>E$1&amp;$A27&amp;"* Sum["&amp;$R$1&amp;$A27&amp;":"&amp;$AH$1&amp;$A27&amp;"* "&amp;Factors!D$1&amp;Factors!$A$58&amp;":"&amp;Factors!S$1&amp;Factors!$A$64&amp;"]"</f>
        <v>E27* Sum[R27:AH27* D1040:S1046]</v>
      </c>
      <c r="Q27" s="61"/>
      <c r="R27" s="15">
        <f t="shared" ref="R27:AA28" si="56">SUMPRODUCT($E$29:$E$39,R$29:R$39)/SUM($E$29:$E$39)</f>
        <v>0.18032917602090975</v>
      </c>
      <c r="S27" s="15">
        <f t="shared" si="56"/>
        <v>0</v>
      </c>
      <c r="T27" s="15">
        <f>SUMPRODUCT($E$29:$E$39,T$29:T$39)/SUM($E$29:$E$39)</f>
        <v>0</v>
      </c>
      <c r="U27" s="15">
        <f t="shared" si="56"/>
        <v>0</v>
      </c>
      <c r="V27" s="15">
        <f t="shared" si="56"/>
        <v>0</v>
      </c>
      <c r="W27" s="15">
        <f t="shared" si="56"/>
        <v>0.33248662332325996</v>
      </c>
      <c r="X27" s="15">
        <f t="shared" si="56"/>
        <v>0</v>
      </c>
      <c r="Y27" s="15">
        <f t="shared" si="56"/>
        <v>0</v>
      </c>
      <c r="Z27" s="15">
        <f t="shared" si="56"/>
        <v>0</v>
      </c>
      <c r="AA27" s="15">
        <f t="shared" si="56"/>
        <v>0</v>
      </c>
      <c r="AB27" s="15">
        <f t="shared" ref="AB27:AH28" si="57">SUMPRODUCT($E$29:$E$39,AB$29:AB$39)/SUM($E$29:$E$39)</f>
        <v>0</v>
      </c>
      <c r="AC27" s="15">
        <f t="shared" si="57"/>
        <v>0.34784812665025233</v>
      </c>
      <c r="AD27" s="15">
        <f t="shared" si="57"/>
        <v>0.13399956178953271</v>
      </c>
      <c r="AE27" s="15">
        <f t="shared" si="57"/>
        <v>0</v>
      </c>
      <c r="AF27" s="15">
        <f t="shared" si="57"/>
        <v>5.3365122160451877E-3</v>
      </c>
      <c r="AG27" s="15">
        <f t="shared" si="57"/>
        <v>0</v>
      </c>
      <c r="AH27" s="15">
        <f t="shared" si="57"/>
        <v>0</v>
      </c>
      <c r="AI27" s="76">
        <f t="shared" si="3"/>
        <v>0</v>
      </c>
      <c r="AK27" s="2">
        <f t="shared" ref="AK27:AK40" si="58">SUM(AL27:AO27)</f>
        <v>399000</v>
      </c>
      <c r="AL27" s="2">
        <f t="shared" ref="AL27:AO40" si="59">SUMIF($R$4:$AH$4,AL$5,$R27:$AH27)*$E27</f>
        <v>71951.341232342995</v>
      </c>
      <c r="AM27" s="2">
        <f t="shared" si="59"/>
        <v>132662.16270598074</v>
      </c>
      <c r="AN27" s="2">
        <f t="shared" si="59"/>
        <v>194386.49606167627</v>
      </c>
      <c r="AO27" s="2">
        <f t="shared" si="59"/>
        <v>0</v>
      </c>
      <c r="AP27" s="2"/>
      <c r="AQ27" s="61" t="str">
        <f>E$1&amp;$A27&amp;"*["&amp;R$1&amp;$A27&amp;":"&amp;$AH$1&amp;$A27&amp;" when "&amp;R$1&amp;$A$4&amp;":"&amp;$AH$1&amp;$A$4&amp;" = E,D,C,or R]"</f>
        <v>E27*[R27:AH27 when R4:AH4 = E,D,C,or R]</v>
      </c>
      <c r="AS27" s="2">
        <f t="shared" ref="AS27:AS40" si="60">SUM(AT27:AY27)</f>
        <v>71951.341232342995</v>
      </c>
      <c r="AT27" s="2">
        <f t="shared" ref="AT27:AY40" si="61">$E27*SUMPRODUCT($R27:$V27,INDEX(AllocFactors_E,AT$4,0))</f>
        <v>41699.137953135374</v>
      </c>
      <c r="AU27" s="2">
        <f t="shared" si="61"/>
        <v>18683.856101461788</v>
      </c>
      <c r="AV27" s="2">
        <f t="shared" si="61"/>
        <v>0</v>
      </c>
      <c r="AW27" s="2">
        <f t="shared" si="61"/>
        <v>301.06531624801198</v>
      </c>
      <c r="AX27" s="2">
        <f t="shared" si="61"/>
        <v>11267.281861497821</v>
      </c>
      <c r="AY27" s="2">
        <f t="shared" si="61"/>
        <v>0</v>
      </c>
      <c r="BA27" s="2">
        <f t="shared" ref="BA27:BA40" si="62">SUM(BB27:BG27)</f>
        <v>132662.16270598071</v>
      </c>
      <c r="BB27" s="2">
        <f t="shared" ref="BB27:BG40" si="63">$E27*SUMPRODUCT($W27:$AA27,INDEX(AllocFactors_D,BB$4,0))</f>
        <v>90582.815961312765</v>
      </c>
      <c r="BC27" s="2">
        <f t="shared" si="63"/>
        <v>30660.0003353342</v>
      </c>
      <c r="BD27" s="2">
        <f t="shared" si="63"/>
        <v>0</v>
      </c>
      <c r="BE27" s="2">
        <f t="shared" si="63"/>
        <v>385.17493201644356</v>
      </c>
      <c r="BF27" s="2">
        <f t="shared" si="63"/>
        <v>11034.171477317303</v>
      </c>
      <c r="BG27" s="2">
        <f t="shared" si="63"/>
        <v>0</v>
      </c>
      <c r="BI27" s="2">
        <f t="shared" ref="BI27:BI40" si="64">SUM(BJ27:BO27)</f>
        <v>194386.49606167627</v>
      </c>
      <c r="BJ27" s="2">
        <f t="shared" ref="BJ27:BO40" si="65">$E27*SUMPRODUCT($AB27:$AG27,INDEX(AllocFactors_C,BJ$4,0))</f>
        <v>183903.46080788289</v>
      </c>
      <c r="BK27" s="2">
        <f t="shared" si="65"/>
        <v>9215.122669287839</v>
      </c>
      <c r="BL27" s="2">
        <f t="shared" si="65"/>
        <v>0</v>
      </c>
      <c r="BM27" s="2">
        <f t="shared" si="65"/>
        <v>86.535409564563082</v>
      </c>
      <c r="BN27" s="2">
        <f t="shared" si="65"/>
        <v>1181.3771749409691</v>
      </c>
      <c r="BO27" s="2">
        <f t="shared" si="65"/>
        <v>0</v>
      </c>
    </row>
    <row r="28" spans="1:67">
      <c r="A28" s="50">
        <f t="shared" si="2"/>
        <v>28</v>
      </c>
      <c r="B28" s="51">
        <v>375</v>
      </c>
      <c r="C28" s="36" t="s">
        <v>155</v>
      </c>
      <c r="D28" s="28" t="s">
        <v>89</v>
      </c>
      <c r="E28" s="432">
        <f>PROFORMA!AV268</f>
        <v>815000</v>
      </c>
      <c r="F28" s="60" t="str">
        <f>"as other Dist Plt ("&amp;A$29&amp;"-"&amp;A$39&amp;")"</f>
        <v>as other Dist Plt (29-39)</v>
      </c>
      <c r="G28" s="60"/>
      <c r="H28" s="2">
        <f t="shared" si="54"/>
        <v>814999.99999999977</v>
      </c>
      <c r="I28" s="2">
        <f t="shared" si="55"/>
        <v>645842.3884679192</v>
      </c>
      <c r="J28" s="2">
        <f t="shared" si="55"/>
        <v>119612.95230941933</v>
      </c>
      <c r="K28" s="2">
        <f t="shared" si="55"/>
        <v>0</v>
      </c>
      <c r="L28" s="2">
        <f t="shared" si="55"/>
        <v>1578.4765943124066</v>
      </c>
      <c r="M28" s="2">
        <f t="shared" si="55"/>
        <v>47966.182628348914</v>
      </c>
      <c r="N28" s="2">
        <f t="shared" si="55"/>
        <v>0</v>
      </c>
      <c r="O28" s="2"/>
      <c r="P28" s="61" t="str">
        <f t="shared" ref="P28:P40" si="66">E$1&amp;$A28&amp;"*     """</f>
        <v>E28*     "</v>
      </c>
      <c r="Q28" s="61"/>
      <c r="R28" s="15">
        <f>SUMPRODUCT($E$29:$E$39,R$29:R$39)/SUM($E$29:$E$39)</f>
        <v>0.18032917602090975</v>
      </c>
      <c r="S28" s="15">
        <f t="shared" si="56"/>
        <v>0</v>
      </c>
      <c r="T28" s="15">
        <f>SUMPRODUCT($E$29:$E$39,T$29:T$39)/SUM($E$29:$E$39)</f>
        <v>0</v>
      </c>
      <c r="U28" s="15">
        <f t="shared" si="56"/>
        <v>0</v>
      </c>
      <c r="V28" s="15">
        <f t="shared" si="56"/>
        <v>0</v>
      </c>
      <c r="W28" s="15">
        <f t="shared" si="56"/>
        <v>0.33248662332325996</v>
      </c>
      <c r="X28" s="15">
        <f t="shared" si="56"/>
        <v>0</v>
      </c>
      <c r="Y28" s="15">
        <f t="shared" si="56"/>
        <v>0</v>
      </c>
      <c r="Z28" s="15">
        <f t="shared" si="56"/>
        <v>0</v>
      </c>
      <c r="AA28" s="15">
        <f t="shared" si="56"/>
        <v>0</v>
      </c>
      <c r="AB28" s="15">
        <f t="shared" si="57"/>
        <v>0</v>
      </c>
      <c r="AC28" s="15">
        <f t="shared" si="57"/>
        <v>0.34784812665025233</v>
      </c>
      <c r="AD28" s="15">
        <f t="shared" si="57"/>
        <v>0.13399956178953271</v>
      </c>
      <c r="AE28" s="15">
        <f t="shared" si="57"/>
        <v>0</v>
      </c>
      <c r="AF28" s="15">
        <f t="shared" si="57"/>
        <v>5.3365122160451877E-3</v>
      </c>
      <c r="AG28" s="15">
        <f t="shared" si="57"/>
        <v>0</v>
      </c>
      <c r="AH28" s="15">
        <f t="shared" si="57"/>
        <v>0</v>
      </c>
      <c r="AI28" s="76">
        <f t="shared" si="3"/>
        <v>0</v>
      </c>
      <c r="AK28" s="2">
        <f t="shared" si="58"/>
        <v>815000</v>
      </c>
      <c r="AL28" s="2">
        <f t="shared" si="59"/>
        <v>146968.27845704145</v>
      </c>
      <c r="AM28" s="2">
        <f t="shared" si="59"/>
        <v>270976.59800845687</v>
      </c>
      <c r="AN28" s="2">
        <f t="shared" si="59"/>
        <v>397055.12353450165</v>
      </c>
      <c r="AO28" s="2">
        <f t="shared" si="59"/>
        <v>0</v>
      </c>
      <c r="AP28" s="2"/>
      <c r="AQ28" s="61" t="str">
        <f t="shared" ref="AQ28:AQ40" si="67">E$1&amp;$A28&amp;"*      """</f>
        <v>E28*      "</v>
      </c>
      <c r="AS28" s="2">
        <f t="shared" si="60"/>
        <v>146968.27845704145</v>
      </c>
      <c r="AT28" s="2">
        <f t="shared" si="61"/>
        <v>85174.930906780282</v>
      </c>
      <c r="AU28" s="2">
        <f t="shared" si="61"/>
        <v>38163.766222284103</v>
      </c>
      <c r="AV28" s="2">
        <f t="shared" si="61"/>
        <v>0</v>
      </c>
      <c r="AW28" s="2">
        <f t="shared" si="61"/>
        <v>614.95797679731777</v>
      </c>
      <c r="AX28" s="2">
        <f t="shared" si="61"/>
        <v>23014.623351179758</v>
      </c>
      <c r="AY28" s="2">
        <f t="shared" si="61"/>
        <v>0</v>
      </c>
      <c r="BA28" s="2">
        <f t="shared" si="62"/>
        <v>270976.59800845687</v>
      </c>
      <c r="BB28" s="2">
        <f t="shared" si="63"/>
        <v>185025.05014654112</v>
      </c>
      <c r="BC28" s="2">
        <f t="shared" si="63"/>
        <v>62626.316474429506</v>
      </c>
      <c r="BD28" s="2">
        <f t="shared" si="63"/>
        <v>0</v>
      </c>
      <c r="BE28" s="2">
        <f t="shared" si="63"/>
        <v>786.7608260486254</v>
      </c>
      <c r="BF28" s="2">
        <f t="shared" si="63"/>
        <v>22538.4705614376</v>
      </c>
      <c r="BG28" s="2">
        <f t="shared" si="63"/>
        <v>0</v>
      </c>
      <c r="BI28" s="2">
        <f t="shared" si="64"/>
        <v>397055.12353450165</v>
      </c>
      <c r="BJ28" s="2">
        <f t="shared" si="65"/>
        <v>375642.40741459787</v>
      </c>
      <c r="BK28" s="2">
        <f t="shared" si="65"/>
        <v>18822.869612705737</v>
      </c>
      <c r="BL28" s="2">
        <f t="shared" si="65"/>
        <v>0</v>
      </c>
      <c r="BM28" s="2">
        <f t="shared" si="65"/>
        <v>176.75779146646346</v>
      </c>
      <c r="BN28" s="2">
        <f t="shared" si="65"/>
        <v>2413.0887157315533</v>
      </c>
      <c r="BO28" s="2">
        <f t="shared" si="65"/>
        <v>0</v>
      </c>
    </row>
    <row r="29" spans="1:67" s="146" customFormat="1">
      <c r="A29" s="145">
        <f t="shared" si="2"/>
        <v>29</v>
      </c>
      <c r="B29" s="430" t="s">
        <v>1151</v>
      </c>
      <c r="C29" s="147" t="s">
        <v>155</v>
      </c>
      <c r="D29" s="431" t="s">
        <v>245</v>
      </c>
      <c r="E29" s="432">
        <f>PROFORMA!AV269+PROFORMA!AV270</f>
        <v>270125000</v>
      </c>
      <c r="F29" s="134" t="s">
        <v>549</v>
      </c>
      <c r="G29" s="134" t="s">
        <v>438</v>
      </c>
      <c r="H29" s="82">
        <f t="shared" si="54"/>
        <v>270124999.99999994</v>
      </c>
      <c r="I29" s="82">
        <f t="shared" si="55"/>
        <v>174634919.55990908</v>
      </c>
      <c r="J29" s="82">
        <f t="shared" si="55"/>
        <v>65142373.125124991</v>
      </c>
      <c r="K29" s="82">
        <f t="shared" si="55"/>
        <v>0</v>
      </c>
      <c r="L29" s="82">
        <f t="shared" si="55"/>
        <v>905955.09824372095</v>
      </c>
      <c r="M29" s="82">
        <f t="shared" si="55"/>
        <v>29441752.216722183</v>
      </c>
      <c r="N29" s="82">
        <f t="shared" si="55"/>
        <v>0</v>
      </c>
      <c r="O29" s="82"/>
      <c r="P29" s="148" t="str">
        <f t="shared" si="66"/>
        <v>E29*     "</v>
      </c>
      <c r="Q29" s="148"/>
      <c r="R29" s="108">
        <f>'Demand - Pk-Avg'!R28</f>
        <v>0.35164512530918368</v>
      </c>
      <c r="S29" s="108"/>
      <c r="T29" s="108">
        <v>0</v>
      </c>
      <c r="U29" s="108"/>
      <c r="V29" s="108"/>
      <c r="W29" s="108">
        <f>'Demand - Pk-Avg'!R27</f>
        <v>0.64835487469081621</v>
      </c>
      <c r="X29" s="108"/>
      <c r="Y29" s="108"/>
      <c r="Z29" s="108">
        <v>0</v>
      </c>
      <c r="AA29" s="108"/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49">
        <f t="shared" si="3"/>
        <v>0</v>
      </c>
      <c r="AK29" s="82">
        <f t="shared" si="58"/>
        <v>270125000</v>
      </c>
      <c r="AL29" s="82">
        <f t="shared" si="59"/>
        <v>94988139.474143237</v>
      </c>
      <c r="AM29" s="82">
        <f t="shared" si="59"/>
        <v>175136860.52585673</v>
      </c>
      <c r="AN29" s="82">
        <f t="shared" si="59"/>
        <v>0</v>
      </c>
      <c r="AO29" s="82">
        <f t="shared" si="59"/>
        <v>0</v>
      </c>
      <c r="AP29" s="82"/>
      <c r="AQ29" s="148" t="str">
        <f t="shared" si="67"/>
        <v>E29*      "</v>
      </c>
      <c r="AS29" s="82">
        <f t="shared" si="60"/>
        <v>94988139.474143252</v>
      </c>
      <c r="AT29" s="82">
        <f t="shared" si="61"/>
        <v>55050030.534573004</v>
      </c>
      <c r="AU29" s="82">
        <f t="shared" si="61"/>
        <v>24665901.967685703</v>
      </c>
      <c r="AV29" s="82">
        <f t="shared" si="61"/>
        <v>0</v>
      </c>
      <c r="AW29" s="82">
        <f t="shared" si="61"/>
        <v>397457.97313557554</v>
      </c>
      <c r="AX29" s="82">
        <f t="shared" si="61"/>
        <v>14874748.998748969</v>
      </c>
      <c r="AY29" s="82">
        <f t="shared" si="61"/>
        <v>0</v>
      </c>
      <c r="BA29" s="82">
        <f t="shared" si="62"/>
        <v>175136860.52585673</v>
      </c>
      <c r="BB29" s="82">
        <f t="shared" si="63"/>
        <v>119584889.02533609</v>
      </c>
      <c r="BC29" s="82">
        <f t="shared" si="63"/>
        <v>40476471.157439284</v>
      </c>
      <c r="BD29" s="82">
        <f t="shared" si="63"/>
        <v>0</v>
      </c>
      <c r="BE29" s="82">
        <f t="shared" si="63"/>
        <v>508497.12510814547</v>
      </c>
      <c r="BF29" s="82">
        <f t="shared" si="63"/>
        <v>14567003.217973214</v>
      </c>
      <c r="BG29" s="82">
        <f t="shared" si="63"/>
        <v>0</v>
      </c>
      <c r="BI29" s="82">
        <f t="shared" si="64"/>
        <v>0</v>
      </c>
      <c r="BJ29" s="82">
        <f t="shared" si="65"/>
        <v>0</v>
      </c>
      <c r="BK29" s="82">
        <f t="shared" si="65"/>
        <v>0</v>
      </c>
      <c r="BL29" s="82">
        <f t="shared" si="65"/>
        <v>0</v>
      </c>
      <c r="BM29" s="82">
        <f t="shared" si="65"/>
        <v>0</v>
      </c>
      <c r="BN29" s="82">
        <f t="shared" si="65"/>
        <v>0</v>
      </c>
      <c r="BO29" s="82">
        <f t="shared" si="65"/>
        <v>0</v>
      </c>
    </row>
    <row r="30" spans="1:67" s="146" customFormat="1">
      <c r="A30" s="145">
        <f t="shared" si="2"/>
        <v>30</v>
      </c>
      <c r="B30" s="430">
        <v>376</v>
      </c>
      <c r="C30" s="147" t="s">
        <v>155</v>
      </c>
      <c r="D30" s="431" t="s">
        <v>245</v>
      </c>
      <c r="E30" s="432"/>
      <c r="F30" s="134" t="s">
        <v>551</v>
      </c>
      <c r="G30" s="134" t="s">
        <v>438</v>
      </c>
      <c r="H30" s="82">
        <f>SUM(I30:N30)</f>
        <v>0</v>
      </c>
      <c r="I30" s="82">
        <f t="shared" si="55"/>
        <v>0</v>
      </c>
      <c r="J30" s="82">
        <f t="shared" si="55"/>
        <v>0</v>
      </c>
      <c r="K30" s="82">
        <f t="shared" si="55"/>
        <v>0</v>
      </c>
      <c r="L30" s="82">
        <f t="shared" si="55"/>
        <v>0</v>
      </c>
      <c r="M30" s="82">
        <f t="shared" si="55"/>
        <v>0</v>
      </c>
      <c r="N30" s="82">
        <f t="shared" si="55"/>
        <v>0</v>
      </c>
      <c r="O30" s="82"/>
      <c r="P30" s="148" t="str">
        <f>E$1&amp;$A30&amp;"*     """</f>
        <v>E30*     "</v>
      </c>
      <c r="Q30" s="14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49">
        <f t="shared" si="3"/>
        <v>0</v>
      </c>
      <c r="AK30" s="82">
        <f>SUM(AL30:AO30)</f>
        <v>0</v>
      </c>
      <c r="AL30" s="82">
        <f t="shared" si="59"/>
        <v>0</v>
      </c>
      <c r="AM30" s="82">
        <f t="shared" si="59"/>
        <v>0</v>
      </c>
      <c r="AN30" s="82">
        <f t="shared" si="59"/>
        <v>0</v>
      </c>
      <c r="AO30" s="82">
        <f t="shared" si="59"/>
        <v>0</v>
      </c>
      <c r="AP30" s="82"/>
      <c r="AQ30" s="148" t="str">
        <f t="shared" si="67"/>
        <v>E30*      "</v>
      </c>
      <c r="AS30" s="82">
        <f>SUM(AT30:AY30)</f>
        <v>0</v>
      </c>
      <c r="AT30" s="82">
        <f t="shared" si="61"/>
        <v>0</v>
      </c>
      <c r="AU30" s="82">
        <f t="shared" si="61"/>
        <v>0</v>
      </c>
      <c r="AV30" s="82">
        <f t="shared" si="61"/>
        <v>0</v>
      </c>
      <c r="AW30" s="82">
        <f t="shared" si="61"/>
        <v>0</v>
      </c>
      <c r="AX30" s="82">
        <f t="shared" si="61"/>
        <v>0</v>
      </c>
      <c r="AY30" s="82">
        <f t="shared" si="61"/>
        <v>0</v>
      </c>
      <c r="BA30" s="82">
        <f>SUM(BB30:BG30)</f>
        <v>0</v>
      </c>
      <c r="BB30" s="82">
        <f t="shared" si="63"/>
        <v>0</v>
      </c>
      <c r="BC30" s="82">
        <f t="shared" si="63"/>
        <v>0</v>
      </c>
      <c r="BD30" s="82">
        <f t="shared" si="63"/>
        <v>0</v>
      </c>
      <c r="BE30" s="82">
        <f t="shared" si="63"/>
        <v>0</v>
      </c>
      <c r="BF30" s="82">
        <f t="shared" si="63"/>
        <v>0</v>
      </c>
      <c r="BG30" s="82">
        <f t="shared" si="63"/>
        <v>0</v>
      </c>
      <c r="BI30" s="82">
        <f>SUM(BJ30:BO30)</f>
        <v>0</v>
      </c>
      <c r="BJ30" s="82">
        <f t="shared" si="65"/>
        <v>0</v>
      </c>
      <c r="BK30" s="82">
        <f t="shared" si="65"/>
        <v>0</v>
      </c>
      <c r="BL30" s="82">
        <f t="shared" si="65"/>
        <v>0</v>
      </c>
      <c r="BM30" s="82">
        <f t="shared" si="65"/>
        <v>0</v>
      </c>
      <c r="BN30" s="82">
        <f t="shared" si="65"/>
        <v>0</v>
      </c>
      <c r="BO30" s="82">
        <f t="shared" si="65"/>
        <v>0</v>
      </c>
    </row>
    <row r="31" spans="1:67">
      <c r="A31" s="50">
        <f t="shared" si="2"/>
        <v>31</v>
      </c>
      <c r="B31" s="51">
        <v>376</v>
      </c>
      <c r="C31" s="36" t="s">
        <v>155</v>
      </c>
      <c r="D31" s="28" t="s">
        <v>245</v>
      </c>
      <c r="E31" s="432"/>
      <c r="F31" s="60" t="s">
        <v>551</v>
      </c>
      <c r="G31" s="60" t="s">
        <v>438</v>
      </c>
      <c r="H31" s="2">
        <f t="shared" si="54"/>
        <v>0</v>
      </c>
      <c r="I31" s="2">
        <f t="shared" si="55"/>
        <v>0</v>
      </c>
      <c r="J31" s="2">
        <f t="shared" si="55"/>
        <v>0</v>
      </c>
      <c r="K31" s="2">
        <f t="shared" si="55"/>
        <v>0</v>
      </c>
      <c r="L31" s="2">
        <f t="shared" si="55"/>
        <v>0</v>
      </c>
      <c r="M31" s="2">
        <f t="shared" si="55"/>
        <v>0</v>
      </c>
      <c r="N31" s="2">
        <f t="shared" si="55"/>
        <v>0</v>
      </c>
      <c r="O31" s="2"/>
      <c r="P31" s="61" t="str">
        <f t="shared" si="66"/>
        <v>E31*     "</v>
      </c>
      <c r="Q31" s="61"/>
      <c r="R31" s="108"/>
      <c r="S31" s="108"/>
      <c r="T31" s="108"/>
      <c r="U31" s="79"/>
      <c r="V31" s="79"/>
      <c r="W31" s="108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6">
        <f t="shared" si="3"/>
        <v>0</v>
      </c>
      <c r="AK31" s="2">
        <f t="shared" si="58"/>
        <v>0</v>
      </c>
      <c r="AL31" s="2">
        <f t="shared" si="59"/>
        <v>0</v>
      </c>
      <c r="AM31" s="2">
        <f t="shared" si="59"/>
        <v>0</v>
      </c>
      <c r="AN31" s="2">
        <f t="shared" si="59"/>
        <v>0</v>
      </c>
      <c r="AO31" s="2">
        <f t="shared" si="59"/>
        <v>0</v>
      </c>
      <c r="AP31" s="2"/>
      <c r="AQ31" s="61" t="str">
        <f t="shared" si="67"/>
        <v>E31*      "</v>
      </c>
      <c r="AS31" s="2">
        <f t="shared" si="60"/>
        <v>0</v>
      </c>
      <c r="AT31" s="2">
        <f t="shared" si="61"/>
        <v>0</v>
      </c>
      <c r="AU31" s="2">
        <f t="shared" si="61"/>
        <v>0</v>
      </c>
      <c r="AV31" s="2">
        <f t="shared" si="61"/>
        <v>0</v>
      </c>
      <c r="AW31" s="2">
        <f t="shared" si="61"/>
        <v>0</v>
      </c>
      <c r="AX31" s="2">
        <f t="shared" si="61"/>
        <v>0</v>
      </c>
      <c r="AY31" s="2">
        <f t="shared" si="61"/>
        <v>0</v>
      </c>
      <c r="BA31" s="2">
        <f t="shared" si="62"/>
        <v>0</v>
      </c>
      <c r="BB31" s="2">
        <f t="shared" si="63"/>
        <v>0</v>
      </c>
      <c r="BC31" s="2">
        <f t="shared" si="63"/>
        <v>0</v>
      </c>
      <c r="BD31" s="2">
        <f t="shared" si="63"/>
        <v>0</v>
      </c>
      <c r="BE31" s="2">
        <f t="shared" si="63"/>
        <v>0</v>
      </c>
      <c r="BF31" s="2">
        <f t="shared" si="63"/>
        <v>0</v>
      </c>
      <c r="BG31" s="2">
        <f t="shared" si="63"/>
        <v>0</v>
      </c>
      <c r="BI31" s="2">
        <f t="shared" si="64"/>
        <v>0</v>
      </c>
      <c r="BJ31" s="2">
        <f t="shared" si="65"/>
        <v>0</v>
      </c>
      <c r="BK31" s="2">
        <f t="shared" si="65"/>
        <v>0</v>
      </c>
      <c r="BL31" s="2">
        <f t="shared" si="65"/>
        <v>0</v>
      </c>
      <c r="BM31" s="2">
        <f t="shared" si="65"/>
        <v>0</v>
      </c>
      <c r="BN31" s="2">
        <f t="shared" si="65"/>
        <v>0</v>
      </c>
      <c r="BO31" s="2">
        <f t="shared" si="65"/>
        <v>0</v>
      </c>
    </row>
    <row r="32" spans="1:67">
      <c r="A32" s="50">
        <f t="shared" si="2"/>
        <v>32</v>
      </c>
      <c r="B32" s="51">
        <v>378</v>
      </c>
      <c r="C32" s="36" t="s">
        <v>155</v>
      </c>
      <c r="D32" s="28" t="s">
        <v>246</v>
      </c>
      <c r="E32" s="432">
        <f>PROFORMA!AV271</f>
        <v>4158000</v>
      </c>
      <c r="F32" s="60" t="s">
        <v>549</v>
      </c>
      <c r="G32" s="60" t="s">
        <v>432</v>
      </c>
      <c r="H32" s="2">
        <f t="shared" si="54"/>
        <v>4158000</v>
      </c>
      <c r="I32" s="2">
        <f t="shared" si="55"/>
        <v>2688133.2550859861</v>
      </c>
      <c r="J32" s="2">
        <f t="shared" si="55"/>
        <v>1002728.3200528263</v>
      </c>
      <c r="K32" s="2">
        <f t="shared" si="55"/>
        <v>0</v>
      </c>
      <c r="L32" s="2">
        <f t="shared" si="55"/>
        <v>13945.252377593306</v>
      </c>
      <c r="M32" s="2">
        <f t="shared" si="55"/>
        <v>453193.17248359404</v>
      </c>
      <c r="N32" s="2">
        <f t="shared" si="55"/>
        <v>0</v>
      </c>
      <c r="O32" s="2"/>
      <c r="P32" s="61" t="str">
        <f t="shared" si="66"/>
        <v>E32*     "</v>
      </c>
      <c r="Q32" s="61"/>
      <c r="R32" s="15">
        <f>PkAvg_E</f>
        <v>0.35164512530918368</v>
      </c>
      <c r="S32" s="79"/>
      <c r="T32" s="79"/>
      <c r="U32" s="79"/>
      <c r="V32" s="79"/>
      <c r="W32" s="15">
        <f>PkAvg_D</f>
        <v>0.64835487469081621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6">
        <f t="shared" si="3"/>
        <v>0</v>
      </c>
      <c r="AK32" s="2">
        <f t="shared" si="58"/>
        <v>4157999.9999999995</v>
      </c>
      <c r="AL32" s="2">
        <f t="shared" si="59"/>
        <v>1462140.4310355857</v>
      </c>
      <c r="AM32" s="2">
        <f t="shared" si="59"/>
        <v>2695859.5689644138</v>
      </c>
      <c r="AN32" s="2">
        <f t="shared" si="59"/>
        <v>0</v>
      </c>
      <c r="AO32" s="2">
        <f t="shared" si="59"/>
        <v>0</v>
      </c>
      <c r="AP32" s="2"/>
      <c r="AQ32" s="61" t="str">
        <f t="shared" si="67"/>
        <v>E32*      "</v>
      </c>
      <c r="AS32" s="2">
        <f t="shared" si="60"/>
        <v>1462140.4310355857</v>
      </c>
      <c r="AT32" s="2">
        <f t="shared" si="61"/>
        <v>847378.16552616213</v>
      </c>
      <c r="AU32" s="2">
        <f t="shared" si="61"/>
        <v>379679.11293526017</v>
      </c>
      <c r="AV32" s="2">
        <f t="shared" si="61"/>
        <v>0</v>
      </c>
      <c r="AW32" s="2">
        <f t="shared" si="61"/>
        <v>6118.0203694501542</v>
      </c>
      <c r="AX32" s="2">
        <f t="shared" si="61"/>
        <v>228965.13220471342</v>
      </c>
      <c r="AY32" s="2">
        <f t="shared" si="61"/>
        <v>0</v>
      </c>
      <c r="BA32" s="2">
        <f t="shared" si="62"/>
        <v>2695859.5689644138</v>
      </c>
      <c r="BB32" s="2">
        <f t="shared" si="63"/>
        <v>1840755.089559824</v>
      </c>
      <c r="BC32" s="2">
        <f t="shared" si="63"/>
        <v>623049.20711756614</v>
      </c>
      <c r="BD32" s="2">
        <f t="shared" si="63"/>
        <v>0</v>
      </c>
      <c r="BE32" s="2">
        <f t="shared" si="63"/>
        <v>7827.2320081431517</v>
      </c>
      <c r="BF32" s="2">
        <f t="shared" si="63"/>
        <v>224228.04027888059</v>
      </c>
      <c r="BG32" s="2">
        <f t="shared" si="63"/>
        <v>0</v>
      </c>
      <c r="BI32" s="2">
        <f t="shared" si="64"/>
        <v>0</v>
      </c>
      <c r="BJ32" s="2">
        <f t="shared" si="65"/>
        <v>0</v>
      </c>
      <c r="BK32" s="2">
        <f t="shared" si="65"/>
        <v>0</v>
      </c>
      <c r="BL32" s="2">
        <f t="shared" si="65"/>
        <v>0</v>
      </c>
      <c r="BM32" s="2">
        <f t="shared" si="65"/>
        <v>0</v>
      </c>
      <c r="BN32" s="2">
        <f t="shared" si="65"/>
        <v>0</v>
      </c>
      <c r="BO32" s="2">
        <f t="shared" si="65"/>
        <v>0</v>
      </c>
    </row>
    <row r="33" spans="1:67">
      <c r="A33" s="50">
        <f t="shared" si="2"/>
        <v>33</v>
      </c>
      <c r="B33" s="51">
        <v>379</v>
      </c>
      <c r="C33" s="36" t="s">
        <v>155</v>
      </c>
      <c r="D33" s="28" t="s">
        <v>247</v>
      </c>
      <c r="E33" s="432">
        <f>PROFORMA!AV272</f>
        <v>1896000</v>
      </c>
      <c r="F33" s="60" t="s">
        <v>549</v>
      </c>
      <c r="G33" s="60" t="s">
        <v>433</v>
      </c>
      <c r="H33" s="2">
        <f t="shared" si="54"/>
        <v>1896000</v>
      </c>
      <c r="I33" s="2">
        <f t="shared" si="55"/>
        <v>1225757.732477881</v>
      </c>
      <c r="J33" s="2">
        <f t="shared" si="55"/>
        <v>457232.53843678662</v>
      </c>
      <c r="K33" s="2">
        <f t="shared" si="55"/>
        <v>0</v>
      </c>
      <c r="L33" s="2">
        <f t="shared" si="55"/>
        <v>6358.8741000281161</v>
      </c>
      <c r="M33" s="2">
        <f t="shared" si="55"/>
        <v>206650.85498530406</v>
      </c>
      <c r="N33" s="2">
        <f t="shared" si="55"/>
        <v>0</v>
      </c>
      <c r="O33" s="2"/>
      <c r="P33" s="61" t="str">
        <f t="shared" si="66"/>
        <v>E33*     "</v>
      </c>
      <c r="Q33" s="61"/>
      <c r="R33" s="15">
        <f>PkAvg_E</f>
        <v>0.35164512530918368</v>
      </c>
      <c r="S33" s="79"/>
      <c r="T33" s="79"/>
      <c r="U33" s="79"/>
      <c r="V33" s="79"/>
      <c r="W33" s="15">
        <f>PkAvg_D</f>
        <v>0.64835487469081621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6">
        <f t="shared" si="3"/>
        <v>0</v>
      </c>
      <c r="AK33" s="2">
        <f t="shared" si="58"/>
        <v>1895999.9999999998</v>
      </c>
      <c r="AL33" s="2">
        <f t="shared" si="59"/>
        <v>666719.15758621227</v>
      </c>
      <c r="AM33" s="2">
        <f t="shared" si="59"/>
        <v>1229280.8424137875</v>
      </c>
      <c r="AN33" s="2">
        <f t="shared" si="59"/>
        <v>0</v>
      </c>
      <c r="AO33" s="2">
        <f t="shared" si="59"/>
        <v>0</v>
      </c>
      <c r="AP33" s="2"/>
      <c r="AQ33" s="61" t="str">
        <f t="shared" si="67"/>
        <v>E33*      "</v>
      </c>
      <c r="AS33" s="2">
        <f t="shared" si="60"/>
        <v>666719.15758621239</v>
      </c>
      <c r="AT33" s="2">
        <f t="shared" si="61"/>
        <v>386394.66133660491</v>
      </c>
      <c r="AU33" s="2">
        <f t="shared" si="61"/>
        <v>173129.29247841591</v>
      </c>
      <c r="AV33" s="2">
        <f t="shared" si="61"/>
        <v>0</v>
      </c>
      <c r="AW33" s="2">
        <f t="shared" si="61"/>
        <v>2789.7466619714992</v>
      </c>
      <c r="AX33" s="2">
        <f t="shared" si="61"/>
        <v>104405.45710921998</v>
      </c>
      <c r="AY33" s="2">
        <f t="shared" si="61"/>
        <v>0</v>
      </c>
      <c r="BA33" s="2">
        <f t="shared" si="62"/>
        <v>1229280.8424137875</v>
      </c>
      <c r="BB33" s="2">
        <f t="shared" si="63"/>
        <v>839363.07114127616</v>
      </c>
      <c r="BC33" s="2">
        <f t="shared" si="63"/>
        <v>284103.24595837068</v>
      </c>
      <c r="BD33" s="2">
        <f t="shared" si="63"/>
        <v>0</v>
      </c>
      <c r="BE33" s="2">
        <f t="shared" si="63"/>
        <v>3569.1274380566174</v>
      </c>
      <c r="BF33" s="2">
        <f t="shared" si="63"/>
        <v>102245.39787608408</v>
      </c>
      <c r="BG33" s="2">
        <f t="shared" si="63"/>
        <v>0</v>
      </c>
      <c r="BI33" s="2">
        <f t="shared" si="64"/>
        <v>0</v>
      </c>
      <c r="BJ33" s="2">
        <f t="shared" si="65"/>
        <v>0</v>
      </c>
      <c r="BK33" s="2">
        <f t="shared" si="65"/>
        <v>0</v>
      </c>
      <c r="BL33" s="2">
        <f t="shared" si="65"/>
        <v>0</v>
      </c>
      <c r="BM33" s="2">
        <f t="shared" si="65"/>
        <v>0</v>
      </c>
      <c r="BN33" s="2">
        <f t="shared" si="65"/>
        <v>0</v>
      </c>
      <c r="BO33" s="2">
        <f t="shared" si="65"/>
        <v>0</v>
      </c>
    </row>
    <row r="34" spans="1:67">
      <c r="A34" s="50">
        <f t="shared" si="2"/>
        <v>34</v>
      </c>
      <c r="B34" s="51">
        <v>380</v>
      </c>
      <c r="C34" s="36" t="s">
        <v>155</v>
      </c>
      <c r="D34" s="28" t="s">
        <v>91</v>
      </c>
      <c r="E34" s="432">
        <f>PROFORMA!AV273</f>
        <v>187335000</v>
      </c>
      <c r="F34" s="60" t="s">
        <v>447</v>
      </c>
      <c r="G34" s="60" t="s">
        <v>439</v>
      </c>
      <c r="H34" s="2">
        <f t="shared" si="54"/>
        <v>187335000</v>
      </c>
      <c r="I34" s="2">
        <f t="shared" si="55"/>
        <v>183211888.02394524</v>
      </c>
      <c r="J34" s="2">
        <f t="shared" si="55"/>
        <v>3439621.7967010955</v>
      </c>
      <c r="K34" s="2">
        <f t="shared" si="55"/>
        <v>0</v>
      </c>
      <c r="L34" s="2">
        <f t="shared" si="55"/>
        <v>8355.5439973022076</v>
      </c>
      <c r="M34" s="2">
        <f t="shared" si="55"/>
        <v>675134.63535637478</v>
      </c>
      <c r="N34" s="2">
        <f t="shared" si="55"/>
        <v>0</v>
      </c>
      <c r="O34" s="2"/>
      <c r="P34" s="61" t="str">
        <f t="shared" si="66"/>
        <v>E34*     "</v>
      </c>
      <c r="Q34" s="61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>
        <v>1</v>
      </c>
      <c r="AD34" s="79"/>
      <c r="AE34" s="79"/>
      <c r="AF34" s="79"/>
      <c r="AG34" s="79"/>
      <c r="AH34" s="79"/>
      <c r="AI34" s="76">
        <f t="shared" si="3"/>
        <v>0</v>
      </c>
      <c r="AK34" s="2">
        <f t="shared" si="58"/>
        <v>187335000</v>
      </c>
      <c r="AL34" s="2">
        <f t="shared" si="59"/>
        <v>0</v>
      </c>
      <c r="AM34" s="2">
        <f t="shared" si="59"/>
        <v>0</v>
      </c>
      <c r="AN34" s="2">
        <f t="shared" si="59"/>
        <v>187335000</v>
      </c>
      <c r="AO34" s="2">
        <f t="shared" si="59"/>
        <v>0</v>
      </c>
      <c r="AP34" s="2"/>
      <c r="AQ34" s="61" t="str">
        <f t="shared" si="67"/>
        <v>E34*      "</v>
      </c>
      <c r="AS34" s="2">
        <f t="shared" si="60"/>
        <v>0</v>
      </c>
      <c r="AT34" s="2">
        <f t="shared" si="61"/>
        <v>0</v>
      </c>
      <c r="AU34" s="2">
        <f t="shared" si="61"/>
        <v>0</v>
      </c>
      <c r="AV34" s="2">
        <f t="shared" si="61"/>
        <v>0</v>
      </c>
      <c r="AW34" s="2">
        <f t="shared" si="61"/>
        <v>0</v>
      </c>
      <c r="AX34" s="2">
        <f t="shared" si="61"/>
        <v>0</v>
      </c>
      <c r="AY34" s="2">
        <f t="shared" si="61"/>
        <v>0</v>
      </c>
      <c r="BA34" s="2">
        <f t="shared" si="62"/>
        <v>0</v>
      </c>
      <c r="BB34" s="2">
        <f t="shared" si="63"/>
        <v>0</v>
      </c>
      <c r="BC34" s="2">
        <f t="shared" si="63"/>
        <v>0</v>
      </c>
      <c r="BD34" s="2">
        <f t="shared" si="63"/>
        <v>0</v>
      </c>
      <c r="BE34" s="2">
        <f t="shared" si="63"/>
        <v>0</v>
      </c>
      <c r="BF34" s="2">
        <f t="shared" si="63"/>
        <v>0</v>
      </c>
      <c r="BG34" s="2">
        <f t="shared" si="63"/>
        <v>0</v>
      </c>
      <c r="BI34" s="2">
        <f t="shared" si="64"/>
        <v>187335000</v>
      </c>
      <c r="BJ34" s="2">
        <f t="shared" si="65"/>
        <v>183211888.02394524</v>
      </c>
      <c r="BK34" s="2">
        <f t="shared" si="65"/>
        <v>3439621.7967010955</v>
      </c>
      <c r="BL34" s="2">
        <f t="shared" si="65"/>
        <v>0</v>
      </c>
      <c r="BM34" s="2">
        <f t="shared" si="65"/>
        <v>8355.5439973022076</v>
      </c>
      <c r="BN34" s="2">
        <f t="shared" si="65"/>
        <v>675134.63535637478</v>
      </c>
      <c r="BO34" s="2">
        <f t="shared" si="65"/>
        <v>0</v>
      </c>
    </row>
    <row r="35" spans="1:67">
      <c r="A35" s="50">
        <f t="shared" si="2"/>
        <v>35</v>
      </c>
      <c r="B35" s="51">
        <v>381</v>
      </c>
      <c r="C35" s="36" t="s">
        <v>155</v>
      </c>
      <c r="D35" s="28" t="s">
        <v>8</v>
      </c>
      <c r="E35" s="432">
        <f>PROFORMA!AV274</f>
        <v>72166000</v>
      </c>
      <c r="F35" s="60" t="s">
        <v>448</v>
      </c>
      <c r="G35" s="60" t="s">
        <v>435</v>
      </c>
      <c r="H35" s="2">
        <f t="shared" si="54"/>
        <v>72165999.999999985</v>
      </c>
      <c r="I35" s="2">
        <f t="shared" si="55"/>
        <v>65013536.617479742</v>
      </c>
      <c r="J35" s="2">
        <f t="shared" si="55"/>
        <v>6499987.4524772642</v>
      </c>
      <c r="K35" s="2">
        <f t="shared" si="55"/>
        <v>0</v>
      </c>
      <c r="L35" s="2">
        <f t="shared" si="55"/>
        <v>68803.130446753654</v>
      </c>
      <c r="M35" s="2">
        <f t="shared" si="55"/>
        <v>583672.79959623597</v>
      </c>
      <c r="N35" s="2">
        <f t="shared" si="55"/>
        <v>0</v>
      </c>
      <c r="O35" s="2"/>
      <c r="P35" s="61" t="str">
        <f t="shared" si="66"/>
        <v>E35*     "</v>
      </c>
      <c r="Q35" s="61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>
        <v>1</v>
      </c>
      <c r="AE35" s="79"/>
      <c r="AF35" s="79"/>
      <c r="AG35" s="79"/>
      <c r="AH35" s="79"/>
      <c r="AI35" s="76">
        <f t="shared" si="3"/>
        <v>0</v>
      </c>
      <c r="AK35" s="2">
        <f t="shared" si="58"/>
        <v>72166000</v>
      </c>
      <c r="AL35" s="2">
        <f t="shared" si="59"/>
        <v>0</v>
      </c>
      <c r="AM35" s="2">
        <f t="shared" si="59"/>
        <v>0</v>
      </c>
      <c r="AN35" s="2">
        <f t="shared" si="59"/>
        <v>72166000</v>
      </c>
      <c r="AO35" s="2">
        <f t="shared" si="59"/>
        <v>0</v>
      </c>
      <c r="AP35" s="2"/>
      <c r="AQ35" s="61" t="str">
        <f t="shared" si="67"/>
        <v>E35*      "</v>
      </c>
      <c r="AS35" s="2">
        <f t="shared" si="60"/>
        <v>0</v>
      </c>
      <c r="AT35" s="2">
        <f t="shared" si="61"/>
        <v>0</v>
      </c>
      <c r="AU35" s="2">
        <f t="shared" si="61"/>
        <v>0</v>
      </c>
      <c r="AV35" s="2">
        <f t="shared" si="61"/>
        <v>0</v>
      </c>
      <c r="AW35" s="2">
        <f t="shared" si="61"/>
        <v>0</v>
      </c>
      <c r="AX35" s="2">
        <f t="shared" si="61"/>
        <v>0</v>
      </c>
      <c r="AY35" s="2">
        <f t="shared" si="61"/>
        <v>0</v>
      </c>
      <c r="BA35" s="2">
        <f t="shared" si="62"/>
        <v>0</v>
      </c>
      <c r="BB35" s="2">
        <f t="shared" si="63"/>
        <v>0</v>
      </c>
      <c r="BC35" s="2">
        <f t="shared" si="63"/>
        <v>0</v>
      </c>
      <c r="BD35" s="2">
        <f t="shared" si="63"/>
        <v>0</v>
      </c>
      <c r="BE35" s="2">
        <f t="shared" si="63"/>
        <v>0</v>
      </c>
      <c r="BF35" s="2">
        <f t="shared" si="63"/>
        <v>0</v>
      </c>
      <c r="BG35" s="2">
        <f t="shared" si="63"/>
        <v>0</v>
      </c>
      <c r="BI35" s="2">
        <f t="shared" si="64"/>
        <v>72165999.999999985</v>
      </c>
      <c r="BJ35" s="2">
        <f t="shared" si="65"/>
        <v>65013536.617479742</v>
      </c>
      <c r="BK35" s="2">
        <f t="shared" si="65"/>
        <v>6499987.4524772642</v>
      </c>
      <c r="BL35" s="2">
        <f t="shared" si="65"/>
        <v>0</v>
      </c>
      <c r="BM35" s="2">
        <f t="shared" si="65"/>
        <v>68803.130446753654</v>
      </c>
      <c r="BN35" s="2">
        <f t="shared" si="65"/>
        <v>583672.79959623597</v>
      </c>
      <c r="BO35" s="2">
        <f t="shared" si="65"/>
        <v>0</v>
      </c>
    </row>
    <row r="36" spans="1:67">
      <c r="A36" s="50">
        <f t="shared" si="2"/>
        <v>36</v>
      </c>
      <c r="B36" s="51">
        <v>382</v>
      </c>
      <c r="C36" s="36" t="s">
        <v>155</v>
      </c>
      <c r="D36" s="28" t="s">
        <v>248</v>
      </c>
      <c r="E36" s="432">
        <f>PROFORMA!AV275</f>
        <v>0</v>
      </c>
      <c r="F36" s="60" t="s">
        <v>446</v>
      </c>
      <c r="G36" s="60" t="s">
        <v>435</v>
      </c>
      <c r="H36" s="2">
        <f t="shared" si="54"/>
        <v>0</v>
      </c>
      <c r="I36" s="2">
        <f t="shared" si="55"/>
        <v>0</v>
      </c>
      <c r="J36" s="2">
        <f t="shared" si="55"/>
        <v>0</v>
      </c>
      <c r="K36" s="2">
        <f t="shared" si="55"/>
        <v>0</v>
      </c>
      <c r="L36" s="2">
        <f t="shared" si="55"/>
        <v>0</v>
      </c>
      <c r="M36" s="2">
        <f t="shared" si="55"/>
        <v>0</v>
      </c>
      <c r="N36" s="2">
        <f t="shared" si="55"/>
        <v>0</v>
      </c>
      <c r="O36" s="2"/>
      <c r="P36" s="61" t="str">
        <f t="shared" si="66"/>
        <v>E36*     "</v>
      </c>
      <c r="Q36" s="61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>
        <v>1</v>
      </c>
      <c r="AC36" s="79"/>
      <c r="AD36" s="79"/>
      <c r="AE36" s="79"/>
      <c r="AF36" s="79"/>
      <c r="AG36" s="79"/>
      <c r="AH36" s="79"/>
      <c r="AI36" s="76">
        <f t="shared" si="3"/>
        <v>0</v>
      </c>
      <c r="AK36" s="2">
        <f t="shared" si="58"/>
        <v>0</v>
      </c>
      <c r="AL36" s="2">
        <f t="shared" si="59"/>
        <v>0</v>
      </c>
      <c r="AM36" s="2">
        <f t="shared" si="59"/>
        <v>0</v>
      </c>
      <c r="AN36" s="2">
        <f t="shared" si="59"/>
        <v>0</v>
      </c>
      <c r="AO36" s="2">
        <f t="shared" si="59"/>
        <v>0</v>
      </c>
      <c r="AP36" s="2"/>
      <c r="AQ36" s="61" t="str">
        <f t="shared" si="67"/>
        <v>E36*      "</v>
      </c>
      <c r="AS36" s="2">
        <f t="shared" si="60"/>
        <v>0</v>
      </c>
      <c r="AT36" s="2">
        <f t="shared" si="61"/>
        <v>0</v>
      </c>
      <c r="AU36" s="2">
        <f t="shared" si="61"/>
        <v>0</v>
      </c>
      <c r="AV36" s="2">
        <f t="shared" si="61"/>
        <v>0</v>
      </c>
      <c r="AW36" s="2">
        <f t="shared" si="61"/>
        <v>0</v>
      </c>
      <c r="AX36" s="2">
        <f t="shared" si="61"/>
        <v>0</v>
      </c>
      <c r="AY36" s="2">
        <f t="shared" si="61"/>
        <v>0</v>
      </c>
      <c r="BA36" s="2">
        <f t="shared" si="62"/>
        <v>0</v>
      </c>
      <c r="BB36" s="2">
        <f t="shared" si="63"/>
        <v>0</v>
      </c>
      <c r="BC36" s="2">
        <f t="shared" si="63"/>
        <v>0</v>
      </c>
      <c r="BD36" s="2">
        <f t="shared" si="63"/>
        <v>0</v>
      </c>
      <c r="BE36" s="2">
        <f t="shared" si="63"/>
        <v>0</v>
      </c>
      <c r="BF36" s="2">
        <f t="shared" si="63"/>
        <v>0</v>
      </c>
      <c r="BG36" s="2">
        <f t="shared" si="63"/>
        <v>0</v>
      </c>
      <c r="BI36" s="2">
        <f t="shared" si="64"/>
        <v>0</v>
      </c>
      <c r="BJ36" s="2">
        <f t="shared" si="65"/>
        <v>0</v>
      </c>
      <c r="BK36" s="2">
        <f t="shared" si="65"/>
        <v>0</v>
      </c>
      <c r="BL36" s="2">
        <f t="shared" si="65"/>
        <v>0</v>
      </c>
      <c r="BM36" s="2">
        <f t="shared" si="65"/>
        <v>0</v>
      </c>
      <c r="BN36" s="2">
        <f t="shared" si="65"/>
        <v>0</v>
      </c>
      <c r="BO36" s="2">
        <f t="shared" si="65"/>
        <v>0</v>
      </c>
    </row>
    <row r="37" spans="1:67">
      <c r="A37" s="50">
        <f t="shared" si="2"/>
        <v>37</v>
      </c>
      <c r="B37" s="51">
        <v>383</v>
      </c>
      <c r="C37" s="36" t="s">
        <v>155</v>
      </c>
      <c r="D37" s="28" t="s">
        <v>249</v>
      </c>
      <c r="E37" s="432">
        <f>PROFORMA!AV276</f>
        <v>0</v>
      </c>
      <c r="F37" s="60" t="s">
        <v>449</v>
      </c>
      <c r="G37" s="60" t="s">
        <v>435</v>
      </c>
      <c r="H37" s="2">
        <f t="shared" si="54"/>
        <v>0</v>
      </c>
      <c r="I37" s="2">
        <f t="shared" si="55"/>
        <v>0</v>
      </c>
      <c r="J37" s="2">
        <f t="shared" si="55"/>
        <v>0</v>
      </c>
      <c r="K37" s="2">
        <f t="shared" si="55"/>
        <v>0</v>
      </c>
      <c r="L37" s="2">
        <f t="shared" si="55"/>
        <v>0</v>
      </c>
      <c r="M37" s="2">
        <f t="shared" si="55"/>
        <v>0</v>
      </c>
      <c r="N37" s="2">
        <f t="shared" si="55"/>
        <v>0</v>
      </c>
      <c r="O37" s="2"/>
      <c r="P37" s="61" t="str">
        <f t="shared" si="66"/>
        <v>E37*     "</v>
      </c>
      <c r="Q37" s="61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6">
        <f t="shared" si="3"/>
        <v>0</v>
      </c>
      <c r="AK37" s="2">
        <f t="shared" si="58"/>
        <v>0</v>
      </c>
      <c r="AL37" s="2">
        <f t="shared" si="59"/>
        <v>0</v>
      </c>
      <c r="AM37" s="2">
        <f t="shared" si="59"/>
        <v>0</v>
      </c>
      <c r="AN37" s="2">
        <f t="shared" si="59"/>
        <v>0</v>
      </c>
      <c r="AO37" s="2">
        <f t="shared" si="59"/>
        <v>0</v>
      </c>
      <c r="AP37" s="2"/>
      <c r="AQ37" s="61" t="str">
        <f t="shared" si="67"/>
        <v>E37*      "</v>
      </c>
      <c r="AS37" s="2">
        <f t="shared" si="60"/>
        <v>0</v>
      </c>
      <c r="AT37" s="2">
        <f t="shared" si="61"/>
        <v>0</v>
      </c>
      <c r="AU37" s="2">
        <f t="shared" si="61"/>
        <v>0</v>
      </c>
      <c r="AV37" s="2">
        <f t="shared" si="61"/>
        <v>0</v>
      </c>
      <c r="AW37" s="2">
        <f t="shared" si="61"/>
        <v>0</v>
      </c>
      <c r="AX37" s="2">
        <f t="shared" si="61"/>
        <v>0</v>
      </c>
      <c r="AY37" s="2">
        <f t="shared" si="61"/>
        <v>0</v>
      </c>
      <c r="BA37" s="2">
        <f t="shared" si="62"/>
        <v>0</v>
      </c>
      <c r="BB37" s="2">
        <f t="shared" si="63"/>
        <v>0</v>
      </c>
      <c r="BC37" s="2">
        <f t="shared" si="63"/>
        <v>0</v>
      </c>
      <c r="BD37" s="2">
        <f t="shared" si="63"/>
        <v>0</v>
      </c>
      <c r="BE37" s="2">
        <f t="shared" si="63"/>
        <v>0</v>
      </c>
      <c r="BF37" s="2">
        <f t="shared" si="63"/>
        <v>0</v>
      </c>
      <c r="BG37" s="2">
        <f t="shared" si="63"/>
        <v>0</v>
      </c>
      <c r="BI37" s="2">
        <f t="shared" si="64"/>
        <v>0</v>
      </c>
      <c r="BJ37" s="2">
        <f t="shared" si="65"/>
        <v>0</v>
      </c>
      <c r="BK37" s="2">
        <f t="shared" si="65"/>
        <v>0</v>
      </c>
      <c r="BL37" s="2">
        <f t="shared" si="65"/>
        <v>0</v>
      </c>
      <c r="BM37" s="2">
        <f t="shared" si="65"/>
        <v>0</v>
      </c>
      <c r="BN37" s="2">
        <f t="shared" si="65"/>
        <v>0</v>
      </c>
      <c r="BO37" s="2">
        <f t="shared" si="65"/>
        <v>0</v>
      </c>
    </row>
    <row r="38" spans="1:67">
      <c r="A38" s="50">
        <f t="shared" si="2"/>
        <v>38</v>
      </c>
      <c r="B38" s="51">
        <v>384</v>
      </c>
      <c r="C38" s="36" t="s">
        <v>155</v>
      </c>
      <c r="D38" s="28" t="s">
        <v>250</v>
      </c>
      <c r="E38" s="432">
        <f>PROFORMA!AV277</f>
        <v>0</v>
      </c>
      <c r="F38" s="60" t="s">
        <v>446</v>
      </c>
      <c r="G38" s="60" t="s">
        <v>435</v>
      </c>
      <c r="H38" s="2">
        <f t="shared" si="54"/>
        <v>0</v>
      </c>
      <c r="I38" s="2">
        <f t="shared" si="55"/>
        <v>0</v>
      </c>
      <c r="J38" s="2">
        <f t="shared" si="55"/>
        <v>0</v>
      </c>
      <c r="K38" s="2">
        <f t="shared" si="55"/>
        <v>0</v>
      </c>
      <c r="L38" s="2">
        <f t="shared" si="55"/>
        <v>0</v>
      </c>
      <c r="M38" s="2">
        <f t="shared" si="55"/>
        <v>0</v>
      </c>
      <c r="N38" s="2">
        <f t="shared" si="55"/>
        <v>0</v>
      </c>
      <c r="O38" s="2"/>
      <c r="P38" s="61" t="str">
        <f t="shared" si="66"/>
        <v>E38*     "</v>
      </c>
      <c r="Q38" s="61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>
        <v>1</v>
      </c>
      <c r="AC38" s="79"/>
      <c r="AD38" s="79"/>
      <c r="AE38" s="79"/>
      <c r="AF38" s="79"/>
      <c r="AG38" s="79"/>
      <c r="AH38" s="79"/>
      <c r="AI38" s="76">
        <f t="shared" si="3"/>
        <v>0</v>
      </c>
      <c r="AK38" s="2">
        <f t="shared" si="58"/>
        <v>0</v>
      </c>
      <c r="AL38" s="2">
        <f t="shared" si="59"/>
        <v>0</v>
      </c>
      <c r="AM38" s="2">
        <f t="shared" si="59"/>
        <v>0</v>
      </c>
      <c r="AN38" s="2">
        <f t="shared" si="59"/>
        <v>0</v>
      </c>
      <c r="AO38" s="2">
        <f t="shared" si="59"/>
        <v>0</v>
      </c>
      <c r="AP38" s="2"/>
      <c r="AQ38" s="61" t="str">
        <f t="shared" si="67"/>
        <v>E38*      "</v>
      </c>
      <c r="AS38" s="2">
        <f t="shared" si="60"/>
        <v>0</v>
      </c>
      <c r="AT38" s="2">
        <f t="shared" si="61"/>
        <v>0</v>
      </c>
      <c r="AU38" s="2">
        <f t="shared" si="61"/>
        <v>0</v>
      </c>
      <c r="AV38" s="2">
        <f t="shared" si="61"/>
        <v>0</v>
      </c>
      <c r="AW38" s="2">
        <f t="shared" si="61"/>
        <v>0</v>
      </c>
      <c r="AX38" s="2">
        <f t="shared" si="61"/>
        <v>0</v>
      </c>
      <c r="AY38" s="2">
        <f t="shared" si="61"/>
        <v>0</v>
      </c>
      <c r="BA38" s="2">
        <f t="shared" si="62"/>
        <v>0</v>
      </c>
      <c r="BB38" s="2">
        <f t="shared" si="63"/>
        <v>0</v>
      </c>
      <c r="BC38" s="2">
        <f t="shared" si="63"/>
        <v>0</v>
      </c>
      <c r="BD38" s="2">
        <f t="shared" si="63"/>
        <v>0</v>
      </c>
      <c r="BE38" s="2">
        <f t="shared" si="63"/>
        <v>0</v>
      </c>
      <c r="BF38" s="2">
        <f t="shared" si="63"/>
        <v>0</v>
      </c>
      <c r="BG38" s="2">
        <f t="shared" si="63"/>
        <v>0</v>
      </c>
      <c r="BI38" s="2">
        <f t="shared" si="64"/>
        <v>0</v>
      </c>
      <c r="BJ38" s="2">
        <f t="shared" si="65"/>
        <v>0</v>
      </c>
      <c r="BK38" s="2">
        <f t="shared" si="65"/>
        <v>0</v>
      </c>
      <c r="BL38" s="2">
        <f t="shared" si="65"/>
        <v>0</v>
      </c>
      <c r="BM38" s="2">
        <f t="shared" si="65"/>
        <v>0</v>
      </c>
      <c r="BN38" s="2">
        <f t="shared" si="65"/>
        <v>0</v>
      </c>
      <c r="BO38" s="2">
        <f t="shared" si="65"/>
        <v>0</v>
      </c>
    </row>
    <row r="39" spans="1:67">
      <c r="A39" s="50">
        <f t="shared" si="2"/>
        <v>39</v>
      </c>
      <c r="B39" s="51">
        <v>385</v>
      </c>
      <c r="C39" s="36" t="s">
        <v>155</v>
      </c>
      <c r="D39" s="28" t="s">
        <v>251</v>
      </c>
      <c r="E39" s="432">
        <f>PROFORMA!AV278</f>
        <v>2874000</v>
      </c>
      <c r="F39" s="60" t="s">
        <v>450</v>
      </c>
      <c r="G39" s="60" t="s">
        <v>434</v>
      </c>
      <c r="H39" s="2">
        <f t="shared" si="54"/>
        <v>2874000</v>
      </c>
      <c r="I39" s="2">
        <f t="shared" si="55"/>
        <v>0</v>
      </c>
      <c r="J39" s="2">
        <f t="shared" si="55"/>
        <v>2498589.1819886658</v>
      </c>
      <c r="K39" s="2">
        <f t="shared" si="55"/>
        <v>0</v>
      </c>
      <c r="L39" s="2">
        <f t="shared" si="55"/>
        <v>39643.30791843465</v>
      </c>
      <c r="M39" s="2">
        <f t="shared" si="55"/>
        <v>335767.51009289961</v>
      </c>
      <c r="N39" s="2">
        <f t="shared" si="55"/>
        <v>0</v>
      </c>
      <c r="O39" s="2"/>
      <c r="P39" s="61" t="str">
        <f t="shared" si="66"/>
        <v>E39*     "</v>
      </c>
      <c r="Q39" s="61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>
        <v>1</v>
      </c>
      <c r="AG39" s="79"/>
      <c r="AH39" s="79"/>
      <c r="AI39" s="76">
        <f t="shared" si="3"/>
        <v>0</v>
      </c>
      <c r="AK39" s="2">
        <f t="shared" si="58"/>
        <v>2874000</v>
      </c>
      <c r="AL39" s="2">
        <f t="shared" si="59"/>
        <v>0</v>
      </c>
      <c r="AM39" s="2">
        <f t="shared" si="59"/>
        <v>0</v>
      </c>
      <c r="AN39" s="2">
        <f t="shared" si="59"/>
        <v>2874000</v>
      </c>
      <c r="AO39" s="2">
        <f t="shared" si="59"/>
        <v>0</v>
      </c>
      <c r="AP39" s="2"/>
      <c r="AQ39" s="61" t="str">
        <f t="shared" si="67"/>
        <v>E39*      "</v>
      </c>
      <c r="AS39" s="2">
        <f t="shared" si="60"/>
        <v>0</v>
      </c>
      <c r="AT39" s="2">
        <f t="shared" si="61"/>
        <v>0</v>
      </c>
      <c r="AU39" s="2">
        <f t="shared" si="61"/>
        <v>0</v>
      </c>
      <c r="AV39" s="2">
        <f t="shared" si="61"/>
        <v>0</v>
      </c>
      <c r="AW39" s="2">
        <f t="shared" si="61"/>
        <v>0</v>
      </c>
      <c r="AX39" s="2">
        <f t="shared" si="61"/>
        <v>0</v>
      </c>
      <c r="AY39" s="2">
        <f t="shared" si="61"/>
        <v>0</v>
      </c>
      <c r="BA39" s="2">
        <f t="shared" si="62"/>
        <v>0</v>
      </c>
      <c r="BB39" s="2">
        <f t="shared" si="63"/>
        <v>0</v>
      </c>
      <c r="BC39" s="2">
        <f t="shared" si="63"/>
        <v>0</v>
      </c>
      <c r="BD39" s="2">
        <f t="shared" si="63"/>
        <v>0</v>
      </c>
      <c r="BE39" s="2">
        <f t="shared" si="63"/>
        <v>0</v>
      </c>
      <c r="BF39" s="2">
        <f t="shared" si="63"/>
        <v>0</v>
      </c>
      <c r="BG39" s="2">
        <f t="shared" si="63"/>
        <v>0</v>
      </c>
      <c r="BI39" s="2">
        <f t="shared" si="64"/>
        <v>2874000</v>
      </c>
      <c r="BJ39" s="2">
        <f t="shared" si="65"/>
        <v>0</v>
      </c>
      <c r="BK39" s="2">
        <f t="shared" si="65"/>
        <v>2498589.1819886658</v>
      </c>
      <c r="BL39" s="2">
        <f t="shared" si="65"/>
        <v>0</v>
      </c>
      <c r="BM39" s="2">
        <f t="shared" si="65"/>
        <v>39643.30791843465</v>
      </c>
      <c r="BN39" s="2">
        <f t="shared" si="65"/>
        <v>335767.51009289961</v>
      </c>
      <c r="BO39" s="2">
        <f t="shared" si="65"/>
        <v>0</v>
      </c>
    </row>
    <row r="40" spans="1:67">
      <c r="A40" s="50">
        <f t="shared" si="2"/>
        <v>40</v>
      </c>
      <c r="B40" s="51">
        <v>387</v>
      </c>
      <c r="C40" s="36" t="s">
        <v>155</v>
      </c>
      <c r="D40" s="28" t="s">
        <v>243</v>
      </c>
      <c r="E40" s="432">
        <f>PROFORMA!AV279</f>
        <v>0</v>
      </c>
      <c r="F40" s="60" t="str">
        <f>"as other Dist Plt ("&amp;A$29&amp;"-"&amp;A$39&amp;")"</f>
        <v>as other Dist Plt (29-39)</v>
      </c>
      <c r="G40" s="60"/>
      <c r="H40" s="2">
        <f t="shared" si="54"/>
        <v>0</v>
      </c>
      <c r="I40" s="2">
        <f t="shared" si="55"/>
        <v>0</v>
      </c>
      <c r="J40" s="2">
        <f t="shared" si="55"/>
        <v>0</v>
      </c>
      <c r="K40" s="2">
        <f t="shared" si="55"/>
        <v>0</v>
      </c>
      <c r="L40" s="2">
        <f t="shared" si="55"/>
        <v>0</v>
      </c>
      <c r="M40" s="2">
        <f t="shared" si="55"/>
        <v>0</v>
      </c>
      <c r="N40" s="2">
        <f t="shared" si="55"/>
        <v>0</v>
      </c>
      <c r="O40" s="2"/>
      <c r="P40" s="61" t="str">
        <f t="shared" si="66"/>
        <v>E40*     "</v>
      </c>
      <c r="Q40" s="61"/>
      <c r="R40" s="15">
        <f>SUMPRODUCT($E$29:$E$39,R$29:R$39)/SUM($E$29:$E$39)</f>
        <v>0.18032917602090975</v>
      </c>
      <c r="S40" s="15">
        <f t="shared" ref="S40:AH40" si="68">SUMPRODUCT($E$29:$E$39,S$29:S$39)/SUM($E$29:$E$39)</f>
        <v>0</v>
      </c>
      <c r="T40" s="15">
        <f t="shared" si="68"/>
        <v>0</v>
      </c>
      <c r="U40" s="15">
        <f t="shared" si="68"/>
        <v>0</v>
      </c>
      <c r="V40" s="15">
        <f t="shared" si="68"/>
        <v>0</v>
      </c>
      <c r="W40" s="15">
        <f t="shared" si="68"/>
        <v>0.33248662332325996</v>
      </c>
      <c r="X40" s="15">
        <f t="shared" si="68"/>
        <v>0</v>
      </c>
      <c r="Y40" s="15">
        <f t="shared" si="68"/>
        <v>0</v>
      </c>
      <c r="Z40" s="15">
        <f t="shared" si="68"/>
        <v>0</v>
      </c>
      <c r="AA40" s="15">
        <f t="shared" si="68"/>
        <v>0</v>
      </c>
      <c r="AB40" s="15">
        <f t="shared" si="68"/>
        <v>0</v>
      </c>
      <c r="AC40" s="15">
        <f t="shared" si="68"/>
        <v>0.34784812665025233</v>
      </c>
      <c r="AD40" s="15">
        <f t="shared" si="68"/>
        <v>0.13399956178953271</v>
      </c>
      <c r="AE40" s="15">
        <f t="shared" si="68"/>
        <v>0</v>
      </c>
      <c r="AF40" s="15">
        <f t="shared" si="68"/>
        <v>5.3365122160451877E-3</v>
      </c>
      <c r="AG40" s="15">
        <f t="shared" si="68"/>
        <v>0</v>
      </c>
      <c r="AH40" s="15">
        <f t="shared" si="68"/>
        <v>0</v>
      </c>
      <c r="AI40" s="76">
        <f t="shared" ref="AI40:AI71" si="69">IF(SUM(R40:AH40)&lt;&gt;0,(ROUND(SUM(R40:AH40),8)&lt;&gt;1)+0,0)</f>
        <v>0</v>
      </c>
      <c r="AK40" s="2">
        <f t="shared" si="58"/>
        <v>0</v>
      </c>
      <c r="AL40" s="2">
        <f t="shared" si="59"/>
        <v>0</v>
      </c>
      <c r="AM40" s="2">
        <f t="shared" si="59"/>
        <v>0</v>
      </c>
      <c r="AN40" s="2">
        <f t="shared" si="59"/>
        <v>0</v>
      </c>
      <c r="AO40" s="2">
        <f t="shared" si="59"/>
        <v>0</v>
      </c>
      <c r="AP40" s="2"/>
      <c r="AQ40" s="61" t="str">
        <f t="shared" si="67"/>
        <v>E40*      "</v>
      </c>
      <c r="AS40" s="2">
        <f t="shared" si="60"/>
        <v>0</v>
      </c>
      <c r="AT40" s="2">
        <f t="shared" si="61"/>
        <v>0</v>
      </c>
      <c r="AU40" s="2">
        <f t="shared" si="61"/>
        <v>0</v>
      </c>
      <c r="AV40" s="2">
        <f t="shared" si="61"/>
        <v>0</v>
      </c>
      <c r="AW40" s="2">
        <f t="shared" si="61"/>
        <v>0</v>
      </c>
      <c r="AX40" s="2">
        <f t="shared" si="61"/>
        <v>0</v>
      </c>
      <c r="AY40" s="2">
        <f t="shared" si="61"/>
        <v>0</v>
      </c>
      <c r="BA40" s="2">
        <f t="shared" si="62"/>
        <v>0</v>
      </c>
      <c r="BB40" s="2">
        <f t="shared" si="63"/>
        <v>0</v>
      </c>
      <c r="BC40" s="2">
        <f t="shared" si="63"/>
        <v>0</v>
      </c>
      <c r="BD40" s="2">
        <f t="shared" si="63"/>
        <v>0</v>
      </c>
      <c r="BE40" s="2">
        <f t="shared" si="63"/>
        <v>0</v>
      </c>
      <c r="BF40" s="2">
        <f t="shared" si="63"/>
        <v>0</v>
      </c>
      <c r="BG40" s="2">
        <f t="shared" si="63"/>
        <v>0</v>
      </c>
      <c r="BI40" s="2">
        <f t="shared" si="64"/>
        <v>0</v>
      </c>
      <c r="BJ40" s="2">
        <f t="shared" si="65"/>
        <v>0</v>
      </c>
      <c r="BK40" s="2">
        <f t="shared" si="65"/>
        <v>0</v>
      </c>
      <c r="BL40" s="2">
        <f t="shared" si="65"/>
        <v>0</v>
      </c>
      <c r="BM40" s="2">
        <f t="shared" si="65"/>
        <v>0</v>
      </c>
      <c r="BN40" s="2">
        <f t="shared" si="65"/>
        <v>0</v>
      </c>
      <c r="BO40" s="2">
        <f t="shared" si="65"/>
        <v>0</v>
      </c>
    </row>
    <row r="41" spans="1:67">
      <c r="A41" s="50">
        <f t="shared" si="2"/>
        <v>41</v>
      </c>
      <c r="B41" s="51"/>
      <c r="D41" s="52" t="s">
        <v>92</v>
      </c>
      <c r="E41" s="4">
        <f>SUM(E27:E40)</f>
        <v>539768000</v>
      </c>
      <c r="F41" s="60"/>
      <c r="G41" s="60" t="s">
        <v>420</v>
      </c>
      <c r="H41" s="4">
        <f>IF(ROUND(SUM(H26:H40),3)&lt;&gt;ROUND(SUM(I41:N41),3),#VALUE!,SUM(H26:H40))</f>
        <v>539767999.99999988</v>
      </c>
      <c r="I41" s="4">
        <f t="shared" ref="I41:N41" si="70">SUM(I26:I40)</f>
        <v>427736262.99208814</v>
      </c>
      <c r="J41" s="4">
        <f t="shared" si="70"/>
        <v>79218704.346197128</v>
      </c>
      <c r="K41" s="4">
        <f t="shared" si="70"/>
        <v>0</v>
      </c>
      <c r="L41" s="4">
        <f t="shared" si="70"/>
        <v>1045412.4593359743</v>
      </c>
      <c r="M41" s="4">
        <f>SUM(M26:M40)</f>
        <v>31767620.202378694</v>
      </c>
      <c r="N41" s="4">
        <f t="shared" si="70"/>
        <v>0</v>
      </c>
      <c r="O41" s="5"/>
      <c r="P41" s="61" t="str">
        <f>$A26&amp;":"&amp;A40</f>
        <v>26:40</v>
      </c>
      <c r="Q41" s="61"/>
      <c r="R41" s="13">
        <f>SUMPRODUCT($E27:$E40,R$27:R$40)/$E41</f>
        <v>0.18032917602090978</v>
      </c>
      <c r="S41" s="13">
        <f t="shared" ref="S41:AH41" si="71">SUMPRODUCT($E27:$E40,S$27:S$40)/$E41</f>
        <v>0</v>
      </c>
      <c r="T41" s="13">
        <f>SUMPRODUCT($E27:$E40,T$27:T$40)/$E41</f>
        <v>0</v>
      </c>
      <c r="U41" s="13">
        <f t="shared" si="71"/>
        <v>0</v>
      </c>
      <c r="V41" s="13">
        <f t="shared" si="71"/>
        <v>0</v>
      </c>
      <c r="W41" s="13">
        <f t="shared" si="71"/>
        <v>0.33248662332325996</v>
      </c>
      <c r="X41" s="13">
        <f t="shared" si="71"/>
        <v>0</v>
      </c>
      <c r="Y41" s="13">
        <f t="shared" si="71"/>
        <v>0</v>
      </c>
      <c r="Z41" s="13">
        <f>SUMPRODUCT($E27:$E40,Z$27:Z$40)/$E41</f>
        <v>0</v>
      </c>
      <c r="AA41" s="13">
        <f t="shared" si="71"/>
        <v>0</v>
      </c>
      <c r="AB41" s="13">
        <f t="shared" si="71"/>
        <v>0</v>
      </c>
      <c r="AC41" s="13">
        <f t="shared" si="71"/>
        <v>0.34784812665025233</v>
      </c>
      <c r="AD41" s="13">
        <f t="shared" si="71"/>
        <v>0.13399956178953271</v>
      </c>
      <c r="AE41" s="13">
        <f t="shared" si="71"/>
        <v>0</v>
      </c>
      <c r="AF41" s="13">
        <f t="shared" si="71"/>
        <v>5.3365122160451877E-3</v>
      </c>
      <c r="AG41" s="13">
        <f t="shared" si="71"/>
        <v>0</v>
      </c>
      <c r="AH41" s="13">
        <f t="shared" si="71"/>
        <v>0</v>
      </c>
      <c r="AI41" s="76">
        <f t="shared" si="69"/>
        <v>0</v>
      </c>
      <c r="AK41" s="4">
        <f>IF(ROUND(SUM(AK26:AK40),3)&lt;&gt;ROUND(SUM(AL41:AO41),3),#VALUE!,SUM(AK26:AK40))</f>
        <v>539768000</v>
      </c>
      <c r="AL41" s="4">
        <f>SUM(AL26:AL40)</f>
        <v>97335918.682454437</v>
      </c>
      <c r="AM41" s="4">
        <f>SUM(AM26:AM40)</f>
        <v>179465639.69794938</v>
      </c>
      <c r="AN41" s="4">
        <f>SUM(AN26:AN40)</f>
        <v>262966441.61959618</v>
      </c>
      <c r="AO41" s="4">
        <f>SUM(AO26:AO40)</f>
        <v>0</v>
      </c>
      <c r="AP41" s="5"/>
      <c r="AQ41" s="61" t="str">
        <f>$A26&amp;":"&amp;$A40</f>
        <v>26:40</v>
      </c>
      <c r="AS41" s="4">
        <f>IF(ROUND(SUM(AS26:AS40),3)&lt;&gt;ROUND(SUM(AT41:AY41),3),#VALUE!,SUM(AS26:AS40))</f>
        <v>97335918.682454437</v>
      </c>
      <c r="AT41" s="4">
        <f t="shared" ref="AT41:AY41" si="72">SUM(AT26:AT40)</f>
        <v>56410677.430295683</v>
      </c>
      <c r="AU41" s="4">
        <f t="shared" si="72"/>
        <v>25275557.995423127</v>
      </c>
      <c r="AV41" s="4">
        <f t="shared" si="72"/>
        <v>0</v>
      </c>
      <c r="AW41" s="4">
        <f t="shared" si="72"/>
        <v>407281.76346004254</v>
      </c>
      <c r="AX41" s="4">
        <f t="shared" si="72"/>
        <v>15242401.493275581</v>
      </c>
      <c r="AY41" s="4">
        <f t="shared" si="72"/>
        <v>0</v>
      </c>
      <c r="BA41" s="4">
        <f>IF(ROUND(SUM(BA26:BA40),3)&lt;&gt;ROUND(SUM(BB41:BG41),3),#VALUE!,SUM(BA26:BA40))</f>
        <v>179465639.69794938</v>
      </c>
      <c r="BB41" s="4">
        <f t="shared" ref="BB41:BG41" si="73">SUM(BB26:BB40)</f>
        <v>122540615.05214503</v>
      </c>
      <c r="BC41" s="4">
        <f t="shared" si="73"/>
        <v>41476909.927324988</v>
      </c>
      <c r="BD41" s="4">
        <f t="shared" si="73"/>
        <v>0</v>
      </c>
      <c r="BE41" s="4">
        <f t="shared" si="73"/>
        <v>521065.42031241034</v>
      </c>
      <c r="BF41" s="4">
        <f t="shared" si="73"/>
        <v>14927049.298166933</v>
      </c>
      <c r="BG41" s="4">
        <f t="shared" si="73"/>
        <v>0</v>
      </c>
      <c r="BI41" s="4">
        <f>IF(ROUND(SUM(BI26:BI40),3)&lt;&gt;ROUND(SUM(BJ41:BO41),3),#VALUE!,SUM(BI26:BI40))</f>
        <v>262966441.61959618</v>
      </c>
      <c r="BJ41" s="4">
        <f t="shared" ref="BJ41:BO41" si="74">SUM(BJ26:BJ40)</f>
        <v>248784970.50964746</v>
      </c>
      <c r="BK41" s="4">
        <f t="shared" si="74"/>
        <v>12466236.423449019</v>
      </c>
      <c r="BL41" s="4">
        <f t="shared" si="74"/>
        <v>0</v>
      </c>
      <c r="BM41" s="4">
        <f t="shared" si="74"/>
        <v>117065.27556352154</v>
      </c>
      <c r="BN41" s="4">
        <f t="shared" si="74"/>
        <v>1598169.4109361828</v>
      </c>
      <c r="BO41" s="4">
        <f t="shared" si="74"/>
        <v>0</v>
      </c>
    </row>
    <row r="42" spans="1:67">
      <c r="A42" s="50">
        <f t="shared" si="2"/>
        <v>42</v>
      </c>
      <c r="B42" s="51"/>
      <c r="E42" s="2"/>
      <c r="F42" s="60"/>
      <c r="G42" s="60"/>
      <c r="H42" s="77">
        <f t="shared" ref="H42:N42" si="75">H41/$H41</f>
        <v>1</v>
      </c>
      <c r="I42" s="77">
        <f t="shared" si="75"/>
        <v>0.79244464842689499</v>
      </c>
      <c r="J42" s="77">
        <f t="shared" si="75"/>
        <v>0.14676435866186427</v>
      </c>
      <c r="K42" s="77">
        <f t="shared" si="75"/>
        <v>0</v>
      </c>
      <c r="L42" s="77">
        <f t="shared" si="75"/>
        <v>1.9367810973158366E-3</v>
      </c>
      <c r="M42" s="77">
        <f t="shared" si="75"/>
        <v>5.8854211813925056E-2</v>
      </c>
      <c r="N42" s="77">
        <f t="shared" si="75"/>
        <v>0</v>
      </c>
      <c r="P42" s="61"/>
      <c r="Q42" s="61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76">
        <f t="shared" si="69"/>
        <v>0</v>
      </c>
      <c r="AL42" s="77"/>
      <c r="AM42" s="77"/>
      <c r="AN42" s="77"/>
      <c r="AO42" s="77"/>
      <c r="AQ42" s="61"/>
      <c r="AT42" s="77">
        <f t="shared" ref="AT42:AY42" si="76">IF(I41,AT41/I41,0)</f>
        <v>0.1318819148876772</v>
      </c>
      <c r="AU42" s="77">
        <f t="shared" si="76"/>
        <v>0.31906048204178278</v>
      </c>
      <c r="AV42" s="77">
        <f t="shared" si="76"/>
        <v>0</v>
      </c>
      <c r="AW42" s="77">
        <f t="shared" si="76"/>
        <v>0.38958954412953906</v>
      </c>
      <c r="AX42" s="77">
        <f t="shared" si="76"/>
        <v>0.47980935922087931</v>
      </c>
      <c r="AY42" s="77">
        <f t="shared" si="76"/>
        <v>0</v>
      </c>
      <c r="BB42" s="77">
        <f t="shared" ref="BB42:BG42" si="77">IF(I41,BB41/I41,0)</f>
        <v>0.28648638344327537</v>
      </c>
      <c r="BC42" s="77">
        <f t="shared" si="77"/>
        <v>0.5235747071305904</v>
      </c>
      <c r="BD42" s="77">
        <f t="shared" si="77"/>
        <v>0</v>
      </c>
      <c r="BE42" s="77">
        <f t="shared" si="77"/>
        <v>0.49843046699805066</v>
      </c>
      <c r="BF42" s="77">
        <f t="shared" si="77"/>
        <v>0.46988251568964634</v>
      </c>
      <c r="BG42" s="77">
        <f t="shared" si="77"/>
        <v>0</v>
      </c>
      <c r="BJ42" s="77">
        <f t="shared" ref="BJ42:BO42" si="78">IF(I41,BJ41/I41,0)</f>
        <v>0.58163170166904754</v>
      </c>
      <c r="BK42" s="77">
        <f t="shared" si="78"/>
        <v>0.15736481082762693</v>
      </c>
      <c r="BL42" s="77">
        <f t="shared" si="78"/>
        <v>0</v>
      </c>
      <c r="BM42" s="77">
        <f t="shared" si="78"/>
        <v>0.11197998887241035</v>
      </c>
      <c r="BN42" s="77">
        <f t="shared" si="78"/>
        <v>5.0308125089474444E-2</v>
      </c>
      <c r="BO42" s="77">
        <f t="shared" si="78"/>
        <v>0</v>
      </c>
    </row>
    <row r="43" spans="1:67">
      <c r="A43" s="50">
        <f t="shared" si="2"/>
        <v>43</v>
      </c>
      <c r="B43" s="51"/>
      <c r="D43" t="s">
        <v>403</v>
      </c>
      <c r="E43" s="2">
        <f>E24+E41</f>
        <v>571524000</v>
      </c>
      <c r="F43" s="60" t="str">
        <f>"("&amp;A$24&amp;"+"&amp;A$41&amp;")"</f>
        <v>(24+41)</v>
      </c>
      <c r="G43" s="60" t="s">
        <v>404</v>
      </c>
      <c r="H43" s="2">
        <f>H24+H41</f>
        <v>571523999.99999988</v>
      </c>
      <c r="I43" s="2">
        <f t="shared" ref="I43:N43" si="79">I24+I41</f>
        <v>450851627.37958908</v>
      </c>
      <c r="J43" s="2">
        <f t="shared" si="79"/>
        <v>87297164.29811345</v>
      </c>
      <c r="K43" s="2">
        <f t="shared" si="79"/>
        <v>0</v>
      </c>
      <c r="L43" s="2">
        <f t="shared" si="79"/>
        <v>1162433.1662544105</v>
      </c>
      <c r="M43" s="2">
        <f t="shared" si="79"/>
        <v>32212775.156043004</v>
      </c>
      <c r="N43" s="2">
        <f t="shared" si="79"/>
        <v>0</v>
      </c>
      <c r="O43" s="2"/>
      <c r="P43" s="61"/>
      <c r="Q43" s="61"/>
      <c r="R43" s="14">
        <f>($E24*R24+$E41*R41)/$E43</f>
        <v>0.17030941602181962</v>
      </c>
      <c r="S43" s="14">
        <f>($E24*S24+$E41*S41)/$E43</f>
        <v>0</v>
      </c>
      <c r="T43" s="14">
        <f t="shared" ref="T43:AH43" si="80">($E24*T24+$E41*T41)/$E43</f>
        <v>7.2232837116201591E-3</v>
      </c>
      <c r="U43" s="14">
        <f>($E24*U24+$E41*U41)/$E43</f>
        <v>4.834043714699645E-2</v>
      </c>
      <c r="V43" s="14">
        <f>($E24*V24+$E41*V41)/$E43</f>
        <v>0</v>
      </c>
      <c r="W43" s="14">
        <f t="shared" si="80"/>
        <v>0.31401242939570234</v>
      </c>
      <c r="X43" s="14">
        <f t="shared" si="80"/>
        <v>0</v>
      </c>
      <c r="Y43" s="14">
        <f>($E24*Y24+$E41*Y41)/$E43</f>
        <v>0</v>
      </c>
      <c r="Z43" s="14">
        <f t="shared" si="80"/>
        <v>0</v>
      </c>
      <c r="AA43" s="14">
        <f t="shared" si="80"/>
        <v>0</v>
      </c>
      <c r="AB43" s="14">
        <f t="shared" si="80"/>
        <v>0</v>
      </c>
      <c r="AC43" s="14">
        <f t="shared" si="80"/>
        <v>0.32852039043986497</v>
      </c>
      <c r="AD43" s="14">
        <f t="shared" si="80"/>
        <v>0.12655404754308217</v>
      </c>
      <c r="AE43" s="14">
        <f t="shared" si="80"/>
        <v>0</v>
      </c>
      <c r="AF43" s="14">
        <f t="shared" si="80"/>
        <v>5.0399957409142547E-3</v>
      </c>
      <c r="AG43" s="14">
        <f>($E24*AG24+$E41*AG41)/$E43</f>
        <v>0</v>
      </c>
      <c r="AH43" s="14">
        <f t="shared" si="80"/>
        <v>0</v>
      </c>
      <c r="AI43" s="76">
        <f t="shared" si="69"/>
        <v>0</v>
      </c>
      <c r="AP43" s="2"/>
      <c r="AQ43" s="61"/>
      <c r="AS43" s="2"/>
      <c r="AT43" s="2"/>
      <c r="AU43" s="2"/>
      <c r="AV43" s="2"/>
      <c r="AW43" s="2"/>
      <c r="AX43" s="2"/>
      <c r="AY43" s="2"/>
      <c r="BA43" s="2"/>
      <c r="BB43" s="2"/>
      <c r="BC43" s="2"/>
      <c r="BD43" s="2"/>
      <c r="BE43" s="2"/>
      <c r="BF43" s="2"/>
      <c r="BG43" s="2"/>
      <c r="BI43" s="2"/>
      <c r="BJ43" s="2"/>
      <c r="BK43" s="2"/>
      <c r="BL43" s="2"/>
      <c r="BM43" s="2"/>
      <c r="BN43" s="2"/>
      <c r="BO43" s="2"/>
    </row>
    <row r="44" spans="1:67">
      <c r="A44" s="50">
        <f t="shared" si="2"/>
        <v>44</v>
      </c>
      <c r="B44" s="51"/>
      <c r="E44" s="2"/>
      <c r="F44" s="60"/>
      <c r="G44" s="60"/>
      <c r="P44" s="61"/>
      <c r="Q44" s="61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76">
        <f t="shared" si="69"/>
        <v>0</v>
      </c>
      <c r="AQ44" s="61"/>
    </row>
    <row r="45" spans="1:67">
      <c r="A45" s="50">
        <f t="shared" si="2"/>
        <v>45</v>
      </c>
      <c r="B45" s="51"/>
      <c r="D45" t="s">
        <v>93</v>
      </c>
      <c r="E45" s="9"/>
      <c r="F45" s="60"/>
      <c r="G45" s="60"/>
      <c r="P45" s="61"/>
      <c r="Q45" s="61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76">
        <f t="shared" si="69"/>
        <v>0</v>
      </c>
      <c r="AQ45" s="61"/>
    </row>
    <row r="46" spans="1:67">
      <c r="A46" s="50">
        <f t="shared" si="2"/>
        <v>46</v>
      </c>
      <c r="B46" s="51">
        <v>389</v>
      </c>
      <c r="C46" s="36" t="s">
        <v>152</v>
      </c>
      <c r="D46" s="28" t="s">
        <v>88</v>
      </c>
      <c r="E46" s="432">
        <f>PROFORMA!AV283</f>
        <v>4988000</v>
      </c>
      <c r="F46" s="61" t="s">
        <v>1159</v>
      </c>
      <c r="G46" s="60"/>
      <c r="H46" s="2">
        <f>SUM(I46:N46)</f>
        <v>4988000.0000000009</v>
      </c>
      <c r="I46" s="2">
        <f t="shared" ref="I46:N55" si="81">$E46*SUMPRODUCT($R46:$AH46,INDEX(AllocFactors,I$4,0))</f>
        <v>4365621.1395382835</v>
      </c>
      <c r="J46" s="2">
        <f t="shared" si="81"/>
        <v>472865.33133318799</v>
      </c>
      <c r="K46" s="2">
        <f t="shared" si="81"/>
        <v>0</v>
      </c>
      <c r="L46" s="2">
        <f t="shared" si="81"/>
        <v>5854.7570500050242</v>
      </c>
      <c r="M46" s="2">
        <f t="shared" si="81"/>
        <v>143658.77207852402</v>
      </c>
      <c r="N46" s="2">
        <f t="shared" si="81"/>
        <v>0</v>
      </c>
      <c r="O46" s="2"/>
      <c r="P46" s="61" t="s">
        <v>1160</v>
      </c>
      <c r="Q46" s="61"/>
      <c r="R46" s="14">
        <f t="shared" ref="R46:R55" si="82">(R$116*0.25)+(R$253*0.25)+(BS$252*0.25)</f>
        <v>8.8133437743971782E-2</v>
      </c>
      <c r="S46" s="14">
        <f t="shared" ref="S46:S55" si="83">(S$116*0.25)+(S$253*0.25)+(BT$252*0.25)</f>
        <v>1.48122630432825E-2</v>
      </c>
      <c r="T46" s="14">
        <f t="shared" ref="T46:AH55" si="84">(T$116*0.25)+(T$253*0.25)+(BU$252*0.25)</f>
        <v>6.2152272453224224E-3</v>
      </c>
      <c r="U46" s="14">
        <f t="shared" si="84"/>
        <v>4.15942131033116E-2</v>
      </c>
      <c r="V46" s="14">
        <f t="shared" si="84"/>
        <v>0</v>
      </c>
      <c r="W46" s="14">
        <f t="shared" si="84"/>
        <v>0.15413680450310352</v>
      </c>
      <c r="X46" s="14">
        <f t="shared" si="84"/>
        <v>0</v>
      </c>
      <c r="Y46" s="14">
        <f t="shared" si="84"/>
        <v>0</v>
      </c>
      <c r="Z46" s="14">
        <f t="shared" si="84"/>
        <v>0</v>
      </c>
      <c r="AA46" s="14">
        <f t="shared" si="84"/>
        <v>0</v>
      </c>
      <c r="AB46" s="14">
        <f>(AB$116*0.25)+(AB$253*0.25)+(CC$252*0.25)+0.25</f>
        <v>0.45505508837908676</v>
      </c>
      <c r="AC46" s="14">
        <f t="shared" si="84"/>
        <v>0.16681683403029823</v>
      </c>
      <c r="AD46" s="14">
        <f t="shared" si="84"/>
        <v>7.1278348815059178E-2</v>
      </c>
      <c r="AE46" s="14">
        <f t="shared" si="84"/>
        <v>0</v>
      </c>
      <c r="AF46" s="14">
        <f t="shared" si="84"/>
        <v>1.9577831365640468E-3</v>
      </c>
      <c r="AG46" s="14">
        <f t="shared" si="84"/>
        <v>0</v>
      </c>
      <c r="AH46" s="14">
        <f t="shared" si="84"/>
        <v>0</v>
      </c>
      <c r="AI46" s="76">
        <f t="shared" si="69"/>
        <v>0</v>
      </c>
      <c r="AK46" s="2">
        <f t="shared" ref="AK46:AK55" si="85">SUM(AL46:AO46)</f>
        <v>4988000</v>
      </c>
      <c r="AL46" s="2">
        <f t="shared" ref="AL46:AO55" si="86">SUMIF($R$4:$AH$4,AL$5,$R46:$AH46)*$E46</f>
        <v>751966.64398581081</v>
      </c>
      <c r="AM46" s="2">
        <f t="shared" si="86"/>
        <v>768834.38086148037</v>
      </c>
      <c r="AN46" s="2">
        <f t="shared" si="86"/>
        <v>3467198.9751527091</v>
      </c>
      <c r="AO46" s="2">
        <f t="shared" si="86"/>
        <v>0</v>
      </c>
      <c r="AP46" s="2"/>
      <c r="AQ46" s="61" t="str">
        <f>E$1&amp;$A46&amp;"*["&amp;R$1&amp;$A46&amp;":"&amp;$AH$1&amp;$A46&amp;" when "&amp;R$1&amp;$A$4&amp;":"&amp;$AH$1&amp;$A$4&amp;" = E,D,C,or R]"</f>
        <v>E46*[R46:AH46 when R4:AH4 = E,D,C,or R]</v>
      </c>
      <c r="AS46" s="2">
        <f t="shared" ref="AS46:AS55" si="87">SUM(AT46:AY46)</f>
        <v>751966.64398581081</v>
      </c>
      <c r="AT46" s="2">
        <f t="shared" ref="AT46:AY55" si="88">$E46*SUMPRODUCT($R46:$V46,INDEX(AllocFactors_E,AT$4,0))</f>
        <v>479129.47948645923</v>
      </c>
      <c r="AU46" s="2">
        <f t="shared" si="88"/>
        <v>197568.42993700437</v>
      </c>
      <c r="AV46" s="2">
        <f t="shared" si="88"/>
        <v>0</v>
      </c>
      <c r="AW46" s="2">
        <f t="shared" si="88"/>
        <v>3084.7785154859762</v>
      </c>
      <c r="AX46" s="2">
        <f t="shared" si="88"/>
        <v>72183.956046861291</v>
      </c>
      <c r="AY46" s="2">
        <f t="shared" si="88"/>
        <v>0</v>
      </c>
      <c r="BA46" s="2">
        <f t="shared" ref="BA46:BA55" si="89">SUM(BB46:BG46)</f>
        <v>768834.38086148037</v>
      </c>
      <c r="BB46" s="2">
        <f t="shared" ref="BB46:BG55" si="90">$E46*SUMPRODUCT($W46:$AA46,INDEX(AllocFactors_D,BB$4,0))</f>
        <v>524966.43960686505</v>
      </c>
      <c r="BC46" s="2">
        <f t="shared" si="90"/>
        <v>177687.90960594482</v>
      </c>
      <c r="BD46" s="2">
        <f t="shared" si="90"/>
        <v>0</v>
      </c>
      <c r="BE46" s="2">
        <f t="shared" si="90"/>
        <v>2232.2546560359569</v>
      </c>
      <c r="BF46" s="2">
        <f t="shared" si="90"/>
        <v>63947.77699263455</v>
      </c>
      <c r="BG46" s="2">
        <f t="shared" si="90"/>
        <v>0</v>
      </c>
      <c r="BI46" s="2">
        <f t="shared" ref="BI46:BI55" si="91">SUM(BJ46:BO46)</f>
        <v>3467198.9751527095</v>
      </c>
      <c r="BJ46" s="2">
        <f t="shared" ref="BJ46:BO55" si="92">$E46*SUMPRODUCT($AB46:$AG46,INDEX(AllocFactors_C,BJ$4,0))</f>
        <v>3361525.2204449591</v>
      </c>
      <c r="BK46" s="2">
        <f t="shared" si="92"/>
        <v>97608.991790238753</v>
      </c>
      <c r="BL46" s="2">
        <f t="shared" si="92"/>
        <v>0</v>
      </c>
      <c r="BM46" s="2">
        <f t="shared" si="92"/>
        <v>537.72387848309177</v>
      </c>
      <c r="BN46" s="2">
        <f t="shared" si="92"/>
        <v>7527.0390390281818</v>
      </c>
      <c r="BO46" s="2">
        <f t="shared" si="92"/>
        <v>0</v>
      </c>
    </row>
    <row r="47" spans="1:67">
      <c r="A47" s="50">
        <f t="shared" si="2"/>
        <v>47</v>
      </c>
      <c r="B47" s="51">
        <v>390</v>
      </c>
      <c r="C47" s="36" t="s">
        <v>152</v>
      </c>
      <c r="D47" s="28" t="s">
        <v>89</v>
      </c>
      <c r="E47" s="432">
        <f>PROFORMA!AV284</f>
        <v>49358000</v>
      </c>
      <c r="F47" s="61" t="s">
        <v>1159</v>
      </c>
      <c r="G47" s="60"/>
      <c r="H47" s="2">
        <f t="shared" ref="H47:H55" si="93">SUM(I47:N47)</f>
        <v>49358000</v>
      </c>
      <c r="I47" s="2">
        <f t="shared" si="81"/>
        <v>43199344.0668265</v>
      </c>
      <c r="J47" s="2">
        <f t="shared" si="81"/>
        <v>4679167.4065644536</v>
      </c>
      <c r="K47" s="2">
        <f t="shared" si="81"/>
        <v>0</v>
      </c>
      <c r="L47" s="2">
        <f t="shared" si="81"/>
        <v>57934.863366910184</v>
      </c>
      <c r="M47" s="2">
        <f t="shared" si="81"/>
        <v>1421553.6632421389</v>
      </c>
      <c r="N47" s="2">
        <f t="shared" si="81"/>
        <v>0</v>
      </c>
      <c r="O47" s="2"/>
      <c r="P47" s="61" t="s">
        <v>1160</v>
      </c>
      <c r="Q47" s="61"/>
      <c r="R47" s="14">
        <f t="shared" si="82"/>
        <v>8.8133437743971782E-2</v>
      </c>
      <c r="S47" s="14">
        <f t="shared" si="83"/>
        <v>1.48122630432825E-2</v>
      </c>
      <c r="T47" s="14">
        <f t="shared" si="84"/>
        <v>6.2152272453224224E-3</v>
      </c>
      <c r="U47" s="14">
        <f t="shared" si="84"/>
        <v>4.15942131033116E-2</v>
      </c>
      <c r="V47" s="14">
        <f t="shared" si="84"/>
        <v>0</v>
      </c>
      <c r="W47" s="14">
        <f t="shared" si="84"/>
        <v>0.15413680450310352</v>
      </c>
      <c r="X47" s="14">
        <f t="shared" si="84"/>
        <v>0</v>
      </c>
      <c r="Y47" s="14">
        <f t="shared" si="84"/>
        <v>0</v>
      </c>
      <c r="Z47" s="14">
        <f t="shared" si="84"/>
        <v>0</v>
      </c>
      <c r="AA47" s="14">
        <f t="shared" si="84"/>
        <v>0</v>
      </c>
      <c r="AB47" s="14">
        <f t="shared" ref="AB47:AB55" si="94">(AB$116*0.25)+(AB$253*0.25)+(CC$252*0.25)+0.25</f>
        <v>0.45505508837908676</v>
      </c>
      <c r="AC47" s="14">
        <f t="shared" si="84"/>
        <v>0.16681683403029823</v>
      </c>
      <c r="AD47" s="14">
        <f t="shared" si="84"/>
        <v>7.1278348815059178E-2</v>
      </c>
      <c r="AE47" s="14">
        <f t="shared" si="84"/>
        <v>0</v>
      </c>
      <c r="AF47" s="14">
        <f t="shared" si="84"/>
        <v>1.9577831365640468E-3</v>
      </c>
      <c r="AG47" s="14">
        <f t="shared" si="84"/>
        <v>0</v>
      </c>
      <c r="AH47" s="14">
        <f t="shared" si="84"/>
        <v>0</v>
      </c>
      <c r="AI47" s="76">
        <f t="shared" si="69"/>
        <v>0</v>
      </c>
      <c r="AK47" s="2">
        <f t="shared" si="85"/>
        <v>49358000</v>
      </c>
      <c r="AL47" s="2">
        <f t="shared" si="86"/>
        <v>7440972.256185174</v>
      </c>
      <c r="AM47" s="2">
        <f t="shared" si="86"/>
        <v>7607884.3966641836</v>
      </c>
      <c r="AN47" s="2">
        <f t="shared" si="86"/>
        <v>34309143.347150646</v>
      </c>
      <c r="AO47" s="2">
        <f t="shared" si="86"/>
        <v>0</v>
      </c>
      <c r="AP47" s="2"/>
      <c r="AQ47" s="61" t="str">
        <f t="shared" ref="AQ47:AQ55" si="95">E$1&amp;$A47&amp;"*      """</f>
        <v>E47*      "</v>
      </c>
      <c r="AS47" s="2">
        <f t="shared" si="87"/>
        <v>7440972.2561851759</v>
      </c>
      <c r="AT47" s="2">
        <f t="shared" si="88"/>
        <v>4741153.3377090329</v>
      </c>
      <c r="AU47" s="2">
        <f t="shared" si="88"/>
        <v>1955008.5334464037</v>
      </c>
      <c r="AV47" s="2">
        <f t="shared" si="88"/>
        <v>0</v>
      </c>
      <c r="AW47" s="2">
        <f t="shared" si="88"/>
        <v>30524.959496262389</v>
      </c>
      <c r="AX47" s="2">
        <f t="shared" si="88"/>
        <v>714285.42553347629</v>
      </c>
      <c r="AY47" s="2">
        <f t="shared" si="88"/>
        <v>0</v>
      </c>
      <c r="BA47" s="2">
        <f t="shared" si="89"/>
        <v>7607884.3966641827</v>
      </c>
      <c r="BB47" s="2">
        <f t="shared" si="90"/>
        <v>5194726.047737699</v>
      </c>
      <c r="BC47" s="2">
        <f t="shared" si="90"/>
        <v>1758283.8497053378</v>
      </c>
      <c r="BD47" s="2">
        <f t="shared" si="90"/>
        <v>0</v>
      </c>
      <c r="BE47" s="2">
        <f t="shared" si="90"/>
        <v>22088.93851496046</v>
      </c>
      <c r="BF47" s="2">
        <f t="shared" si="90"/>
        <v>632785.56070618599</v>
      </c>
      <c r="BG47" s="2">
        <f t="shared" si="90"/>
        <v>0</v>
      </c>
      <c r="BI47" s="2">
        <f t="shared" si="91"/>
        <v>34309143.347150639</v>
      </c>
      <c r="BJ47" s="2">
        <f t="shared" si="92"/>
        <v>33263464.681379769</v>
      </c>
      <c r="BK47" s="2">
        <f t="shared" si="92"/>
        <v>965875.02341271145</v>
      </c>
      <c r="BL47" s="2">
        <f t="shared" si="92"/>
        <v>0</v>
      </c>
      <c r="BM47" s="2">
        <f t="shared" si="92"/>
        <v>5320.9653556873382</v>
      </c>
      <c r="BN47" s="2">
        <f t="shared" si="92"/>
        <v>74482.677002476543</v>
      </c>
      <c r="BO47" s="2">
        <f t="shared" si="92"/>
        <v>0</v>
      </c>
    </row>
    <row r="48" spans="1:67">
      <c r="A48" s="50">
        <f t="shared" si="2"/>
        <v>48</v>
      </c>
      <c r="B48" s="51">
        <v>391</v>
      </c>
      <c r="C48" s="36" t="s">
        <v>152</v>
      </c>
      <c r="D48" s="28" t="s">
        <v>94</v>
      </c>
      <c r="E48" s="432">
        <f>PROFORMA!AV285</f>
        <v>16369000</v>
      </c>
      <c r="F48" s="61" t="s">
        <v>1159</v>
      </c>
      <c r="G48" s="60"/>
      <c r="H48" s="2">
        <f t="shared" si="93"/>
        <v>16369000.000000004</v>
      </c>
      <c r="I48" s="2">
        <f t="shared" si="81"/>
        <v>14326554.21674061</v>
      </c>
      <c r="J48" s="2">
        <f t="shared" si="81"/>
        <v>1551790.8196858368</v>
      </c>
      <c r="K48" s="2">
        <f t="shared" si="81"/>
        <v>0</v>
      </c>
      <c r="L48" s="2">
        <f t="shared" si="81"/>
        <v>19213.415828294354</v>
      </c>
      <c r="M48" s="2">
        <f t="shared" si="81"/>
        <v>471441.54774526058</v>
      </c>
      <c r="N48" s="2">
        <f t="shared" si="81"/>
        <v>0</v>
      </c>
      <c r="O48" s="2"/>
      <c r="P48" s="61" t="s">
        <v>1160</v>
      </c>
      <c r="Q48" s="61"/>
      <c r="R48" s="14">
        <f t="shared" si="82"/>
        <v>8.8133437743971782E-2</v>
      </c>
      <c r="S48" s="14">
        <f t="shared" si="83"/>
        <v>1.48122630432825E-2</v>
      </c>
      <c r="T48" s="14">
        <f t="shared" si="84"/>
        <v>6.2152272453224224E-3</v>
      </c>
      <c r="U48" s="14">
        <f t="shared" si="84"/>
        <v>4.15942131033116E-2</v>
      </c>
      <c r="V48" s="14">
        <f t="shared" si="84"/>
        <v>0</v>
      </c>
      <c r="W48" s="14">
        <f t="shared" si="84"/>
        <v>0.15413680450310352</v>
      </c>
      <c r="X48" s="14">
        <f t="shared" si="84"/>
        <v>0</v>
      </c>
      <c r="Y48" s="14">
        <f t="shared" si="84"/>
        <v>0</v>
      </c>
      <c r="Z48" s="14">
        <f t="shared" si="84"/>
        <v>0</v>
      </c>
      <c r="AA48" s="14">
        <f t="shared" si="84"/>
        <v>0</v>
      </c>
      <c r="AB48" s="14">
        <f t="shared" si="94"/>
        <v>0.45505508837908676</v>
      </c>
      <c r="AC48" s="14">
        <f t="shared" si="84"/>
        <v>0.16681683403029823</v>
      </c>
      <c r="AD48" s="14">
        <f t="shared" si="84"/>
        <v>7.1278348815059178E-2</v>
      </c>
      <c r="AE48" s="14">
        <f t="shared" si="84"/>
        <v>0</v>
      </c>
      <c r="AF48" s="14">
        <f t="shared" si="84"/>
        <v>1.9577831365640468E-3</v>
      </c>
      <c r="AG48" s="14">
        <f t="shared" si="84"/>
        <v>0</v>
      </c>
      <c r="AH48" s="14">
        <f t="shared" si="84"/>
        <v>0</v>
      </c>
      <c r="AI48" s="76">
        <f t="shared" si="69"/>
        <v>0</v>
      </c>
      <c r="AK48" s="2">
        <f t="shared" si="85"/>
        <v>16369000</v>
      </c>
      <c r="AL48" s="2">
        <f t="shared" si="86"/>
        <v>2467710.9052533554</v>
      </c>
      <c r="AM48" s="2">
        <f t="shared" si="86"/>
        <v>2523065.3529113014</v>
      </c>
      <c r="AN48" s="2">
        <f t="shared" si="86"/>
        <v>11378223.741835343</v>
      </c>
      <c r="AO48" s="2">
        <f t="shared" si="86"/>
        <v>0</v>
      </c>
      <c r="AP48" s="2"/>
      <c r="AQ48" s="61" t="str">
        <f t="shared" si="95"/>
        <v>E48*      "</v>
      </c>
      <c r="AS48" s="2">
        <f t="shared" si="87"/>
        <v>2467710.9052533554</v>
      </c>
      <c r="AT48" s="2">
        <f t="shared" si="88"/>
        <v>1572347.7244815258</v>
      </c>
      <c r="AU48" s="2">
        <f t="shared" si="88"/>
        <v>648355.57931812841</v>
      </c>
      <c r="AV48" s="2">
        <f t="shared" si="88"/>
        <v>0</v>
      </c>
      <c r="AW48" s="2">
        <f t="shared" si="88"/>
        <v>10123.243688851231</v>
      </c>
      <c r="AX48" s="2">
        <f t="shared" si="88"/>
        <v>236884.35776485014</v>
      </c>
      <c r="AY48" s="2">
        <f t="shared" si="88"/>
        <v>0</v>
      </c>
      <c r="BA48" s="2">
        <f t="shared" si="89"/>
        <v>2523065.3529113014</v>
      </c>
      <c r="BB48" s="2">
        <f t="shared" si="90"/>
        <v>1722769.7774508367</v>
      </c>
      <c r="BC48" s="2">
        <f t="shared" si="90"/>
        <v>583114.15243378328</v>
      </c>
      <c r="BD48" s="2">
        <f t="shared" si="90"/>
        <v>0</v>
      </c>
      <c r="BE48" s="2">
        <f t="shared" si="90"/>
        <v>7325.5365807242542</v>
      </c>
      <c r="BF48" s="2">
        <f t="shared" si="90"/>
        <v>209855.88644595727</v>
      </c>
      <c r="BG48" s="2">
        <f t="shared" si="90"/>
        <v>0</v>
      </c>
      <c r="BI48" s="2">
        <f t="shared" si="91"/>
        <v>11378223.741835345</v>
      </c>
      <c r="BJ48" s="2">
        <f t="shared" si="92"/>
        <v>11031436.714808246</v>
      </c>
      <c r="BK48" s="2">
        <f t="shared" si="92"/>
        <v>320321.08793392504</v>
      </c>
      <c r="BL48" s="2">
        <f t="shared" si="92"/>
        <v>0</v>
      </c>
      <c r="BM48" s="2">
        <f t="shared" si="92"/>
        <v>1764.6355587188712</v>
      </c>
      <c r="BN48" s="2">
        <f t="shared" si="92"/>
        <v>24701.303534453149</v>
      </c>
      <c r="BO48" s="2">
        <f t="shared" si="92"/>
        <v>0</v>
      </c>
    </row>
    <row r="49" spans="1:67">
      <c r="A49" s="50">
        <f t="shared" si="2"/>
        <v>49</v>
      </c>
      <c r="B49" s="51">
        <v>392</v>
      </c>
      <c r="C49" s="36" t="s">
        <v>152</v>
      </c>
      <c r="D49" s="28" t="s">
        <v>95</v>
      </c>
      <c r="E49" s="432">
        <f>PROFORMA!AV286</f>
        <v>13933000</v>
      </c>
      <c r="F49" s="61" t="s">
        <v>1159</v>
      </c>
      <c r="G49" s="60"/>
      <c r="H49" s="2">
        <f t="shared" si="93"/>
        <v>13933000.000000002</v>
      </c>
      <c r="I49" s="2">
        <f t="shared" si="81"/>
        <v>12194506.683477728</v>
      </c>
      <c r="J49" s="2">
        <f t="shared" si="81"/>
        <v>1320856.5881045125</v>
      </c>
      <c r="K49" s="2">
        <f t="shared" si="81"/>
        <v>0</v>
      </c>
      <c r="L49" s="2">
        <f t="shared" si="81"/>
        <v>16354.115873640738</v>
      </c>
      <c r="M49" s="2">
        <f t="shared" si="81"/>
        <v>401282.61254412093</v>
      </c>
      <c r="N49" s="2">
        <f t="shared" si="81"/>
        <v>0</v>
      </c>
      <c r="O49" s="2"/>
      <c r="P49" s="61" t="s">
        <v>1160</v>
      </c>
      <c r="Q49" s="61"/>
      <c r="R49" s="14">
        <f t="shared" si="82"/>
        <v>8.8133437743971782E-2</v>
      </c>
      <c r="S49" s="14">
        <f t="shared" si="83"/>
        <v>1.48122630432825E-2</v>
      </c>
      <c r="T49" s="14">
        <f t="shared" si="84"/>
        <v>6.2152272453224224E-3</v>
      </c>
      <c r="U49" s="14">
        <f t="shared" si="84"/>
        <v>4.15942131033116E-2</v>
      </c>
      <c r="V49" s="14">
        <f t="shared" si="84"/>
        <v>0</v>
      </c>
      <c r="W49" s="14">
        <f t="shared" si="84"/>
        <v>0.15413680450310352</v>
      </c>
      <c r="X49" s="14">
        <f t="shared" si="84"/>
        <v>0</v>
      </c>
      <c r="Y49" s="14">
        <f t="shared" si="84"/>
        <v>0</v>
      </c>
      <c r="Z49" s="14">
        <f t="shared" si="84"/>
        <v>0</v>
      </c>
      <c r="AA49" s="14">
        <f t="shared" si="84"/>
        <v>0</v>
      </c>
      <c r="AB49" s="14">
        <f t="shared" si="94"/>
        <v>0.45505508837908676</v>
      </c>
      <c r="AC49" s="14">
        <f t="shared" si="84"/>
        <v>0.16681683403029823</v>
      </c>
      <c r="AD49" s="14">
        <f t="shared" si="84"/>
        <v>7.1278348815059178E-2</v>
      </c>
      <c r="AE49" s="14">
        <f t="shared" si="84"/>
        <v>0</v>
      </c>
      <c r="AF49" s="14">
        <f t="shared" si="84"/>
        <v>1.9577831365640468E-3</v>
      </c>
      <c r="AG49" s="14">
        <f t="shared" si="84"/>
        <v>0</v>
      </c>
      <c r="AH49" s="14">
        <f t="shared" si="84"/>
        <v>0</v>
      </c>
      <c r="AI49" s="76">
        <f t="shared" si="69"/>
        <v>0</v>
      </c>
      <c r="AK49" s="2">
        <f t="shared" si="85"/>
        <v>13933000</v>
      </c>
      <c r="AL49" s="2">
        <f t="shared" si="86"/>
        <v>2100471.3814463313</v>
      </c>
      <c r="AM49" s="2">
        <f t="shared" si="86"/>
        <v>2147588.0971417413</v>
      </c>
      <c r="AN49" s="2">
        <f t="shared" si="86"/>
        <v>9684940.5214119274</v>
      </c>
      <c r="AO49" s="2">
        <f t="shared" si="86"/>
        <v>0</v>
      </c>
      <c r="AP49" s="2"/>
      <c r="AQ49" s="61" t="str">
        <f t="shared" si="95"/>
        <v>E49*      "</v>
      </c>
      <c r="AS49" s="2">
        <f t="shared" si="87"/>
        <v>2100471.3814463317</v>
      </c>
      <c r="AT49" s="2">
        <f t="shared" si="88"/>
        <v>1338354.2577555808</v>
      </c>
      <c r="AU49" s="2">
        <f t="shared" si="88"/>
        <v>551868.67167447519</v>
      </c>
      <c r="AV49" s="2">
        <f t="shared" si="88"/>
        <v>0</v>
      </c>
      <c r="AW49" s="2">
        <f t="shared" si="88"/>
        <v>8616.723948730174</v>
      </c>
      <c r="AX49" s="2">
        <f t="shared" si="88"/>
        <v>201631.72806754577</v>
      </c>
      <c r="AY49" s="2">
        <f t="shared" si="88"/>
        <v>0</v>
      </c>
      <c r="BA49" s="2">
        <f t="shared" si="89"/>
        <v>2147588.0971417413</v>
      </c>
      <c r="BB49" s="2">
        <f t="shared" si="90"/>
        <v>1466390.8185730653</v>
      </c>
      <c r="BC49" s="2">
        <f t="shared" si="90"/>
        <v>496336.33611460088</v>
      </c>
      <c r="BD49" s="2">
        <f t="shared" si="90"/>
        <v>0</v>
      </c>
      <c r="BE49" s="2">
        <f t="shared" si="90"/>
        <v>6235.3657021950658</v>
      </c>
      <c r="BF49" s="2">
        <f t="shared" si="90"/>
        <v>178625.57675187994</v>
      </c>
      <c r="BG49" s="2">
        <f t="shared" si="90"/>
        <v>0</v>
      </c>
      <c r="BI49" s="2">
        <f t="shared" si="91"/>
        <v>9684940.5214119293</v>
      </c>
      <c r="BJ49" s="2">
        <f t="shared" si="92"/>
        <v>9389761.6071490813</v>
      </c>
      <c r="BK49" s="2">
        <f t="shared" si="92"/>
        <v>272651.58031543635</v>
      </c>
      <c r="BL49" s="2">
        <f t="shared" si="92"/>
        <v>0</v>
      </c>
      <c r="BM49" s="2">
        <f t="shared" si="92"/>
        <v>1502.0262227155006</v>
      </c>
      <c r="BN49" s="2">
        <f t="shared" si="92"/>
        <v>21025.307724695202</v>
      </c>
      <c r="BO49" s="2">
        <f t="shared" si="92"/>
        <v>0</v>
      </c>
    </row>
    <row r="50" spans="1:67">
      <c r="A50" s="50">
        <f t="shared" si="2"/>
        <v>50</v>
      </c>
      <c r="B50" s="51">
        <v>393</v>
      </c>
      <c r="C50" s="36" t="s">
        <v>152</v>
      </c>
      <c r="D50" s="28" t="s">
        <v>96</v>
      </c>
      <c r="E50" s="432">
        <f>PROFORMA!AV287</f>
        <v>950000</v>
      </c>
      <c r="F50" s="61" t="s">
        <v>1159</v>
      </c>
      <c r="G50" s="60"/>
      <c r="H50" s="2">
        <f t="shared" si="93"/>
        <v>950000</v>
      </c>
      <c r="I50" s="2">
        <f t="shared" si="81"/>
        <v>831463.52898183023</v>
      </c>
      <c r="J50" s="2">
        <f t="shared" si="81"/>
        <v>90060.558293209426</v>
      </c>
      <c r="K50" s="2">
        <f t="shared" si="81"/>
        <v>0</v>
      </c>
      <c r="L50" s="2">
        <f t="shared" si="81"/>
        <v>1115.0800315767387</v>
      </c>
      <c r="M50" s="2">
        <f t="shared" si="81"/>
        <v>27360.832693383687</v>
      </c>
      <c r="N50" s="2">
        <f t="shared" si="81"/>
        <v>0</v>
      </c>
      <c r="O50" s="2"/>
      <c r="P50" s="61" t="s">
        <v>1160</v>
      </c>
      <c r="Q50" s="61"/>
      <c r="R50" s="14">
        <f t="shared" si="82"/>
        <v>8.8133437743971782E-2</v>
      </c>
      <c r="S50" s="14">
        <f t="shared" si="83"/>
        <v>1.48122630432825E-2</v>
      </c>
      <c r="T50" s="14">
        <f t="shared" si="84"/>
        <v>6.2152272453224224E-3</v>
      </c>
      <c r="U50" s="14">
        <f t="shared" si="84"/>
        <v>4.15942131033116E-2</v>
      </c>
      <c r="V50" s="14">
        <f t="shared" si="84"/>
        <v>0</v>
      </c>
      <c r="W50" s="14">
        <f t="shared" si="84"/>
        <v>0.15413680450310352</v>
      </c>
      <c r="X50" s="14">
        <f t="shared" si="84"/>
        <v>0</v>
      </c>
      <c r="Y50" s="14">
        <f t="shared" si="84"/>
        <v>0</v>
      </c>
      <c r="Z50" s="14">
        <f t="shared" si="84"/>
        <v>0</v>
      </c>
      <c r="AA50" s="14">
        <f t="shared" si="84"/>
        <v>0</v>
      </c>
      <c r="AB50" s="14">
        <f t="shared" si="94"/>
        <v>0.45505508837908676</v>
      </c>
      <c r="AC50" s="14">
        <f t="shared" si="84"/>
        <v>0.16681683403029823</v>
      </c>
      <c r="AD50" s="14">
        <f t="shared" si="84"/>
        <v>7.1278348815059178E-2</v>
      </c>
      <c r="AE50" s="14">
        <f t="shared" si="84"/>
        <v>0</v>
      </c>
      <c r="AF50" s="14">
        <f t="shared" si="84"/>
        <v>1.9577831365640468E-3</v>
      </c>
      <c r="AG50" s="14">
        <f t="shared" si="84"/>
        <v>0</v>
      </c>
      <c r="AH50" s="14">
        <f t="shared" si="84"/>
        <v>0</v>
      </c>
      <c r="AI50" s="76">
        <f t="shared" si="69"/>
        <v>0</v>
      </c>
      <c r="AK50" s="2">
        <f t="shared" si="85"/>
        <v>950000</v>
      </c>
      <c r="AL50" s="2">
        <f t="shared" si="86"/>
        <v>143217.38407909387</v>
      </c>
      <c r="AM50" s="2">
        <f t="shared" si="86"/>
        <v>146429.96427794834</v>
      </c>
      <c r="AN50" s="2">
        <f t="shared" si="86"/>
        <v>660352.65164295782</v>
      </c>
      <c r="AO50" s="2">
        <f t="shared" si="86"/>
        <v>0</v>
      </c>
      <c r="AP50" s="2"/>
      <c r="AQ50" s="61" t="str">
        <f t="shared" si="95"/>
        <v>E50*      "</v>
      </c>
      <c r="AS50" s="2">
        <f t="shared" si="87"/>
        <v>143217.3840790939</v>
      </c>
      <c r="AT50" s="2">
        <f t="shared" si="88"/>
        <v>91253.609765865331</v>
      </c>
      <c r="AU50" s="2">
        <f t="shared" si="88"/>
        <v>37628.309631145581</v>
      </c>
      <c r="AV50" s="2">
        <f t="shared" si="88"/>
        <v>0</v>
      </c>
      <c r="AW50" s="2">
        <f t="shared" si="88"/>
        <v>587.51796104885273</v>
      </c>
      <c r="AX50" s="2">
        <f t="shared" si="88"/>
        <v>13747.946721034126</v>
      </c>
      <c r="AY50" s="2">
        <f t="shared" si="88"/>
        <v>0</v>
      </c>
      <c r="BA50" s="2">
        <f t="shared" si="89"/>
        <v>146429.96427794831</v>
      </c>
      <c r="BB50" s="2">
        <f t="shared" si="90"/>
        <v>99983.584127209659</v>
      </c>
      <c r="BC50" s="2">
        <f t="shared" si="90"/>
        <v>33841.923441388848</v>
      </c>
      <c r="BD50" s="2">
        <f t="shared" si="90"/>
        <v>0</v>
      </c>
      <c r="BE50" s="2">
        <f t="shared" si="90"/>
        <v>425.14874162673601</v>
      </c>
      <c r="BF50" s="2">
        <f t="shared" si="90"/>
        <v>12179.3079677231</v>
      </c>
      <c r="BG50" s="2">
        <f t="shared" si="90"/>
        <v>0</v>
      </c>
      <c r="BI50" s="2">
        <f t="shared" si="91"/>
        <v>660352.65164295782</v>
      </c>
      <c r="BJ50" s="2">
        <f t="shared" si="92"/>
        <v>640226.33508875524</v>
      </c>
      <c r="BK50" s="2">
        <f t="shared" si="92"/>
        <v>18590.325220674982</v>
      </c>
      <c r="BL50" s="2">
        <f t="shared" si="92"/>
        <v>0</v>
      </c>
      <c r="BM50" s="2">
        <f t="shared" si="92"/>
        <v>102.41332890115019</v>
      </c>
      <c r="BN50" s="2">
        <f t="shared" si="92"/>
        <v>1433.5780046264581</v>
      </c>
      <c r="BO50" s="2">
        <f t="shared" si="92"/>
        <v>0</v>
      </c>
    </row>
    <row r="51" spans="1:67">
      <c r="A51" s="50">
        <f t="shared" si="2"/>
        <v>51</v>
      </c>
      <c r="B51" s="51">
        <v>394</v>
      </c>
      <c r="C51" s="36" t="s">
        <v>152</v>
      </c>
      <c r="D51" s="28" t="s">
        <v>97</v>
      </c>
      <c r="E51" s="432">
        <f>PROFORMA!AV288</f>
        <v>7259000</v>
      </c>
      <c r="F51" s="61" t="s">
        <v>1159</v>
      </c>
      <c r="G51" s="60"/>
      <c r="H51" s="2">
        <f t="shared" si="93"/>
        <v>7259000.0000000019</v>
      </c>
      <c r="I51" s="2">
        <f t="shared" si="81"/>
        <v>6353256.5861885324</v>
      </c>
      <c r="J51" s="2">
        <f t="shared" si="81"/>
        <v>688157.46594779706</v>
      </c>
      <c r="K51" s="2">
        <f t="shared" si="81"/>
        <v>0</v>
      </c>
      <c r="L51" s="2">
        <f t="shared" si="81"/>
        <v>8520.3852097005747</v>
      </c>
      <c r="M51" s="2">
        <f t="shared" si="81"/>
        <v>209065.56265397073</v>
      </c>
      <c r="N51" s="2">
        <f t="shared" si="81"/>
        <v>0</v>
      </c>
      <c r="O51" s="2"/>
      <c r="P51" s="61" t="s">
        <v>1160</v>
      </c>
      <c r="Q51" s="61"/>
      <c r="R51" s="14">
        <f t="shared" si="82"/>
        <v>8.8133437743971782E-2</v>
      </c>
      <c r="S51" s="14">
        <f t="shared" si="83"/>
        <v>1.48122630432825E-2</v>
      </c>
      <c r="T51" s="14">
        <f t="shared" si="84"/>
        <v>6.2152272453224224E-3</v>
      </c>
      <c r="U51" s="14">
        <f t="shared" si="84"/>
        <v>4.15942131033116E-2</v>
      </c>
      <c r="V51" s="14">
        <f t="shared" si="84"/>
        <v>0</v>
      </c>
      <c r="W51" s="14">
        <f t="shared" si="84"/>
        <v>0.15413680450310352</v>
      </c>
      <c r="X51" s="14">
        <f t="shared" si="84"/>
        <v>0</v>
      </c>
      <c r="Y51" s="14">
        <f t="shared" si="84"/>
        <v>0</v>
      </c>
      <c r="Z51" s="14">
        <f t="shared" si="84"/>
        <v>0</v>
      </c>
      <c r="AA51" s="14">
        <f t="shared" si="84"/>
        <v>0</v>
      </c>
      <c r="AB51" s="14">
        <f t="shared" si="94"/>
        <v>0.45505508837908676</v>
      </c>
      <c r="AC51" s="14">
        <f t="shared" si="84"/>
        <v>0.16681683403029823</v>
      </c>
      <c r="AD51" s="14">
        <f t="shared" si="84"/>
        <v>7.1278348815059178E-2</v>
      </c>
      <c r="AE51" s="14">
        <f t="shared" si="84"/>
        <v>0</v>
      </c>
      <c r="AF51" s="14">
        <f t="shared" si="84"/>
        <v>1.9577831365640468E-3</v>
      </c>
      <c r="AG51" s="14">
        <f t="shared" si="84"/>
        <v>0</v>
      </c>
      <c r="AH51" s="14">
        <f t="shared" si="84"/>
        <v>0</v>
      </c>
      <c r="AI51" s="76">
        <f t="shared" si="69"/>
        <v>0</v>
      </c>
      <c r="AK51" s="2">
        <f t="shared" si="85"/>
        <v>7259000</v>
      </c>
      <c r="AL51" s="2">
        <f t="shared" si="86"/>
        <v>1094331.5695054131</v>
      </c>
      <c r="AM51" s="2">
        <f t="shared" si="86"/>
        <v>1118879.0638880285</v>
      </c>
      <c r="AN51" s="2">
        <f t="shared" si="86"/>
        <v>5045789.3666065587</v>
      </c>
      <c r="AO51" s="2">
        <f t="shared" si="86"/>
        <v>0</v>
      </c>
      <c r="AP51" s="2"/>
      <c r="AQ51" s="61" t="str">
        <f t="shared" si="95"/>
        <v>E51*      "</v>
      </c>
      <c r="AS51" s="2">
        <f t="shared" si="87"/>
        <v>1094331.5695054133</v>
      </c>
      <c r="AT51" s="2">
        <f t="shared" si="88"/>
        <v>697273.63504254364</v>
      </c>
      <c r="AU51" s="2">
        <f t="shared" si="88"/>
        <v>287519.89432893239</v>
      </c>
      <c r="AV51" s="2">
        <f t="shared" si="88"/>
        <v>0</v>
      </c>
      <c r="AW51" s="2">
        <f t="shared" si="88"/>
        <v>4489.255662372233</v>
      </c>
      <c r="AX51" s="2">
        <f t="shared" si="88"/>
        <v>105048.78447156497</v>
      </c>
      <c r="AY51" s="2">
        <f t="shared" si="88"/>
        <v>0</v>
      </c>
      <c r="BA51" s="2">
        <f t="shared" si="89"/>
        <v>1118879.0638880285</v>
      </c>
      <c r="BB51" s="2">
        <f t="shared" si="90"/>
        <v>763979.82860991044</v>
      </c>
      <c r="BC51" s="2">
        <f t="shared" si="90"/>
        <v>258587.91816951754</v>
      </c>
      <c r="BD51" s="2">
        <f t="shared" si="90"/>
        <v>0</v>
      </c>
      <c r="BE51" s="2">
        <f t="shared" si="90"/>
        <v>3248.5839110194493</v>
      </c>
      <c r="BF51" s="2">
        <f t="shared" si="90"/>
        <v>93062.733197581038</v>
      </c>
      <c r="BG51" s="2">
        <f t="shared" si="90"/>
        <v>0</v>
      </c>
      <c r="BI51" s="2">
        <f t="shared" si="91"/>
        <v>5045789.3666065596</v>
      </c>
      <c r="BJ51" s="2">
        <f t="shared" si="92"/>
        <v>4892003.1225360781</v>
      </c>
      <c r="BK51" s="2">
        <f t="shared" si="92"/>
        <v>142049.65344934707</v>
      </c>
      <c r="BL51" s="2">
        <f t="shared" si="92"/>
        <v>0</v>
      </c>
      <c r="BM51" s="2">
        <f t="shared" si="92"/>
        <v>782.5456363088939</v>
      </c>
      <c r="BN51" s="2">
        <f t="shared" si="92"/>
        <v>10954.044984824694</v>
      </c>
      <c r="BO51" s="2">
        <f t="shared" si="92"/>
        <v>0</v>
      </c>
    </row>
    <row r="52" spans="1:67">
      <c r="A52" s="50">
        <f t="shared" si="2"/>
        <v>52</v>
      </c>
      <c r="B52" s="51">
        <v>395</v>
      </c>
      <c r="C52" s="36" t="s">
        <v>152</v>
      </c>
      <c r="D52" s="28" t="s">
        <v>98</v>
      </c>
      <c r="E52" s="432">
        <f>PROFORMA!AV289</f>
        <v>477000</v>
      </c>
      <c r="F52" s="61" t="s">
        <v>1159</v>
      </c>
      <c r="G52" s="60"/>
      <c r="H52" s="2">
        <f t="shared" si="93"/>
        <v>477000.00000000012</v>
      </c>
      <c r="I52" s="2">
        <f t="shared" si="81"/>
        <v>417482.21402561374</v>
      </c>
      <c r="J52" s="2">
        <f t="shared" si="81"/>
        <v>45219.880321958837</v>
      </c>
      <c r="K52" s="2">
        <f t="shared" si="81"/>
        <v>0</v>
      </c>
      <c r="L52" s="2">
        <f t="shared" si="81"/>
        <v>559.88755269695196</v>
      </c>
      <c r="M52" s="2">
        <f t="shared" si="81"/>
        <v>13738.018099730545</v>
      </c>
      <c r="N52" s="2">
        <f t="shared" si="81"/>
        <v>0</v>
      </c>
      <c r="O52" s="2"/>
      <c r="P52" s="61" t="s">
        <v>1160</v>
      </c>
      <c r="Q52" s="61"/>
      <c r="R52" s="14">
        <f t="shared" si="82"/>
        <v>8.8133437743971782E-2</v>
      </c>
      <c r="S52" s="14">
        <f t="shared" si="83"/>
        <v>1.48122630432825E-2</v>
      </c>
      <c r="T52" s="14">
        <f t="shared" si="84"/>
        <v>6.2152272453224224E-3</v>
      </c>
      <c r="U52" s="14">
        <f t="shared" si="84"/>
        <v>4.15942131033116E-2</v>
      </c>
      <c r="V52" s="14">
        <f t="shared" si="84"/>
        <v>0</v>
      </c>
      <c r="W52" s="14">
        <f t="shared" si="84"/>
        <v>0.15413680450310352</v>
      </c>
      <c r="X52" s="14">
        <f t="shared" si="84"/>
        <v>0</v>
      </c>
      <c r="Y52" s="14">
        <f t="shared" si="84"/>
        <v>0</v>
      </c>
      <c r="Z52" s="14">
        <f t="shared" si="84"/>
        <v>0</v>
      </c>
      <c r="AA52" s="14">
        <f t="shared" si="84"/>
        <v>0</v>
      </c>
      <c r="AB52" s="14">
        <f t="shared" si="94"/>
        <v>0.45505508837908676</v>
      </c>
      <c r="AC52" s="14">
        <f t="shared" si="84"/>
        <v>0.16681683403029823</v>
      </c>
      <c r="AD52" s="14">
        <f t="shared" si="84"/>
        <v>7.1278348815059178E-2</v>
      </c>
      <c r="AE52" s="14">
        <f t="shared" si="84"/>
        <v>0</v>
      </c>
      <c r="AF52" s="14">
        <f t="shared" si="84"/>
        <v>1.9577831365640468E-3</v>
      </c>
      <c r="AG52" s="14">
        <f t="shared" si="84"/>
        <v>0</v>
      </c>
      <c r="AH52" s="14">
        <f t="shared" si="84"/>
        <v>0</v>
      </c>
      <c r="AI52" s="76">
        <f t="shared" si="69"/>
        <v>0</v>
      </c>
      <c r="AK52" s="2">
        <f t="shared" si="85"/>
        <v>477000</v>
      </c>
      <c r="AL52" s="2">
        <f t="shared" si="86"/>
        <v>71910.20232181871</v>
      </c>
      <c r="AM52" s="2">
        <f t="shared" si="86"/>
        <v>73523.25574798038</v>
      </c>
      <c r="AN52" s="2">
        <f t="shared" si="86"/>
        <v>331566.54193020094</v>
      </c>
      <c r="AO52" s="2">
        <f t="shared" si="86"/>
        <v>0</v>
      </c>
      <c r="AP52" s="2"/>
      <c r="AQ52" s="61" t="str">
        <f t="shared" si="95"/>
        <v>E52*      "</v>
      </c>
      <c r="AS52" s="2">
        <f t="shared" si="87"/>
        <v>71910.202321818724</v>
      </c>
      <c r="AT52" s="2">
        <f t="shared" si="88"/>
        <v>45818.917745597646</v>
      </c>
      <c r="AU52" s="2">
        <f t="shared" si="88"/>
        <v>18893.372309533097</v>
      </c>
      <c r="AV52" s="2">
        <f t="shared" si="88"/>
        <v>0</v>
      </c>
      <c r="AW52" s="2">
        <f t="shared" si="88"/>
        <v>294.99586044242392</v>
      </c>
      <c r="AX52" s="2">
        <f t="shared" si="88"/>
        <v>6902.9164062455566</v>
      </c>
      <c r="AY52" s="2">
        <f t="shared" si="88"/>
        <v>0</v>
      </c>
      <c r="BA52" s="2">
        <f t="shared" si="89"/>
        <v>73523.255747980365</v>
      </c>
      <c r="BB52" s="2">
        <f t="shared" si="90"/>
        <v>50202.283819662109</v>
      </c>
      <c r="BC52" s="2">
        <f t="shared" si="90"/>
        <v>16992.207875307875</v>
      </c>
      <c r="BD52" s="2">
        <f t="shared" si="90"/>
        <v>0</v>
      </c>
      <c r="BE52" s="2">
        <f t="shared" si="90"/>
        <v>213.46942079574009</v>
      </c>
      <c r="BF52" s="2">
        <f t="shared" si="90"/>
        <v>6115.2946322146508</v>
      </c>
      <c r="BG52" s="2">
        <f t="shared" si="90"/>
        <v>0</v>
      </c>
      <c r="BI52" s="2">
        <f t="shared" si="91"/>
        <v>331566.54193020094</v>
      </c>
      <c r="BJ52" s="2">
        <f t="shared" si="92"/>
        <v>321461.01246035396</v>
      </c>
      <c r="BK52" s="2">
        <f t="shared" si="92"/>
        <v>9334.3001371178598</v>
      </c>
      <c r="BL52" s="2">
        <f t="shared" si="92"/>
        <v>0</v>
      </c>
      <c r="BM52" s="2">
        <f t="shared" si="92"/>
        <v>51.422271458788046</v>
      </c>
      <c r="BN52" s="2">
        <f t="shared" si="92"/>
        <v>719.80706127033739</v>
      </c>
      <c r="BO52" s="2">
        <f t="shared" si="92"/>
        <v>0</v>
      </c>
    </row>
    <row r="53" spans="1:67">
      <c r="A53" s="50">
        <f t="shared" si="2"/>
        <v>53</v>
      </c>
      <c r="B53" s="51">
        <v>396</v>
      </c>
      <c r="C53" s="36" t="s">
        <v>152</v>
      </c>
      <c r="D53" s="28" t="s">
        <v>99</v>
      </c>
      <c r="E53" s="432">
        <f>PROFORMA!AV290</f>
        <v>3528000</v>
      </c>
      <c r="F53" s="61" t="s">
        <v>1159</v>
      </c>
      <c r="G53" s="60"/>
      <c r="H53" s="2">
        <f t="shared" si="93"/>
        <v>3528000</v>
      </c>
      <c r="I53" s="2">
        <f t="shared" si="81"/>
        <v>3087792.9792083129</v>
      </c>
      <c r="J53" s="2">
        <f t="shared" si="81"/>
        <v>334456.47332467668</v>
      </c>
      <c r="K53" s="2">
        <f t="shared" si="81"/>
        <v>0</v>
      </c>
      <c r="L53" s="2">
        <f t="shared" si="81"/>
        <v>4141.05510673972</v>
      </c>
      <c r="M53" s="2">
        <f t="shared" si="81"/>
        <v>101609.49236027121</v>
      </c>
      <c r="N53" s="2">
        <f t="shared" si="81"/>
        <v>0</v>
      </c>
      <c r="O53" s="2"/>
      <c r="P53" s="61" t="s">
        <v>1160</v>
      </c>
      <c r="Q53" s="61"/>
      <c r="R53" s="14">
        <f t="shared" si="82"/>
        <v>8.8133437743971782E-2</v>
      </c>
      <c r="S53" s="14">
        <f t="shared" si="83"/>
        <v>1.48122630432825E-2</v>
      </c>
      <c r="T53" s="14">
        <f t="shared" si="84"/>
        <v>6.2152272453224224E-3</v>
      </c>
      <c r="U53" s="14">
        <f t="shared" si="84"/>
        <v>4.15942131033116E-2</v>
      </c>
      <c r="V53" s="14">
        <f t="shared" si="84"/>
        <v>0</v>
      </c>
      <c r="W53" s="14">
        <f t="shared" si="84"/>
        <v>0.15413680450310352</v>
      </c>
      <c r="X53" s="14">
        <f t="shared" si="84"/>
        <v>0</v>
      </c>
      <c r="Y53" s="14">
        <f t="shared" si="84"/>
        <v>0</v>
      </c>
      <c r="Z53" s="14">
        <f t="shared" si="84"/>
        <v>0</v>
      </c>
      <c r="AA53" s="14">
        <f t="shared" si="84"/>
        <v>0</v>
      </c>
      <c r="AB53" s="14">
        <f t="shared" si="94"/>
        <v>0.45505508837908676</v>
      </c>
      <c r="AC53" s="14">
        <f t="shared" si="84"/>
        <v>0.16681683403029823</v>
      </c>
      <c r="AD53" s="14">
        <f t="shared" si="84"/>
        <v>7.1278348815059178E-2</v>
      </c>
      <c r="AE53" s="14">
        <f t="shared" si="84"/>
        <v>0</v>
      </c>
      <c r="AF53" s="14">
        <f t="shared" si="84"/>
        <v>1.9577831365640468E-3</v>
      </c>
      <c r="AG53" s="14">
        <f t="shared" si="84"/>
        <v>0</v>
      </c>
      <c r="AH53" s="14">
        <f t="shared" si="84"/>
        <v>0</v>
      </c>
      <c r="AI53" s="76">
        <f t="shared" si="69"/>
        <v>0</v>
      </c>
      <c r="AK53" s="2">
        <f t="shared" si="85"/>
        <v>3528000</v>
      </c>
      <c r="AL53" s="2">
        <f t="shared" si="86"/>
        <v>531864.1379274138</v>
      </c>
      <c r="AM53" s="2">
        <f t="shared" si="86"/>
        <v>543794.64628694917</v>
      </c>
      <c r="AN53" s="2">
        <f t="shared" si="86"/>
        <v>2452341.215785637</v>
      </c>
      <c r="AO53" s="2">
        <f t="shared" si="86"/>
        <v>0</v>
      </c>
      <c r="AP53" s="2"/>
      <c r="AQ53" s="61" t="str">
        <f t="shared" si="95"/>
        <v>E53*      "</v>
      </c>
      <c r="AS53" s="2">
        <f t="shared" si="87"/>
        <v>531864.13792741403</v>
      </c>
      <c r="AT53" s="2">
        <f t="shared" si="88"/>
        <v>338887.08974102413</v>
      </c>
      <c r="AU53" s="2">
        <f t="shared" si="88"/>
        <v>139739.65934598065</v>
      </c>
      <c r="AV53" s="2">
        <f t="shared" si="88"/>
        <v>0</v>
      </c>
      <c r="AW53" s="2">
        <f t="shared" si="88"/>
        <v>2181.8561753477393</v>
      </c>
      <c r="AX53" s="2">
        <f t="shared" si="88"/>
        <v>51055.532665061473</v>
      </c>
      <c r="AY53" s="2">
        <f t="shared" si="88"/>
        <v>0</v>
      </c>
      <c r="BA53" s="2">
        <f t="shared" si="89"/>
        <v>543794.64628694917</v>
      </c>
      <c r="BB53" s="2">
        <f t="shared" si="90"/>
        <v>371307.45768504805</v>
      </c>
      <c r="BC53" s="2">
        <f t="shared" si="90"/>
        <v>125678.21673812618</v>
      </c>
      <c r="BD53" s="2">
        <f t="shared" si="90"/>
        <v>0</v>
      </c>
      <c r="BE53" s="2">
        <f t="shared" si="90"/>
        <v>1578.8681689043417</v>
      </c>
      <c r="BF53" s="2">
        <f t="shared" si="90"/>
        <v>45230.103694870624</v>
      </c>
      <c r="BG53" s="2">
        <f t="shared" si="90"/>
        <v>0</v>
      </c>
      <c r="BI53" s="2">
        <f t="shared" si="91"/>
        <v>2452341.2157856375</v>
      </c>
      <c r="BJ53" s="2">
        <f t="shared" si="92"/>
        <v>2377598.4317822405</v>
      </c>
      <c r="BK53" s="2">
        <f t="shared" si="92"/>
        <v>69038.597240569841</v>
      </c>
      <c r="BL53" s="2">
        <f t="shared" si="92"/>
        <v>0</v>
      </c>
      <c r="BM53" s="2">
        <f t="shared" si="92"/>
        <v>380.3307624876399</v>
      </c>
      <c r="BN53" s="2">
        <f t="shared" si="92"/>
        <v>5323.8560003390994</v>
      </c>
      <c r="BO53" s="2">
        <f t="shared" si="92"/>
        <v>0</v>
      </c>
    </row>
    <row r="54" spans="1:67">
      <c r="A54" s="50">
        <f t="shared" si="2"/>
        <v>54</v>
      </c>
      <c r="B54" s="51">
        <v>397</v>
      </c>
      <c r="C54" s="36" t="s">
        <v>152</v>
      </c>
      <c r="D54" s="28" t="s">
        <v>100</v>
      </c>
      <c r="E54" s="432">
        <f>PROFORMA!AV291</f>
        <v>6641000</v>
      </c>
      <c r="F54" s="61" t="s">
        <v>1159</v>
      </c>
      <c r="G54" s="60"/>
      <c r="H54" s="2">
        <f t="shared" si="93"/>
        <v>6641000</v>
      </c>
      <c r="I54" s="2">
        <f t="shared" si="81"/>
        <v>5812367.6799666677</v>
      </c>
      <c r="J54" s="2">
        <f t="shared" si="81"/>
        <v>629570.70276337245</v>
      </c>
      <c r="K54" s="2">
        <f t="shared" si="81"/>
        <v>0</v>
      </c>
      <c r="L54" s="2">
        <f t="shared" si="81"/>
        <v>7794.9963049485496</v>
      </c>
      <c r="M54" s="2">
        <f t="shared" si="81"/>
        <v>191266.62096501165</v>
      </c>
      <c r="N54" s="2">
        <f t="shared" si="81"/>
        <v>0</v>
      </c>
      <c r="O54" s="2"/>
      <c r="P54" s="61" t="s">
        <v>1160</v>
      </c>
      <c r="Q54" s="61"/>
      <c r="R54" s="14">
        <f t="shared" si="82"/>
        <v>8.8133437743971782E-2</v>
      </c>
      <c r="S54" s="14">
        <f t="shared" si="83"/>
        <v>1.48122630432825E-2</v>
      </c>
      <c r="T54" s="14">
        <f t="shared" si="84"/>
        <v>6.2152272453224224E-3</v>
      </c>
      <c r="U54" s="14">
        <f t="shared" si="84"/>
        <v>4.15942131033116E-2</v>
      </c>
      <c r="V54" s="14">
        <f t="shared" si="84"/>
        <v>0</v>
      </c>
      <c r="W54" s="14">
        <f t="shared" si="84"/>
        <v>0.15413680450310352</v>
      </c>
      <c r="X54" s="14">
        <f t="shared" si="84"/>
        <v>0</v>
      </c>
      <c r="Y54" s="14">
        <f t="shared" si="84"/>
        <v>0</v>
      </c>
      <c r="Z54" s="14">
        <f t="shared" si="84"/>
        <v>0</v>
      </c>
      <c r="AA54" s="14">
        <f t="shared" si="84"/>
        <v>0</v>
      </c>
      <c r="AB54" s="14">
        <f t="shared" si="94"/>
        <v>0.45505508837908676</v>
      </c>
      <c r="AC54" s="14">
        <f t="shared" si="84"/>
        <v>0.16681683403029823</v>
      </c>
      <c r="AD54" s="14">
        <f t="shared" si="84"/>
        <v>7.1278348815059178E-2</v>
      </c>
      <c r="AE54" s="14">
        <f t="shared" si="84"/>
        <v>0</v>
      </c>
      <c r="AF54" s="14">
        <f t="shared" si="84"/>
        <v>1.9577831365640468E-3</v>
      </c>
      <c r="AG54" s="14">
        <f t="shared" si="84"/>
        <v>0</v>
      </c>
      <c r="AH54" s="14">
        <f t="shared" si="84"/>
        <v>0</v>
      </c>
      <c r="AI54" s="76">
        <f t="shared" si="69"/>
        <v>0</v>
      </c>
      <c r="AK54" s="2">
        <f t="shared" si="85"/>
        <v>6641000</v>
      </c>
      <c r="AL54" s="2">
        <f t="shared" si="86"/>
        <v>1001164.892283434</v>
      </c>
      <c r="AM54" s="2">
        <f t="shared" si="86"/>
        <v>1023622.5187051104</v>
      </c>
      <c r="AN54" s="2">
        <f t="shared" si="86"/>
        <v>4616212.5890114559</v>
      </c>
      <c r="AO54" s="2">
        <f t="shared" si="86"/>
        <v>0</v>
      </c>
      <c r="AP54" s="2"/>
      <c r="AQ54" s="61" t="str">
        <f t="shared" si="95"/>
        <v>E54*      "</v>
      </c>
      <c r="AS54" s="2">
        <f t="shared" si="87"/>
        <v>1001164.8922834343</v>
      </c>
      <c r="AT54" s="2">
        <f t="shared" si="88"/>
        <v>637910.76047906489</v>
      </c>
      <c r="AU54" s="2">
        <f t="shared" si="88"/>
        <v>263041.68869519769</v>
      </c>
      <c r="AV54" s="2">
        <f t="shared" si="88"/>
        <v>0</v>
      </c>
      <c r="AW54" s="2">
        <f t="shared" si="88"/>
        <v>4107.0597677109799</v>
      </c>
      <c r="AX54" s="2">
        <f t="shared" si="88"/>
        <v>96105.383341460663</v>
      </c>
      <c r="AY54" s="2">
        <f t="shared" si="88"/>
        <v>0</v>
      </c>
      <c r="BA54" s="2">
        <f t="shared" si="89"/>
        <v>1023622.5187051105</v>
      </c>
      <c r="BB54" s="2">
        <f t="shared" si="90"/>
        <v>698937.87598820985</v>
      </c>
      <c r="BC54" s="2">
        <f t="shared" si="90"/>
        <v>236572.85639396144</v>
      </c>
      <c r="BD54" s="2">
        <f t="shared" si="90"/>
        <v>0</v>
      </c>
      <c r="BE54" s="2">
        <f t="shared" si="90"/>
        <v>2972.0134664664779</v>
      </c>
      <c r="BF54" s="2">
        <f t="shared" si="90"/>
        <v>85139.772856472744</v>
      </c>
      <c r="BG54" s="2">
        <f t="shared" si="90"/>
        <v>0</v>
      </c>
      <c r="BI54" s="2">
        <f t="shared" si="91"/>
        <v>4616212.589011455</v>
      </c>
      <c r="BJ54" s="2">
        <f t="shared" si="92"/>
        <v>4475519.0434993934</v>
      </c>
      <c r="BK54" s="2">
        <f t="shared" si="92"/>
        <v>129956.15767421323</v>
      </c>
      <c r="BL54" s="2">
        <f t="shared" si="92"/>
        <v>0</v>
      </c>
      <c r="BM54" s="2">
        <f t="shared" si="92"/>
        <v>715.92307077109308</v>
      </c>
      <c r="BN54" s="2">
        <f t="shared" si="92"/>
        <v>10021.46476707822</v>
      </c>
      <c r="BO54" s="2">
        <f t="shared" si="92"/>
        <v>0</v>
      </c>
    </row>
    <row r="55" spans="1:67">
      <c r="A55" s="50">
        <f t="shared" si="2"/>
        <v>55</v>
      </c>
      <c r="B55" s="51">
        <v>398</v>
      </c>
      <c r="C55" s="36" t="s">
        <v>152</v>
      </c>
      <c r="D55" s="28" t="s">
        <v>101</v>
      </c>
      <c r="E55" s="432">
        <f>PROFORMA!AV292</f>
        <v>97000</v>
      </c>
      <c r="F55" s="61" t="s">
        <v>1159</v>
      </c>
      <c r="G55" s="60"/>
      <c r="H55" s="2">
        <f t="shared" si="93"/>
        <v>97000.000000000015</v>
      </c>
      <c r="I55" s="2">
        <f t="shared" si="81"/>
        <v>84896.80243288161</v>
      </c>
      <c r="J55" s="2">
        <f t="shared" si="81"/>
        <v>9195.6570046750676</v>
      </c>
      <c r="K55" s="2">
        <f t="shared" si="81"/>
        <v>0</v>
      </c>
      <c r="L55" s="2">
        <f t="shared" si="81"/>
        <v>113.85554006625648</v>
      </c>
      <c r="M55" s="2">
        <f t="shared" si="81"/>
        <v>2793.6850223770712</v>
      </c>
      <c r="N55" s="2">
        <f t="shared" si="81"/>
        <v>0</v>
      </c>
      <c r="O55" s="2"/>
      <c r="P55" s="61" t="s">
        <v>1160</v>
      </c>
      <c r="Q55" s="61"/>
      <c r="R55" s="14">
        <f t="shared" si="82"/>
        <v>8.8133437743971782E-2</v>
      </c>
      <c r="S55" s="14">
        <f t="shared" si="83"/>
        <v>1.48122630432825E-2</v>
      </c>
      <c r="T55" s="14">
        <f t="shared" si="84"/>
        <v>6.2152272453224224E-3</v>
      </c>
      <c r="U55" s="14">
        <f t="shared" si="84"/>
        <v>4.15942131033116E-2</v>
      </c>
      <c r="V55" s="14">
        <f t="shared" si="84"/>
        <v>0</v>
      </c>
      <c r="W55" s="14">
        <f t="shared" si="84"/>
        <v>0.15413680450310352</v>
      </c>
      <c r="X55" s="14">
        <f t="shared" si="84"/>
        <v>0</v>
      </c>
      <c r="Y55" s="14">
        <f t="shared" si="84"/>
        <v>0</v>
      </c>
      <c r="Z55" s="14">
        <f t="shared" si="84"/>
        <v>0</v>
      </c>
      <c r="AA55" s="14">
        <f t="shared" si="84"/>
        <v>0</v>
      </c>
      <c r="AB55" s="14">
        <f t="shared" si="94"/>
        <v>0.45505508837908676</v>
      </c>
      <c r="AC55" s="14">
        <f t="shared" si="84"/>
        <v>0.16681683403029823</v>
      </c>
      <c r="AD55" s="14">
        <f t="shared" si="84"/>
        <v>7.1278348815059178E-2</v>
      </c>
      <c r="AE55" s="14">
        <f t="shared" si="84"/>
        <v>0</v>
      </c>
      <c r="AF55" s="14">
        <f t="shared" si="84"/>
        <v>1.9577831365640468E-3</v>
      </c>
      <c r="AG55" s="14">
        <f t="shared" si="84"/>
        <v>0</v>
      </c>
      <c r="AH55" s="14">
        <f t="shared" si="84"/>
        <v>0</v>
      </c>
      <c r="AI55" s="76">
        <f t="shared" si="69"/>
        <v>0</v>
      </c>
      <c r="AK55" s="2">
        <f t="shared" si="85"/>
        <v>97000</v>
      </c>
      <c r="AL55" s="2">
        <f t="shared" si="86"/>
        <v>14623.248690181163</v>
      </c>
      <c r="AM55" s="2">
        <f t="shared" si="86"/>
        <v>14951.270036801041</v>
      </c>
      <c r="AN55" s="2">
        <f t="shared" si="86"/>
        <v>67425.481273017795</v>
      </c>
      <c r="AO55" s="2">
        <f t="shared" si="86"/>
        <v>0</v>
      </c>
      <c r="AP55" s="2"/>
      <c r="AQ55" s="61" t="str">
        <f t="shared" si="95"/>
        <v>E55*      "</v>
      </c>
      <c r="AS55" s="2">
        <f t="shared" si="87"/>
        <v>14623.248690181168</v>
      </c>
      <c r="AT55" s="2">
        <f t="shared" si="88"/>
        <v>9317.4738392515137</v>
      </c>
      <c r="AU55" s="2">
        <f t="shared" si="88"/>
        <v>3842.0484570748645</v>
      </c>
      <c r="AV55" s="2">
        <f t="shared" si="88"/>
        <v>0</v>
      </c>
      <c r="AW55" s="2">
        <f t="shared" si="88"/>
        <v>59.988676022882856</v>
      </c>
      <c r="AX55" s="2">
        <f t="shared" si="88"/>
        <v>1403.7377178319057</v>
      </c>
      <c r="AY55" s="2">
        <f t="shared" si="88"/>
        <v>0</v>
      </c>
      <c r="BA55" s="2">
        <f t="shared" si="89"/>
        <v>14951.270036801041</v>
      </c>
      <c r="BB55" s="2">
        <f t="shared" si="90"/>
        <v>10208.850168778248</v>
      </c>
      <c r="BC55" s="2">
        <f t="shared" si="90"/>
        <v>3455.4384987523354</v>
      </c>
      <c r="BD55" s="2">
        <f t="shared" si="90"/>
        <v>0</v>
      </c>
      <c r="BE55" s="2">
        <f t="shared" si="90"/>
        <v>43.409924145045679</v>
      </c>
      <c r="BF55" s="2">
        <f t="shared" si="90"/>
        <v>1243.5714451254112</v>
      </c>
      <c r="BG55" s="2">
        <f t="shared" si="90"/>
        <v>0</v>
      </c>
      <c r="BI55" s="2">
        <f t="shared" si="91"/>
        <v>67425.481273017795</v>
      </c>
      <c r="BJ55" s="2">
        <f t="shared" si="92"/>
        <v>65370.478424851848</v>
      </c>
      <c r="BK55" s="2">
        <f t="shared" si="92"/>
        <v>1898.1700488478668</v>
      </c>
      <c r="BL55" s="2">
        <f t="shared" si="92"/>
        <v>0</v>
      </c>
      <c r="BM55" s="2">
        <f t="shared" si="92"/>
        <v>10.456939898327967</v>
      </c>
      <c r="BN55" s="2">
        <f t="shared" si="92"/>
        <v>146.37585941975414</v>
      </c>
      <c r="BO55" s="2">
        <f t="shared" si="92"/>
        <v>0</v>
      </c>
    </row>
    <row r="56" spans="1:67">
      <c r="A56" s="50">
        <f t="shared" si="2"/>
        <v>56</v>
      </c>
      <c r="D56" s="52" t="s">
        <v>102</v>
      </c>
      <c r="E56" s="4">
        <f>SUM(E46:E55)</f>
        <v>103600000</v>
      </c>
      <c r="F56" s="60"/>
      <c r="G56" s="134" t="s">
        <v>1162</v>
      </c>
      <c r="H56" s="4">
        <f>IF(ROUND(SUM(H45:H55),3)&lt;&gt;ROUND(SUM(I56:N56),3),#VALUE!,SUM(H45:H55))</f>
        <v>103600000</v>
      </c>
      <c r="I56" s="4">
        <f t="shared" ref="I56:N56" si="96">SUM(I45:I55)</f>
        <v>90673285.897386968</v>
      </c>
      <c r="J56" s="4">
        <f t="shared" si="96"/>
        <v>9821340.8833436817</v>
      </c>
      <c r="K56" s="4">
        <f t="shared" si="96"/>
        <v>0</v>
      </c>
      <c r="L56" s="4">
        <f t="shared" si="96"/>
        <v>121602.41186457909</v>
      </c>
      <c r="M56" s="4">
        <f t="shared" si="96"/>
        <v>2983770.8074047887</v>
      </c>
      <c r="N56" s="4">
        <f t="shared" si="96"/>
        <v>0</v>
      </c>
      <c r="O56" s="5"/>
      <c r="P56" s="61" t="s">
        <v>1160</v>
      </c>
      <c r="Q56" s="61"/>
      <c r="R56" s="13">
        <f>SUMPRODUCT($E46:$E55,R$46:R$55)/$E56</f>
        <v>8.8133437743971782E-2</v>
      </c>
      <c r="S56" s="13">
        <f>SUMPRODUCT($E46:$E55,S$46:S$55)/$E56</f>
        <v>1.4812263043282498E-2</v>
      </c>
      <c r="T56" s="13">
        <f t="shared" ref="T56:AF56" si="97">SUMPRODUCT($E46:$E55,T$46:T$55)/$E56</f>
        <v>6.2152272453224215E-3</v>
      </c>
      <c r="U56" s="13">
        <f>SUMPRODUCT($E46:$E55,U$46:U$55)/$E56</f>
        <v>4.15942131033116E-2</v>
      </c>
      <c r="V56" s="13">
        <f>SUMPRODUCT($E46:$E55,V$46:V$55)/$E56</f>
        <v>0</v>
      </c>
      <c r="W56" s="13">
        <f t="shared" si="97"/>
        <v>0.15413680450310355</v>
      </c>
      <c r="X56" s="13">
        <f t="shared" si="97"/>
        <v>0</v>
      </c>
      <c r="Y56" s="13">
        <f>SUMPRODUCT($E46:$E55,Y$46:Y$55)/$E56</f>
        <v>0</v>
      </c>
      <c r="Z56" s="13">
        <f>SUMPRODUCT($E46:$E55,Z$46:Z$55)/$E56</f>
        <v>0</v>
      </c>
      <c r="AA56" s="13">
        <f t="shared" si="97"/>
        <v>0</v>
      </c>
      <c r="AB56" s="13">
        <f>SUMPRODUCT($E46:$E55,AB$46:AB$55)/$E56</f>
        <v>0.4550550883790867</v>
      </c>
      <c r="AC56" s="13">
        <f t="shared" si="97"/>
        <v>0.16681683403029823</v>
      </c>
      <c r="AD56" s="13">
        <f t="shared" si="97"/>
        <v>7.1278348815059178E-2</v>
      </c>
      <c r="AE56" s="13">
        <f>SUMPRODUCT($E46:$E55,AE$46:AE$55)/$E56</f>
        <v>0</v>
      </c>
      <c r="AF56" s="13">
        <f t="shared" si="97"/>
        <v>1.9577831365640468E-3</v>
      </c>
      <c r="AG56" s="13">
        <f>SUMPRODUCT($E46:$E55,AG$46:AG$55)/$E56</f>
        <v>0</v>
      </c>
      <c r="AH56" s="13">
        <f>SUMPRODUCT($E46:$E55,AH$46:AH$55)/$E56</f>
        <v>0</v>
      </c>
      <c r="AI56" s="76">
        <f t="shared" si="69"/>
        <v>0</v>
      </c>
      <c r="AK56" s="4">
        <f>SUM(AK45:AK55)</f>
        <v>103600000</v>
      </c>
      <c r="AL56" s="4">
        <f>SUM(AL45:AL55)</f>
        <v>15618232.621678025</v>
      </c>
      <c r="AM56" s="4">
        <f>SUM(AM45:AM55)</f>
        <v>15968572.946521526</v>
      </c>
      <c r="AN56" s="4">
        <f>SUM(AN45:AN55)</f>
        <v>72013194.43180044</v>
      </c>
      <c r="AO56" s="4">
        <f>SUM(AO45:AO55)</f>
        <v>0</v>
      </c>
      <c r="AP56" s="5"/>
      <c r="AQ56" s="61" t="str">
        <f>$A45&amp;":"&amp;$A55</f>
        <v>45:55</v>
      </c>
      <c r="AS56" s="4">
        <f>IF(ROUND(SUM(AS45:AS55),3)&lt;&gt;ROUND(SUM(AT56:AY56),3),#VALUE!,SUM(AS45:AS55))</f>
        <v>15618232.621678028</v>
      </c>
      <c r="AT56" s="4">
        <f t="shared" ref="AT56:AY56" si="98">SUM(AT45:AT55)</f>
        <v>9951446.2860459443</v>
      </c>
      <c r="AU56" s="4">
        <f t="shared" si="98"/>
        <v>4103466.1871438762</v>
      </c>
      <c r="AV56" s="4">
        <f t="shared" si="98"/>
        <v>0</v>
      </c>
      <c r="AW56" s="4">
        <f t="shared" si="98"/>
        <v>64070.379752274894</v>
      </c>
      <c r="AX56" s="4">
        <f t="shared" si="98"/>
        <v>1499249.7687359324</v>
      </c>
      <c r="AY56" s="4">
        <f t="shared" si="98"/>
        <v>0</v>
      </c>
      <c r="BA56" s="4">
        <f>IF(ROUND(SUM(BA45:BA55),3)&lt;&gt;ROUND(SUM(BB56:BG56),3),#VALUE!,SUM(BA45:BA55))</f>
        <v>15968572.946521524</v>
      </c>
      <c r="BB56" s="4">
        <f t="shared" ref="BB56:BG56" si="99">SUM(BB45:BB55)</f>
        <v>10903472.963767283</v>
      </c>
      <c r="BC56" s="4">
        <f t="shared" si="99"/>
        <v>3690550.8089767201</v>
      </c>
      <c r="BD56" s="4">
        <f t="shared" si="99"/>
        <v>0</v>
      </c>
      <c r="BE56" s="4">
        <f t="shared" si="99"/>
        <v>46363.589086873537</v>
      </c>
      <c r="BF56" s="4">
        <f t="shared" si="99"/>
        <v>1328185.5846906451</v>
      </c>
      <c r="BG56" s="4">
        <f t="shared" si="99"/>
        <v>0</v>
      </c>
      <c r="BI56" s="4">
        <f>IF(ROUND(SUM(BI45:BI55),3)&lt;&gt;ROUND(SUM(BJ56:BO56),3),#VALUE!,SUM(BI45:BI55))</f>
        <v>72013194.43180044</v>
      </c>
      <c r="BJ56" s="4">
        <f t="shared" ref="BJ56:BO56" si="100">SUM(BJ45:BJ55)</f>
        <v>69818366.647573709</v>
      </c>
      <c r="BK56" s="4">
        <f t="shared" si="100"/>
        <v>2027323.8872230821</v>
      </c>
      <c r="BL56" s="4">
        <f t="shared" si="100"/>
        <v>0</v>
      </c>
      <c r="BM56" s="4">
        <f t="shared" si="100"/>
        <v>11168.443025430695</v>
      </c>
      <c r="BN56" s="4">
        <f t="shared" si="100"/>
        <v>156335.45397821165</v>
      </c>
      <c r="BO56" s="4">
        <f t="shared" si="100"/>
        <v>0</v>
      </c>
    </row>
    <row r="57" spans="1:67">
      <c r="A57" s="50">
        <f t="shared" si="2"/>
        <v>57</v>
      </c>
      <c r="E57" s="2"/>
      <c r="F57" s="60"/>
      <c r="G57" s="60"/>
      <c r="I57" s="78"/>
      <c r="P57" s="61"/>
      <c r="Q57" s="61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76">
        <f t="shared" si="69"/>
        <v>0</v>
      </c>
      <c r="AQ57" s="61"/>
    </row>
    <row r="58" spans="1:67">
      <c r="A58" s="50">
        <f t="shared" si="2"/>
        <v>58</v>
      </c>
      <c r="D58" s="1" t="s">
        <v>103</v>
      </c>
      <c r="E58" s="2">
        <f>E13+E24+E41+E56</f>
        <v>730034000</v>
      </c>
      <c r="F58" s="60" t="str">
        <f>"("&amp;A$13&amp;"+"&amp;A$24&amp;"+"&amp;A$41&amp;"+"&amp;A$56&amp;")"</f>
        <v>(13+24+41+56)</v>
      </c>
      <c r="G58" s="60" t="s">
        <v>418</v>
      </c>
      <c r="H58" s="2">
        <f>H13+H24+H41+H56</f>
        <v>730033999.99999988</v>
      </c>
      <c r="I58" s="2">
        <f t="shared" ref="I58:N58" si="101">I13+I24+I41+I56</f>
        <v>589374733.79220355</v>
      </c>
      <c r="J58" s="2">
        <f t="shared" si="101"/>
        <v>102455058.0812283</v>
      </c>
      <c r="K58" s="2">
        <f t="shared" si="101"/>
        <v>0</v>
      </c>
      <c r="L58" s="2">
        <f t="shared" si="101"/>
        <v>1350411.521829833</v>
      </c>
      <c r="M58" s="2">
        <f>M13+M24+M41+M56</f>
        <v>36853796.60473828</v>
      </c>
      <c r="N58" s="2">
        <f t="shared" si="101"/>
        <v>0</v>
      </c>
      <c r="O58" s="2"/>
      <c r="P58" s="61" t="str">
        <f>"Sum("&amp;$A13&amp;","&amp;$A24&amp;","&amp;$A41&amp;","&amp;$A56&amp;")"</f>
        <v>Sum(13,24,41,56)</v>
      </c>
      <c r="Q58" s="61"/>
      <c r="R58" s="14">
        <f>($E13*R13+$E24*R24+$E41*R41+$E56*R56)/$E58</f>
        <v>0.15278530527507739</v>
      </c>
      <c r="S58" s="14">
        <f t="shared" ref="S58:AH58" si="102">($E13*S13+$E24*S24+$E41*S41+$E56*S56)/$E58</f>
        <v>3.164969422787912E-3</v>
      </c>
      <c r="T58" s="14">
        <f t="shared" si="102"/>
        <v>6.9829362297418388E-3</v>
      </c>
      <c r="U58" s="14">
        <f>($E13*U13+$E24*U24+$E41*U41+$E56*U56)/$E58</f>
        <v>4.673195784519539E-2</v>
      </c>
      <c r="V58" s="14">
        <f>($E13*V13+$E24*V24+$E41*V41+$E56*V56)/$E58</f>
        <v>0</v>
      </c>
      <c r="W58" s="14">
        <f t="shared" si="102"/>
        <v>0.27991526808724082</v>
      </c>
      <c r="X58" s="14">
        <f t="shared" si="102"/>
        <v>0</v>
      </c>
      <c r="Y58" s="14">
        <f>($E13*Y13+$E24*Y24+$E41*Y41+$E56*Y56)/$E58</f>
        <v>0</v>
      </c>
      <c r="Z58" s="14">
        <f t="shared" si="102"/>
        <v>0</v>
      </c>
      <c r="AA58" s="14">
        <f t="shared" si="102"/>
        <v>0</v>
      </c>
      <c r="AB58" s="14">
        <f t="shared" si="102"/>
        <v>9.7232640022350991E-2</v>
      </c>
      <c r="AC58" s="14">
        <f t="shared" si="102"/>
        <v>0.29403559958561315</v>
      </c>
      <c r="AD58" s="14">
        <f t="shared" si="102"/>
        <v>0.1147688867063851</v>
      </c>
      <c r="AE58" s="14">
        <f t="shared" si="102"/>
        <v>0</v>
      </c>
      <c r="AF58" s="14">
        <f t="shared" si="102"/>
        <v>4.3824368256074331E-3</v>
      </c>
      <c r="AG58" s="14">
        <f>($E13*AG13+$E24*AG24+$E41*AG41+$E56*AG56)/$E58</f>
        <v>0</v>
      </c>
      <c r="AH58" s="14">
        <f t="shared" si="102"/>
        <v>0</v>
      </c>
      <c r="AI58" s="76">
        <f t="shared" si="69"/>
        <v>0</v>
      </c>
      <c r="AK58" s="2">
        <f>AK13+AK24+AK41+AK56</f>
        <v>730034000</v>
      </c>
      <c r="AL58" s="2">
        <f>AL13+AL24+AL41+AL56</f>
        <v>153062701.81988412</v>
      </c>
      <c r="AM58" s="2">
        <f>AM13+AM24+AM41+AM56</f>
        <v>204347662.82280076</v>
      </c>
      <c r="AN58" s="2">
        <f>AN13+AN24+AN41+AN56</f>
        <v>372623635.35731512</v>
      </c>
      <c r="AO58" s="2">
        <f>AO13+AO24+AO41+AO56</f>
        <v>0</v>
      </c>
      <c r="AP58" s="2"/>
      <c r="AQ58" s="61" t="str">
        <f>"Sum("&amp;$A13&amp;","&amp;$A24&amp;","&amp;$A41&amp;","&amp;$A56&amp;")"</f>
        <v>Sum(13,24,41,56)</v>
      </c>
      <c r="AS58" s="2">
        <f>AS13+AS24+AS41+AS56</f>
        <v>153062701.81988412</v>
      </c>
      <c r="AT58" s="2">
        <f t="shared" ref="AT58:AY58" si="103">AT13+AT24+AT41+AT56</f>
        <v>94773264.423270509</v>
      </c>
      <c r="AU58" s="2">
        <f t="shared" si="103"/>
        <v>39650604.126387075</v>
      </c>
      <c r="AV58" s="2">
        <f t="shared" si="103"/>
        <v>0</v>
      </c>
      <c r="AW58" s="2">
        <f t="shared" si="103"/>
        <v>622674.65695736255</v>
      </c>
      <c r="AX58" s="2">
        <f t="shared" si="103"/>
        <v>18016158.613269165</v>
      </c>
      <c r="AY58" s="2">
        <f t="shared" si="103"/>
        <v>0</v>
      </c>
      <c r="BA58" s="2">
        <f>BA13+BA24+BA41+BA56</f>
        <v>204347662.82280076</v>
      </c>
      <c r="BB58" s="2">
        <f t="shared" ref="BB58:BG58" si="104">BB13+BB24+BB41+BB56</f>
        <v>139530265.11882475</v>
      </c>
      <c r="BC58" s="2">
        <f t="shared" si="104"/>
        <v>47227478.301839687</v>
      </c>
      <c r="BD58" s="2">
        <f t="shared" si="104"/>
        <v>0</v>
      </c>
      <c r="BE58" s="2">
        <f t="shared" si="104"/>
        <v>593308.56312010821</v>
      </c>
      <c r="BF58" s="2">
        <f t="shared" si="104"/>
        <v>16996610.839016192</v>
      </c>
      <c r="BG58" s="2">
        <f t="shared" si="104"/>
        <v>0</v>
      </c>
      <c r="BI58" s="2">
        <f>BI13+BI24+BI41+BI56</f>
        <v>372623635.35731512</v>
      </c>
      <c r="BJ58" s="2">
        <f t="shared" ref="BJ58:BO58" si="105">BJ13+BJ24+BJ41+BJ56</f>
        <v>355071204.2501083</v>
      </c>
      <c r="BK58" s="2">
        <f t="shared" si="105"/>
        <v>15576975.653001541</v>
      </c>
      <c r="BL58" s="2">
        <f t="shared" si="105"/>
        <v>0</v>
      </c>
      <c r="BM58" s="2">
        <f t="shared" si="105"/>
        <v>134428.30175236246</v>
      </c>
      <c r="BN58" s="2">
        <f t="shared" si="105"/>
        <v>1841027.1524529331</v>
      </c>
      <c r="BO58" s="2">
        <f t="shared" si="105"/>
        <v>0</v>
      </c>
    </row>
    <row r="59" spans="1:67" ht="14.4">
      <c r="A59" s="50">
        <f t="shared" si="2"/>
        <v>59</v>
      </c>
      <c r="E59" s="464">
        <f>(E58/1000)-PROFORMA!AV295</f>
        <v>0</v>
      </c>
      <c r="F59" s="60"/>
      <c r="G59" s="60"/>
      <c r="P59" s="61"/>
      <c r="Q59" s="61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76">
        <f t="shared" si="69"/>
        <v>0</v>
      </c>
      <c r="AQ59" s="61"/>
    </row>
    <row r="60" spans="1:67">
      <c r="A60" s="50">
        <f t="shared" si="2"/>
        <v>60</v>
      </c>
      <c r="E60" s="2"/>
      <c r="F60" s="60"/>
      <c r="G60" s="60"/>
      <c r="P60" s="61"/>
      <c r="Q60" s="61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76">
        <f t="shared" si="69"/>
        <v>0</v>
      </c>
      <c r="AQ60" s="61"/>
    </row>
    <row r="61" spans="1:67">
      <c r="A61" s="50">
        <f t="shared" si="2"/>
        <v>61</v>
      </c>
      <c r="C61" s="34"/>
      <c r="D61" s="1" t="s">
        <v>104</v>
      </c>
      <c r="E61" s="9"/>
      <c r="F61" s="60"/>
      <c r="G61" s="60"/>
      <c r="P61" s="61"/>
      <c r="Q61" s="61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76">
        <f t="shared" si="69"/>
        <v>0</v>
      </c>
      <c r="AQ61" s="61"/>
    </row>
    <row r="62" spans="1:67">
      <c r="A62" s="50">
        <f t="shared" si="2"/>
        <v>62</v>
      </c>
      <c r="B62" s="51"/>
      <c r="D62" t="s">
        <v>252</v>
      </c>
      <c r="E62" s="2"/>
      <c r="F62" s="60"/>
      <c r="G62" s="60"/>
      <c r="P62" s="61"/>
      <c r="Q62" s="61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76">
        <f t="shared" si="69"/>
        <v>0</v>
      </c>
      <c r="AQ62" s="61"/>
    </row>
    <row r="63" spans="1:67">
      <c r="A63" s="50">
        <f t="shared" si="2"/>
        <v>63</v>
      </c>
      <c r="B63" s="51">
        <v>350</v>
      </c>
      <c r="C63" s="36" t="s">
        <v>395</v>
      </c>
      <c r="D63" s="28" t="s">
        <v>253</v>
      </c>
      <c r="E63" s="432">
        <f>PROFORMA!AV309</f>
        <v>-19000</v>
      </c>
      <c r="F63" s="60" t="str">
        <f>"as 350 Plant ("&amp;A$16&amp;")"</f>
        <v>as 350 Plant (16)</v>
      </c>
      <c r="G63" s="60"/>
      <c r="H63" s="2">
        <f t="shared" ref="H63:H70" si="106">SUM(I63:N63)</f>
        <v>-19000.000000000004</v>
      </c>
      <c r="I63" s="2">
        <f t="shared" ref="I63:N70" si="107">$E63*SUMPRODUCT($R63:$AH63,INDEX(AllocFactors,I$4,0))</f>
        <v>-13830.202902208015</v>
      </c>
      <c r="J63" s="2">
        <f t="shared" si="107"/>
        <v>-4833.44058087952</v>
      </c>
      <c r="K63" s="2">
        <f t="shared" si="107"/>
        <v>0</v>
      </c>
      <c r="L63" s="2">
        <f t="shared" si="107"/>
        <v>-70.014908409443507</v>
      </c>
      <c r="M63" s="2">
        <f t="shared" si="107"/>
        <v>-266.34160850302038</v>
      </c>
      <c r="N63" s="2">
        <f t="shared" si="107"/>
        <v>0</v>
      </c>
      <c r="O63" s="2"/>
      <c r="P63" s="61" t="str">
        <f>E$1&amp;$A63&amp;"* Sum["&amp;$R$1&amp;$A63&amp;":"&amp;$AH$1&amp;$A63&amp;"* "&amp;Factors!D$1&amp;Factors!$A$58&amp;":"&amp;Factors!S$1&amp;Factors!$A$64&amp;"]"</f>
        <v>E63* Sum[R63:AH63* D1040:S1046]</v>
      </c>
      <c r="Q63" s="61"/>
      <c r="R63" s="14">
        <f>R$16</f>
        <v>0</v>
      </c>
      <c r="S63" s="14">
        <f t="shared" ref="S63:AH63" si="108">S$16</f>
        <v>0</v>
      </c>
      <c r="T63" s="14">
        <f t="shared" si="108"/>
        <v>0.13</v>
      </c>
      <c r="U63" s="14">
        <f t="shared" si="108"/>
        <v>0.87</v>
      </c>
      <c r="V63" s="14">
        <f t="shared" si="108"/>
        <v>0</v>
      </c>
      <c r="W63" s="14">
        <f t="shared" si="108"/>
        <v>0</v>
      </c>
      <c r="X63" s="14">
        <f t="shared" si="108"/>
        <v>0</v>
      </c>
      <c r="Y63" s="14">
        <f t="shared" si="108"/>
        <v>0</v>
      </c>
      <c r="Z63" s="14">
        <f t="shared" si="108"/>
        <v>0</v>
      </c>
      <c r="AA63" s="14">
        <f t="shared" si="108"/>
        <v>0</v>
      </c>
      <c r="AB63" s="14">
        <f t="shared" si="108"/>
        <v>0</v>
      </c>
      <c r="AC63" s="14">
        <f t="shared" si="108"/>
        <v>0</v>
      </c>
      <c r="AD63" s="14">
        <f t="shared" si="108"/>
        <v>0</v>
      </c>
      <c r="AE63" s="14">
        <f t="shared" si="108"/>
        <v>0</v>
      </c>
      <c r="AF63" s="14">
        <f t="shared" si="108"/>
        <v>0</v>
      </c>
      <c r="AG63" s="14">
        <f t="shared" si="108"/>
        <v>0</v>
      </c>
      <c r="AH63" s="14">
        <f t="shared" si="108"/>
        <v>0</v>
      </c>
      <c r="AI63" s="76">
        <f t="shared" si="69"/>
        <v>0</v>
      </c>
      <c r="AK63" s="2">
        <f t="shared" ref="AK63:AK70" si="109">SUM(AL63:AO63)</f>
        <v>-19000</v>
      </c>
      <c r="AL63" s="2">
        <f t="shared" ref="AL63:AO70" si="110">SUMIF($R$4:$AH$4,AL$5,$R63:$AH63)*$E63</f>
        <v>-19000</v>
      </c>
      <c r="AM63" s="2">
        <f t="shared" si="110"/>
        <v>0</v>
      </c>
      <c r="AN63" s="2">
        <f t="shared" si="110"/>
        <v>0</v>
      </c>
      <c r="AO63" s="2">
        <f t="shared" si="110"/>
        <v>0</v>
      </c>
      <c r="AP63" s="2"/>
      <c r="AQ63" s="61" t="str">
        <f>E$1&amp;$A63&amp;"*["&amp;R$1&amp;$A63&amp;":"&amp;$AH$1&amp;$A63&amp;" when "&amp;R$1&amp;$A$4&amp;":"&amp;$AH$1&amp;$A$4&amp;" = E,D,C,or R]"</f>
        <v>E63*[R63:AH63 when R4:AH4 = E,D,C,or R]</v>
      </c>
      <c r="AS63" s="2">
        <f t="shared" ref="AS63:AS70" si="111">SUM(AT63:AY63)</f>
        <v>-19000.000000000004</v>
      </c>
      <c r="AT63" s="2">
        <f t="shared" ref="AT63:AY70" si="112">$E63*SUMPRODUCT($R63:$V63,INDEX(AllocFactors_E,AT$4,0))</f>
        <v>-13830.202902208015</v>
      </c>
      <c r="AU63" s="2">
        <f t="shared" si="112"/>
        <v>-4833.44058087952</v>
      </c>
      <c r="AV63" s="2">
        <f t="shared" si="112"/>
        <v>0</v>
      </c>
      <c r="AW63" s="2">
        <f t="shared" si="112"/>
        <v>-70.014908409443507</v>
      </c>
      <c r="AX63" s="2">
        <f t="shared" si="112"/>
        <v>-266.34160850302038</v>
      </c>
      <c r="AY63" s="2">
        <f t="shared" si="112"/>
        <v>0</v>
      </c>
      <c r="BA63" s="2">
        <f t="shared" ref="BA63:BA70" si="113">SUM(BB63:BG63)</f>
        <v>0</v>
      </c>
      <c r="BB63" s="2">
        <f t="shared" ref="BB63:BG70" si="114">$E63*SUMPRODUCT($W63:$AA63,INDEX(AllocFactors_D,BB$4,0))</f>
        <v>0</v>
      </c>
      <c r="BC63" s="2">
        <f t="shared" si="114"/>
        <v>0</v>
      </c>
      <c r="BD63" s="2">
        <f t="shared" si="114"/>
        <v>0</v>
      </c>
      <c r="BE63" s="2">
        <f t="shared" si="114"/>
        <v>0</v>
      </c>
      <c r="BF63" s="2">
        <f t="shared" si="114"/>
        <v>0</v>
      </c>
      <c r="BG63" s="2">
        <f t="shared" si="114"/>
        <v>0</v>
      </c>
      <c r="BI63" s="2">
        <f t="shared" ref="BI63:BI70" si="115">SUM(BJ63:BO63)</f>
        <v>0</v>
      </c>
      <c r="BJ63" s="2">
        <f t="shared" ref="BJ63:BO70" si="116">$E63*SUMPRODUCT($AB63:$AG63,INDEX(AllocFactors_C,BJ$4,0))</f>
        <v>0</v>
      </c>
      <c r="BK63" s="2">
        <f t="shared" si="116"/>
        <v>0</v>
      </c>
      <c r="BL63" s="2">
        <f t="shared" si="116"/>
        <v>0</v>
      </c>
      <c r="BM63" s="2">
        <f t="shared" si="116"/>
        <v>0</v>
      </c>
      <c r="BN63" s="2">
        <f t="shared" si="116"/>
        <v>0</v>
      </c>
      <c r="BO63" s="2">
        <f t="shared" si="116"/>
        <v>0</v>
      </c>
    </row>
    <row r="64" spans="1:67">
      <c r="A64" s="50">
        <f t="shared" si="2"/>
        <v>64</v>
      </c>
      <c r="B64" s="51">
        <v>351</v>
      </c>
      <c r="C64" s="36" t="s">
        <v>395</v>
      </c>
      <c r="D64" s="28" t="s">
        <v>254</v>
      </c>
      <c r="E64" s="432">
        <f>PROFORMA!AV310</f>
        <v>-584000</v>
      </c>
      <c r="F64" s="60" t="str">
        <f>"as 351 Plant ("&amp;A$17&amp;")"</f>
        <v>as 351 Plant (17)</v>
      </c>
      <c r="G64" s="60"/>
      <c r="H64" s="2">
        <f t="shared" si="106"/>
        <v>-584000</v>
      </c>
      <c r="I64" s="2">
        <f t="shared" si="107"/>
        <v>-425096.76288892003</v>
      </c>
      <c r="J64" s="2">
        <f t="shared" si="107"/>
        <v>-148564.69995966525</v>
      </c>
      <c r="K64" s="2">
        <f t="shared" si="107"/>
        <v>0</v>
      </c>
      <c r="L64" s="2">
        <f t="shared" si="107"/>
        <v>-2152.0371847955266</v>
      </c>
      <c r="M64" s="2">
        <f t="shared" si="107"/>
        <v>-8186.4999666191525</v>
      </c>
      <c r="N64" s="2">
        <f t="shared" si="107"/>
        <v>0</v>
      </c>
      <c r="O64" s="2"/>
      <c r="P64" s="61" t="str">
        <f t="shared" ref="P64:P70" si="117">E$1&amp;$A64&amp;"*     """</f>
        <v>E64*     "</v>
      </c>
      <c r="Q64" s="61"/>
      <c r="R64" s="14">
        <f>R$17</f>
        <v>0</v>
      </c>
      <c r="S64" s="14">
        <f t="shared" ref="S64:AH64" si="118">S$17</f>
        <v>0</v>
      </c>
      <c r="T64" s="14">
        <f t="shared" si="118"/>
        <v>0.13</v>
      </c>
      <c r="U64" s="14">
        <f t="shared" si="118"/>
        <v>0.87</v>
      </c>
      <c r="V64" s="14">
        <f t="shared" si="118"/>
        <v>0</v>
      </c>
      <c r="W64" s="14">
        <f t="shared" si="118"/>
        <v>0</v>
      </c>
      <c r="X64" s="14">
        <f t="shared" si="118"/>
        <v>0</v>
      </c>
      <c r="Y64" s="14">
        <f t="shared" si="118"/>
        <v>0</v>
      </c>
      <c r="Z64" s="14">
        <f t="shared" si="118"/>
        <v>0</v>
      </c>
      <c r="AA64" s="14">
        <f t="shared" si="118"/>
        <v>0</v>
      </c>
      <c r="AB64" s="14">
        <f t="shared" si="118"/>
        <v>0</v>
      </c>
      <c r="AC64" s="14">
        <f t="shared" si="118"/>
        <v>0</v>
      </c>
      <c r="AD64" s="14">
        <f t="shared" si="118"/>
        <v>0</v>
      </c>
      <c r="AE64" s="14">
        <f t="shared" si="118"/>
        <v>0</v>
      </c>
      <c r="AF64" s="14">
        <f t="shared" si="118"/>
        <v>0</v>
      </c>
      <c r="AG64" s="14">
        <f t="shared" si="118"/>
        <v>0</v>
      </c>
      <c r="AH64" s="14">
        <f t="shared" si="118"/>
        <v>0</v>
      </c>
      <c r="AI64" s="76">
        <f t="shared" si="69"/>
        <v>0</v>
      </c>
      <c r="AK64" s="2">
        <f t="shared" si="109"/>
        <v>-584000</v>
      </c>
      <c r="AL64" s="2">
        <f t="shared" si="110"/>
        <v>-584000</v>
      </c>
      <c r="AM64" s="2">
        <f t="shared" si="110"/>
        <v>0</v>
      </c>
      <c r="AN64" s="2">
        <f t="shared" si="110"/>
        <v>0</v>
      </c>
      <c r="AO64" s="2">
        <f t="shared" si="110"/>
        <v>0</v>
      </c>
      <c r="AP64" s="2"/>
      <c r="AQ64" s="61" t="str">
        <f t="shared" ref="AQ64:AQ70" si="119">E$1&amp;$A64&amp;"*      """</f>
        <v>E64*      "</v>
      </c>
      <c r="AS64" s="2">
        <f t="shared" si="111"/>
        <v>-584000</v>
      </c>
      <c r="AT64" s="2">
        <f t="shared" si="112"/>
        <v>-425096.76288892003</v>
      </c>
      <c r="AU64" s="2">
        <f t="shared" si="112"/>
        <v>-148564.69995966525</v>
      </c>
      <c r="AV64" s="2">
        <f t="shared" si="112"/>
        <v>0</v>
      </c>
      <c r="AW64" s="2">
        <f t="shared" si="112"/>
        <v>-2152.0371847955266</v>
      </c>
      <c r="AX64" s="2">
        <f t="shared" si="112"/>
        <v>-8186.4999666191525</v>
      </c>
      <c r="AY64" s="2">
        <f t="shared" si="112"/>
        <v>0</v>
      </c>
      <c r="BA64" s="2">
        <f t="shared" si="113"/>
        <v>0</v>
      </c>
      <c r="BB64" s="2">
        <f t="shared" si="114"/>
        <v>0</v>
      </c>
      <c r="BC64" s="2">
        <f t="shared" si="114"/>
        <v>0</v>
      </c>
      <c r="BD64" s="2">
        <f t="shared" si="114"/>
        <v>0</v>
      </c>
      <c r="BE64" s="2">
        <f t="shared" si="114"/>
        <v>0</v>
      </c>
      <c r="BF64" s="2">
        <f t="shared" si="114"/>
        <v>0</v>
      </c>
      <c r="BG64" s="2">
        <f t="shared" si="114"/>
        <v>0</v>
      </c>
      <c r="BI64" s="2">
        <f t="shared" si="115"/>
        <v>0</v>
      </c>
      <c r="BJ64" s="2">
        <f t="shared" si="116"/>
        <v>0</v>
      </c>
      <c r="BK64" s="2">
        <f t="shared" si="116"/>
        <v>0</v>
      </c>
      <c r="BL64" s="2">
        <f t="shared" si="116"/>
        <v>0</v>
      </c>
      <c r="BM64" s="2">
        <f t="shared" si="116"/>
        <v>0</v>
      </c>
      <c r="BN64" s="2">
        <f t="shared" si="116"/>
        <v>0</v>
      </c>
      <c r="BO64" s="2">
        <f t="shared" si="116"/>
        <v>0</v>
      </c>
    </row>
    <row r="65" spans="1:67">
      <c r="A65" s="50">
        <f t="shared" si="2"/>
        <v>65</v>
      </c>
      <c r="B65" s="51">
        <v>352</v>
      </c>
      <c r="C65" s="36" t="s">
        <v>395</v>
      </c>
      <c r="D65" s="28" t="s">
        <v>255</v>
      </c>
      <c r="E65" s="432">
        <f>PROFORMA!AV311</f>
        <v>-6782000</v>
      </c>
      <c r="F65" s="60" t="str">
        <f>"as 352 Plant ("&amp;A$18&amp;")"</f>
        <v>as 352 Plant (18)</v>
      </c>
      <c r="G65" s="60"/>
      <c r="H65" s="2">
        <f t="shared" si="106"/>
        <v>-6782000</v>
      </c>
      <c r="I65" s="2">
        <f t="shared" si="107"/>
        <v>-4936654.5306723556</v>
      </c>
      <c r="J65" s="2">
        <f t="shared" si="107"/>
        <v>-1725283.8957644687</v>
      </c>
      <c r="K65" s="2">
        <f t="shared" si="107"/>
        <v>0</v>
      </c>
      <c r="L65" s="2">
        <f t="shared" si="107"/>
        <v>-24991.637306991888</v>
      </c>
      <c r="M65" s="2">
        <f t="shared" si="107"/>
        <v>-95069.93625618337</v>
      </c>
      <c r="N65" s="2">
        <f t="shared" si="107"/>
        <v>0</v>
      </c>
      <c r="O65" s="2"/>
      <c r="P65" s="61" t="str">
        <f t="shared" si="117"/>
        <v>E65*     "</v>
      </c>
      <c r="Q65" s="61"/>
      <c r="R65" s="14">
        <f>R$18</f>
        <v>0</v>
      </c>
      <c r="S65" s="14">
        <f t="shared" ref="S65:AH65" si="120">S$18</f>
        <v>0</v>
      </c>
      <c r="T65" s="14">
        <f t="shared" si="120"/>
        <v>0.13</v>
      </c>
      <c r="U65" s="14">
        <f t="shared" si="120"/>
        <v>0.87</v>
      </c>
      <c r="V65" s="14">
        <f t="shared" si="120"/>
        <v>0</v>
      </c>
      <c r="W65" s="14">
        <f t="shared" si="120"/>
        <v>0</v>
      </c>
      <c r="X65" s="14">
        <f t="shared" si="120"/>
        <v>0</v>
      </c>
      <c r="Y65" s="14">
        <f t="shared" si="120"/>
        <v>0</v>
      </c>
      <c r="Z65" s="14">
        <f t="shared" si="120"/>
        <v>0</v>
      </c>
      <c r="AA65" s="14">
        <f t="shared" si="120"/>
        <v>0</v>
      </c>
      <c r="AB65" s="14">
        <f t="shared" si="120"/>
        <v>0</v>
      </c>
      <c r="AC65" s="14">
        <f t="shared" si="120"/>
        <v>0</v>
      </c>
      <c r="AD65" s="14">
        <f t="shared" si="120"/>
        <v>0</v>
      </c>
      <c r="AE65" s="14">
        <f t="shared" si="120"/>
        <v>0</v>
      </c>
      <c r="AF65" s="14">
        <f t="shared" si="120"/>
        <v>0</v>
      </c>
      <c r="AG65" s="14">
        <f t="shared" si="120"/>
        <v>0</v>
      </c>
      <c r="AH65" s="14">
        <f t="shared" si="120"/>
        <v>0</v>
      </c>
      <c r="AI65" s="76">
        <f t="shared" si="69"/>
        <v>0</v>
      </c>
      <c r="AK65" s="2">
        <f t="shared" si="109"/>
        <v>-6782000</v>
      </c>
      <c r="AL65" s="2">
        <f t="shared" si="110"/>
        <v>-6782000</v>
      </c>
      <c r="AM65" s="2">
        <f t="shared" si="110"/>
        <v>0</v>
      </c>
      <c r="AN65" s="2">
        <f t="shared" si="110"/>
        <v>0</v>
      </c>
      <c r="AO65" s="2">
        <f t="shared" si="110"/>
        <v>0</v>
      </c>
      <c r="AP65" s="2"/>
      <c r="AQ65" s="61" t="str">
        <f t="shared" si="119"/>
        <v>E65*      "</v>
      </c>
      <c r="AS65" s="2">
        <f t="shared" si="111"/>
        <v>-6782000</v>
      </c>
      <c r="AT65" s="2">
        <f t="shared" si="112"/>
        <v>-4936654.5306723556</v>
      </c>
      <c r="AU65" s="2">
        <f t="shared" si="112"/>
        <v>-1725283.8957644687</v>
      </c>
      <c r="AV65" s="2">
        <f t="shared" si="112"/>
        <v>0</v>
      </c>
      <c r="AW65" s="2">
        <f t="shared" si="112"/>
        <v>-24991.637306991888</v>
      </c>
      <c r="AX65" s="2">
        <f t="shared" si="112"/>
        <v>-95069.93625618337</v>
      </c>
      <c r="AY65" s="2">
        <f t="shared" si="112"/>
        <v>0</v>
      </c>
      <c r="BA65" s="2">
        <f t="shared" si="113"/>
        <v>0</v>
      </c>
      <c r="BB65" s="2">
        <f t="shared" si="114"/>
        <v>0</v>
      </c>
      <c r="BC65" s="2">
        <f t="shared" si="114"/>
        <v>0</v>
      </c>
      <c r="BD65" s="2">
        <f t="shared" si="114"/>
        <v>0</v>
      </c>
      <c r="BE65" s="2">
        <f t="shared" si="114"/>
        <v>0</v>
      </c>
      <c r="BF65" s="2">
        <f t="shared" si="114"/>
        <v>0</v>
      </c>
      <c r="BG65" s="2">
        <f t="shared" si="114"/>
        <v>0</v>
      </c>
      <c r="BI65" s="2">
        <f t="shared" si="115"/>
        <v>0</v>
      </c>
      <c r="BJ65" s="2">
        <f t="shared" si="116"/>
        <v>0</v>
      </c>
      <c r="BK65" s="2">
        <f t="shared" si="116"/>
        <v>0</v>
      </c>
      <c r="BL65" s="2">
        <f t="shared" si="116"/>
        <v>0</v>
      </c>
      <c r="BM65" s="2">
        <f t="shared" si="116"/>
        <v>0</v>
      </c>
      <c r="BN65" s="2">
        <f t="shared" si="116"/>
        <v>0</v>
      </c>
      <c r="BO65" s="2">
        <f t="shared" si="116"/>
        <v>0</v>
      </c>
    </row>
    <row r="66" spans="1:67">
      <c r="A66" s="50">
        <f t="shared" si="2"/>
        <v>66</v>
      </c>
      <c r="B66" s="51">
        <v>353</v>
      </c>
      <c r="C66" s="36" t="s">
        <v>395</v>
      </c>
      <c r="D66" s="28" t="s">
        <v>256</v>
      </c>
      <c r="E66" s="432">
        <f>PROFORMA!AV312</f>
        <v>-420000</v>
      </c>
      <c r="F66" s="60" t="str">
        <f>"as 353 Plant ("&amp;A$19&amp;")"</f>
        <v>as 353 Plant (19)</v>
      </c>
      <c r="G66" s="60"/>
      <c r="H66" s="2">
        <f t="shared" si="106"/>
        <v>-420000</v>
      </c>
      <c r="I66" s="2">
        <f t="shared" si="107"/>
        <v>-305720.27468038769</v>
      </c>
      <c r="J66" s="2">
        <f t="shared" si="107"/>
        <v>-106844.47599838939</v>
      </c>
      <c r="K66" s="2">
        <f t="shared" si="107"/>
        <v>0</v>
      </c>
      <c r="L66" s="2">
        <f t="shared" si="107"/>
        <v>-1547.697975366646</v>
      </c>
      <c r="M66" s="2">
        <f t="shared" si="107"/>
        <v>-5887.55134585624</v>
      </c>
      <c r="N66" s="2">
        <f t="shared" si="107"/>
        <v>0</v>
      </c>
      <c r="O66" s="2"/>
      <c r="P66" s="61" t="str">
        <f t="shared" si="117"/>
        <v>E66*     "</v>
      </c>
      <c r="Q66" s="61"/>
      <c r="R66" s="14">
        <f>R$19</f>
        <v>0</v>
      </c>
      <c r="S66" s="14">
        <f t="shared" ref="S66:AH66" si="121">S$19</f>
        <v>0</v>
      </c>
      <c r="T66" s="14">
        <f t="shared" si="121"/>
        <v>0.13</v>
      </c>
      <c r="U66" s="14">
        <f t="shared" si="121"/>
        <v>0.87</v>
      </c>
      <c r="V66" s="14">
        <f t="shared" si="121"/>
        <v>0</v>
      </c>
      <c r="W66" s="14">
        <f t="shared" si="121"/>
        <v>0</v>
      </c>
      <c r="X66" s="14">
        <f t="shared" si="121"/>
        <v>0</v>
      </c>
      <c r="Y66" s="14">
        <f t="shared" si="121"/>
        <v>0</v>
      </c>
      <c r="Z66" s="14">
        <f t="shared" si="121"/>
        <v>0</v>
      </c>
      <c r="AA66" s="14">
        <f t="shared" si="121"/>
        <v>0</v>
      </c>
      <c r="AB66" s="14">
        <f t="shared" si="121"/>
        <v>0</v>
      </c>
      <c r="AC66" s="14">
        <f t="shared" si="121"/>
        <v>0</v>
      </c>
      <c r="AD66" s="14">
        <f t="shared" si="121"/>
        <v>0</v>
      </c>
      <c r="AE66" s="14">
        <f t="shared" si="121"/>
        <v>0</v>
      </c>
      <c r="AF66" s="14">
        <f t="shared" si="121"/>
        <v>0</v>
      </c>
      <c r="AG66" s="14">
        <f t="shared" si="121"/>
        <v>0</v>
      </c>
      <c r="AH66" s="14">
        <f t="shared" si="121"/>
        <v>0</v>
      </c>
      <c r="AI66" s="76">
        <f t="shared" si="69"/>
        <v>0</v>
      </c>
      <c r="AK66" s="2">
        <f t="shared" si="109"/>
        <v>-420000</v>
      </c>
      <c r="AL66" s="2">
        <f t="shared" si="110"/>
        <v>-420000</v>
      </c>
      <c r="AM66" s="2">
        <f t="shared" si="110"/>
        <v>0</v>
      </c>
      <c r="AN66" s="2">
        <f t="shared" si="110"/>
        <v>0</v>
      </c>
      <c r="AO66" s="2">
        <f t="shared" si="110"/>
        <v>0</v>
      </c>
      <c r="AP66" s="2"/>
      <c r="AQ66" s="61" t="str">
        <f t="shared" si="119"/>
        <v>E66*      "</v>
      </c>
      <c r="AS66" s="2">
        <f t="shared" si="111"/>
        <v>-420000</v>
      </c>
      <c r="AT66" s="2">
        <f t="shared" si="112"/>
        <v>-305720.27468038769</v>
      </c>
      <c r="AU66" s="2">
        <f t="shared" si="112"/>
        <v>-106844.47599838939</v>
      </c>
      <c r="AV66" s="2">
        <f t="shared" si="112"/>
        <v>0</v>
      </c>
      <c r="AW66" s="2">
        <f t="shared" si="112"/>
        <v>-1547.697975366646</v>
      </c>
      <c r="AX66" s="2">
        <f t="shared" si="112"/>
        <v>-5887.55134585624</v>
      </c>
      <c r="AY66" s="2">
        <f t="shared" si="112"/>
        <v>0</v>
      </c>
      <c r="BA66" s="2">
        <f t="shared" si="113"/>
        <v>0</v>
      </c>
      <c r="BB66" s="2">
        <f t="shared" si="114"/>
        <v>0</v>
      </c>
      <c r="BC66" s="2">
        <f t="shared" si="114"/>
        <v>0</v>
      </c>
      <c r="BD66" s="2">
        <f t="shared" si="114"/>
        <v>0</v>
      </c>
      <c r="BE66" s="2">
        <f t="shared" si="114"/>
        <v>0</v>
      </c>
      <c r="BF66" s="2">
        <f t="shared" si="114"/>
        <v>0</v>
      </c>
      <c r="BG66" s="2">
        <f t="shared" si="114"/>
        <v>0</v>
      </c>
      <c r="BI66" s="2">
        <f t="shared" si="115"/>
        <v>0</v>
      </c>
      <c r="BJ66" s="2">
        <f t="shared" si="116"/>
        <v>0</v>
      </c>
      <c r="BK66" s="2">
        <f t="shared" si="116"/>
        <v>0</v>
      </c>
      <c r="BL66" s="2">
        <f t="shared" si="116"/>
        <v>0</v>
      </c>
      <c r="BM66" s="2">
        <f t="shared" si="116"/>
        <v>0</v>
      </c>
      <c r="BN66" s="2">
        <f t="shared" si="116"/>
        <v>0</v>
      </c>
      <c r="BO66" s="2">
        <f t="shared" si="116"/>
        <v>0</v>
      </c>
    </row>
    <row r="67" spans="1:67">
      <c r="A67" s="50">
        <f t="shared" ref="A67:A136" si="122">RowHdr</f>
        <v>67</v>
      </c>
      <c r="B67" s="51">
        <v>354</v>
      </c>
      <c r="C67" s="36" t="s">
        <v>395</v>
      </c>
      <c r="D67" s="56" t="s">
        <v>257</v>
      </c>
      <c r="E67" s="432">
        <f>PROFORMA!AV313</f>
        <v>-2445000</v>
      </c>
      <c r="F67" s="60" t="str">
        <f>"as 354 Plant ("&amp;A$20&amp;")"</f>
        <v>as 354 Plant (20)</v>
      </c>
      <c r="G67" s="60"/>
      <c r="H67" s="2">
        <f t="shared" si="106"/>
        <v>-2445000</v>
      </c>
      <c r="I67" s="2">
        <f t="shared" si="107"/>
        <v>-1779728.7418893999</v>
      </c>
      <c r="J67" s="2">
        <f t="shared" si="107"/>
        <v>-621987.4852763383</v>
      </c>
      <c r="K67" s="2">
        <f t="shared" si="107"/>
        <v>0</v>
      </c>
      <c r="L67" s="2">
        <f t="shared" si="107"/>
        <v>-9009.813213741545</v>
      </c>
      <c r="M67" s="2">
        <f t="shared" si="107"/>
        <v>-34273.959620520254</v>
      </c>
      <c r="N67" s="2">
        <f t="shared" si="107"/>
        <v>0</v>
      </c>
      <c r="O67" s="2"/>
      <c r="P67" s="61" t="str">
        <f t="shared" si="117"/>
        <v>E67*     "</v>
      </c>
      <c r="Q67" s="61"/>
      <c r="R67" s="14">
        <f>R$20</f>
        <v>0</v>
      </c>
      <c r="S67" s="14">
        <f t="shared" ref="S67:AH67" si="123">S$20</f>
        <v>0</v>
      </c>
      <c r="T67" s="14">
        <f t="shared" si="123"/>
        <v>0.13</v>
      </c>
      <c r="U67" s="14">
        <f t="shared" si="123"/>
        <v>0.87</v>
      </c>
      <c r="V67" s="14">
        <f t="shared" si="123"/>
        <v>0</v>
      </c>
      <c r="W67" s="14">
        <f t="shared" si="123"/>
        <v>0</v>
      </c>
      <c r="X67" s="14">
        <f t="shared" si="123"/>
        <v>0</v>
      </c>
      <c r="Y67" s="14">
        <f t="shared" si="123"/>
        <v>0</v>
      </c>
      <c r="Z67" s="14">
        <f t="shared" si="123"/>
        <v>0</v>
      </c>
      <c r="AA67" s="14">
        <f t="shared" si="123"/>
        <v>0</v>
      </c>
      <c r="AB67" s="14">
        <f t="shared" si="123"/>
        <v>0</v>
      </c>
      <c r="AC67" s="14">
        <f t="shared" si="123"/>
        <v>0</v>
      </c>
      <c r="AD67" s="14">
        <f t="shared" si="123"/>
        <v>0</v>
      </c>
      <c r="AE67" s="14">
        <f t="shared" si="123"/>
        <v>0</v>
      </c>
      <c r="AF67" s="14">
        <f t="shared" si="123"/>
        <v>0</v>
      </c>
      <c r="AG67" s="14">
        <f t="shared" si="123"/>
        <v>0</v>
      </c>
      <c r="AH67" s="14">
        <f t="shared" si="123"/>
        <v>0</v>
      </c>
      <c r="AI67" s="76">
        <f t="shared" si="69"/>
        <v>0</v>
      </c>
      <c r="AK67" s="2">
        <f t="shared" si="109"/>
        <v>-2445000</v>
      </c>
      <c r="AL67" s="2">
        <f t="shared" si="110"/>
        <v>-2445000</v>
      </c>
      <c r="AM67" s="2">
        <f t="shared" si="110"/>
        <v>0</v>
      </c>
      <c r="AN67" s="2">
        <f t="shared" si="110"/>
        <v>0</v>
      </c>
      <c r="AO67" s="2">
        <f t="shared" si="110"/>
        <v>0</v>
      </c>
      <c r="AP67" s="2"/>
      <c r="AQ67" s="61" t="str">
        <f t="shared" si="119"/>
        <v>E67*      "</v>
      </c>
      <c r="AS67" s="2">
        <f t="shared" si="111"/>
        <v>-2445000</v>
      </c>
      <c r="AT67" s="2">
        <f t="shared" si="112"/>
        <v>-1779728.7418893999</v>
      </c>
      <c r="AU67" s="2">
        <f t="shared" si="112"/>
        <v>-621987.4852763383</v>
      </c>
      <c r="AV67" s="2">
        <f t="shared" si="112"/>
        <v>0</v>
      </c>
      <c r="AW67" s="2">
        <f t="shared" si="112"/>
        <v>-9009.813213741545</v>
      </c>
      <c r="AX67" s="2">
        <f t="shared" si="112"/>
        <v>-34273.959620520254</v>
      </c>
      <c r="AY67" s="2">
        <f t="shared" si="112"/>
        <v>0</v>
      </c>
      <c r="BA67" s="2">
        <f t="shared" si="113"/>
        <v>0</v>
      </c>
      <c r="BB67" s="2">
        <f t="shared" si="114"/>
        <v>0</v>
      </c>
      <c r="BC67" s="2">
        <f t="shared" si="114"/>
        <v>0</v>
      </c>
      <c r="BD67" s="2">
        <f t="shared" si="114"/>
        <v>0</v>
      </c>
      <c r="BE67" s="2">
        <f t="shared" si="114"/>
        <v>0</v>
      </c>
      <c r="BF67" s="2">
        <f t="shared" si="114"/>
        <v>0</v>
      </c>
      <c r="BG67" s="2">
        <f t="shared" si="114"/>
        <v>0</v>
      </c>
      <c r="BI67" s="2">
        <f t="shared" si="115"/>
        <v>0</v>
      </c>
      <c r="BJ67" s="2">
        <f t="shared" si="116"/>
        <v>0</v>
      </c>
      <c r="BK67" s="2">
        <f t="shared" si="116"/>
        <v>0</v>
      </c>
      <c r="BL67" s="2">
        <f t="shared" si="116"/>
        <v>0</v>
      </c>
      <c r="BM67" s="2">
        <f t="shared" si="116"/>
        <v>0</v>
      </c>
      <c r="BN67" s="2">
        <f t="shared" si="116"/>
        <v>0</v>
      </c>
      <c r="BO67" s="2">
        <f t="shared" si="116"/>
        <v>0</v>
      </c>
    </row>
    <row r="68" spans="1:67">
      <c r="A68" s="50">
        <f t="shared" si="122"/>
        <v>68</v>
      </c>
      <c r="B68" s="51">
        <v>355</v>
      </c>
      <c r="C68" s="36" t="s">
        <v>395</v>
      </c>
      <c r="D68" s="56" t="s">
        <v>258</v>
      </c>
      <c r="E68" s="432">
        <f>PROFORMA!AV314</f>
        <v>-553000</v>
      </c>
      <c r="F68" s="60" t="str">
        <f>"as 355 Plant ("&amp;A$21&amp;")"</f>
        <v>as 355 Plant (21)</v>
      </c>
      <c r="G68" s="60"/>
      <c r="H68" s="2">
        <f t="shared" si="106"/>
        <v>-553000</v>
      </c>
      <c r="I68" s="2">
        <f t="shared" si="107"/>
        <v>-402531.69499584381</v>
      </c>
      <c r="J68" s="2">
        <f t="shared" si="107"/>
        <v>-140678.56006454604</v>
      </c>
      <c r="K68" s="2">
        <f t="shared" si="107"/>
        <v>0</v>
      </c>
      <c r="L68" s="2">
        <f t="shared" si="107"/>
        <v>-2037.8023342327504</v>
      </c>
      <c r="M68" s="2">
        <f t="shared" si="107"/>
        <v>-7751.9426053773823</v>
      </c>
      <c r="N68" s="2">
        <f t="shared" si="107"/>
        <v>0</v>
      </c>
      <c r="O68" s="2"/>
      <c r="P68" s="61" t="str">
        <f t="shared" si="117"/>
        <v>E68*     "</v>
      </c>
      <c r="Q68" s="61"/>
      <c r="R68" s="14">
        <f>R$21</f>
        <v>0</v>
      </c>
      <c r="S68" s="14">
        <f t="shared" ref="S68:AH68" si="124">S$21</f>
        <v>0</v>
      </c>
      <c r="T68" s="14">
        <f t="shared" si="124"/>
        <v>0.13</v>
      </c>
      <c r="U68" s="14">
        <f t="shared" si="124"/>
        <v>0.87</v>
      </c>
      <c r="V68" s="14">
        <f t="shared" si="124"/>
        <v>0</v>
      </c>
      <c r="W68" s="14">
        <f t="shared" si="124"/>
        <v>0</v>
      </c>
      <c r="X68" s="14">
        <f t="shared" si="124"/>
        <v>0</v>
      </c>
      <c r="Y68" s="14">
        <f t="shared" si="124"/>
        <v>0</v>
      </c>
      <c r="Z68" s="14">
        <f t="shared" si="124"/>
        <v>0</v>
      </c>
      <c r="AA68" s="14">
        <f t="shared" si="124"/>
        <v>0</v>
      </c>
      <c r="AB68" s="14">
        <f t="shared" si="124"/>
        <v>0</v>
      </c>
      <c r="AC68" s="14">
        <f t="shared" si="124"/>
        <v>0</v>
      </c>
      <c r="AD68" s="14">
        <f t="shared" si="124"/>
        <v>0</v>
      </c>
      <c r="AE68" s="14">
        <f t="shared" si="124"/>
        <v>0</v>
      </c>
      <c r="AF68" s="14">
        <f t="shared" si="124"/>
        <v>0</v>
      </c>
      <c r="AG68" s="14">
        <f t="shared" si="124"/>
        <v>0</v>
      </c>
      <c r="AH68" s="14">
        <f t="shared" si="124"/>
        <v>0</v>
      </c>
      <c r="AI68" s="76">
        <f t="shared" si="69"/>
        <v>0</v>
      </c>
      <c r="AK68" s="2">
        <f t="shared" si="109"/>
        <v>-553000</v>
      </c>
      <c r="AL68" s="2">
        <f t="shared" si="110"/>
        <v>-553000</v>
      </c>
      <c r="AM68" s="2">
        <f t="shared" si="110"/>
        <v>0</v>
      </c>
      <c r="AN68" s="2">
        <f t="shared" si="110"/>
        <v>0</v>
      </c>
      <c r="AO68" s="2">
        <f t="shared" si="110"/>
        <v>0</v>
      </c>
      <c r="AP68" s="2"/>
      <c r="AQ68" s="61" t="str">
        <f t="shared" si="119"/>
        <v>E68*      "</v>
      </c>
      <c r="AS68" s="2">
        <f t="shared" si="111"/>
        <v>-553000</v>
      </c>
      <c r="AT68" s="2">
        <f t="shared" si="112"/>
        <v>-402531.69499584381</v>
      </c>
      <c r="AU68" s="2">
        <f t="shared" si="112"/>
        <v>-140678.56006454604</v>
      </c>
      <c r="AV68" s="2">
        <f t="shared" si="112"/>
        <v>0</v>
      </c>
      <c r="AW68" s="2">
        <f t="shared" si="112"/>
        <v>-2037.8023342327504</v>
      </c>
      <c r="AX68" s="2">
        <f t="shared" si="112"/>
        <v>-7751.9426053773823</v>
      </c>
      <c r="AY68" s="2">
        <f t="shared" si="112"/>
        <v>0</v>
      </c>
      <c r="BA68" s="2">
        <f t="shared" si="113"/>
        <v>0</v>
      </c>
      <c r="BB68" s="2">
        <f t="shared" si="114"/>
        <v>0</v>
      </c>
      <c r="BC68" s="2">
        <f t="shared" si="114"/>
        <v>0</v>
      </c>
      <c r="BD68" s="2">
        <f t="shared" si="114"/>
        <v>0</v>
      </c>
      <c r="BE68" s="2">
        <f t="shared" si="114"/>
        <v>0</v>
      </c>
      <c r="BF68" s="2">
        <f t="shared" si="114"/>
        <v>0</v>
      </c>
      <c r="BG68" s="2">
        <f t="shared" si="114"/>
        <v>0</v>
      </c>
      <c r="BI68" s="2">
        <f t="shared" si="115"/>
        <v>0</v>
      </c>
      <c r="BJ68" s="2">
        <f t="shared" si="116"/>
        <v>0</v>
      </c>
      <c r="BK68" s="2">
        <f t="shared" si="116"/>
        <v>0</v>
      </c>
      <c r="BL68" s="2">
        <f t="shared" si="116"/>
        <v>0</v>
      </c>
      <c r="BM68" s="2">
        <f t="shared" si="116"/>
        <v>0</v>
      </c>
      <c r="BN68" s="2">
        <f t="shared" si="116"/>
        <v>0</v>
      </c>
      <c r="BO68" s="2">
        <f t="shared" si="116"/>
        <v>0</v>
      </c>
    </row>
    <row r="69" spans="1:67">
      <c r="A69" s="50">
        <f t="shared" si="122"/>
        <v>69</v>
      </c>
      <c r="B69" s="51">
        <v>356</v>
      </c>
      <c r="C69" s="36" t="s">
        <v>395</v>
      </c>
      <c r="D69" s="28" t="s">
        <v>259</v>
      </c>
      <c r="E69" s="432">
        <f>PROFORMA!AV315</f>
        <v>-279000</v>
      </c>
      <c r="F69" s="60" t="str">
        <f>"as 356 Plant ("&amp;A$22&amp;")"</f>
        <v>as 356 Plant (22)</v>
      </c>
      <c r="G69" s="60"/>
      <c r="H69" s="2">
        <f t="shared" si="106"/>
        <v>-279000.00000000006</v>
      </c>
      <c r="I69" s="2">
        <f t="shared" si="107"/>
        <v>-203085.61103768612</v>
      </c>
      <c r="J69" s="2">
        <f t="shared" si="107"/>
        <v>-70975.259056072959</v>
      </c>
      <c r="K69" s="2">
        <f t="shared" si="107"/>
        <v>0</v>
      </c>
      <c r="L69" s="2">
        <f t="shared" si="107"/>
        <v>-1028.1136550649862</v>
      </c>
      <c r="M69" s="2">
        <f t="shared" si="107"/>
        <v>-3911.0162511759304</v>
      </c>
      <c r="N69" s="2">
        <f t="shared" si="107"/>
        <v>0</v>
      </c>
      <c r="O69" s="2"/>
      <c r="P69" s="61" t="str">
        <f t="shared" si="117"/>
        <v>E69*     "</v>
      </c>
      <c r="Q69" s="61"/>
      <c r="R69" s="14">
        <f>R$22</f>
        <v>0</v>
      </c>
      <c r="S69" s="14">
        <f t="shared" ref="S69:AH69" si="125">S$22</f>
        <v>0</v>
      </c>
      <c r="T69" s="14">
        <f t="shared" si="125"/>
        <v>0.13</v>
      </c>
      <c r="U69" s="14">
        <f t="shared" si="125"/>
        <v>0.87</v>
      </c>
      <c r="V69" s="14">
        <f t="shared" si="125"/>
        <v>0</v>
      </c>
      <c r="W69" s="14">
        <f t="shared" si="125"/>
        <v>0</v>
      </c>
      <c r="X69" s="14">
        <f t="shared" si="125"/>
        <v>0</v>
      </c>
      <c r="Y69" s="14">
        <f t="shared" si="125"/>
        <v>0</v>
      </c>
      <c r="Z69" s="14">
        <f t="shared" si="125"/>
        <v>0</v>
      </c>
      <c r="AA69" s="14">
        <f t="shared" si="125"/>
        <v>0</v>
      </c>
      <c r="AB69" s="14">
        <f t="shared" si="125"/>
        <v>0</v>
      </c>
      <c r="AC69" s="14">
        <f t="shared" si="125"/>
        <v>0</v>
      </c>
      <c r="AD69" s="14">
        <f t="shared" si="125"/>
        <v>0</v>
      </c>
      <c r="AE69" s="14">
        <f t="shared" si="125"/>
        <v>0</v>
      </c>
      <c r="AF69" s="14">
        <f t="shared" si="125"/>
        <v>0</v>
      </c>
      <c r="AG69" s="14">
        <f t="shared" si="125"/>
        <v>0</v>
      </c>
      <c r="AH69" s="14">
        <f t="shared" si="125"/>
        <v>0</v>
      </c>
      <c r="AI69" s="76">
        <f t="shared" si="69"/>
        <v>0</v>
      </c>
      <c r="AK69" s="2">
        <f t="shared" si="109"/>
        <v>-279000</v>
      </c>
      <c r="AL69" s="2">
        <f t="shared" si="110"/>
        <v>-279000</v>
      </c>
      <c r="AM69" s="2">
        <f t="shared" si="110"/>
        <v>0</v>
      </c>
      <c r="AN69" s="2">
        <f t="shared" si="110"/>
        <v>0</v>
      </c>
      <c r="AO69" s="2">
        <f t="shared" si="110"/>
        <v>0</v>
      </c>
      <c r="AP69" s="2"/>
      <c r="AQ69" s="61" t="str">
        <f t="shared" si="119"/>
        <v>E69*      "</v>
      </c>
      <c r="AS69" s="2">
        <f t="shared" si="111"/>
        <v>-279000.00000000006</v>
      </c>
      <c r="AT69" s="2">
        <f t="shared" si="112"/>
        <v>-203085.61103768612</v>
      </c>
      <c r="AU69" s="2">
        <f t="shared" si="112"/>
        <v>-70975.259056072959</v>
      </c>
      <c r="AV69" s="2">
        <f t="shared" si="112"/>
        <v>0</v>
      </c>
      <c r="AW69" s="2">
        <f t="shared" si="112"/>
        <v>-1028.1136550649862</v>
      </c>
      <c r="AX69" s="2">
        <f t="shared" si="112"/>
        <v>-3911.0162511759304</v>
      </c>
      <c r="AY69" s="2">
        <f t="shared" si="112"/>
        <v>0</v>
      </c>
      <c r="BA69" s="2">
        <f t="shared" si="113"/>
        <v>0</v>
      </c>
      <c r="BB69" s="2">
        <f t="shared" si="114"/>
        <v>0</v>
      </c>
      <c r="BC69" s="2">
        <f t="shared" si="114"/>
        <v>0</v>
      </c>
      <c r="BD69" s="2">
        <f t="shared" si="114"/>
        <v>0</v>
      </c>
      <c r="BE69" s="2">
        <f t="shared" si="114"/>
        <v>0</v>
      </c>
      <c r="BF69" s="2">
        <f t="shared" si="114"/>
        <v>0</v>
      </c>
      <c r="BG69" s="2">
        <f t="shared" si="114"/>
        <v>0</v>
      </c>
      <c r="BI69" s="2">
        <f t="shared" si="115"/>
        <v>0</v>
      </c>
      <c r="BJ69" s="2">
        <f t="shared" si="116"/>
        <v>0</v>
      </c>
      <c r="BK69" s="2">
        <f t="shared" si="116"/>
        <v>0</v>
      </c>
      <c r="BL69" s="2">
        <f t="shared" si="116"/>
        <v>0</v>
      </c>
      <c r="BM69" s="2">
        <f t="shared" si="116"/>
        <v>0</v>
      </c>
      <c r="BN69" s="2">
        <f t="shared" si="116"/>
        <v>0</v>
      </c>
      <c r="BO69" s="2">
        <f t="shared" si="116"/>
        <v>0</v>
      </c>
    </row>
    <row r="70" spans="1:67">
      <c r="A70" s="50">
        <f t="shared" si="122"/>
        <v>70</v>
      </c>
      <c r="B70" s="51">
        <v>357</v>
      </c>
      <c r="C70" s="36" t="s">
        <v>395</v>
      </c>
      <c r="D70" s="28" t="s">
        <v>260</v>
      </c>
      <c r="E70" s="432">
        <f>PROFORMA!AV316</f>
        <v>-656000</v>
      </c>
      <c r="F70" s="60" t="str">
        <f>"as 357 Plant ("&amp;A$23&amp;")"</f>
        <v>as 357 Plant (23)</v>
      </c>
      <c r="G70" s="60"/>
      <c r="H70" s="2">
        <f t="shared" si="106"/>
        <v>-656000</v>
      </c>
      <c r="I70" s="2">
        <f t="shared" si="107"/>
        <v>-477505.95283412939</v>
      </c>
      <c r="J70" s="2">
        <f t="shared" si="107"/>
        <v>-166880.89584510343</v>
      </c>
      <c r="K70" s="2">
        <f t="shared" si="107"/>
        <v>0</v>
      </c>
      <c r="L70" s="2">
        <f t="shared" si="107"/>
        <v>-2417.3568377155229</v>
      </c>
      <c r="M70" s="2">
        <f t="shared" si="107"/>
        <v>-9195.7944830516499</v>
      </c>
      <c r="N70" s="2">
        <f t="shared" si="107"/>
        <v>0</v>
      </c>
      <c r="O70" s="2"/>
      <c r="P70" s="61" t="str">
        <f t="shared" si="117"/>
        <v>E70*     "</v>
      </c>
      <c r="Q70" s="61"/>
      <c r="R70" s="14">
        <f>R$23</f>
        <v>0</v>
      </c>
      <c r="S70" s="14">
        <f t="shared" ref="S70:AH70" si="126">S$23</f>
        <v>0</v>
      </c>
      <c r="T70" s="14">
        <f t="shared" si="126"/>
        <v>0.13</v>
      </c>
      <c r="U70" s="14">
        <f t="shared" si="126"/>
        <v>0.87</v>
      </c>
      <c r="V70" s="14">
        <f t="shared" si="126"/>
        <v>0</v>
      </c>
      <c r="W70" s="14">
        <f t="shared" si="126"/>
        <v>0</v>
      </c>
      <c r="X70" s="14">
        <f t="shared" si="126"/>
        <v>0</v>
      </c>
      <c r="Y70" s="14">
        <f t="shared" si="126"/>
        <v>0</v>
      </c>
      <c r="Z70" s="14">
        <f t="shared" si="126"/>
        <v>0</v>
      </c>
      <c r="AA70" s="14">
        <f t="shared" si="126"/>
        <v>0</v>
      </c>
      <c r="AB70" s="14">
        <f t="shared" si="126"/>
        <v>0</v>
      </c>
      <c r="AC70" s="14">
        <f t="shared" si="126"/>
        <v>0</v>
      </c>
      <c r="AD70" s="14">
        <f t="shared" si="126"/>
        <v>0</v>
      </c>
      <c r="AE70" s="14">
        <f t="shared" si="126"/>
        <v>0</v>
      </c>
      <c r="AF70" s="14">
        <f t="shared" si="126"/>
        <v>0</v>
      </c>
      <c r="AG70" s="14">
        <f t="shared" si="126"/>
        <v>0</v>
      </c>
      <c r="AH70" s="14">
        <f t="shared" si="126"/>
        <v>0</v>
      </c>
      <c r="AI70" s="76">
        <f t="shared" si="69"/>
        <v>0</v>
      </c>
      <c r="AK70" s="2">
        <f t="shared" si="109"/>
        <v>-656000</v>
      </c>
      <c r="AL70" s="2">
        <f t="shared" si="110"/>
        <v>-656000</v>
      </c>
      <c r="AM70" s="2">
        <f t="shared" si="110"/>
        <v>0</v>
      </c>
      <c r="AN70" s="2">
        <f t="shared" si="110"/>
        <v>0</v>
      </c>
      <c r="AO70" s="2">
        <f t="shared" si="110"/>
        <v>0</v>
      </c>
      <c r="AP70" s="2"/>
      <c r="AQ70" s="61" t="str">
        <f t="shared" si="119"/>
        <v>E70*      "</v>
      </c>
      <c r="AS70" s="2">
        <f t="shared" si="111"/>
        <v>-656000</v>
      </c>
      <c r="AT70" s="2">
        <f t="shared" si="112"/>
        <v>-477505.95283412939</v>
      </c>
      <c r="AU70" s="2">
        <f t="shared" si="112"/>
        <v>-166880.89584510343</v>
      </c>
      <c r="AV70" s="2">
        <f t="shared" si="112"/>
        <v>0</v>
      </c>
      <c r="AW70" s="2">
        <f t="shared" si="112"/>
        <v>-2417.3568377155229</v>
      </c>
      <c r="AX70" s="2">
        <f t="shared" si="112"/>
        <v>-9195.7944830516499</v>
      </c>
      <c r="AY70" s="2">
        <f t="shared" si="112"/>
        <v>0</v>
      </c>
      <c r="BA70" s="2">
        <f t="shared" si="113"/>
        <v>0</v>
      </c>
      <c r="BB70" s="2">
        <f t="shared" si="114"/>
        <v>0</v>
      </c>
      <c r="BC70" s="2">
        <f t="shared" si="114"/>
        <v>0</v>
      </c>
      <c r="BD70" s="2">
        <f t="shared" si="114"/>
        <v>0</v>
      </c>
      <c r="BE70" s="2">
        <f t="shared" si="114"/>
        <v>0</v>
      </c>
      <c r="BF70" s="2">
        <f t="shared" si="114"/>
        <v>0</v>
      </c>
      <c r="BG70" s="2">
        <f t="shared" si="114"/>
        <v>0</v>
      </c>
      <c r="BI70" s="2">
        <f t="shared" si="115"/>
        <v>0</v>
      </c>
      <c r="BJ70" s="2">
        <f t="shared" si="116"/>
        <v>0</v>
      </c>
      <c r="BK70" s="2">
        <f t="shared" si="116"/>
        <v>0</v>
      </c>
      <c r="BL70" s="2">
        <f t="shared" si="116"/>
        <v>0</v>
      </c>
      <c r="BM70" s="2">
        <f t="shared" si="116"/>
        <v>0</v>
      </c>
      <c r="BN70" s="2">
        <f t="shared" si="116"/>
        <v>0</v>
      </c>
      <c r="BO70" s="2">
        <f t="shared" si="116"/>
        <v>0</v>
      </c>
    </row>
    <row r="71" spans="1:67">
      <c r="A71" s="50">
        <f t="shared" si="122"/>
        <v>71</v>
      </c>
      <c r="B71" s="51"/>
      <c r="D71" s="52" t="s">
        <v>220</v>
      </c>
      <c r="E71" s="4">
        <f>SUM(E63:E70)</f>
        <v>-11738000</v>
      </c>
      <c r="F71" s="60"/>
      <c r="G71" s="60"/>
      <c r="H71" s="4">
        <f>IF(ROUND(SUM(H62:H70),3)&lt;&gt;ROUND(SUM(I71:N71),3),#VALUE!,SUM(H62:H70))</f>
        <v>-11738000</v>
      </c>
      <c r="I71" s="4">
        <f t="shared" ref="I71:N71" si="127">SUM(I62:I70)</f>
        <v>-8544153.7719009314</v>
      </c>
      <c r="J71" s="4">
        <f t="shared" si="127"/>
        <v>-2986048.7125454638</v>
      </c>
      <c r="K71" s="4">
        <f t="shared" si="127"/>
        <v>0</v>
      </c>
      <c r="L71" s="4">
        <f t="shared" si="127"/>
        <v>-43254.473416318309</v>
      </c>
      <c r="M71" s="4">
        <f t="shared" si="127"/>
        <v>-164543.04213728698</v>
      </c>
      <c r="N71" s="4">
        <f t="shared" si="127"/>
        <v>0</v>
      </c>
      <c r="O71" s="5"/>
      <c r="P71" s="61" t="str">
        <f>$A62&amp;":"&amp;A70</f>
        <v>62:70</v>
      </c>
      <c r="Q71" s="61"/>
      <c r="R71" s="13">
        <f t="shared" ref="R71:AH71" si="128">SUMPRODUCT($E63:$E70,R$63:R$70)/$E71</f>
        <v>0</v>
      </c>
      <c r="S71" s="13">
        <f t="shared" si="128"/>
        <v>0</v>
      </c>
      <c r="T71" s="13">
        <f t="shared" si="128"/>
        <v>0.13</v>
      </c>
      <c r="U71" s="13">
        <f t="shared" si="128"/>
        <v>0.87</v>
      </c>
      <c r="V71" s="13">
        <f t="shared" si="128"/>
        <v>0</v>
      </c>
      <c r="W71" s="13">
        <f t="shared" si="128"/>
        <v>0</v>
      </c>
      <c r="X71" s="13">
        <f t="shared" si="128"/>
        <v>0</v>
      </c>
      <c r="Y71" s="13">
        <f t="shared" si="128"/>
        <v>0</v>
      </c>
      <c r="Z71" s="13">
        <f t="shared" si="128"/>
        <v>0</v>
      </c>
      <c r="AA71" s="13">
        <f t="shared" si="128"/>
        <v>0</v>
      </c>
      <c r="AB71" s="13">
        <f t="shared" si="128"/>
        <v>0</v>
      </c>
      <c r="AC71" s="13">
        <f t="shared" si="128"/>
        <v>0</v>
      </c>
      <c r="AD71" s="13">
        <f t="shared" si="128"/>
        <v>0</v>
      </c>
      <c r="AE71" s="13">
        <f t="shared" si="128"/>
        <v>0</v>
      </c>
      <c r="AF71" s="13">
        <f t="shared" si="128"/>
        <v>0</v>
      </c>
      <c r="AG71" s="13">
        <f t="shared" si="128"/>
        <v>0</v>
      </c>
      <c r="AH71" s="13">
        <f t="shared" si="128"/>
        <v>0</v>
      </c>
      <c r="AI71" s="76">
        <f t="shared" si="69"/>
        <v>0</v>
      </c>
      <c r="AK71" s="4">
        <f>IF(ROUND(SUM(AK62:AK70),3)&lt;&gt;ROUND(SUM(AL71:AO71),3),#VALUE!,SUM(AK62:AK70))</f>
        <v>-11738000</v>
      </c>
      <c r="AL71" s="4">
        <f>SUM(AL62:AL70)</f>
        <v>-11738000</v>
      </c>
      <c r="AM71" s="4">
        <f>SUM(AM62:AM70)</f>
        <v>0</v>
      </c>
      <c r="AN71" s="4">
        <f>SUM(AN62:AN70)</f>
        <v>0</v>
      </c>
      <c r="AO71" s="4">
        <f>SUM(AO62:AO70)</f>
        <v>0</v>
      </c>
      <c r="AP71" s="5"/>
      <c r="AQ71" s="61" t="str">
        <f>$A62&amp;":"&amp;$A70</f>
        <v>62:70</v>
      </c>
      <c r="AS71" s="4">
        <f>IF(ROUND(SUM(AS62:AS70),3)&lt;&gt;ROUND(SUM(AT71:AY71),3),#VALUE!,SUM(AS62:AS70))</f>
        <v>-11738000</v>
      </c>
      <c r="AT71" s="4">
        <f t="shared" ref="AT71:AY71" si="129">SUM(AT62:AT70)</f>
        <v>-8544153.7719009314</v>
      </c>
      <c r="AU71" s="4">
        <f t="shared" si="129"/>
        <v>-2986048.7125454638</v>
      </c>
      <c r="AV71" s="4">
        <f t="shared" si="129"/>
        <v>0</v>
      </c>
      <c r="AW71" s="4">
        <f t="shared" si="129"/>
        <v>-43254.473416318309</v>
      </c>
      <c r="AX71" s="4">
        <f t="shared" si="129"/>
        <v>-164543.04213728698</v>
      </c>
      <c r="AY71" s="4">
        <f t="shared" si="129"/>
        <v>0</v>
      </c>
      <c r="BA71" s="4">
        <f>IF(ROUND(SUM(BA62:BA70),3)&lt;&gt;ROUND(SUM(BB71:BG71),3),#VALUE!,SUM(BA62:BA70))</f>
        <v>0</v>
      </c>
      <c r="BB71" s="4">
        <f t="shared" ref="BB71:BG71" si="130">SUM(BB62:BB70)</f>
        <v>0</v>
      </c>
      <c r="BC71" s="4">
        <f t="shared" si="130"/>
        <v>0</v>
      </c>
      <c r="BD71" s="4">
        <f t="shared" si="130"/>
        <v>0</v>
      </c>
      <c r="BE71" s="4">
        <f t="shared" si="130"/>
        <v>0</v>
      </c>
      <c r="BF71" s="4">
        <f t="shared" si="130"/>
        <v>0</v>
      </c>
      <c r="BG71" s="4">
        <f t="shared" si="130"/>
        <v>0</v>
      </c>
      <c r="BI71" s="4">
        <f>IF(ROUND(SUM(BI62:BI70),3)&lt;&gt;ROUND(SUM(BJ71:BO71),3),#VALUE!,SUM(BI62:BI70))</f>
        <v>0</v>
      </c>
      <c r="BJ71" s="4">
        <f t="shared" ref="BJ71:BO71" si="131">SUM(BJ62:BJ70)</f>
        <v>0</v>
      </c>
      <c r="BK71" s="4">
        <f t="shared" si="131"/>
        <v>0</v>
      </c>
      <c r="BL71" s="4">
        <f t="shared" si="131"/>
        <v>0</v>
      </c>
      <c r="BM71" s="4">
        <f t="shared" si="131"/>
        <v>0</v>
      </c>
      <c r="BN71" s="4">
        <f t="shared" si="131"/>
        <v>0</v>
      </c>
      <c r="BO71" s="4">
        <f t="shared" si="131"/>
        <v>0</v>
      </c>
    </row>
    <row r="72" spans="1:67">
      <c r="A72" s="50">
        <f t="shared" si="122"/>
        <v>72</v>
      </c>
      <c r="B72" s="51"/>
      <c r="E72" s="2"/>
      <c r="F72" s="60"/>
      <c r="G72" s="60"/>
      <c r="P72" s="61"/>
      <c r="Q72" s="61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76">
        <f t="shared" ref="AI72:AI87" si="132">IF(SUM(R72:AH72)&lt;&gt;0,(ROUND(SUM(R72:AH72),8)&lt;&gt;1)+0,0)</f>
        <v>0</v>
      </c>
      <c r="AQ72" s="61"/>
    </row>
    <row r="73" spans="1:67">
      <c r="A73" s="50">
        <f t="shared" si="122"/>
        <v>73</v>
      </c>
      <c r="B73" s="51"/>
      <c r="D73" t="s">
        <v>105</v>
      </c>
      <c r="E73" s="2"/>
      <c r="F73" s="60"/>
      <c r="G73" s="60"/>
      <c r="P73" s="61"/>
      <c r="Q73" s="61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76">
        <f t="shared" si="132"/>
        <v>0</v>
      </c>
      <c r="AQ73" s="61"/>
    </row>
    <row r="74" spans="1:67">
      <c r="A74" s="50">
        <f t="shared" si="122"/>
        <v>74</v>
      </c>
      <c r="B74" s="51">
        <v>374</v>
      </c>
      <c r="C74" s="36" t="s">
        <v>155</v>
      </c>
      <c r="D74" s="28" t="s">
        <v>253</v>
      </c>
      <c r="E74" s="432">
        <f>PROFORMA!AV320</f>
        <v>-18000</v>
      </c>
      <c r="F74" s="60" t="str">
        <f>"as 374 Plant ("&amp;A$27&amp;")"</f>
        <v>as 374 Plant (27)</v>
      </c>
      <c r="G74" s="60"/>
      <c r="H74" s="2">
        <f t="shared" ref="H74:H86" si="133">SUM(I74:N74)</f>
        <v>-18000</v>
      </c>
      <c r="I74" s="2">
        <f t="shared" ref="I74:N86" si="134">$E74*SUMPRODUCT($R74:$AH74,INDEX(AllocFactors,I$4,0))</f>
        <v>-14264.003671684106</v>
      </c>
      <c r="J74" s="2">
        <f t="shared" si="134"/>
        <v>-2641.7584559135557</v>
      </c>
      <c r="K74" s="2">
        <f t="shared" si="134"/>
        <v>0</v>
      </c>
      <c r="L74" s="2">
        <f t="shared" si="134"/>
        <v>-34.862059751685052</v>
      </c>
      <c r="M74" s="2">
        <f t="shared" si="134"/>
        <v>-1059.3758126506509</v>
      </c>
      <c r="N74" s="2">
        <f t="shared" si="134"/>
        <v>0</v>
      </c>
      <c r="O74" s="2"/>
      <c r="P74" s="61" t="str">
        <f>E$1&amp;$A74&amp;"* Sum["&amp;$R$1&amp;$A74&amp;":"&amp;$AH$1&amp;$A74&amp;"* "&amp;Factors!D$1&amp;Factors!$A$58&amp;":"&amp;Factors!S$1&amp;Factors!$A$64&amp;"]"</f>
        <v>E74* Sum[R74:AH74* D1040:S1046]</v>
      </c>
      <c r="Q74" s="61"/>
      <c r="R74" s="14">
        <f>R$27</f>
        <v>0.18032917602090975</v>
      </c>
      <c r="S74" s="14">
        <f t="shared" ref="S74:AH74" si="135">S$27</f>
        <v>0</v>
      </c>
      <c r="T74" s="14">
        <f t="shared" si="135"/>
        <v>0</v>
      </c>
      <c r="U74" s="14">
        <f t="shared" si="135"/>
        <v>0</v>
      </c>
      <c r="V74" s="14">
        <f t="shared" si="135"/>
        <v>0</v>
      </c>
      <c r="W74" s="14">
        <f t="shared" si="135"/>
        <v>0.33248662332325996</v>
      </c>
      <c r="X74" s="14">
        <f t="shared" si="135"/>
        <v>0</v>
      </c>
      <c r="Y74" s="14">
        <f t="shared" si="135"/>
        <v>0</v>
      </c>
      <c r="Z74" s="14">
        <f t="shared" si="135"/>
        <v>0</v>
      </c>
      <c r="AA74" s="14">
        <f t="shared" si="135"/>
        <v>0</v>
      </c>
      <c r="AB74" s="14">
        <f t="shared" si="135"/>
        <v>0</v>
      </c>
      <c r="AC74" s="14">
        <f t="shared" si="135"/>
        <v>0.34784812665025233</v>
      </c>
      <c r="AD74" s="14">
        <f t="shared" si="135"/>
        <v>0.13399956178953271</v>
      </c>
      <c r="AE74" s="14">
        <f t="shared" si="135"/>
        <v>0</v>
      </c>
      <c r="AF74" s="14">
        <f t="shared" si="135"/>
        <v>5.3365122160451877E-3</v>
      </c>
      <c r="AG74" s="14">
        <f t="shared" si="135"/>
        <v>0</v>
      </c>
      <c r="AH74" s="14">
        <f t="shared" si="135"/>
        <v>0</v>
      </c>
      <c r="AI74" s="76">
        <f t="shared" si="132"/>
        <v>0</v>
      </c>
      <c r="AK74" s="2">
        <f t="shared" ref="AK74:AK86" si="136">SUM(AL74:AO74)</f>
        <v>-18000</v>
      </c>
      <c r="AL74" s="2">
        <f t="shared" ref="AL74:AO86" si="137">SUMIF($R$4:$AH$4,AL$5,$R74:$AH74)*$E74</f>
        <v>-3245.9251683763755</v>
      </c>
      <c r="AM74" s="2">
        <f t="shared" si="137"/>
        <v>-5984.7592198186794</v>
      </c>
      <c r="AN74" s="2">
        <f t="shared" si="137"/>
        <v>-8769.3156118049446</v>
      </c>
      <c r="AO74" s="2">
        <f t="shared" si="137"/>
        <v>0</v>
      </c>
      <c r="AP74" s="2"/>
      <c r="AQ74" s="61" t="str">
        <f>E$1&amp;$A74&amp;"*["&amp;R$1&amp;$A74&amp;":"&amp;$AH$1&amp;$A74&amp;" when "&amp;R$1&amp;$A$4&amp;":"&amp;$AH$1&amp;$A$4&amp;" = E,D,C,or R]"</f>
        <v>E74*[R74:AH74 when R4:AH4 = E,D,C,or R]</v>
      </c>
      <c r="AS74" s="2">
        <f t="shared" ref="AS74:AS86" si="138">SUM(AT74:AY74)</f>
        <v>-3245.925168376376</v>
      </c>
      <c r="AT74" s="2">
        <f t="shared" ref="AT74:AY86" si="139">$E74*SUMPRODUCT($R74:$V74,INDEX(AllocFactors_E,AT$4,0))</f>
        <v>-1881.1641181865582</v>
      </c>
      <c r="AU74" s="2">
        <f t="shared" si="139"/>
        <v>-842.8807263817348</v>
      </c>
      <c r="AV74" s="2">
        <f t="shared" si="139"/>
        <v>0</v>
      </c>
      <c r="AW74" s="2">
        <f t="shared" si="139"/>
        <v>-13.581893966075729</v>
      </c>
      <c r="AX74" s="2">
        <f t="shared" si="139"/>
        <v>-508.29842984200695</v>
      </c>
      <c r="AY74" s="2">
        <f t="shared" si="139"/>
        <v>0</v>
      </c>
      <c r="BA74" s="2">
        <f t="shared" ref="BA74:BA86" si="140">SUM(BB74:BG74)</f>
        <v>-5984.7592198186794</v>
      </c>
      <c r="BB74" s="2">
        <f t="shared" ref="BB74:BG86" si="141">$E74*SUMPRODUCT($W74:$AA74,INDEX(AllocFactors_D,BB$4,0))</f>
        <v>-4086.4428253223805</v>
      </c>
      <c r="BC74" s="2">
        <f t="shared" si="141"/>
        <v>-1383.1579098647007</v>
      </c>
      <c r="BD74" s="2">
        <f t="shared" si="141"/>
        <v>0</v>
      </c>
      <c r="BE74" s="2">
        <f t="shared" si="141"/>
        <v>-17.376312722546327</v>
      </c>
      <c r="BF74" s="2">
        <f t="shared" si="141"/>
        <v>-497.78217190905127</v>
      </c>
      <c r="BG74" s="2">
        <f t="shared" si="141"/>
        <v>0</v>
      </c>
      <c r="BI74" s="2">
        <f t="shared" ref="BI74:BI86" si="142">SUM(BJ74:BO74)</f>
        <v>-8769.3156118049428</v>
      </c>
      <c r="BJ74" s="2">
        <f t="shared" ref="BJ74:BO86" si="143">$E74*SUMPRODUCT($AB74:$AG74,INDEX(AllocFactors_C,BJ$4,0))</f>
        <v>-8296.3967281751684</v>
      </c>
      <c r="BK74" s="2">
        <f t="shared" si="143"/>
        <v>-415.71981966712059</v>
      </c>
      <c r="BL74" s="2">
        <f t="shared" si="143"/>
        <v>0</v>
      </c>
      <c r="BM74" s="2">
        <f t="shared" si="143"/>
        <v>-3.9038530630629964</v>
      </c>
      <c r="BN74" s="2">
        <f t="shared" si="143"/>
        <v>-53.29521089959259</v>
      </c>
      <c r="BO74" s="2">
        <f t="shared" si="143"/>
        <v>0</v>
      </c>
    </row>
    <row r="75" spans="1:67">
      <c r="A75" s="50">
        <f t="shared" si="122"/>
        <v>75</v>
      </c>
      <c r="B75" s="51">
        <v>375</v>
      </c>
      <c r="C75" s="36" t="s">
        <v>155</v>
      </c>
      <c r="D75" s="28" t="s">
        <v>254</v>
      </c>
      <c r="E75" s="432">
        <f>PROFORMA!AV321</f>
        <v>2721000</v>
      </c>
      <c r="F75" s="60" t="str">
        <f>"as 375 Plant ("&amp;A$28&amp;")"</f>
        <v>as 375 Plant (28)</v>
      </c>
      <c r="G75" s="60"/>
      <c r="H75" s="2">
        <f t="shared" si="133"/>
        <v>2720999.9999999995</v>
      </c>
      <c r="I75" s="2">
        <f t="shared" si="134"/>
        <v>2156241.8883695807</v>
      </c>
      <c r="J75" s="2">
        <f t="shared" si="134"/>
        <v>399345.81991893251</v>
      </c>
      <c r="K75" s="2">
        <f t="shared" si="134"/>
        <v>0</v>
      </c>
      <c r="L75" s="2">
        <f t="shared" si="134"/>
        <v>5269.9813657963905</v>
      </c>
      <c r="M75" s="2">
        <f t="shared" si="134"/>
        <v>160142.31034569006</v>
      </c>
      <c r="N75" s="2">
        <f t="shared" si="134"/>
        <v>0</v>
      </c>
      <c r="O75" s="2"/>
      <c r="P75" s="61" t="str">
        <f t="shared" ref="P75:P86" si="144">E$1&amp;$A75&amp;"*     """</f>
        <v>E75*     "</v>
      </c>
      <c r="Q75" s="61"/>
      <c r="R75" s="14">
        <f>R$28</f>
        <v>0.18032917602090975</v>
      </c>
      <c r="S75" s="14">
        <f t="shared" ref="S75:AH75" si="145">S$28</f>
        <v>0</v>
      </c>
      <c r="T75" s="14">
        <f t="shared" si="145"/>
        <v>0</v>
      </c>
      <c r="U75" s="14">
        <f t="shared" si="145"/>
        <v>0</v>
      </c>
      <c r="V75" s="14">
        <f t="shared" si="145"/>
        <v>0</v>
      </c>
      <c r="W75" s="14">
        <f t="shared" si="145"/>
        <v>0.33248662332325996</v>
      </c>
      <c r="X75" s="14">
        <f t="shared" si="145"/>
        <v>0</v>
      </c>
      <c r="Y75" s="14">
        <f t="shared" si="145"/>
        <v>0</v>
      </c>
      <c r="Z75" s="14">
        <f t="shared" si="145"/>
        <v>0</v>
      </c>
      <c r="AA75" s="14">
        <f t="shared" si="145"/>
        <v>0</v>
      </c>
      <c r="AB75" s="14">
        <f t="shared" si="145"/>
        <v>0</v>
      </c>
      <c r="AC75" s="14">
        <f t="shared" si="145"/>
        <v>0.34784812665025233</v>
      </c>
      <c r="AD75" s="14">
        <f t="shared" si="145"/>
        <v>0.13399956178953271</v>
      </c>
      <c r="AE75" s="14">
        <f t="shared" si="145"/>
        <v>0</v>
      </c>
      <c r="AF75" s="14">
        <f t="shared" si="145"/>
        <v>5.3365122160451877E-3</v>
      </c>
      <c r="AG75" s="14">
        <f t="shared" si="145"/>
        <v>0</v>
      </c>
      <c r="AH75" s="14">
        <f t="shared" si="145"/>
        <v>0</v>
      </c>
      <c r="AI75" s="76">
        <f t="shared" si="132"/>
        <v>0</v>
      </c>
      <c r="AK75" s="2">
        <f t="shared" si="136"/>
        <v>2721000</v>
      </c>
      <c r="AL75" s="2">
        <f t="shared" si="137"/>
        <v>490675.68795289542</v>
      </c>
      <c r="AM75" s="2">
        <f t="shared" si="137"/>
        <v>904696.1020625903</v>
      </c>
      <c r="AN75" s="2">
        <f t="shared" si="137"/>
        <v>1325628.2099845142</v>
      </c>
      <c r="AO75" s="2">
        <f t="shared" si="137"/>
        <v>0</v>
      </c>
      <c r="AP75" s="2"/>
      <c r="AQ75" s="61" t="str">
        <f t="shared" ref="AQ75:AQ86" si="146">E$1&amp;$A75&amp;"*      """</f>
        <v>E75*      "</v>
      </c>
      <c r="AS75" s="2">
        <f t="shared" si="138"/>
        <v>490675.68795289547</v>
      </c>
      <c r="AT75" s="2">
        <f t="shared" si="139"/>
        <v>284369.30919920141</v>
      </c>
      <c r="AU75" s="2">
        <f t="shared" si="139"/>
        <v>127415.46980470557</v>
      </c>
      <c r="AV75" s="2">
        <f t="shared" si="139"/>
        <v>0</v>
      </c>
      <c r="AW75" s="2">
        <f t="shared" si="139"/>
        <v>2053.1296378717811</v>
      </c>
      <c r="AX75" s="2">
        <f t="shared" si="139"/>
        <v>76837.779311116712</v>
      </c>
      <c r="AY75" s="2">
        <f t="shared" si="139"/>
        <v>0</v>
      </c>
      <c r="BA75" s="2">
        <f t="shared" si="140"/>
        <v>904696.1020625903</v>
      </c>
      <c r="BB75" s="2">
        <f t="shared" si="141"/>
        <v>617733.94042789983</v>
      </c>
      <c r="BC75" s="2">
        <f t="shared" si="141"/>
        <v>209087.37070788059</v>
      </c>
      <c r="BD75" s="2">
        <f t="shared" si="141"/>
        <v>0</v>
      </c>
      <c r="BE75" s="2">
        <f t="shared" si="141"/>
        <v>2626.71927322492</v>
      </c>
      <c r="BF75" s="2">
        <f t="shared" si="141"/>
        <v>75248.071653584921</v>
      </c>
      <c r="BG75" s="2">
        <f t="shared" si="141"/>
        <v>0</v>
      </c>
      <c r="BI75" s="2">
        <f t="shared" si="142"/>
        <v>1325628.2099845139</v>
      </c>
      <c r="BJ75" s="2">
        <f t="shared" si="143"/>
        <v>1254138.6387424795</v>
      </c>
      <c r="BK75" s="2">
        <f t="shared" si="143"/>
        <v>62842.979406346392</v>
      </c>
      <c r="BL75" s="2">
        <f t="shared" si="143"/>
        <v>0</v>
      </c>
      <c r="BM75" s="2">
        <f t="shared" si="143"/>
        <v>590.13245469968967</v>
      </c>
      <c r="BN75" s="2">
        <f t="shared" si="143"/>
        <v>8056.4593809884136</v>
      </c>
      <c r="BO75" s="2">
        <f t="shared" si="143"/>
        <v>0</v>
      </c>
    </row>
    <row r="76" spans="1:67" s="146" customFormat="1">
      <c r="A76" s="145">
        <f t="shared" si="122"/>
        <v>76</v>
      </c>
      <c r="B76" s="430" t="s">
        <v>1151</v>
      </c>
      <c r="C76" s="147" t="s">
        <v>155</v>
      </c>
      <c r="D76" s="431" t="s">
        <v>261</v>
      </c>
      <c r="E76" s="432">
        <f>PROFORMA!AV322+PROFORMA!AV323</f>
        <v>-72400000</v>
      </c>
      <c r="F76" s="134" t="str">
        <f>"as 376-SM Plant ("&amp;A$31&amp;")"</f>
        <v>as 376-SM Plant (31)</v>
      </c>
      <c r="G76" s="134"/>
      <c r="H76" s="82">
        <f>SUM(I76:N76)</f>
        <v>-72399999.999999985</v>
      </c>
      <c r="I76" s="82">
        <f t="shared" si="134"/>
        <v>-46806360.670568876</v>
      </c>
      <c r="J76" s="82">
        <f t="shared" si="134"/>
        <v>-17459723.514147338</v>
      </c>
      <c r="K76" s="82">
        <f t="shared" si="134"/>
        <v>0</v>
      </c>
      <c r="L76" s="82">
        <f t="shared" si="134"/>
        <v>-242817.76626689642</v>
      </c>
      <c r="M76" s="82">
        <f t="shared" si="134"/>
        <v>-7891098.0490168845</v>
      </c>
      <c r="N76" s="82">
        <f t="shared" si="134"/>
        <v>0</v>
      </c>
      <c r="O76" s="82"/>
      <c r="P76" s="148" t="str">
        <f>E$1&amp;$A76&amp;"*     """</f>
        <v>E76*     "</v>
      </c>
      <c r="Q76" s="148"/>
      <c r="R76" s="108">
        <f>R$29</f>
        <v>0.35164512530918368</v>
      </c>
      <c r="S76" s="108">
        <f t="shared" ref="S76:AH76" si="147">S$29</f>
        <v>0</v>
      </c>
      <c r="T76" s="108">
        <f t="shared" si="147"/>
        <v>0</v>
      </c>
      <c r="U76" s="108">
        <f t="shared" si="147"/>
        <v>0</v>
      </c>
      <c r="V76" s="108">
        <f t="shared" si="147"/>
        <v>0</v>
      </c>
      <c r="W76" s="108">
        <f t="shared" si="147"/>
        <v>0.64835487469081621</v>
      </c>
      <c r="X76" s="108">
        <f t="shared" si="147"/>
        <v>0</v>
      </c>
      <c r="Y76" s="108">
        <f t="shared" si="147"/>
        <v>0</v>
      </c>
      <c r="Z76" s="108">
        <f t="shared" si="147"/>
        <v>0</v>
      </c>
      <c r="AA76" s="108">
        <f t="shared" si="147"/>
        <v>0</v>
      </c>
      <c r="AB76" s="108">
        <f t="shared" si="147"/>
        <v>0</v>
      </c>
      <c r="AC76" s="108">
        <f t="shared" si="147"/>
        <v>0</v>
      </c>
      <c r="AD76" s="108">
        <f t="shared" si="147"/>
        <v>0</v>
      </c>
      <c r="AE76" s="108">
        <f t="shared" si="147"/>
        <v>0</v>
      </c>
      <c r="AF76" s="108">
        <f t="shared" si="147"/>
        <v>0</v>
      </c>
      <c r="AG76" s="108">
        <f t="shared" si="147"/>
        <v>0</v>
      </c>
      <c r="AH76" s="108">
        <f t="shared" si="147"/>
        <v>0</v>
      </c>
      <c r="AI76" s="149">
        <f t="shared" si="132"/>
        <v>0</v>
      </c>
      <c r="AK76" s="82">
        <f>SUM(AL76:AO76)</f>
        <v>-72399999.999999985</v>
      </c>
      <c r="AL76" s="82">
        <f t="shared" si="137"/>
        <v>-25459107.072384898</v>
      </c>
      <c r="AM76" s="82">
        <f t="shared" si="137"/>
        <v>-46940892.927615091</v>
      </c>
      <c r="AN76" s="82">
        <f t="shared" si="137"/>
        <v>0</v>
      </c>
      <c r="AO76" s="82">
        <f t="shared" si="137"/>
        <v>0</v>
      </c>
      <c r="AP76" s="82"/>
      <c r="AQ76" s="148" t="str">
        <f t="shared" si="146"/>
        <v>E76*      "</v>
      </c>
      <c r="AS76" s="82">
        <f>SUM(AT76:AY76)</f>
        <v>-25459107.072384898</v>
      </c>
      <c r="AT76" s="82">
        <f t="shared" si="139"/>
        <v>-14754732.848507488</v>
      </c>
      <c r="AU76" s="82">
        <f t="shared" si="139"/>
        <v>-6611055.2613065988</v>
      </c>
      <c r="AV76" s="82">
        <f t="shared" si="139"/>
        <v>0</v>
      </c>
      <c r="AW76" s="82">
        <f t="shared" si="139"/>
        <v>-106528.30080524078</v>
      </c>
      <c r="AX76" s="82">
        <f t="shared" si="139"/>
        <v>-3986790.6617655731</v>
      </c>
      <c r="AY76" s="82">
        <f t="shared" si="139"/>
        <v>0</v>
      </c>
      <c r="BA76" s="82">
        <f>SUM(BB76:BG76)</f>
        <v>-46940892.927615091</v>
      </c>
      <c r="BB76" s="82">
        <f t="shared" si="141"/>
        <v>-32051627.822061386</v>
      </c>
      <c r="BC76" s="82">
        <f t="shared" si="141"/>
        <v>-10848668.252840737</v>
      </c>
      <c r="BD76" s="82">
        <f t="shared" si="141"/>
        <v>0</v>
      </c>
      <c r="BE76" s="82">
        <f t="shared" si="141"/>
        <v>-136289.46546165564</v>
      </c>
      <c r="BF76" s="82">
        <f t="shared" si="141"/>
        <v>-3904307.3872513119</v>
      </c>
      <c r="BG76" s="82">
        <f t="shared" si="141"/>
        <v>0</v>
      </c>
      <c r="BI76" s="82">
        <f>SUM(BJ76:BO76)</f>
        <v>0</v>
      </c>
      <c r="BJ76" s="82">
        <f t="shared" si="143"/>
        <v>0</v>
      </c>
      <c r="BK76" s="82">
        <f t="shared" si="143"/>
        <v>0</v>
      </c>
      <c r="BL76" s="82">
        <f t="shared" si="143"/>
        <v>0</v>
      </c>
      <c r="BM76" s="82">
        <f t="shared" si="143"/>
        <v>0</v>
      </c>
      <c r="BN76" s="82">
        <f t="shared" si="143"/>
        <v>0</v>
      </c>
      <c r="BO76" s="82">
        <f t="shared" si="143"/>
        <v>0</v>
      </c>
    </row>
    <row r="77" spans="1:67">
      <c r="A77" s="50">
        <f t="shared" si="122"/>
        <v>77</v>
      </c>
      <c r="B77" s="51">
        <v>376</v>
      </c>
      <c r="C77" s="36" t="s">
        <v>155</v>
      </c>
      <c r="D77" s="28" t="s">
        <v>261</v>
      </c>
      <c r="E77" s="432"/>
      <c r="F77" s="60" t="str">
        <f>"as 376-SM Plant ("&amp;A$31&amp;")"</f>
        <v>as 376-SM Plant (31)</v>
      </c>
      <c r="G77" s="60"/>
      <c r="H77" s="2">
        <f t="shared" si="133"/>
        <v>0</v>
      </c>
      <c r="I77" s="2">
        <f t="shared" si="134"/>
        <v>0</v>
      </c>
      <c r="J77" s="2">
        <f t="shared" si="134"/>
        <v>0</v>
      </c>
      <c r="K77" s="2">
        <f t="shared" si="134"/>
        <v>0</v>
      </c>
      <c r="L77" s="2">
        <f t="shared" si="134"/>
        <v>0</v>
      </c>
      <c r="M77" s="2">
        <f t="shared" si="134"/>
        <v>0</v>
      </c>
      <c r="N77" s="2">
        <f t="shared" si="134"/>
        <v>0</v>
      </c>
      <c r="O77" s="2"/>
      <c r="P77" s="61" t="str">
        <f t="shared" si="144"/>
        <v>E77*     "</v>
      </c>
      <c r="Q77" s="61"/>
      <c r="R77" s="14">
        <f>R$30</f>
        <v>0</v>
      </c>
      <c r="S77" s="14">
        <f t="shared" ref="S77:AH77" si="148">S$30</f>
        <v>0</v>
      </c>
      <c r="T77" s="14">
        <f t="shared" si="148"/>
        <v>0</v>
      </c>
      <c r="U77" s="14">
        <f t="shared" si="148"/>
        <v>0</v>
      </c>
      <c r="V77" s="14">
        <f t="shared" si="148"/>
        <v>0</v>
      </c>
      <c r="W77" s="14">
        <f t="shared" si="148"/>
        <v>0</v>
      </c>
      <c r="X77" s="14">
        <f t="shared" si="148"/>
        <v>0</v>
      </c>
      <c r="Y77" s="14">
        <f t="shared" si="148"/>
        <v>0</v>
      </c>
      <c r="Z77" s="14">
        <f t="shared" si="148"/>
        <v>0</v>
      </c>
      <c r="AA77" s="14">
        <f t="shared" si="148"/>
        <v>0</v>
      </c>
      <c r="AB77" s="14">
        <f t="shared" si="148"/>
        <v>0</v>
      </c>
      <c r="AC77" s="14">
        <f t="shared" si="148"/>
        <v>0</v>
      </c>
      <c r="AD77" s="14">
        <f t="shared" si="148"/>
        <v>0</v>
      </c>
      <c r="AE77" s="14">
        <f t="shared" si="148"/>
        <v>0</v>
      </c>
      <c r="AF77" s="14">
        <f t="shared" si="148"/>
        <v>0</v>
      </c>
      <c r="AG77" s="14">
        <f t="shared" si="148"/>
        <v>0</v>
      </c>
      <c r="AH77" s="14">
        <f t="shared" si="148"/>
        <v>0</v>
      </c>
      <c r="AI77" s="76">
        <f t="shared" si="132"/>
        <v>0</v>
      </c>
      <c r="AK77" s="2">
        <f t="shared" si="136"/>
        <v>0</v>
      </c>
      <c r="AL77" s="2">
        <f t="shared" si="137"/>
        <v>0</v>
      </c>
      <c r="AM77" s="2">
        <f t="shared" si="137"/>
        <v>0</v>
      </c>
      <c r="AN77" s="2">
        <f t="shared" si="137"/>
        <v>0</v>
      </c>
      <c r="AO77" s="2">
        <f t="shared" si="137"/>
        <v>0</v>
      </c>
      <c r="AP77" s="2"/>
      <c r="AQ77" s="61" t="str">
        <f t="shared" si="146"/>
        <v>E77*      "</v>
      </c>
      <c r="AS77" s="2">
        <f t="shared" si="138"/>
        <v>0</v>
      </c>
      <c r="AT77" s="2">
        <f t="shared" si="139"/>
        <v>0</v>
      </c>
      <c r="AU77" s="2">
        <f t="shared" si="139"/>
        <v>0</v>
      </c>
      <c r="AV77" s="2">
        <f t="shared" si="139"/>
        <v>0</v>
      </c>
      <c r="AW77" s="2">
        <f t="shared" si="139"/>
        <v>0</v>
      </c>
      <c r="AX77" s="2">
        <f t="shared" si="139"/>
        <v>0</v>
      </c>
      <c r="AY77" s="2">
        <f t="shared" si="139"/>
        <v>0</v>
      </c>
      <c r="BA77" s="2">
        <f t="shared" si="140"/>
        <v>0</v>
      </c>
      <c r="BB77" s="2">
        <f t="shared" si="141"/>
        <v>0</v>
      </c>
      <c r="BC77" s="2">
        <f t="shared" si="141"/>
        <v>0</v>
      </c>
      <c r="BD77" s="2">
        <f t="shared" si="141"/>
        <v>0</v>
      </c>
      <c r="BE77" s="2">
        <f t="shared" si="141"/>
        <v>0</v>
      </c>
      <c r="BF77" s="2">
        <f t="shared" si="141"/>
        <v>0</v>
      </c>
      <c r="BG77" s="2">
        <f t="shared" si="141"/>
        <v>0</v>
      </c>
      <c r="BI77" s="2">
        <f t="shared" si="142"/>
        <v>0</v>
      </c>
      <c r="BJ77" s="2">
        <f t="shared" si="143"/>
        <v>0</v>
      </c>
      <c r="BK77" s="2">
        <f t="shared" si="143"/>
        <v>0</v>
      </c>
      <c r="BL77" s="2">
        <f t="shared" si="143"/>
        <v>0</v>
      </c>
      <c r="BM77" s="2">
        <f t="shared" si="143"/>
        <v>0</v>
      </c>
      <c r="BN77" s="2">
        <f t="shared" si="143"/>
        <v>0</v>
      </c>
      <c r="BO77" s="2">
        <f t="shared" si="143"/>
        <v>0</v>
      </c>
    </row>
    <row r="78" spans="1:67">
      <c r="A78" s="50">
        <f t="shared" si="122"/>
        <v>78</v>
      </c>
      <c r="B78" s="51">
        <v>378</v>
      </c>
      <c r="C78" s="36" t="s">
        <v>155</v>
      </c>
      <c r="D78" s="28" t="s">
        <v>262</v>
      </c>
      <c r="E78" s="432">
        <f>PROFORMA!AV324</f>
        <v>-1014000</v>
      </c>
      <c r="F78" s="60" t="str">
        <f>"as 378 Plant ("&amp;A$32&amp;")"</f>
        <v>as 378 Plant (32)</v>
      </c>
      <c r="G78" s="60"/>
      <c r="H78" s="2">
        <f t="shared" si="133"/>
        <v>-1014000</v>
      </c>
      <c r="I78" s="2">
        <f t="shared" si="134"/>
        <v>-655547.64806570229</v>
      </c>
      <c r="J78" s="2">
        <f t="shared" si="134"/>
        <v>-244532.59175891435</v>
      </c>
      <c r="K78" s="2">
        <f t="shared" si="134"/>
        <v>0</v>
      </c>
      <c r="L78" s="2">
        <f t="shared" si="134"/>
        <v>-3400.7902623568093</v>
      </c>
      <c r="M78" s="2">
        <f t="shared" si="134"/>
        <v>-110518.96991302654</v>
      </c>
      <c r="N78" s="2">
        <f t="shared" si="134"/>
        <v>0</v>
      </c>
      <c r="O78" s="2"/>
      <c r="P78" s="61" t="str">
        <f t="shared" si="144"/>
        <v>E78*     "</v>
      </c>
      <c r="Q78" s="61"/>
      <c r="R78" s="14">
        <f>R$32</f>
        <v>0.35164512530918368</v>
      </c>
      <c r="S78" s="14">
        <f t="shared" ref="S78:AH78" si="149">S$32</f>
        <v>0</v>
      </c>
      <c r="T78" s="14">
        <f t="shared" si="149"/>
        <v>0</v>
      </c>
      <c r="U78" s="14">
        <f t="shared" si="149"/>
        <v>0</v>
      </c>
      <c r="V78" s="14">
        <f t="shared" si="149"/>
        <v>0</v>
      </c>
      <c r="W78" s="14">
        <f t="shared" si="149"/>
        <v>0.64835487469081621</v>
      </c>
      <c r="X78" s="14">
        <f t="shared" si="149"/>
        <v>0</v>
      </c>
      <c r="Y78" s="14">
        <f t="shared" si="149"/>
        <v>0</v>
      </c>
      <c r="Z78" s="14">
        <f t="shared" si="149"/>
        <v>0</v>
      </c>
      <c r="AA78" s="14">
        <f t="shared" si="149"/>
        <v>0</v>
      </c>
      <c r="AB78" s="14">
        <f t="shared" si="149"/>
        <v>0</v>
      </c>
      <c r="AC78" s="14">
        <f t="shared" si="149"/>
        <v>0</v>
      </c>
      <c r="AD78" s="14">
        <f t="shared" si="149"/>
        <v>0</v>
      </c>
      <c r="AE78" s="14">
        <f t="shared" si="149"/>
        <v>0</v>
      </c>
      <c r="AF78" s="14">
        <f t="shared" si="149"/>
        <v>0</v>
      </c>
      <c r="AG78" s="14">
        <f t="shared" si="149"/>
        <v>0</v>
      </c>
      <c r="AH78" s="14">
        <f t="shared" si="149"/>
        <v>0</v>
      </c>
      <c r="AI78" s="76">
        <f t="shared" si="132"/>
        <v>0</v>
      </c>
      <c r="AK78" s="2">
        <f t="shared" si="136"/>
        <v>-1013999.9999999999</v>
      </c>
      <c r="AL78" s="2">
        <f t="shared" si="137"/>
        <v>-356568.15706351225</v>
      </c>
      <c r="AM78" s="2">
        <f t="shared" si="137"/>
        <v>-657431.84293648764</v>
      </c>
      <c r="AN78" s="2">
        <f t="shared" si="137"/>
        <v>0</v>
      </c>
      <c r="AO78" s="2">
        <f t="shared" si="137"/>
        <v>0</v>
      </c>
      <c r="AP78" s="2"/>
      <c r="AQ78" s="61" t="str">
        <f t="shared" si="146"/>
        <v>E78*      "</v>
      </c>
      <c r="AS78" s="2">
        <f t="shared" si="138"/>
        <v>-356568.15706351231</v>
      </c>
      <c r="AT78" s="2">
        <f t="shared" si="139"/>
        <v>-206647.77774014632</v>
      </c>
      <c r="AU78" s="2">
        <f t="shared" si="139"/>
        <v>-92591.298825481921</v>
      </c>
      <c r="AV78" s="2">
        <f t="shared" si="139"/>
        <v>0</v>
      </c>
      <c r="AW78" s="2">
        <f t="shared" si="139"/>
        <v>-1491.9847654214664</v>
      </c>
      <c r="AX78" s="2">
        <f t="shared" si="139"/>
        <v>-55837.095732462585</v>
      </c>
      <c r="AY78" s="2">
        <f t="shared" si="139"/>
        <v>0</v>
      </c>
      <c r="BA78" s="2">
        <f t="shared" si="140"/>
        <v>-657431.84293648764</v>
      </c>
      <c r="BB78" s="2">
        <f t="shared" si="141"/>
        <v>-448899.87032555591</v>
      </c>
      <c r="BC78" s="2">
        <f t="shared" si="141"/>
        <v>-151941.29293343241</v>
      </c>
      <c r="BD78" s="2">
        <f t="shared" si="141"/>
        <v>0</v>
      </c>
      <c r="BE78" s="2">
        <f t="shared" si="141"/>
        <v>-1908.8054969353427</v>
      </c>
      <c r="BF78" s="2">
        <f t="shared" si="141"/>
        <v>-54681.874180563958</v>
      </c>
      <c r="BG78" s="2">
        <f t="shared" si="141"/>
        <v>0</v>
      </c>
      <c r="BI78" s="2">
        <f t="shared" si="142"/>
        <v>0</v>
      </c>
      <c r="BJ78" s="2">
        <f t="shared" si="143"/>
        <v>0</v>
      </c>
      <c r="BK78" s="2">
        <f t="shared" si="143"/>
        <v>0</v>
      </c>
      <c r="BL78" s="2">
        <f t="shared" si="143"/>
        <v>0</v>
      </c>
      <c r="BM78" s="2">
        <f t="shared" si="143"/>
        <v>0</v>
      </c>
      <c r="BN78" s="2">
        <f t="shared" si="143"/>
        <v>0</v>
      </c>
      <c r="BO78" s="2">
        <f t="shared" si="143"/>
        <v>0</v>
      </c>
    </row>
    <row r="79" spans="1:67">
      <c r="A79" s="50">
        <f t="shared" si="122"/>
        <v>79</v>
      </c>
      <c r="B79" s="51">
        <v>379</v>
      </c>
      <c r="C79" s="36" t="s">
        <v>155</v>
      </c>
      <c r="D79" s="28" t="s">
        <v>263</v>
      </c>
      <c r="E79" s="432">
        <f>PROFORMA!AV325</f>
        <v>-422000</v>
      </c>
      <c r="F79" s="60" t="str">
        <f>"as 379 Plant ("&amp;A$33&amp;")"</f>
        <v>as 379 Plant (33)</v>
      </c>
      <c r="G79" s="60"/>
      <c r="H79" s="2">
        <f t="shared" si="133"/>
        <v>-421999.99999999994</v>
      </c>
      <c r="I79" s="2">
        <f t="shared" si="134"/>
        <v>-272821.60501353681</v>
      </c>
      <c r="J79" s="2">
        <f t="shared" si="134"/>
        <v>-101768.00169848309</v>
      </c>
      <c r="K79" s="2">
        <f t="shared" si="134"/>
        <v>0</v>
      </c>
      <c r="L79" s="2">
        <f t="shared" si="134"/>
        <v>-1415.3190243733466</v>
      </c>
      <c r="M79" s="2">
        <f t="shared" si="134"/>
        <v>-45995.074263606708</v>
      </c>
      <c r="N79" s="2">
        <f t="shared" si="134"/>
        <v>0</v>
      </c>
      <c r="O79" s="2"/>
      <c r="P79" s="61" t="str">
        <f t="shared" si="144"/>
        <v>E79*     "</v>
      </c>
      <c r="Q79" s="61"/>
      <c r="R79" s="14">
        <f>R$33</f>
        <v>0.35164512530918368</v>
      </c>
      <c r="S79" s="14">
        <f t="shared" ref="S79:AH79" si="150">S$33</f>
        <v>0</v>
      </c>
      <c r="T79" s="14">
        <f t="shared" si="150"/>
        <v>0</v>
      </c>
      <c r="U79" s="14">
        <f t="shared" si="150"/>
        <v>0</v>
      </c>
      <c r="V79" s="14">
        <f t="shared" si="150"/>
        <v>0</v>
      </c>
      <c r="W79" s="14">
        <f t="shared" si="150"/>
        <v>0.64835487469081621</v>
      </c>
      <c r="X79" s="14">
        <f t="shared" si="150"/>
        <v>0</v>
      </c>
      <c r="Y79" s="14">
        <f t="shared" si="150"/>
        <v>0</v>
      </c>
      <c r="Z79" s="14">
        <f t="shared" si="150"/>
        <v>0</v>
      </c>
      <c r="AA79" s="14">
        <f t="shared" si="150"/>
        <v>0</v>
      </c>
      <c r="AB79" s="14">
        <f t="shared" si="150"/>
        <v>0</v>
      </c>
      <c r="AC79" s="14">
        <f t="shared" si="150"/>
        <v>0</v>
      </c>
      <c r="AD79" s="14">
        <f t="shared" si="150"/>
        <v>0</v>
      </c>
      <c r="AE79" s="14">
        <f t="shared" si="150"/>
        <v>0</v>
      </c>
      <c r="AF79" s="14">
        <f t="shared" si="150"/>
        <v>0</v>
      </c>
      <c r="AG79" s="14">
        <f t="shared" si="150"/>
        <v>0</v>
      </c>
      <c r="AH79" s="14">
        <f t="shared" si="150"/>
        <v>0</v>
      </c>
      <c r="AI79" s="76">
        <f t="shared" si="132"/>
        <v>0</v>
      </c>
      <c r="AK79" s="2">
        <f t="shared" si="136"/>
        <v>-422000</v>
      </c>
      <c r="AL79" s="2">
        <f t="shared" si="137"/>
        <v>-148394.2428804755</v>
      </c>
      <c r="AM79" s="2">
        <f t="shared" si="137"/>
        <v>-273605.75711952447</v>
      </c>
      <c r="AN79" s="2">
        <f t="shared" si="137"/>
        <v>0</v>
      </c>
      <c r="AO79" s="2">
        <f t="shared" si="137"/>
        <v>0</v>
      </c>
      <c r="AP79" s="2"/>
      <c r="AQ79" s="61" t="str">
        <f t="shared" si="146"/>
        <v>E79*      "</v>
      </c>
      <c r="AS79" s="2">
        <f t="shared" si="138"/>
        <v>-148394.24288047553</v>
      </c>
      <c r="AT79" s="2">
        <f t="shared" si="139"/>
        <v>-86001.343398759112</v>
      </c>
      <c r="AU79" s="2">
        <f t="shared" si="139"/>
        <v>-38534.051384963881</v>
      </c>
      <c r="AV79" s="2">
        <f t="shared" si="139"/>
        <v>0</v>
      </c>
      <c r="AW79" s="2">
        <f t="shared" si="139"/>
        <v>-620.92462624049188</v>
      </c>
      <c r="AX79" s="2">
        <f t="shared" si="139"/>
        <v>-23237.92347051204</v>
      </c>
      <c r="AY79" s="2">
        <f t="shared" si="139"/>
        <v>0</v>
      </c>
      <c r="BA79" s="2">
        <f t="shared" si="140"/>
        <v>-273605.75711952447</v>
      </c>
      <c r="BB79" s="2">
        <f t="shared" si="141"/>
        <v>-186820.2616147777</v>
      </c>
      <c r="BC79" s="2">
        <f t="shared" si="141"/>
        <v>-63233.950313519214</v>
      </c>
      <c r="BD79" s="2">
        <f t="shared" si="141"/>
        <v>0</v>
      </c>
      <c r="BE79" s="2">
        <f t="shared" si="141"/>
        <v>-794.39439813285469</v>
      </c>
      <c r="BF79" s="2">
        <f t="shared" si="141"/>
        <v>-22757.150793094665</v>
      </c>
      <c r="BG79" s="2">
        <f t="shared" si="141"/>
        <v>0</v>
      </c>
      <c r="BI79" s="2">
        <f t="shared" si="142"/>
        <v>0</v>
      </c>
      <c r="BJ79" s="2">
        <f t="shared" si="143"/>
        <v>0</v>
      </c>
      <c r="BK79" s="2">
        <f t="shared" si="143"/>
        <v>0</v>
      </c>
      <c r="BL79" s="2">
        <f t="shared" si="143"/>
        <v>0</v>
      </c>
      <c r="BM79" s="2">
        <f t="shared" si="143"/>
        <v>0</v>
      </c>
      <c r="BN79" s="2">
        <f t="shared" si="143"/>
        <v>0</v>
      </c>
      <c r="BO79" s="2">
        <f t="shared" si="143"/>
        <v>0</v>
      </c>
    </row>
    <row r="80" spans="1:67">
      <c r="A80" s="50">
        <f t="shared" si="122"/>
        <v>80</v>
      </c>
      <c r="B80" s="51">
        <v>380</v>
      </c>
      <c r="C80" s="36" t="s">
        <v>155</v>
      </c>
      <c r="D80" s="28" t="s">
        <v>264</v>
      </c>
      <c r="E80" s="432">
        <f>PROFORMA!AV326</f>
        <v>-62862000</v>
      </c>
      <c r="F80" s="60" t="str">
        <f>"as 380 Plant ("&amp;A$34&amp;")"</f>
        <v>as 380 Plant (34)</v>
      </c>
      <c r="G80" s="60"/>
      <c r="H80" s="2">
        <f t="shared" si="133"/>
        <v>-62862000.000000007</v>
      </c>
      <c r="I80" s="2">
        <f t="shared" si="134"/>
        <v>-61478451.463748075</v>
      </c>
      <c r="J80" s="2">
        <f t="shared" si="134"/>
        <v>-1154197.055457999</v>
      </c>
      <c r="K80" s="2">
        <f t="shared" si="134"/>
        <v>0</v>
      </c>
      <c r="L80" s="2">
        <f t="shared" si="134"/>
        <v>-2803.7804294894777</v>
      </c>
      <c r="M80" s="2">
        <f t="shared" si="134"/>
        <v>-226547.70036444033</v>
      </c>
      <c r="N80" s="2">
        <f t="shared" si="134"/>
        <v>0</v>
      </c>
      <c r="O80" s="2"/>
      <c r="P80" s="61" t="str">
        <f t="shared" si="144"/>
        <v>E80*     "</v>
      </c>
      <c r="Q80" s="61"/>
      <c r="R80" s="14">
        <f>R$34</f>
        <v>0</v>
      </c>
      <c r="S80" s="14">
        <f t="shared" ref="S80:AH80" si="151">S$34</f>
        <v>0</v>
      </c>
      <c r="T80" s="14">
        <f t="shared" si="151"/>
        <v>0</v>
      </c>
      <c r="U80" s="14">
        <f t="shared" si="151"/>
        <v>0</v>
      </c>
      <c r="V80" s="14">
        <f t="shared" si="151"/>
        <v>0</v>
      </c>
      <c r="W80" s="14">
        <f t="shared" si="151"/>
        <v>0</v>
      </c>
      <c r="X80" s="14">
        <f t="shared" si="151"/>
        <v>0</v>
      </c>
      <c r="Y80" s="14">
        <f t="shared" si="151"/>
        <v>0</v>
      </c>
      <c r="Z80" s="14">
        <f t="shared" si="151"/>
        <v>0</v>
      </c>
      <c r="AA80" s="14">
        <f t="shared" si="151"/>
        <v>0</v>
      </c>
      <c r="AB80" s="14">
        <f t="shared" si="151"/>
        <v>0</v>
      </c>
      <c r="AC80" s="14">
        <f t="shared" si="151"/>
        <v>1</v>
      </c>
      <c r="AD80" s="14">
        <f t="shared" si="151"/>
        <v>0</v>
      </c>
      <c r="AE80" s="14">
        <f t="shared" si="151"/>
        <v>0</v>
      </c>
      <c r="AF80" s="14">
        <f t="shared" si="151"/>
        <v>0</v>
      </c>
      <c r="AG80" s="14">
        <f t="shared" si="151"/>
        <v>0</v>
      </c>
      <c r="AH80" s="14">
        <f t="shared" si="151"/>
        <v>0</v>
      </c>
      <c r="AI80" s="76">
        <f t="shared" si="132"/>
        <v>0</v>
      </c>
      <c r="AK80" s="2">
        <f t="shared" si="136"/>
        <v>-62862000</v>
      </c>
      <c r="AL80" s="2">
        <f t="shared" si="137"/>
        <v>0</v>
      </c>
      <c r="AM80" s="2">
        <f t="shared" si="137"/>
        <v>0</v>
      </c>
      <c r="AN80" s="2">
        <f t="shared" si="137"/>
        <v>-62862000</v>
      </c>
      <c r="AO80" s="2">
        <f t="shared" si="137"/>
        <v>0</v>
      </c>
      <c r="AP80" s="2"/>
      <c r="AQ80" s="61" t="str">
        <f t="shared" si="146"/>
        <v>E80*      "</v>
      </c>
      <c r="AS80" s="2">
        <f t="shared" si="138"/>
        <v>0</v>
      </c>
      <c r="AT80" s="2">
        <f t="shared" si="139"/>
        <v>0</v>
      </c>
      <c r="AU80" s="2">
        <f t="shared" si="139"/>
        <v>0</v>
      </c>
      <c r="AV80" s="2">
        <f t="shared" si="139"/>
        <v>0</v>
      </c>
      <c r="AW80" s="2">
        <f t="shared" si="139"/>
        <v>0</v>
      </c>
      <c r="AX80" s="2">
        <f t="shared" si="139"/>
        <v>0</v>
      </c>
      <c r="AY80" s="2">
        <f t="shared" si="139"/>
        <v>0</v>
      </c>
      <c r="BA80" s="2">
        <f t="shared" si="140"/>
        <v>0</v>
      </c>
      <c r="BB80" s="2">
        <f t="shared" si="141"/>
        <v>0</v>
      </c>
      <c r="BC80" s="2">
        <f t="shared" si="141"/>
        <v>0</v>
      </c>
      <c r="BD80" s="2">
        <f t="shared" si="141"/>
        <v>0</v>
      </c>
      <c r="BE80" s="2">
        <f t="shared" si="141"/>
        <v>0</v>
      </c>
      <c r="BF80" s="2">
        <f t="shared" si="141"/>
        <v>0</v>
      </c>
      <c r="BG80" s="2">
        <f t="shared" si="141"/>
        <v>0</v>
      </c>
      <c r="BI80" s="2">
        <f t="shared" si="142"/>
        <v>-62862000.000000007</v>
      </c>
      <c r="BJ80" s="2">
        <f t="shared" si="143"/>
        <v>-61478451.463748075</v>
      </c>
      <c r="BK80" s="2">
        <f t="shared" si="143"/>
        <v>-1154197.055457999</v>
      </c>
      <c r="BL80" s="2">
        <f t="shared" si="143"/>
        <v>0</v>
      </c>
      <c r="BM80" s="2">
        <f t="shared" si="143"/>
        <v>-2803.7804294894777</v>
      </c>
      <c r="BN80" s="2">
        <f t="shared" si="143"/>
        <v>-226547.70036444033</v>
      </c>
      <c r="BO80" s="2">
        <f t="shared" si="143"/>
        <v>0</v>
      </c>
    </row>
    <row r="81" spans="1:67">
      <c r="A81" s="50">
        <f t="shared" si="122"/>
        <v>81</v>
      </c>
      <c r="B81" s="51">
        <v>381</v>
      </c>
      <c r="C81" s="36" t="s">
        <v>155</v>
      </c>
      <c r="D81" s="28" t="s">
        <v>265</v>
      </c>
      <c r="E81" s="432">
        <f>PROFORMA!AV327</f>
        <v>-14169000</v>
      </c>
      <c r="F81" s="60" t="str">
        <f>"as 381 Plant ("&amp;A$35&amp;")"</f>
        <v>as 381 Plant (35)</v>
      </c>
      <c r="G81" s="60"/>
      <c r="H81" s="2">
        <f t="shared" si="133"/>
        <v>-14169000</v>
      </c>
      <c r="I81" s="2">
        <f t="shared" si="134"/>
        <v>-12764692.519095842</v>
      </c>
      <c r="J81" s="2">
        <f t="shared" si="134"/>
        <v>-1276201.0117527694</v>
      </c>
      <c r="K81" s="2">
        <f t="shared" si="134"/>
        <v>0</v>
      </c>
      <c r="L81" s="2">
        <f t="shared" si="134"/>
        <v>-13508.737567553315</v>
      </c>
      <c r="M81" s="2">
        <f t="shared" si="134"/>
        <v>-114597.73158383543</v>
      </c>
      <c r="N81" s="2">
        <f t="shared" si="134"/>
        <v>0</v>
      </c>
      <c r="O81" s="2"/>
      <c r="P81" s="61" t="str">
        <f t="shared" si="144"/>
        <v>E81*     "</v>
      </c>
      <c r="Q81" s="61"/>
      <c r="R81" s="14">
        <f>R$35</f>
        <v>0</v>
      </c>
      <c r="S81" s="14">
        <f t="shared" ref="S81:AH81" si="152">S$35</f>
        <v>0</v>
      </c>
      <c r="T81" s="14">
        <f t="shared" si="152"/>
        <v>0</v>
      </c>
      <c r="U81" s="14">
        <f t="shared" si="152"/>
        <v>0</v>
      </c>
      <c r="V81" s="14">
        <f t="shared" si="152"/>
        <v>0</v>
      </c>
      <c r="W81" s="14">
        <f t="shared" si="152"/>
        <v>0</v>
      </c>
      <c r="X81" s="14">
        <f t="shared" si="152"/>
        <v>0</v>
      </c>
      <c r="Y81" s="14">
        <f t="shared" si="152"/>
        <v>0</v>
      </c>
      <c r="Z81" s="14">
        <f t="shared" si="152"/>
        <v>0</v>
      </c>
      <c r="AA81" s="14">
        <f t="shared" si="152"/>
        <v>0</v>
      </c>
      <c r="AB81" s="14">
        <f t="shared" si="152"/>
        <v>0</v>
      </c>
      <c r="AC81" s="14">
        <f t="shared" si="152"/>
        <v>0</v>
      </c>
      <c r="AD81" s="14">
        <f t="shared" si="152"/>
        <v>1</v>
      </c>
      <c r="AE81" s="14">
        <f t="shared" si="152"/>
        <v>0</v>
      </c>
      <c r="AF81" s="14">
        <f t="shared" si="152"/>
        <v>0</v>
      </c>
      <c r="AG81" s="14">
        <f t="shared" si="152"/>
        <v>0</v>
      </c>
      <c r="AH81" s="14">
        <f t="shared" si="152"/>
        <v>0</v>
      </c>
      <c r="AI81" s="76">
        <f t="shared" si="132"/>
        <v>0</v>
      </c>
      <c r="AK81" s="2">
        <f t="shared" si="136"/>
        <v>-14169000</v>
      </c>
      <c r="AL81" s="2">
        <f t="shared" si="137"/>
        <v>0</v>
      </c>
      <c r="AM81" s="2">
        <f t="shared" si="137"/>
        <v>0</v>
      </c>
      <c r="AN81" s="2">
        <f t="shared" si="137"/>
        <v>-14169000</v>
      </c>
      <c r="AO81" s="2">
        <f t="shared" si="137"/>
        <v>0</v>
      </c>
      <c r="AP81" s="2"/>
      <c r="AQ81" s="61" t="str">
        <f t="shared" si="146"/>
        <v>E81*      "</v>
      </c>
      <c r="AS81" s="2">
        <f t="shared" si="138"/>
        <v>0</v>
      </c>
      <c r="AT81" s="2">
        <f t="shared" si="139"/>
        <v>0</v>
      </c>
      <c r="AU81" s="2">
        <f t="shared" si="139"/>
        <v>0</v>
      </c>
      <c r="AV81" s="2">
        <f t="shared" si="139"/>
        <v>0</v>
      </c>
      <c r="AW81" s="2">
        <f t="shared" si="139"/>
        <v>0</v>
      </c>
      <c r="AX81" s="2">
        <f t="shared" si="139"/>
        <v>0</v>
      </c>
      <c r="AY81" s="2">
        <f t="shared" si="139"/>
        <v>0</v>
      </c>
      <c r="BA81" s="2">
        <f t="shared" si="140"/>
        <v>0</v>
      </c>
      <c r="BB81" s="2">
        <f t="shared" si="141"/>
        <v>0</v>
      </c>
      <c r="BC81" s="2">
        <f t="shared" si="141"/>
        <v>0</v>
      </c>
      <c r="BD81" s="2">
        <f t="shared" si="141"/>
        <v>0</v>
      </c>
      <c r="BE81" s="2">
        <f t="shared" si="141"/>
        <v>0</v>
      </c>
      <c r="BF81" s="2">
        <f t="shared" si="141"/>
        <v>0</v>
      </c>
      <c r="BG81" s="2">
        <f t="shared" si="141"/>
        <v>0</v>
      </c>
      <c r="BI81" s="2">
        <f t="shared" si="142"/>
        <v>-14169000</v>
      </c>
      <c r="BJ81" s="2">
        <f t="shared" si="143"/>
        <v>-12764692.519095842</v>
      </c>
      <c r="BK81" s="2">
        <f t="shared" si="143"/>
        <v>-1276201.0117527694</v>
      </c>
      <c r="BL81" s="2">
        <f t="shared" si="143"/>
        <v>0</v>
      </c>
      <c r="BM81" s="2">
        <f t="shared" si="143"/>
        <v>-13508.737567553315</v>
      </c>
      <c r="BN81" s="2">
        <f t="shared" si="143"/>
        <v>-114597.73158383543</v>
      </c>
      <c r="BO81" s="2">
        <f t="shared" si="143"/>
        <v>0</v>
      </c>
    </row>
    <row r="82" spans="1:67">
      <c r="A82" s="50">
        <f t="shared" si="122"/>
        <v>82</v>
      </c>
      <c r="B82" s="51">
        <v>382</v>
      </c>
      <c r="C82" s="36" t="s">
        <v>155</v>
      </c>
      <c r="D82" s="28" t="s">
        <v>266</v>
      </c>
      <c r="E82" s="432">
        <f>PROFORMA!AV328</f>
        <v>0</v>
      </c>
      <c r="F82" s="60" t="str">
        <f>"as 382 Plant ("&amp;A$36&amp;")"</f>
        <v>as 382 Plant (36)</v>
      </c>
      <c r="G82" s="60"/>
      <c r="H82" s="2">
        <f t="shared" si="133"/>
        <v>0</v>
      </c>
      <c r="I82" s="2">
        <f t="shared" si="134"/>
        <v>0</v>
      </c>
      <c r="J82" s="2">
        <f t="shared" si="134"/>
        <v>0</v>
      </c>
      <c r="K82" s="2">
        <f t="shared" si="134"/>
        <v>0</v>
      </c>
      <c r="L82" s="2">
        <f t="shared" si="134"/>
        <v>0</v>
      </c>
      <c r="M82" s="2">
        <f t="shared" si="134"/>
        <v>0</v>
      </c>
      <c r="N82" s="2">
        <f t="shared" si="134"/>
        <v>0</v>
      </c>
      <c r="O82" s="2"/>
      <c r="P82" s="61" t="str">
        <f t="shared" si="144"/>
        <v>E82*     "</v>
      </c>
      <c r="Q82" s="61"/>
      <c r="R82" s="14">
        <f>R$36</f>
        <v>0</v>
      </c>
      <c r="S82" s="14">
        <f t="shared" ref="S82:AH82" si="153">S$36</f>
        <v>0</v>
      </c>
      <c r="T82" s="14">
        <f t="shared" si="153"/>
        <v>0</v>
      </c>
      <c r="U82" s="14">
        <f t="shared" si="153"/>
        <v>0</v>
      </c>
      <c r="V82" s="14">
        <f t="shared" si="153"/>
        <v>0</v>
      </c>
      <c r="W82" s="14">
        <f t="shared" si="153"/>
        <v>0</v>
      </c>
      <c r="X82" s="14">
        <f t="shared" si="153"/>
        <v>0</v>
      </c>
      <c r="Y82" s="14">
        <f t="shared" si="153"/>
        <v>0</v>
      </c>
      <c r="Z82" s="14">
        <f t="shared" si="153"/>
        <v>0</v>
      </c>
      <c r="AA82" s="14">
        <f t="shared" si="153"/>
        <v>0</v>
      </c>
      <c r="AB82" s="14">
        <f t="shared" si="153"/>
        <v>1</v>
      </c>
      <c r="AC82" s="14">
        <f t="shared" si="153"/>
        <v>0</v>
      </c>
      <c r="AD82" s="14">
        <f t="shared" si="153"/>
        <v>0</v>
      </c>
      <c r="AE82" s="14">
        <f t="shared" si="153"/>
        <v>0</v>
      </c>
      <c r="AF82" s="14">
        <f t="shared" si="153"/>
        <v>0</v>
      </c>
      <c r="AG82" s="14">
        <f t="shared" si="153"/>
        <v>0</v>
      </c>
      <c r="AH82" s="14">
        <f t="shared" si="153"/>
        <v>0</v>
      </c>
      <c r="AI82" s="76">
        <f t="shared" si="132"/>
        <v>0</v>
      </c>
      <c r="AK82" s="2">
        <f t="shared" si="136"/>
        <v>0</v>
      </c>
      <c r="AL82" s="2">
        <f t="shared" si="137"/>
        <v>0</v>
      </c>
      <c r="AM82" s="2">
        <f t="shared" si="137"/>
        <v>0</v>
      </c>
      <c r="AN82" s="2">
        <f t="shared" si="137"/>
        <v>0</v>
      </c>
      <c r="AO82" s="2">
        <f t="shared" si="137"/>
        <v>0</v>
      </c>
      <c r="AP82" s="2"/>
      <c r="AQ82" s="61" t="str">
        <f t="shared" si="146"/>
        <v>E82*      "</v>
      </c>
      <c r="AS82" s="2">
        <f t="shared" si="138"/>
        <v>0</v>
      </c>
      <c r="AT82" s="2">
        <f t="shared" si="139"/>
        <v>0</v>
      </c>
      <c r="AU82" s="2">
        <f t="shared" si="139"/>
        <v>0</v>
      </c>
      <c r="AV82" s="2">
        <f t="shared" si="139"/>
        <v>0</v>
      </c>
      <c r="AW82" s="2">
        <f t="shared" si="139"/>
        <v>0</v>
      </c>
      <c r="AX82" s="2">
        <f t="shared" si="139"/>
        <v>0</v>
      </c>
      <c r="AY82" s="2">
        <f t="shared" si="139"/>
        <v>0</v>
      </c>
      <c r="BA82" s="2">
        <f t="shared" si="140"/>
        <v>0</v>
      </c>
      <c r="BB82" s="2">
        <f t="shared" si="141"/>
        <v>0</v>
      </c>
      <c r="BC82" s="2">
        <f t="shared" si="141"/>
        <v>0</v>
      </c>
      <c r="BD82" s="2">
        <f t="shared" si="141"/>
        <v>0</v>
      </c>
      <c r="BE82" s="2">
        <f t="shared" si="141"/>
        <v>0</v>
      </c>
      <c r="BF82" s="2">
        <f t="shared" si="141"/>
        <v>0</v>
      </c>
      <c r="BG82" s="2">
        <f t="shared" si="141"/>
        <v>0</v>
      </c>
      <c r="BI82" s="2">
        <f t="shared" si="142"/>
        <v>0</v>
      </c>
      <c r="BJ82" s="2">
        <f t="shared" si="143"/>
        <v>0</v>
      </c>
      <c r="BK82" s="2">
        <f t="shared" si="143"/>
        <v>0</v>
      </c>
      <c r="BL82" s="2">
        <f t="shared" si="143"/>
        <v>0</v>
      </c>
      <c r="BM82" s="2">
        <f t="shared" si="143"/>
        <v>0</v>
      </c>
      <c r="BN82" s="2">
        <f t="shared" si="143"/>
        <v>0</v>
      </c>
      <c r="BO82" s="2">
        <f t="shared" si="143"/>
        <v>0</v>
      </c>
    </row>
    <row r="83" spans="1:67">
      <c r="A83" s="50">
        <f t="shared" si="122"/>
        <v>83</v>
      </c>
      <c r="B83" s="51">
        <v>383</v>
      </c>
      <c r="C83" s="36" t="s">
        <v>155</v>
      </c>
      <c r="D83" s="28" t="s">
        <v>267</v>
      </c>
      <c r="E83" s="432">
        <f>PROFORMA!AV329</f>
        <v>0</v>
      </c>
      <c r="F83" s="60" t="str">
        <f>"as 383 Plant ("&amp;A$37&amp;")"</f>
        <v>as 383 Plant (37)</v>
      </c>
      <c r="G83" s="60"/>
      <c r="H83" s="2">
        <f t="shared" si="133"/>
        <v>0</v>
      </c>
      <c r="I83" s="2">
        <f t="shared" si="134"/>
        <v>0</v>
      </c>
      <c r="J83" s="2">
        <f t="shared" si="134"/>
        <v>0</v>
      </c>
      <c r="K83" s="2">
        <f t="shared" si="134"/>
        <v>0</v>
      </c>
      <c r="L83" s="2">
        <f t="shared" si="134"/>
        <v>0</v>
      </c>
      <c r="M83" s="2">
        <f t="shared" si="134"/>
        <v>0</v>
      </c>
      <c r="N83" s="2">
        <f t="shared" si="134"/>
        <v>0</v>
      </c>
      <c r="O83" s="2"/>
      <c r="P83" s="61" t="str">
        <f t="shared" si="144"/>
        <v>E83*     "</v>
      </c>
      <c r="Q83" s="61"/>
      <c r="R83" s="14">
        <f>R$37</f>
        <v>0</v>
      </c>
      <c r="S83" s="14">
        <f t="shared" ref="S83:AH83" si="154">S$37</f>
        <v>0</v>
      </c>
      <c r="T83" s="14">
        <f t="shared" si="154"/>
        <v>0</v>
      </c>
      <c r="U83" s="14">
        <f t="shared" si="154"/>
        <v>0</v>
      </c>
      <c r="V83" s="14">
        <f t="shared" si="154"/>
        <v>0</v>
      </c>
      <c r="W83" s="14">
        <f t="shared" si="154"/>
        <v>0</v>
      </c>
      <c r="X83" s="14">
        <f t="shared" si="154"/>
        <v>0</v>
      </c>
      <c r="Y83" s="14">
        <f t="shared" si="154"/>
        <v>0</v>
      </c>
      <c r="Z83" s="14">
        <f t="shared" si="154"/>
        <v>0</v>
      </c>
      <c r="AA83" s="14">
        <f t="shared" si="154"/>
        <v>0</v>
      </c>
      <c r="AB83" s="14">
        <f t="shared" si="154"/>
        <v>0</v>
      </c>
      <c r="AC83" s="14">
        <f t="shared" si="154"/>
        <v>0</v>
      </c>
      <c r="AD83" s="14">
        <f t="shared" si="154"/>
        <v>0</v>
      </c>
      <c r="AE83" s="14">
        <f t="shared" si="154"/>
        <v>0</v>
      </c>
      <c r="AF83" s="14">
        <f t="shared" si="154"/>
        <v>0</v>
      </c>
      <c r="AG83" s="14">
        <f t="shared" si="154"/>
        <v>0</v>
      </c>
      <c r="AH83" s="14">
        <f t="shared" si="154"/>
        <v>0</v>
      </c>
      <c r="AI83" s="76">
        <f t="shared" si="132"/>
        <v>0</v>
      </c>
      <c r="AK83" s="2">
        <f t="shared" si="136"/>
        <v>0</v>
      </c>
      <c r="AL83" s="2">
        <f t="shared" si="137"/>
        <v>0</v>
      </c>
      <c r="AM83" s="2">
        <f t="shared" si="137"/>
        <v>0</v>
      </c>
      <c r="AN83" s="2">
        <f t="shared" si="137"/>
        <v>0</v>
      </c>
      <c r="AO83" s="2">
        <f t="shared" si="137"/>
        <v>0</v>
      </c>
      <c r="AP83" s="2"/>
      <c r="AQ83" s="61" t="str">
        <f t="shared" si="146"/>
        <v>E83*      "</v>
      </c>
      <c r="AS83" s="2">
        <f t="shared" si="138"/>
        <v>0</v>
      </c>
      <c r="AT83" s="2">
        <f t="shared" si="139"/>
        <v>0</v>
      </c>
      <c r="AU83" s="2">
        <f t="shared" si="139"/>
        <v>0</v>
      </c>
      <c r="AV83" s="2">
        <f t="shared" si="139"/>
        <v>0</v>
      </c>
      <c r="AW83" s="2">
        <f t="shared" si="139"/>
        <v>0</v>
      </c>
      <c r="AX83" s="2">
        <f t="shared" si="139"/>
        <v>0</v>
      </c>
      <c r="AY83" s="2">
        <f t="shared" si="139"/>
        <v>0</v>
      </c>
      <c r="BA83" s="2">
        <f t="shared" si="140"/>
        <v>0</v>
      </c>
      <c r="BB83" s="2">
        <f t="shared" si="141"/>
        <v>0</v>
      </c>
      <c r="BC83" s="2">
        <f t="shared" si="141"/>
        <v>0</v>
      </c>
      <c r="BD83" s="2">
        <f t="shared" si="141"/>
        <v>0</v>
      </c>
      <c r="BE83" s="2">
        <f t="shared" si="141"/>
        <v>0</v>
      </c>
      <c r="BF83" s="2">
        <f t="shared" si="141"/>
        <v>0</v>
      </c>
      <c r="BG83" s="2">
        <f t="shared" si="141"/>
        <v>0</v>
      </c>
      <c r="BI83" s="2">
        <f t="shared" si="142"/>
        <v>0</v>
      </c>
      <c r="BJ83" s="2">
        <f t="shared" si="143"/>
        <v>0</v>
      </c>
      <c r="BK83" s="2">
        <f t="shared" si="143"/>
        <v>0</v>
      </c>
      <c r="BL83" s="2">
        <f t="shared" si="143"/>
        <v>0</v>
      </c>
      <c r="BM83" s="2">
        <f t="shared" si="143"/>
        <v>0</v>
      </c>
      <c r="BN83" s="2">
        <f t="shared" si="143"/>
        <v>0</v>
      </c>
      <c r="BO83" s="2">
        <f t="shared" si="143"/>
        <v>0</v>
      </c>
    </row>
    <row r="84" spans="1:67">
      <c r="A84" s="50">
        <f t="shared" si="122"/>
        <v>84</v>
      </c>
      <c r="B84" s="51">
        <v>384</v>
      </c>
      <c r="C84" s="36" t="s">
        <v>155</v>
      </c>
      <c r="D84" s="28" t="s">
        <v>268</v>
      </c>
      <c r="E84" s="432">
        <f>PROFORMA!AV330</f>
        <v>0</v>
      </c>
      <c r="F84" s="60" t="str">
        <f>"as 384 Plant ("&amp;A$38&amp;")"</f>
        <v>as 384 Plant (38)</v>
      </c>
      <c r="G84" s="60"/>
      <c r="H84" s="2">
        <f t="shared" si="133"/>
        <v>0</v>
      </c>
      <c r="I84" s="2">
        <f t="shared" si="134"/>
        <v>0</v>
      </c>
      <c r="J84" s="2">
        <f t="shared" si="134"/>
        <v>0</v>
      </c>
      <c r="K84" s="2">
        <f t="shared" si="134"/>
        <v>0</v>
      </c>
      <c r="L84" s="2">
        <f t="shared" si="134"/>
        <v>0</v>
      </c>
      <c r="M84" s="2">
        <f t="shared" si="134"/>
        <v>0</v>
      </c>
      <c r="N84" s="2">
        <f t="shared" si="134"/>
        <v>0</v>
      </c>
      <c r="O84" s="2"/>
      <c r="P84" s="61" t="str">
        <f t="shared" si="144"/>
        <v>E84*     "</v>
      </c>
      <c r="Q84" s="61"/>
      <c r="R84" s="14">
        <f>R$38</f>
        <v>0</v>
      </c>
      <c r="S84" s="14">
        <f t="shared" ref="S84:AH84" si="155">S$38</f>
        <v>0</v>
      </c>
      <c r="T84" s="14">
        <f t="shared" si="155"/>
        <v>0</v>
      </c>
      <c r="U84" s="14">
        <f t="shared" si="155"/>
        <v>0</v>
      </c>
      <c r="V84" s="14">
        <f t="shared" si="155"/>
        <v>0</v>
      </c>
      <c r="W84" s="14">
        <f t="shared" si="155"/>
        <v>0</v>
      </c>
      <c r="X84" s="14">
        <f t="shared" si="155"/>
        <v>0</v>
      </c>
      <c r="Y84" s="14">
        <f t="shared" si="155"/>
        <v>0</v>
      </c>
      <c r="Z84" s="14">
        <f t="shared" si="155"/>
        <v>0</v>
      </c>
      <c r="AA84" s="14">
        <f t="shared" si="155"/>
        <v>0</v>
      </c>
      <c r="AB84" s="14">
        <f t="shared" si="155"/>
        <v>1</v>
      </c>
      <c r="AC84" s="14">
        <f t="shared" si="155"/>
        <v>0</v>
      </c>
      <c r="AD84" s="14">
        <f t="shared" si="155"/>
        <v>0</v>
      </c>
      <c r="AE84" s="14">
        <f t="shared" si="155"/>
        <v>0</v>
      </c>
      <c r="AF84" s="14">
        <f t="shared" si="155"/>
        <v>0</v>
      </c>
      <c r="AG84" s="14">
        <f t="shared" si="155"/>
        <v>0</v>
      </c>
      <c r="AH84" s="14">
        <f t="shared" si="155"/>
        <v>0</v>
      </c>
      <c r="AI84" s="76">
        <f t="shared" si="132"/>
        <v>0</v>
      </c>
      <c r="AK84" s="2">
        <f t="shared" si="136"/>
        <v>0</v>
      </c>
      <c r="AL84" s="2">
        <f t="shared" si="137"/>
        <v>0</v>
      </c>
      <c r="AM84" s="2">
        <f t="shared" si="137"/>
        <v>0</v>
      </c>
      <c r="AN84" s="2">
        <f t="shared" si="137"/>
        <v>0</v>
      </c>
      <c r="AO84" s="2">
        <f t="shared" si="137"/>
        <v>0</v>
      </c>
      <c r="AP84" s="2"/>
      <c r="AQ84" s="61" t="str">
        <f t="shared" si="146"/>
        <v>E84*      "</v>
      </c>
      <c r="AS84" s="2">
        <f t="shared" si="138"/>
        <v>0</v>
      </c>
      <c r="AT84" s="2">
        <f t="shared" si="139"/>
        <v>0</v>
      </c>
      <c r="AU84" s="2">
        <f t="shared" si="139"/>
        <v>0</v>
      </c>
      <c r="AV84" s="2">
        <f t="shared" si="139"/>
        <v>0</v>
      </c>
      <c r="AW84" s="2">
        <f t="shared" si="139"/>
        <v>0</v>
      </c>
      <c r="AX84" s="2">
        <f t="shared" si="139"/>
        <v>0</v>
      </c>
      <c r="AY84" s="2">
        <f t="shared" si="139"/>
        <v>0</v>
      </c>
      <c r="BA84" s="2">
        <f t="shared" si="140"/>
        <v>0</v>
      </c>
      <c r="BB84" s="2">
        <f t="shared" si="141"/>
        <v>0</v>
      </c>
      <c r="BC84" s="2">
        <f t="shared" si="141"/>
        <v>0</v>
      </c>
      <c r="BD84" s="2">
        <f t="shared" si="141"/>
        <v>0</v>
      </c>
      <c r="BE84" s="2">
        <f t="shared" si="141"/>
        <v>0</v>
      </c>
      <c r="BF84" s="2">
        <f t="shared" si="141"/>
        <v>0</v>
      </c>
      <c r="BG84" s="2">
        <f t="shared" si="141"/>
        <v>0</v>
      </c>
      <c r="BI84" s="2">
        <f t="shared" si="142"/>
        <v>0</v>
      </c>
      <c r="BJ84" s="2">
        <f t="shared" si="143"/>
        <v>0</v>
      </c>
      <c r="BK84" s="2">
        <f t="shared" si="143"/>
        <v>0</v>
      </c>
      <c r="BL84" s="2">
        <f t="shared" si="143"/>
        <v>0</v>
      </c>
      <c r="BM84" s="2">
        <f t="shared" si="143"/>
        <v>0</v>
      </c>
      <c r="BN84" s="2">
        <f t="shared" si="143"/>
        <v>0</v>
      </c>
      <c r="BO84" s="2">
        <f t="shared" si="143"/>
        <v>0</v>
      </c>
    </row>
    <row r="85" spans="1:67">
      <c r="A85" s="50">
        <f t="shared" si="122"/>
        <v>85</v>
      </c>
      <c r="B85" s="51">
        <v>385</v>
      </c>
      <c r="C85" s="36" t="s">
        <v>155</v>
      </c>
      <c r="D85" s="28" t="s">
        <v>269</v>
      </c>
      <c r="E85" s="432">
        <f>PROFORMA!AV331</f>
        <v>-1166000</v>
      </c>
      <c r="F85" s="60" t="str">
        <f>"as 385 Plant ("&amp;A$39&amp;")"</f>
        <v>as 385 Plant (39)</v>
      </c>
      <c r="G85" s="60"/>
      <c r="H85" s="2">
        <f t="shared" si="133"/>
        <v>-1166000</v>
      </c>
      <c r="I85" s="2">
        <f t="shared" si="134"/>
        <v>0</v>
      </c>
      <c r="J85" s="2">
        <f t="shared" si="134"/>
        <v>-1013693.4537922005</v>
      </c>
      <c r="K85" s="2">
        <f t="shared" si="134"/>
        <v>0</v>
      </c>
      <c r="L85" s="2">
        <f t="shared" si="134"/>
        <v>-16083.54106920487</v>
      </c>
      <c r="M85" s="2">
        <f t="shared" si="134"/>
        <v>-136223.00513859463</v>
      </c>
      <c r="N85" s="2">
        <f t="shared" si="134"/>
        <v>0</v>
      </c>
      <c r="O85" s="2"/>
      <c r="P85" s="61" t="str">
        <f t="shared" si="144"/>
        <v>E85*     "</v>
      </c>
      <c r="Q85" s="61"/>
      <c r="R85" s="14">
        <f>R$39</f>
        <v>0</v>
      </c>
      <c r="S85" s="14">
        <f t="shared" ref="S85:AH85" si="156">S$39</f>
        <v>0</v>
      </c>
      <c r="T85" s="14">
        <f t="shared" si="156"/>
        <v>0</v>
      </c>
      <c r="U85" s="14">
        <f t="shared" si="156"/>
        <v>0</v>
      </c>
      <c r="V85" s="14">
        <f t="shared" si="156"/>
        <v>0</v>
      </c>
      <c r="W85" s="14">
        <f t="shared" si="156"/>
        <v>0</v>
      </c>
      <c r="X85" s="14">
        <f t="shared" si="156"/>
        <v>0</v>
      </c>
      <c r="Y85" s="14">
        <f t="shared" si="156"/>
        <v>0</v>
      </c>
      <c r="Z85" s="14">
        <f t="shared" si="156"/>
        <v>0</v>
      </c>
      <c r="AA85" s="14">
        <f t="shared" si="156"/>
        <v>0</v>
      </c>
      <c r="AB85" s="14">
        <f t="shared" si="156"/>
        <v>0</v>
      </c>
      <c r="AC85" s="14">
        <f t="shared" si="156"/>
        <v>0</v>
      </c>
      <c r="AD85" s="14">
        <f t="shared" si="156"/>
        <v>0</v>
      </c>
      <c r="AE85" s="14">
        <f t="shared" si="156"/>
        <v>0</v>
      </c>
      <c r="AF85" s="14">
        <f t="shared" si="156"/>
        <v>1</v>
      </c>
      <c r="AG85" s="14">
        <f t="shared" si="156"/>
        <v>0</v>
      </c>
      <c r="AH85" s="14">
        <f t="shared" si="156"/>
        <v>0</v>
      </c>
      <c r="AI85" s="76">
        <f t="shared" si="132"/>
        <v>0</v>
      </c>
      <c r="AK85" s="2">
        <f t="shared" si="136"/>
        <v>-1166000</v>
      </c>
      <c r="AL85" s="2">
        <f t="shared" si="137"/>
        <v>0</v>
      </c>
      <c r="AM85" s="2">
        <f t="shared" si="137"/>
        <v>0</v>
      </c>
      <c r="AN85" s="2">
        <f t="shared" si="137"/>
        <v>-1166000</v>
      </c>
      <c r="AO85" s="2">
        <f t="shared" si="137"/>
        <v>0</v>
      </c>
      <c r="AP85" s="2"/>
      <c r="AQ85" s="61" t="str">
        <f t="shared" si="146"/>
        <v>E85*      "</v>
      </c>
      <c r="AS85" s="2">
        <f t="shared" si="138"/>
        <v>0</v>
      </c>
      <c r="AT85" s="2">
        <f t="shared" si="139"/>
        <v>0</v>
      </c>
      <c r="AU85" s="2">
        <f t="shared" si="139"/>
        <v>0</v>
      </c>
      <c r="AV85" s="2">
        <f t="shared" si="139"/>
        <v>0</v>
      </c>
      <c r="AW85" s="2">
        <f t="shared" si="139"/>
        <v>0</v>
      </c>
      <c r="AX85" s="2">
        <f t="shared" si="139"/>
        <v>0</v>
      </c>
      <c r="AY85" s="2">
        <f t="shared" si="139"/>
        <v>0</v>
      </c>
      <c r="BA85" s="2">
        <f t="shared" si="140"/>
        <v>0</v>
      </c>
      <c r="BB85" s="2">
        <f t="shared" si="141"/>
        <v>0</v>
      </c>
      <c r="BC85" s="2">
        <f t="shared" si="141"/>
        <v>0</v>
      </c>
      <c r="BD85" s="2">
        <f t="shared" si="141"/>
        <v>0</v>
      </c>
      <c r="BE85" s="2">
        <f t="shared" si="141"/>
        <v>0</v>
      </c>
      <c r="BF85" s="2">
        <f t="shared" si="141"/>
        <v>0</v>
      </c>
      <c r="BG85" s="2">
        <f t="shared" si="141"/>
        <v>0</v>
      </c>
      <c r="BI85" s="2">
        <f t="shared" si="142"/>
        <v>-1166000</v>
      </c>
      <c r="BJ85" s="2">
        <f t="shared" si="143"/>
        <v>0</v>
      </c>
      <c r="BK85" s="2">
        <f t="shared" si="143"/>
        <v>-1013693.4537922005</v>
      </c>
      <c r="BL85" s="2">
        <f t="shared" si="143"/>
        <v>0</v>
      </c>
      <c r="BM85" s="2">
        <f t="shared" si="143"/>
        <v>-16083.54106920487</v>
      </c>
      <c r="BN85" s="2">
        <f t="shared" si="143"/>
        <v>-136223.00513859463</v>
      </c>
      <c r="BO85" s="2">
        <f t="shared" si="143"/>
        <v>0</v>
      </c>
    </row>
    <row r="86" spans="1:67">
      <c r="A86" s="50">
        <f t="shared" si="122"/>
        <v>86</v>
      </c>
      <c r="B86" s="51">
        <v>387</v>
      </c>
      <c r="C86" s="36" t="s">
        <v>155</v>
      </c>
      <c r="D86" s="28" t="s">
        <v>260</v>
      </c>
      <c r="E86" s="432">
        <f>PROFORMA!AV332</f>
        <v>0</v>
      </c>
      <c r="F86" s="60" t="str">
        <f>"as 387 Plant ("&amp;A$40&amp;")"</f>
        <v>as 387 Plant (40)</v>
      </c>
      <c r="G86" s="60"/>
      <c r="H86" s="2">
        <f t="shared" si="133"/>
        <v>0</v>
      </c>
      <c r="I86" s="2">
        <f t="shared" si="134"/>
        <v>0</v>
      </c>
      <c r="J86" s="2">
        <f t="shared" si="134"/>
        <v>0</v>
      </c>
      <c r="K86" s="2">
        <f t="shared" si="134"/>
        <v>0</v>
      </c>
      <c r="L86" s="2">
        <f t="shared" si="134"/>
        <v>0</v>
      </c>
      <c r="M86" s="2">
        <f t="shared" si="134"/>
        <v>0</v>
      </c>
      <c r="N86" s="2">
        <f t="shared" si="134"/>
        <v>0</v>
      </c>
      <c r="O86" s="2"/>
      <c r="P86" s="61" t="str">
        <f t="shared" si="144"/>
        <v>E86*     "</v>
      </c>
      <c r="Q86" s="61"/>
      <c r="R86" s="14">
        <f>R$40</f>
        <v>0.18032917602090975</v>
      </c>
      <c r="S86" s="14">
        <f t="shared" ref="S86:AH86" si="157">S$40</f>
        <v>0</v>
      </c>
      <c r="T86" s="14">
        <f t="shared" si="157"/>
        <v>0</v>
      </c>
      <c r="U86" s="14">
        <f t="shared" si="157"/>
        <v>0</v>
      </c>
      <c r="V86" s="14">
        <f t="shared" si="157"/>
        <v>0</v>
      </c>
      <c r="W86" s="14">
        <f t="shared" si="157"/>
        <v>0.33248662332325996</v>
      </c>
      <c r="X86" s="14">
        <f t="shared" si="157"/>
        <v>0</v>
      </c>
      <c r="Y86" s="14">
        <f t="shared" si="157"/>
        <v>0</v>
      </c>
      <c r="Z86" s="14">
        <f t="shared" si="157"/>
        <v>0</v>
      </c>
      <c r="AA86" s="14">
        <f t="shared" si="157"/>
        <v>0</v>
      </c>
      <c r="AB86" s="14">
        <f t="shared" si="157"/>
        <v>0</v>
      </c>
      <c r="AC86" s="14">
        <f t="shared" si="157"/>
        <v>0.34784812665025233</v>
      </c>
      <c r="AD86" s="14">
        <f t="shared" si="157"/>
        <v>0.13399956178953271</v>
      </c>
      <c r="AE86" s="14">
        <f t="shared" si="157"/>
        <v>0</v>
      </c>
      <c r="AF86" s="14">
        <f t="shared" si="157"/>
        <v>5.3365122160451877E-3</v>
      </c>
      <c r="AG86" s="14">
        <f t="shared" si="157"/>
        <v>0</v>
      </c>
      <c r="AH86" s="14">
        <f t="shared" si="157"/>
        <v>0</v>
      </c>
      <c r="AI86" s="76">
        <f t="shared" si="132"/>
        <v>0</v>
      </c>
      <c r="AK86" s="2">
        <f t="shared" si="136"/>
        <v>0</v>
      </c>
      <c r="AL86" s="2">
        <f t="shared" si="137"/>
        <v>0</v>
      </c>
      <c r="AM86" s="2">
        <f t="shared" si="137"/>
        <v>0</v>
      </c>
      <c r="AN86" s="2">
        <f t="shared" si="137"/>
        <v>0</v>
      </c>
      <c r="AO86" s="2">
        <f t="shared" si="137"/>
        <v>0</v>
      </c>
      <c r="AP86" s="2"/>
      <c r="AQ86" s="61" t="str">
        <f t="shared" si="146"/>
        <v>E86*      "</v>
      </c>
      <c r="AS86" s="2">
        <f t="shared" si="138"/>
        <v>0</v>
      </c>
      <c r="AT86" s="2">
        <f t="shared" si="139"/>
        <v>0</v>
      </c>
      <c r="AU86" s="2">
        <f t="shared" si="139"/>
        <v>0</v>
      </c>
      <c r="AV86" s="2">
        <f t="shared" si="139"/>
        <v>0</v>
      </c>
      <c r="AW86" s="2">
        <f t="shared" si="139"/>
        <v>0</v>
      </c>
      <c r="AX86" s="2">
        <f t="shared" si="139"/>
        <v>0</v>
      </c>
      <c r="AY86" s="2">
        <f t="shared" si="139"/>
        <v>0</v>
      </c>
      <c r="BA86" s="2">
        <f t="shared" si="140"/>
        <v>0</v>
      </c>
      <c r="BB86" s="2">
        <f t="shared" si="141"/>
        <v>0</v>
      </c>
      <c r="BC86" s="2">
        <f t="shared" si="141"/>
        <v>0</v>
      </c>
      <c r="BD86" s="2">
        <f t="shared" si="141"/>
        <v>0</v>
      </c>
      <c r="BE86" s="2">
        <f t="shared" si="141"/>
        <v>0</v>
      </c>
      <c r="BF86" s="2">
        <f t="shared" si="141"/>
        <v>0</v>
      </c>
      <c r="BG86" s="2">
        <f t="shared" si="141"/>
        <v>0</v>
      </c>
      <c r="BI86" s="2">
        <f t="shared" si="142"/>
        <v>0</v>
      </c>
      <c r="BJ86" s="2">
        <f t="shared" si="143"/>
        <v>0</v>
      </c>
      <c r="BK86" s="2">
        <f t="shared" si="143"/>
        <v>0</v>
      </c>
      <c r="BL86" s="2">
        <f t="shared" si="143"/>
        <v>0</v>
      </c>
      <c r="BM86" s="2">
        <f t="shared" si="143"/>
        <v>0</v>
      </c>
      <c r="BN86" s="2">
        <f t="shared" si="143"/>
        <v>0</v>
      </c>
      <c r="BO86" s="2">
        <f t="shared" si="143"/>
        <v>0</v>
      </c>
    </row>
    <row r="87" spans="1:67">
      <c r="A87" s="50">
        <f t="shared" si="122"/>
        <v>87</v>
      </c>
      <c r="B87" s="51"/>
      <c r="D87" s="52" t="s">
        <v>222</v>
      </c>
      <c r="E87" s="4">
        <f>SUM(E74:E86)</f>
        <v>-149330000</v>
      </c>
      <c r="F87" s="60"/>
      <c r="G87" s="60"/>
      <c r="H87" s="4">
        <f>IF(ROUND(SUM(H73:H86),3)&lt;&gt;ROUND(SUM(I87:N87),3),#VALUE!,SUM(H73:H86))</f>
        <v>-149330000</v>
      </c>
      <c r="I87" s="4">
        <f t="shared" ref="I87:N87" si="158">SUM(I73:I86)</f>
        <v>-119835896.02179413</v>
      </c>
      <c r="J87" s="4">
        <f t="shared" si="158"/>
        <v>-20853411.567144681</v>
      </c>
      <c r="K87" s="4">
        <f t="shared" si="158"/>
        <v>0</v>
      </c>
      <c r="L87" s="4">
        <f t="shared" si="158"/>
        <v>-274794.81531382952</v>
      </c>
      <c r="M87" s="4">
        <f t="shared" si="158"/>
        <v>-8365897.5957473498</v>
      </c>
      <c r="N87" s="4">
        <f t="shared" si="158"/>
        <v>0</v>
      </c>
      <c r="O87" s="5"/>
      <c r="P87" s="61" t="str">
        <f>$A73&amp;":"&amp;A86</f>
        <v>73:86</v>
      </c>
      <c r="Q87" s="61"/>
      <c r="R87" s="13">
        <f t="shared" ref="R87:AH87" si="159">SUMPRODUCT($E74:$E86,R$74:R$86)/$E87</f>
        <v>0.170606306231463</v>
      </c>
      <c r="S87" s="13">
        <f t="shared" si="159"/>
        <v>0</v>
      </c>
      <c r="T87" s="13">
        <f t="shared" si="159"/>
        <v>0</v>
      </c>
      <c r="U87" s="13">
        <f t="shared" si="159"/>
        <v>0</v>
      </c>
      <c r="V87" s="13">
        <f t="shared" si="159"/>
        <v>0</v>
      </c>
      <c r="W87" s="13">
        <f t="shared" si="159"/>
        <v>0.31455982846600367</v>
      </c>
      <c r="X87" s="13">
        <f t="shared" si="159"/>
        <v>0</v>
      </c>
      <c r="Y87" s="13">
        <f t="shared" si="159"/>
        <v>0</v>
      </c>
      <c r="Z87" s="13">
        <f t="shared" si="159"/>
        <v>0</v>
      </c>
      <c r="AA87" s="13">
        <f t="shared" si="159"/>
        <v>0</v>
      </c>
      <c r="AB87" s="13">
        <f t="shared" si="159"/>
        <v>0</v>
      </c>
      <c r="AC87" s="13">
        <f t="shared" si="159"/>
        <v>0.41466394236700171</v>
      </c>
      <c r="AD87" s="13">
        <f t="shared" si="159"/>
        <v>9.2458308340473402E-2</v>
      </c>
      <c r="AE87" s="13">
        <f t="shared" si="159"/>
        <v>0</v>
      </c>
      <c r="AF87" s="13">
        <f t="shared" si="159"/>
        <v>7.7116145950581255E-3</v>
      </c>
      <c r="AG87" s="13">
        <f t="shared" si="159"/>
        <v>0</v>
      </c>
      <c r="AH87" s="13">
        <f t="shared" si="159"/>
        <v>0</v>
      </c>
      <c r="AI87" s="76">
        <f t="shared" si="132"/>
        <v>0</v>
      </c>
      <c r="AK87" s="4">
        <f>IF(ROUND(SUM(AK73:AK86),3)&lt;&gt;ROUND(SUM(AL87:AO87),3),#VALUE!,SUM(AK73:AK86))</f>
        <v>-149330000</v>
      </c>
      <c r="AL87" s="4">
        <f>SUM(AL73:AL86)</f>
        <v>-25476639.709544368</v>
      </c>
      <c r="AM87" s="4">
        <f>SUM(AM73:AM86)</f>
        <v>-46973219.184828326</v>
      </c>
      <c r="AN87" s="4">
        <f>SUM(AN73:AN86)</f>
        <v>-76880141.105627298</v>
      </c>
      <c r="AO87" s="4">
        <f>SUM(AO73:AO86)</f>
        <v>0</v>
      </c>
      <c r="AP87" s="5"/>
      <c r="AQ87" s="61" t="str">
        <f>$A73&amp;":"&amp;$A86</f>
        <v>73:86</v>
      </c>
      <c r="AS87" s="4">
        <f>IF(ROUND(SUM(AS73:AS86),3)&lt;&gt;ROUND(SUM(AT87:AY87),3),#VALUE!,SUM(AS73:AS86))</f>
        <v>-25476639.709544368</v>
      </c>
      <c r="AT87" s="4">
        <f t="shared" ref="AT87:AY87" si="160">SUM(AT73:AT86)</f>
        <v>-14764893.824565379</v>
      </c>
      <c r="AU87" s="4">
        <f t="shared" si="160"/>
        <v>-6615608.0224387208</v>
      </c>
      <c r="AV87" s="4">
        <f t="shared" si="160"/>
        <v>0</v>
      </c>
      <c r="AW87" s="4">
        <f t="shared" si="160"/>
        <v>-106601.66245299704</v>
      </c>
      <c r="AX87" s="4">
        <f t="shared" si="160"/>
        <v>-3989536.200087273</v>
      </c>
      <c r="AY87" s="4">
        <f t="shared" si="160"/>
        <v>0</v>
      </c>
      <c r="BA87" s="4">
        <f>IF(ROUND(SUM(BA73:BA86),3)&lt;&gt;ROUND(SUM(BB87:BG87),3),#VALUE!,SUM(BA73:BA86))</f>
        <v>-46973219.184828326</v>
      </c>
      <c r="BB87" s="4">
        <f t="shared" ref="BB87:BG87" si="161">SUM(BB73:BB86)</f>
        <v>-32073700.456399139</v>
      </c>
      <c r="BC87" s="4">
        <f t="shared" si="161"/>
        <v>-10856139.283289673</v>
      </c>
      <c r="BD87" s="4">
        <f t="shared" si="161"/>
        <v>0</v>
      </c>
      <c r="BE87" s="4">
        <f t="shared" si="161"/>
        <v>-136383.32239622148</v>
      </c>
      <c r="BF87" s="4">
        <f t="shared" si="161"/>
        <v>-3906996.122743295</v>
      </c>
      <c r="BG87" s="4">
        <f t="shared" si="161"/>
        <v>0</v>
      </c>
      <c r="BI87" s="4">
        <f>IF(ROUND(SUM(BI73:BI86),3)&lt;&gt;ROUND(SUM(BJ87:BO87),3),#VALUE!,SUM(BI73:BI86))</f>
        <v>-76880141.105627298</v>
      </c>
      <c r="BJ87" s="4">
        <f t="shared" ref="BJ87:BO87" si="162">SUM(BJ73:BJ86)</f>
        <v>-72997301.740829617</v>
      </c>
      <c r="BK87" s="4">
        <f t="shared" si="162"/>
        <v>-3381664.2614162895</v>
      </c>
      <c r="BL87" s="4">
        <f t="shared" si="162"/>
        <v>0</v>
      </c>
      <c r="BM87" s="4">
        <f t="shared" si="162"/>
        <v>-31809.830464611034</v>
      </c>
      <c r="BN87" s="4">
        <f t="shared" si="162"/>
        <v>-469365.2729167816</v>
      </c>
      <c r="BO87" s="4">
        <f t="shared" si="162"/>
        <v>0</v>
      </c>
    </row>
    <row r="88" spans="1:67">
      <c r="B88" s="51"/>
      <c r="D88" s="52"/>
      <c r="E88" s="5"/>
      <c r="F88" s="60"/>
      <c r="G88" s="60"/>
      <c r="H88" s="5"/>
      <c r="I88" s="5"/>
      <c r="J88" s="5"/>
      <c r="K88" s="5"/>
      <c r="L88" s="5"/>
      <c r="M88" s="5"/>
      <c r="N88" s="5"/>
      <c r="O88" s="5"/>
      <c r="P88" s="61"/>
      <c r="Q88" s="61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76"/>
      <c r="AK88" s="5"/>
      <c r="AL88" s="5"/>
      <c r="AM88" s="5"/>
      <c r="AN88" s="5"/>
      <c r="AO88" s="5"/>
      <c r="AP88" s="5"/>
      <c r="AQ88" s="61"/>
      <c r="AS88" s="5"/>
      <c r="AT88" s="5"/>
      <c r="AU88" s="5"/>
      <c r="AV88" s="5"/>
      <c r="AW88" s="5"/>
      <c r="AX88" s="5"/>
      <c r="AY88" s="5"/>
      <c r="BA88" s="5"/>
      <c r="BB88" s="5"/>
      <c r="BC88" s="5"/>
      <c r="BD88" s="5"/>
      <c r="BE88" s="5"/>
      <c r="BF88" s="5"/>
      <c r="BG88" s="5"/>
      <c r="BI88" s="5"/>
      <c r="BJ88" s="5"/>
      <c r="BK88" s="5"/>
      <c r="BL88" s="5"/>
      <c r="BM88" s="5"/>
      <c r="BN88" s="5"/>
      <c r="BO88" s="5"/>
    </row>
    <row r="89" spans="1:67">
      <c r="A89" s="50">
        <f>RowHdr</f>
        <v>89</v>
      </c>
      <c r="B89" s="51"/>
      <c r="D89" t="s">
        <v>403</v>
      </c>
      <c r="E89" s="2">
        <f>E71+E87</f>
        <v>-161068000</v>
      </c>
      <c r="F89" s="60" t="str">
        <f>"("&amp;A$24&amp;"+"&amp;A$41&amp;")"</f>
        <v>(24+41)</v>
      </c>
      <c r="G89" s="60" t="s">
        <v>404</v>
      </c>
      <c r="H89" s="2">
        <f t="shared" ref="H89:M89" si="163">H71+H87</f>
        <v>-161068000</v>
      </c>
      <c r="I89" s="2">
        <f t="shared" si="163"/>
        <v>-128380049.79369506</v>
      </c>
      <c r="J89" s="2">
        <f t="shared" si="163"/>
        <v>-23839460.279690146</v>
      </c>
      <c r="K89" s="2">
        <f t="shared" si="163"/>
        <v>0</v>
      </c>
      <c r="L89" s="2">
        <f t="shared" si="163"/>
        <v>-318049.28873014782</v>
      </c>
      <c r="M89" s="2">
        <f t="shared" si="163"/>
        <v>-8530440.6378846373</v>
      </c>
      <c r="N89" s="2">
        <f>N70+N87</f>
        <v>0</v>
      </c>
      <c r="O89" s="2"/>
      <c r="P89" s="61"/>
      <c r="Q89" s="61"/>
      <c r="R89" s="14">
        <f>($E71*R71+$E87*R87)/$E89</f>
        <v>0.15817319212720321</v>
      </c>
      <c r="S89" s="14">
        <f>($E71*S71+$E87*S87)/$E89</f>
        <v>0</v>
      </c>
      <c r="T89" s="14">
        <f>($E71*T71+$E87*T87)/$E89</f>
        <v>9.473886805572802E-3</v>
      </c>
      <c r="U89" s="14">
        <f t="shared" ref="U89:AH89" si="164">($E71*U71+$E87*U87)/$E89</f>
        <v>6.3402165544987205E-2</v>
      </c>
      <c r="V89" s="14">
        <f t="shared" si="164"/>
        <v>0</v>
      </c>
      <c r="W89" s="14">
        <f>($E71*W71+$E87*W87)/$E89</f>
        <v>0.29163594993933201</v>
      </c>
      <c r="X89" s="14">
        <f t="shared" si="164"/>
        <v>0</v>
      </c>
      <c r="Y89" s="14">
        <f t="shared" si="164"/>
        <v>0</v>
      </c>
      <c r="Z89" s="14">
        <f t="shared" si="164"/>
        <v>0</v>
      </c>
      <c r="AA89" s="14">
        <f t="shared" si="164"/>
        <v>0</v>
      </c>
      <c r="AB89" s="14">
        <f t="shared" si="164"/>
        <v>0</v>
      </c>
      <c r="AC89" s="14">
        <f t="shared" si="164"/>
        <v>0.38444487119517451</v>
      </c>
      <c r="AD89" s="14">
        <f t="shared" si="164"/>
        <v>8.5720311821608844E-2</v>
      </c>
      <c r="AE89" s="14">
        <f t="shared" si="164"/>
        <v>0</v>
      </c>
      <c r="AF89" s="14">
        <f t="shared" si="164"/>
        <v>7.1496225661213265E-3</v>
      </c>
      <c r="AG89" s="14">
        <f t="shared" si="164"/>
        <v>0</v>
      </c>
      <c r="AH89" s="14">
        <f t="shared" si="164"/>
        <v>0</v>
      </c>
      <c r="AI89" s="76">
        <f t="shared" ref="AI89:AI114" si="165">IF(SUM(R89:AH89)&lt;&gt;0,(ROUND(SUM(R89:AH89),8)&lt;&gt;1)+0,0)</f>
        <v>0</v>
      </c>
      <c r="AP89" s="2"/>
      <c r="AQ89" s="61"/>
      <c r="AS89" s="2"/>
      <c r="AT89" s="2"/>
      <c r="AU89" s="2"/>
      <c r="AV89" s="2"/>
      <c r="AW89" s="2"/>
      <c r="AX89" s="2"/>
      <c r="AY89" s="2"/>
      <c r="BA89" s="2"/>
      <c r="BB89" s="2"/>
      <c r="BC89" s="2"/>
      <c r="BD89" s="2"/>
      <c r="BE89" s="2"/>
      <c r="BF89" s="2"/>
      <c r="BG89" s="2"/>
      <c r="BI89" s="2"/>
      <c r="BJ89" s="2"/>
      <c r="BK89" s="2"/>
      <c r="BL89" s="2"/>
      <c r="BM89" s="2"/>
      <c r="BN89" s="2"/>
      <c r="BO89" s="2"/>
    </row>
    <row r="90" spans="1:67">
      <c r="A90" s="50">
        <f t="shared" si="122"/>
        <v>90</v>
      </c>
      <c r="B90" s="51"/>
      <c r="E90" s="2"/>
      <c r="F90" s="60"/>
      <c r="G90" s="60"/>
      <c r="P90" s="61"/>
      <c r="Q90" s="61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76">
        <f t="shared" si="165"/>
        <v>0</v>
      </c>
      <c r="AQ90" s="61"/>
    </row>
    <row r="91" spans="1:67">
      <c r="A91" s="50">
        <f t="shared" si="122"/>
        <v>91</v>
      </c>
      <c r="B91" s="51"/>
      <c r="D91" t="s">
        <v>106</v>
      </c>
      <c r="E91" s="2"/>
      <c r="F91" s="60"/>
      <c r="G91" s="60"/>
      <c r="P91" s="61"/>
      <c r="Q91" s="61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76">
        <f t="shared" si="165"/>
        <v>0</v>
      </c>
      <c r="AQ91" s="61"/>
    </row>
    <row r="92" spans="1:67">
      <c r="A92" s="50">
        <f t="shared" si="122"/>
        <v>92</v>
      </c>
      <c r="B92" s="51">
        <v>389</v>
      </c>
      <c r="C92" s="36" t="s">
        <v>152</v>
      </c>
      <c r="D92" s="28" t="s">
        <v>253</v>
      </c>
      <c r="E92" s="432">
        <f>PROFORMA!AV336</f>
        <v>-28000</v>
      </c>
      <c r="F92" s="60" t="str">
        <f>"as 389 Plant ("&amp;A$46&amp;")"</f>
        <v>as 389 Plant (46)</v>
      </c>
      <c r="G92" s="60"/>
      <c r="H92" s="2">
        <f t="shared" ref="H92:H101" si="166">SUM(I92:N92)</f>
        <v>-28000.000000000004</v>
      </c>
      <c r="I92" s="2">
        <f t="shared" ref="I92:N101" si="167">$E92*SUMPRODUCT($R92:$AH92,INDEX(AllocFactors,I$4,0))</f>
        <v>-24506.293485780261</v>
      </c>
      <c r="J92" s="2">
        <f t="shared" si="167"/>
        <v>-2654.4164549577513</v>
      </c>
      <c r="K92" s="2">
        <f t="shared" si="167"/>
        <v>0</v>
      </c>
      <c r="L92" s="2">
        <f t="shared" si="167"/>
        <v>-32.865516720156513</v>
      </c>
      <c r="M92" s="2">
        <f t="shared" si="167"/>
        <v>-806.42454254183497</v>
      </c>
      <c r="N92" s="2">
        <f t="shared" si="167"/>
        <v>0</v>
      </c>
      <c r="O92" s="2"/>
      <c r="P92" s="61" t="s">
        <v>1160</v>
      </c>
      <c r="Q92" s="61"/>
      <c r="R92" s="14">
        <f t="shared" ref="R92:R101" si="168">(R$116*0.25)+(R$253*0.25)+(BS$252*0.25)</f>
        <v>8.8133437743971782E-2</v>
      </c>
      <c r="S92" s="14">
        <f t="shared" ref="S92:S101" si="169">(S$116*0.25)+(S$253*0.25)+(BT$252*0.25)</f>
        <v>1.48122630432825E-2</v>
      </c>
      <c r="T92" s="14">
        <f t="shared" ref="T92:AH101" si="170">(T$116*0.25)+(T$253*0.25)+(BU$252*0.25)</f>
        <v>6.2152272453224224E-3</v>
      </c>
      <c r="U92" s="14">
        <f t="shared" si="170"/>
        <v>4.15942131033116E-2</v>
      </c>
      <c r="V92" s="14">
        <f t="shared" si="170"/>
        <v>0</v>
      </c>
      <c r="W92" s="14">
        <f t="shared" si="170"/>
        <v>0.15413680450310352</v>
      </c>
      <c r="X92" s="14">
        <f t="shared" si="170"/>
        <v>0</v>
      </c>
      <c r="Y92" s="14">
        <f t="shared" si="170"/>
        <v>0</v>
      </c>
      <c r="Z92" s="14">
        <f t="shared" si="170"/>
        <v>0</v>
      </c>
      <c r="AA92" s="14">
        <f t="shared" si="170"/>
        <v>0</v>
      </c>
      <c r="AB92" s="14">
        <f>(AB$116*0.25)+(AB$253*0.25)+(CC$252*0.25)+0.25</f>
        <v>0.45505508837908676</v>
      </c>
      <c r="AC92" s="14">
        <f t="shared" si="170"/>
        <v>0.16681683403029823</v>
      </c>
      <c r="AD92" s="14">
        <f t="shared" si="170"/>
        <v>7.1278348815059178E-2</v>
      </c>
      <c r="AE92" s="14">
        <f t="shared" si="170"/>
        <v>0</v>
      </c>
      <c r="AF92" s="14">
        <f t="shared" si="170"/>
        <v>1.9577831365640468E-3</v>
      </c>
      <c r="AG92" s="14">
        <f t="shared" si="170"/>
        <v>0</v>
      </c>
      <c r="AH92" s="14">
        <f t="shared" si="170"/>
        <v>0</v>
      </c>
      <c r="AI92" s="76">
        <f t="shared" si="165"/>
        <v>0</v>
      </c>
      <c r="AK92" s="2">
        <f t="shared" ref="AK92:AK101" si="171">SUM(AL92:AO92)</f>
        <v>-28000</v>
      </c>
      <c r="AL92" s="2">
        <f t="shared" ref="AL92:AO101" si="172">SUMIF($R$4:$AH$4,AL$5,$R92:$AH92)*$E92</f>
        <v>-4221.1439518048719</v>
      </c>
      <c r="AM92" s="2">
        <f t="shared" si="172"/>
        <v>-4315.8305260868983</v>
      </c>
      <c r="AN92" s="2">
        <f t="shared" si="172"/>
        <v>-19463.02552210823</v>
      </c>
      <c r="AO92" s="2">
        <f t="shared" si="172"/>
        <v>0</v>
      </c>
      <c r="AP92" s="2"/>
      <c r="AQ92" s="61" t="str">
        <f>E$1&amp;$A92&amp;"*["&amp;R$1&amp;$A92&amp;":"&amp;$AH$1&amp;$A92&amp;" when "&amp;R$1&amp;$A$4&amp;":"&amp;$AH$1&amp;$A$4&amp;" = E,D,C,or R]"</f>
        <v>E92*[R92:AH92 when R4:AH4 = E,D,C,or R]</v>
      </c>
      <c r="AS92" s="2">
        <f t="shared" ref="AS92:AS101" si="173">SUM(AT92:AY92)</f>
        <v>-4221.1439518048728</v>
      </c>
      <c r="AT92" s="2">
        <f t="shared" ref="AT92:AY101" si="174">$E92*SUMPRODUCT($R92:$V92,INDEX(AllocFactors_E,AT$4,0))</f>
        <v>-2689.5800773097153</v>
      </c>
      <c r="AU92" s="2">
        <f t="shared" si="174"/>
        <v>-1109.0449154442908</v>
      </c>
      <c r="AV92" s="2">
        <f t="shared" si="174"/>
        <v>0</v>
      </c>
      <c r="AW92" s="2">
        <f t="shared" si="174"/>
        <v>-17.316318851966184</v>
      </c>
      <c r="AX92" s="2">
        <f t="shared" si="174"/>
        <v>-405.20264019890055</v>
      </c>
      <c r="AY92" s="2">
        <f t="shared" si="174"/>
        <v>0</v>
      </c>
      <c r="BA92" s="2">
        <f t="shared" ref="BA92:BA101" si="175">SUM(BB92:BG92)</f>
        <v>-4315.8305260868983</v>
      </c>
      <c r="BB92" s="2">
        <f t="shared" ref="BB92:BG101" si="176">$E92*SUMPRODUCT($W92:$AA92,INDEX(AllocFactors_D,BB$4,0))</f>
        <v>-2946.8845848019687</v>
      </c>
      <c r="BC92" s="2">
        <f t="shared" si="176"/>
        <v>-997.44616458830296</v>
      </c>
      <c r="BD92" s="2">
        <f t="shared" si="176"/>
        <v>0</v>
      </c>
      <c r="BE92" s="2">
        <f t="shared" si="176"/>
        <v>-12.530699753209062</v>
      </c>
      <c r="BF92" s="2">
        <f t="shared" si="176"/>
        <v>-358.96907694341769</v>
      </c>
      <c r="BG92" s="2">
        <f t="shared" si="176"/>
        <v>0</v>
      </c>
      <c r="BI92" s="2">
        <f t="shared" ref="BI92:BI101" si="177">SUM(BJ92:BO92)</f>
        <v>-19463.02552210823</v>
      </c>
      <c r="BJ92" s="2">
        <f t="shared" ref="BJ92:BO101" si="178">$E92*SUMPRODUCT($AB92:$AG92,INDEX(AllocFactors_C,BJ$4,0))</f>
        <v>-18869.828823668577</v>
      </c>
      <c r="BK92" s="2">
        <f t="shared" si="178"/>
        <v>-547.92537492515737</v>
      </c>
      <c r="BL92" s="2">
        <f t="shared" si="178"/>
        <v>0</v>
      </c>
      <c r="BM92" s="2">
        <f t="shared" si="178"/>
        <v>-3.0184981149812691</v>
      </c>
      <c r="BN92" s="2">
        <f t="shared" si="178"/>
        <v>-42.252825399516659</v>
      </c>
      <c r="BO92" s="2">
        <f t="shared" si="178"/>
        <v>0</v>
      </c>
    </row>
    <row r="93" spans="1:67">
      <c r="A93" s="50">
        <f t="shared" si="122"/>
        <v>93</v>
      </c>
      <c r="B93" s="51">
        <v>390</v>
      </c>
      <c r="C93" s="36" t="s">
        <v>152</v>
      </c>
      <c r="D93" s="28" t="s">
        <v>254</v>
      </c>
      <c r="E93" s="432">
        <f>PROFORMA!AV337</f>
        <v>-2397000</v>
      </c>
      <c r="F93" s="60" t="str">
        <f>"as 390 Plant ("&amp;A$47&amp;")"</f>
        <v>as 390 Plant (47)</v>
      </c>
      <c r="G93" s="60"/>
      <c r="H93" s="2">
        <f t="shared" si="166"/>
        <v>-2397000</v>
      </c>
      <c r="I93" s="2">
        <f t="shared" si="167"/>
        <v>-2097913.7673362601</v>
      </c>
      <c r="J93" s="2">
        <f t="shared" si="167"/>
        <v>-227237.00866191892</v>
      </c>
      <c r="K93" s="2">
        <f t="shared" si="167"/>
        <v>0</v>
      </c>
      <c r="L93" s="2">
        <f t="shared" si="167"/>
        <v>-2813.5229849362554</v>
      </c>
      <c r="M93" s="2">
        <f t="shared" si="167"/>
        <v>-69035.701016884937</v>
      </c>
      <c r="N93" s="2">
        <f t="shared" si="167"/>
        <v>0</v>
      </c>
      <c r="O93" s="2"/>
      <c r="P93" s="61" t="s">
        <v>1160</v>
      </c>
      <c r="Q93" s="61"/>
      <c r="R93" s="14">
        <f t="shared" si="168"/>
        <v>8.8133437743971782E-2</v>
      </c>
      <c r="S93" s="14">
        <f t="shared" si="169"/>
        <v>1.48122630432825E-2</v>
      </c>
      <c r="T93" s="14">
        <f t="shared" si="170"/>
        <v>6.2152272453224224E-3</v>
      </c>
      <c r="U93" s="14">
        <f t="shared" si="170"/>
        <v>4.15942131033116E-2</v>
      </c>
      <c r="V93" s="14">
        <f t="shared" si="170"/>
        <v>0</v>
      </c>
      <c r="W93" s="14">
        <f t="shared" si="170"/>
        <v>0.15413680450310352</v>
      </c>
      <c r="X93" s="14">
        <f t="shared" si="170"/>
        <v>0</v>
      </c>
      <c r="Y93" s="14">
        <f t="shared" si="170"/>
        <v>0</v>
      </c>
      <c r="Z93" s="14">
        <f t="shared" si="170"/>
        <v>0</v>
      </c>
      <c r="AA93" s="14">
        <f t="shared" si="170"/>
        <v>0</v>
      </c>
      <c r="AB93" s="14">
        <f t="shared" ref="AB93:AB101" si="179">(AB$116*0.25)+(AB$253*0.25)+(CC$252*0.25)+0.25</f>
        <v>0.45505508837908676</v>
      </c>
      <c r="AC93" s="14">
        <f t="shared" si="170"/>
        <v>0.16681683403029823</v>
      </c>
      <c r="AD93" s="14">
        <f t="shared" si="170"/>
        <v>7.1278348815059178E-2</v>
      </c>
      <c r="AE93" s="14">
        <f t="shared" si="170"/>
        <v>0</v>
      </c>
      <c r="AF93" s="14">
        <f t="shared" si="170"/>
        <v>1.9577831365640468E-3</v>
      </c>
      <c r="AG93" s="14">
        <f t="shared" si="170"/>
        <v>0</v>
      </c>
      <c r="AH93" s="14">
        <f t="shared" si="170"/>
        <v>0</v>
      </c>
      <c r="AI93" s="76">
        <f t="shared" si="165"/>
        <v>0</v>
      </c>
      <c r="AK93" s="2">
        <f t="shared" si="171"/>
        <v>-2397000</v>
      </c>
      <c r="AL93" s="2">
        <f t="shared" si="172"/>
        <v>-361360.07330272422</v>
      </c>
      <c r="AM93" s="2">
        <f t="shared" si="172"/>
        <v>-369465.92039393913</v>
      </c>
      <c r="AN93" s="2">
        <f t="shared" si="172"/>
        <v>-1666174.0063033367</v>
      </c>
      <c r="AO93" s="2">
        <f t="shared" si="172"/>
        <v>0</v>
      </c>
      <c r="AP93" s="2"/>
      <c r="AQ93" s="61" t="str">
        <f t="shared" ref="AQ93:AQ101" si="180">E$1&amp;$A93&amp;"*      """</f>
        <v>E93*      "</v>
      </c>
      <c r="AS93" s="2">
        <f t="shared" si="173"/>
        <v>-361360.07330272428</v>
      </c>
      <c r="AT93" s="2">
        <f t="shared" si="174"/>
        <v>-230247.26590397811</v>
      </c>
      <c r="AU93" s="2">
        <f t="shared" si="174"/>
        <v>-94942.16651142732</v>
      </c>
      <c r="AV93" s="2">
        <f t="shared" si="174"/>
        <v>0</v>
      </c>
      <c r="AW93" s="2">
        <f t="shared" si="174"/>
        <v>-1482.400581720105</v>
      </c>
      <c r="AX93" s="2">
        <f t="shared" si="174"/>
        <v>-34688.240305598738</v>
      </c>
      <c r="AY93" s="2">
        <f t="shared" si="174"/>
        <v>0</v>
      </c>
      <c r="BA93" s="2">
        <f t="shared" si="175"/>
        <v>-369465.92039393913</v>
      </c>
      <c r="BB93" s="2">
        <f t="shared" si="176"/>
        <v>-252274.36963465426</v>
      </c>
      <c r="BC93" s="2">
        <f t="shared" si="176"/>
        <v>-85388.516304220087</v>
      </c>
      <c r="BD93" s="2">
        <f t="shared" si="176"/>
        <v>0</v>
      </c>
      <c r="BE93" s="2">
        <f t="shared" si="176"/>
        <v>-1072.7174038729329</v>
      </c>
      <c r="BF93" s="2">
        <f t="shared" si="176"/>
        <v>-30730.317051191862</v>
      </c>
      <c r="BG93" s="2">
        <f t="shared" si="176"/>
        <v>0</v>
      </c>
      <c r="BI93" s="2">
        <f t="shared" si="177"/>
        <v>-1666174.0063033369</v>
      </c>
      <c r="BJ93" s="2">
        <f t="shared" si="178"/>
        <v>-1615392.1317976278</v>
      </c>
      <c r="BK93" s="2">
        <f t="shared" si="178"/>
        <v>-46906.325846271509</v>
      </c>
      <c r="BL93" s="2">
        <f t="shared" si="178"/>
        <v>0</v>
      </c>
      <c r="BM93" s="2">
        <f t="shared" si="178"/>
        <v>-258.40499934321792</v>
      </c>
      <c r="BN93" s="2">
        <f t="shared" si="178"/>
        <v>-3617.1436600943371</v>
      </c>
      <c r="BO93" s="2">
        <f t="shared" si="178"/>
        <v>0</v>
      </c>
    </row>
    <row r="94" spans="1:67">
      <c r="A94" s="50">
        <f t="shared" si="122"/>
        <v>94</v>
      </c>
      <c r="B94" s="51">
        <v>391</v>
      </c>
      <c r="C94" s="36" t="s">
        <v>152</v>
      </c>
      <c r="D94" s="28" t="s">
        <v>270</v>
      </c>
      <c r="E94" s="432">
        <f>PROFORMA!AV338</f>
        <v>-5850000</v>
      </c>
      <c r="F94" s="60" t="str">
        <f>"as 391 Plant ("&amp;A$48&amp;")"</f>
        <v>as 391 Plant (48)</v>
      </c>
      <c r="G94" s="60"/>
      <c r="H94" s="2">
        <f t="shared" si="166"/>
        <v>-5850000.0000000009</v>
      </c>
      <c r="I94" s="2">
        <f t="shared" si="167"/>
        <v>-5120064.8889933759</v>
      </c>
      <c r="J94" s="2">
        <f t="shared" si="167"/>
        <v>-554583.43791081593</v>
      </c>
      <c r="K94" s="2">
        <f t="shared" si="167"/>
        <v>0</v>
      </c>
      <c r="L94" s="2">
        <f t="shared" si="167"/>
        <v>-6866.5454576041284</v>
      </c>
      <c r="M94" s="2">
        <f t="shared" si="167"/>
        <v>-168485.12763820481</v>
      </c>
      <c r="N94" s="2">
        <f t="shared" si="167"/>
        <v>0</v>
      </c>
      <c r="O94" s="2"/>
      <c r="P94" s="61" t="s">
        <v>1160</v>
      </c>
      <c r="Q94" s="61"/>
      <c r="R94" s="14">
        <f t="shared" si="168"/>
        <v>8.8133437743971782E-2</v>
      </c>
      <c r="S94" s="14">
        <f t="shared" si="169"/>
        <v>1.48122630432825E-2</v>
      </c>
      <c r="T94" s="14">
        <f t="shared" si="170"/>
        <v>6.2152272453224224E-3</v>
      </c>
      <c r="U94" s="14">
        <f t="shared" si="170"/>
        <v>4.15942131033116E-2</v>
      </c>
      <c r="V94" s="14">
        <f t="shared" si="170"/>
        <v>0</v>
      </c>
      <c r="W94" s="14">
        <f t="shared" si="170"/>
        <v>0.15413680450310352</v>
      </c>
      <c r="X94" s="14">
        <f t="shared" si="170"/>
        <v>0</v>
      </c>
      <c r="Y94" s="14">
        <f t="shared" si="170"/>
        <v>0</v>
      </c>
      <c r="Z94" s="14">
        <f t="shared" si="170"/>
        <v>0</v>
      </c>
      <c r="AA94" s="14">
        <f t="shared" si="170"/>
        <v>0</v>
      </c>
      <c r="AB94" s="14">
        <f t="shared" si="179"/>
        <v>0.45505508837908676</v>
      </c>
      <c r="AC94" s="14">
        <f t="shared" si="170"/>
        <v>0.16681683403029823</v>
      </c>
      <c r="AD94" s="14">
        <f t="shared" si="170"/>
        <v>7.1278348815059178E-2</v>
      </c>
      <c r="AE94" s="14">
        <f t="shared" si="170"/>
        <v>0</v>
      </c>
      <c r="AF94" s="14">
        <f t="shared" si="170"/>
        <v>1.9577831365640468E-3</v>
      </c>
      <c r="AG94" s="14">
        <f t="shared" si="170"/>
        <v>0</v>
      </c>
      <c r="AH94" s="14">
        <f t="shared" si="170"/>
        <v>0</v>
      </c>
      <c r="AI94" s="76">
        <f t="shared" si="165"/>
        <v>0</v>
      </c>
      <c r="AK94" s="2">
        <f t="shared" si="171"/>
        <v>-5850000</v>
      </c>
      <c r="AL94" s="2">
        <f t="shared" si="172"/>
        <v>-881917.57564494642</v>
      </c>
      <c r="AM94" s="2">
        <f t="shared" si="172"/>
        <v>-901700.30634315556</v>
      </c>
      <c r="AN94" s="2">
        <f t="shared" si="172"/>
        <v>-4066382.1180118979</v>
      </c>
      <c r="AO94" s="2">
        <f t="shared" si="172"/>
        <v>0</v>
      </c>
      <c r="AP94" s="2"/>
      <c r="AQ94" s="61" t="str">
        <f t="shared" si="180"/>
        <v>E94*      "</v>
      </c>
      <c r="AS94" s="2">
        <f t="shared" si="173"/>
        <v>-881917.57564494666</v>
      </c>
      <c r="AT94" s="2">
        <f t="shared" si="174"/>
        <v>-561930.12329506548</v>
      </c>
      <c r="AU94" s="2">
        <f t="shared" si="174"/>
        <v>-231711.16983389648</v>
      </c>
      <c r="AV94" s="2">
        <f t="shared" si="174"/>
        <v>0</v>
      </c>
      <c r="AW94" s="2">
        <f t="shared" si="174"/>
        <v>-3617.8737601429348</v>
      </c>
      <c r="AX94" s="2">
        <f t="shared" si="174"/>
        <v>-84658.408755841723</v>
      </c>
      <c r="AY94" s="2">
        <f t="shared" si="174"/>
        <v>0</v>
      </c>
      <c r="BA94" s="2">
        <f t="shared" si="175"/>
        <v>-901700.30634315556</v>
      </c>
      <c r="BB94" s="2">
        <f t="shared" si="176"/>
        <v>-615688.38646755414</v>
      </c>
      <c r="BC94" s="2">
        <f t="shared" si="176"/>
        <v>-208395.00224434189</v>
      </c>
      <c r="BD94" s="2">
        <f t="shared" si="176"/>
        <v>0</v>
      </c>
      <c r="BE94" s="2">
        <f t="shared" si="176"/>
        <v>-2618.0211984383218</v>
      </c>
      <c r="BF94" s="2">
        <f t="shared" si="176"/>
        <v>-74998.896432821188</v>
      </c>
      <c r="BG94" s="2">
        <f t="shared" si="176"/>
        <v>0</v>
      </c>
      <c r="BI94" s="2">
        <f t="shared" si="177"/>
        <v>-4066382.1180118979</v>
      </c>
      <c r="BJ94" s="2">
        <f t="shared" si="178"/>
        <v>-3942446.3792307558</v>
      </c>
      <c r="BK94" s="2">
        <f t="shared" si="178"/>
        <v>-114477.26583257753</v>
      </c>
      <c r="BL94" s="2">
        <f t="shared" si="178"/>
        <v>0</v>
      </c>
      <c r="BM94" s="2">
        <f t="shared" si="178"/>
        <v>-630.65049902287228</v>
      </c>
      <c r="BN94" s="2">
        <f t="shared" si="178"/>
        <v>-8827.8224495418726</v>
      </c>
      <c r="BO94" s="2">
        <f t="shared" si="178"/>
        <v>0</v>
      </c>
    </row>
    <row r="95" spans="1:67">
      <c r="A95" s="50">
        <f t="shared" si="122"/>
        <v>95</v>
      </c>
      <c r="B95" s="51">
        <v>392</v>
      </c>
      <c r="C95" s="36" t="s">
        <v>152</v>
      </c>
      <c r="D95" s="28" t="s">
        <v>271</v>
      </c>
      <c r="E95" s="432">
        <f>PROFORMA!AV339</f>
        <v>-8254000</v>
      </c>
      <c r="F95" s="60" t="str">
        <f>"as 392 Plant ("&amp;A$49&amp;")"</f>
        <v>as 392 Plant (49)</v>
      </c>
      <c r="G95" s="60"/>
      <c r="H95" s="2">
        <f t="shared" si="166"/>
        <v>-8254000.0000000009</v>
      </c>
      <c r="I95" s="2">
        <f t="shared" si="167"/>
        <v>-7224105.2297010813</v>
      </c>
      <c r="J95" s="2">
        <f t="shared" si="167"/>
        <v>-782484.05068647431</v>
      </c>
      <c r="K95" s="2">
        <f t="shared" si="167"/>
        <v>0</v>
      </c>
      <c r="L95" s="2">
        <f t="shared" si="167"/>
        <v>-9688.2848217204228</v>
      </c>
      <c r="M95" s="2">
        <f t="shared" si="167"/>
        <v>-237722.43479072521</v>
      </c>
      <c r="N95" s="2">
        <f t="shared" si="167"/>
        <v>0</v>
      </c>
      <c r="O95" s="2"/>
      <c r="P95" s="61" t="s">
        <v>1160</v>
      </c>
      <c r="Q95" s="61"/>
      <c r="R95" s="14">
        <f t="shared" si="168"/>
        <v>8.8133437743971782E-2</v>
      </c>
      <c r="S95" s="14">
        <f t="shared" si="169"/>
        <v>1.48122630432825E-2</v>
      </c>
      <c r="T95" s="14">
        <f t="shared" si="170"/>
        <v>6.2152272453224224E-3</v>
      </c>
      <c r="U95" s="14">
        <f t="shared" si="170"/>
        <v>4.15942131033116E-2</v>
      </c>
      <c r="V95" s="14">
        <f t="shared" si="170"/>
        <v>0</v>
      </c>
      <c r="W95" s="14">
        <f t="shared" si="170"/>
        <v>0.15413680450310352</v>
      </c>
      <c r="X95" s="14">
        <f t="shared" si="170"/>
        <v>0</v>
      </c>
      <c r="Y95" s="14">
        <f t="shared" si="170"/>
        <v>0</v>
      </c>
      <c r="Z95" s="14">
        <f t="shared" si="170"/>
        <v>0</v>
      </c>
      <c r="AA95" s="14">
        <f t="shared" si="170"/>
        <v>0</v>
      </c>
      <c r="AB95" s="14">
        <f t="shared" si="179"/>
        <v>0.45505508837908676</v>
      </c>
      <c r="AC95" s="14">
        <f t="shared" si="170"/>
        <v>0.16681683403029823</v>
      </c>
      <c r="AD95" s="14">
        <f t="shared" si="170"/>
        <v>7.1278348815059178E-2</v>
      </c>
      <c r="AE95" s="14">
        <f t="shared" si="170"/>
        <v>0</v>
      </c>
      <c r="AF95" s="14">
        <f t="shared" si="170"/>
        <v>1.9577831365640468E-3</v>
      </c>
      <c r="AG95" s="14">
        <f t="shared" si="170"/>
        <v>0</v>
      </c>
      <c r="AH95" s="14">
        <f t="shared" si="170"/>
        <v>0</v>
      </c>
      <c r="AI95" s="76">
        <f t="shared" si="165"/>
        <v>0</v>
      </c>
      <c r="AK95" s="2">
        <f t="shared" si="171"/>
        <v>-8254000</v>
      </c>
      <c r="AL95" s="2">
        <f t="shared" si="172"/>
        <v>-1244332.9349356219</v>
      </c>
      <c r="AM95" s="2">
        <f t="shared" si="172"/>
        <v>-1272245.1843686164</v>
      </c>
      <c r="AN95" s="2">
        <f t="shared" si="172"/>
        <v>-5737421.8806957621</v>
      </c>
      <c r="AO95" s="2">
        <f t="shared" si="172"/>
        <v>0</v>
      </c>
      <c r="AP95" s="2"/>
      <c r="AQ95" s="61" t="str">
        <f t="shared" si="180"/>
        <v>E95*      "</v>
      </c>
      <c r="AS95" s="2">
        <f t="shared" si="173"/>
        <v>-1244332.9349356224</v>
      </c>
      <c r="AT95" s="2">
        <f t="shared" si="174"/>
        <v>-792849.78421837103</v>
      </c>
      <c r="AU95" s="2">
        <f t="shared" si="174"/>
        <v>-326930.59757418488</v>
      </c>
      <c r="AV95" s="2">
        <f t="shared" si="174"/>
        <v>0</v>
      </c>
      <c r="AW95" s="2">
        <f t="shared" si="174"/>
        <v>-5104.6034215760319</v>
      </c>
      <c r="AX95" s="2">
        <f t="shared" si="174"/>
        <v>-119447.94972149019</v>
      </c>
      <c r="AY95" s="2">
        <f t="shared" si="174"/>
        <v>0</v>
      </c>
      <c r="BA95" s="2">
        <f t="shared" si="175"/>
        <v>-1272245.1843686164</v>
      </c>
      <c r="BB95" s="2">
        <f t="shared" si="176"/>
        <v>-868699.47724840895</v>
      </c>
      <c r="BC95" s="2">
        <f t="shared" si="176"/>
        <v>-294032.88008970901</v>
      </c>
      <c r="BD95" s="2">
        <f t="shared" si="176"/>
        <v>0</v>
      </c>
      <c r="BE95" s="2">
        <f t="shared" si="176"/>
        <v>-3693.8712772495569</v>
      </c>
      <c r="BF95" s="2">
        <f t="shared" si="176"/>
        <v>-105818.95575324891</v>
      </c>
      <c r="BG95" s="2">
        <f t="shared" si="176"/>
        <v>0</v>
      </c>
      <c r="BI95" s="2">
        <f t="shared" si="177"/>
        <v>-5737421.8806957621</v>
      </c>
      <c r="BJ95" s="2">
        <f t="shared" si="178"/>
        <v>-5562555.9682343006</v>
      </c>
      <c r="BK95" s="2">
        <f t="shared" si="178"/>
        <v>-161520.57302258033</v>
      </c>
      <c r="BL95" s="2">
        <f t="shared" si="178"/>
        <v>0</v>
      </c>
      <c r="BM95" s="2">
        <f t="shared" si="178"/>
        <v>-889.81012289483544</v>
      </c>
      <c r="BN95" s="2">
        <f t="shared" si="178"/>
        <v>-12455.52931598609</v>
      </c>
      <c r="BO95" s="2">
        <f t="shared" si="178"/>
        <v>0</v>
      </c>
    </row>
    <row r="96" spans="1:67">
      <c r="A96" s="50">
        <f t="shared" si="122"/>
        <v>96</v>
      </c>
      <c r="B96" s="51">
        <v>393</v>
      </c>
      <c r="C96" s="36" t="s">
        <v>152</v>
      </c>
      <c r="D96" s="28" t="s">
        <v>272</v>
      </c>
      <c r="E96" s="432">
        <f>PROFORMA!AV340</f>
        <v>-269000</v>
      </c>
      <c r="F96" s="60" t="str">
        <f>"as 393 Plant ("&amp;A$50&amp;")"</f>
        <v>as 393 Plant (50)</v>
      </c>
      <c r="G96" s="60"/>
      <c r="H96" s="2">
        <f t="shared" si="166"/>
        <v>-269000</v>
      </c>
      <c r="I96" s="2">
        <f t="shared" si="167"/>
        <v>-235435.46241696036</v>
      </c>
      <c r="J96" s="2">
        <f t="shared" si="167"/>
        <v>-25501.358085129825</v>
      </c>
      <c r="K96" s="2">
        <f t="shared" si="167"/>
        <v>0</v>
      </c>
      <c r="L96" s="2">
        <f t="shared" si="167"/>
        <v>-315.74371420436074</v>
      </c>
      <c r="M96" s="2">
        <f t="shared" si="167"/>
        <v>-7747.4357837054858</v>
      </c>
      <c r="N96" s="2">
        <f t="shared" si="167"/>
        <v>0</v>
      </c>
      <c r="O96" s="2"/>
      <c r="P96" s="61" t="s">
        <v>1160</v>
      </c>
      <c r="Q96" s="61"/>
      <c r="R96" s="14">
        <f t="shared" si="168"/>
        <v>8.8133437743971782E-2</v>
      </c>
      <c r="S96" s="14">
        <f t="shared" si="169"/>
        <v>1.48122630432825E-2</v>
      </c>
      <c r="T96" s="14">
        <f t="shared" si="170"/>
        <v>6.2152272453224224E-3</v>
      </c>
      <c r="U96" s="14">
        <f t="shared" si="170"/>
        <v>4.15942131033116E-2</v>
      </c>
      <c r="V96" s="14">
        <f t="shared" si="170"/>
        <v>0</v>
      </c>
      <c r="W96" s="14">
        <f t="shared" si="170"/>
        <v>0.15413680450310352</v>
      </c>
      <c r="X96" s="14">
        <f t="shared" si="170"/>
        <v>0</v>
      </c>
      <c r="Y96" s="14">
        <f t="shared" si="170"/>
        <v>0</v>
      </c>
      <c r="Z96" s="14">
        <f t="shared" si="170"/>
        <v>0</v>
      </c>
      <c r="AA96" s="14">
        <f t="shared" si="170"/>
        <v>0</v>
      </c>
      <c r="AB96" s="14">
        <f t="shared" si="179"/>
        <v>0.45505508837908676</v>
      </c>
      <c r="AC96" s="14">
        <f t="shared" si="170"/>
        <v>0.16681683403029823</v>
      </c>
      <c r="AD96" s="14">
        <f t="shared" si="170"/>
        <v>7.1278348815059178E-2</v>
      </c>
      <c r="AE96" s="14">
        <f t="shared" si="170"/>
        <v>0</v>
      </c>
      <c r="AF96" s="14">
        <f t="shared" si="170"/>
        <v>1.9577831365640468E-3</v>
      </c>
      <c r="AG96" s="14">
        <f t="shared" si="170"/>
        <v>0</v>
      </c>
      <c r="AH96" s="14">
        <f t="shared" si="170"/>
        <v>0</v>
      </c>
      <c r="AI96" s="76">
        <f t="shared" si="165"/>
        <v>0</v>
      </c>
      <c r="AK96" s="2">
        <f t="shared" si="171"/>
        <v>-269000</v>
      </c>
      <c r="AL96" s="2">
        <f t="shared" si="172"/>
        <v>-40553.132965553945</v>
      </c>
      <c r="AM96" s="2">
        <f t="shared" si="172"/>
        <v>-41462.800411334843</v>
      </c>
      <c r="AN96" s="2">
        <f t="shared" si="172"/>
        <v>-186984.0666231112</v>
      </c>
      <c r="AO96" s="2">
        <f t="shared" si="172"/>
        <v>0</v>
      </c>
      <c r="AP96" s="2"/>
      <c r="AQ96" s="61" t="str">
        <f t="shared" si="180"/>
        <v>E96*      "</v>
      </c>
      <c r="AS96" s="2">
        <f t="shared" si="173"/>
        <v>-40553.132965553952</v>
      </c>
      <c r="AT96" s="2">
        <f t="shared" si="174"/>
        <v>-25839.180028439761</v>
      </c>
      <c r="AU96" s="2">
        <f t="shared" si="174"/>
        <v>-10654.752937661222</v>
      </c>
      <c r="AV96" s="2">
        <f t="shared" si="174"/>
        <v>0</v>
      </c>
      <c r="AW96" s="2">
        <f t="shared" si="174"/>
        <v>-166.36034897067512</v>
      </c>
      <c r="AX96" s="2">
        <f t="shared" si="174"/>
        <v>-3892.8396504822949</v>
      </c>
      <c r="AY96" s="2">
        <f t="shared" si="174"/>
        <v>0</v>
      </c>
      <c r="BA96" s="2">
        <f t="shared" si="175"/>
        <v>-41462.800411334843</v>
      </c>
      <c r="BB96" s="2">
        <f t="shared" si="176"/>
        <v>-28311.141189704627</v>
      </c>
      <c r="BC96" s="2">
        <f t="shared" si="176"/>
        <v>-9582.6077955090532</v>
      </c>
      <c r="BD96" s="2">
        <f t="shared" si="176"/>
        <v>0</v>
      </c>
      <c r="BE96" s="2">
        <f t="shared" si="176"/>
        <v>-120.3842226290442</v>
      </c>
      <c r="BF96" s="2">
        <f t="shared" si="176"/>
        <v>-3448.6672034921198</v>
      </c>
      <c r="BG96" s="2">
        <f t="shared" si="176"/>
        <v>0</v>
      </c>
      <c r="BI96" s="2">
        <f t="shared" si="177"/>
        <v>-186984.06662311123</v>
      </c>
      <c r="BJ96" s="2">
        <f t="shared" si="178"/>
        <v>-181285.14119881595</v>
      </c>
      <c r="BK96" s="2">
        <f t="shared" si="178"/>
        <v>-5263.9973519595478</v>
      </c>
      <c r="BL96" s="2">
        <f t="shared" si="178"/>
        <v>0</v>
      </c>
      <c r="BM96" s="2">
        <f t="shared" si="178"/>
        <v>-28.999142604641477</v>
      </c>
      <c r="BN96" s="2">
        <f t="shared" si="178"/>
        <v>-405.92892973107075</v>
      </c>
      <c r="BO96" s="2">
        <f t="shared" si="178"/>
        <v>0</v>
      </c>
    </row>
    <row r="97" spans="1:67">
      <c r="A97" s="50">
        <f t="shared" si="122"/>
        <v>97</v>
      </c>
      <c r="B97" s="51">
        <v>394</v>
      </c>
      <c r="C97" s="36" t="s">
        <v>152</v>
      </c>
      <c r="D97" s="28" t="s">
        <v>273</v>
      </c>
      <c r="E97" s="432">
        <f>PROFORMA!AV341</f>
        <v>-2438000</v>
      </c>
      <c r="F97" s="60" t="str">
        <f>"as 394 Plant ("&amp;A$51&amp;")"</f>
        <v>as 394 Plant (51)</v>
      </c>
      <c r="G97" s="60"/>
      <c r="H97" s="2">
        <f t="shared" si="166"/>
        <v>-2438000.0000000005</v>
      </c>
      <c r="I97" s="2">
        <f t="shared" si="167"/>
        <v>-2133797.9827975812</v>
      </c>
      <c r="J97" s="2">
        <f t="shared" si="167"/>
        <v>-231123.83275667849</v>
      </c>
      <c r="K97" s="2">
        <f t="shared" si="167"/>
        <v>0</v>
      </c>
      <c r="L97" s="2">
        <f t="shared" si="167"/>
        <v>-2861.6474915621989</v>
      </c>
      <c r="M97" s="2">
        <f t="shared" si="167"/>
        <v>-70216.536954178344</v>
      </c>
      <c r="N97" s="2">
        <f t="shared" si="167"/>
        <v>0</v>
      </c>
      <c r="O97" s="2"/>
      <c r="P97" s="61" t="s">
        <v>1160</v>
      </c>
      <c r="Q97" s="61"/>
      <c r="R97" s="14">
        <f t="shared" si="168"/>
        <v>8.8133437743971782E-2</v>
      </c>
      <c r="S97" s="14">
        <f t="shared" si="169"/>
        <v>1.48122630432825E-2</v>
      </c>
      <c r="T97" s="14">
        <f t="shared" si="170"/>
        <v>6.2152272453224224E-3</v>
      </c>
      <c r="U97" s="14">
        <f t="shared" si="170"/>
        <v>4.15942131033116E-2</v>
      </c>
      <c r="V97" s="14">
        <f t="shared" si="170"/>
        <v>0</v>
      </c>
      <c r="W97" s="14">
        <f t="shared" si="170"/>
        <v>0.15413680450310352</v>
      </c>
      <c r="X97" s="14">
        <f t="shared" si="170"/>
        <v>0</v>
      </c>
      <c r="Y97" s="14">
        <f t="shared" si="170"/>
        <v>0</v>
      </c>
      <c r="Z97" s="14">
        <f t="shared" si="170"/>
        <v>0</v>
      </c>
      <c r="AA97" s="14">
        <f t="shared" si="170"/>
        <v>0</v>
      </c>
      <c r="AB97" s="14">
        <f t="shared" si="179"/>
        <v>0.45505508837908676</v>
      </c>
      <c r="AC97" s="14">
        <f t="shared" si="170"/>
        <v>0.16681683403029823</v>
      </c>
      <c r="AD97" s="14">
        <f t="shared" si="170"/>
        <v>7.1278348815059178E-2</v>
      </c>
      <c r="AE97" s="14">
        <f t="shared" si="170"/>
        <v>0</v>
      </c>
      <c r="AF97" s="14">
        <f t="shared" si="170"/>
        <v>1.9577831365640468E-3</v>
      </c>
      <c r="AG97" s="14">
        <f t="shared" si="170"/>
        <v>0</v>
      </c>
      <c r="AH97" s="14">
        <f t="shared" si="170"/>
        <v>0</v>
      </c>
      <c r="AI97" s="76">
        <f t="shared" si="165"/>
        <v>0</v>
      </c>
      <c r="AK97" s="2">
        <f t="shared" si="171"/>
        <v>-2438000</v>
      </c>
      <c r="AL97" s="2">
        <f t="shared" si="172"/>
        <v>-367541.03408929566</v>
      </c>
      <c r="AM97" s="2">
        <f t="shared" si="172"/>
        <v>-375785.52937856637</v>
      </c>
      <c r="AN97" s="2">
        <f t="shared" si="172"/>
        <v>-1694673.4365321379</v>
      </c>
      <c r="AO97" s="2">
        <f t="shared" si="172"/>
        <v>0</v>
      </c>
      <c r="AP97" s="2"/>
      <c r="AQ97" s="61" t="str">
        <f t="shared" si="180"/>
        <v>E97*      "</v>
      </c>
      <c r="AS97" s="2">
        <f t="shared" si="173"/>
        <v>-367541.03408929566</v>
      </c>
      <c r="AT97" s="2">
        <f t="shared" si="174"/>
        <v>-234185.57958861018</v>
      </c>
      <c r="AU97" s="2">
        <f t="shared" si="174"/>
        <v>-96566.125137613606</v>
      </c>
      <c r="AV97" s="2">
        <f t="shared" si="174"/>
        <v>0</v>
      </c>
      <c r="AW97" s="2">
        <f t="shared" si="174"/>
        <v>-1507.7566200390556</v>
      </c>
      <c r="AX97" s="2">
        <f t="shared" si="174"/>
        <v>-35281.572743032841</v>
      </c>
      <c r="AY97" s="2">
        <f t="shared" si="174"/>
        <v>0</v>
      </c>
      <c r="BA97" s="2">
        <f t="shared" si="175"/>
        <v>-375785.52937856637</v>
      </c>
      <c r="BB97" s="2">
        <f t="shared" si="176"/>
        <v>-256589.45063382856</v>
      </c>
      <c r="BC97" s="2">
        <f t="shared" si="176"/>
        <v>-86849.062473795813</v>
      </c>
      <c r="BD97" s="2">
        <f t="shared" si="176"/>
        <v>0</v>
      </c>
      <c r="BE97" s="2">
        <f t="shared" si="176"/>
        <v>-1091.0659285115605</v>
      </c>
      <c r="BF97" s="2">
        <f t="shared" si="176"/>
        <v>-31255.950342430438</v>
      </c>
      <c r="BG97" s="2">
        <f t="shared" si="176"/>
        <v>0</v>
      </c>
      <c r="BI97" s="2">
        <f t="shared" si="177"/>
        <v>-1694673.4365321384</v>
      </c>
      <c r="BJ97" s="2">
        <f t="shared" si="178"/>
        <v>-1643022.9525751425</v>
      </c>
      <c r="BK97" s="2">
        <f t="shared" si="178"/>
        <v>-47708.645145269067</v>
      </c>
      <c r="BL97" s="2">
        <f t="shared" si="178"/>
        <v>0</v>
      </c>
      <c r="BM97" s="2">
        <f t="shared" si="178"/>
        <v>-262.82494301158334</v>
      </c>
      <c r="BN97" s="2">
        <f t="shared" si="178"/>
        <v>-3679.0138687150575</v>
      </c>
      <c r="BO97" s="2">
        <f t="shared" si="178"/>
        <v>0</v>
      </c>
    </row>
    <row r="98" spans="1:67">
      <c r="A98" s="50">
        <f t="shared" si="122"/>
        <v>98</v>
      </c>
      <c r="B98" s="51">
        <v>395</v>
      </c>
      <c r="C98" s="36" t="s">
        <v>152</v>
      </c>
      <c r="D98" s="28" t="s">
        <v>274</v>
      </c>
      <c r="E98" s="432">
        <f>PROFORMA!AV342</f>
        <v>-184000</v>
      </c>
      <c r="F98" s="60" t="str">
        <f>"as 395 Plant ("&amp;A$52&amp;")"</f>
        <v>as 395 Plant (52)</v>
      </c>
      <c r="G98" s="60"/>
      <c r="H98" s="2">
        <f t="shared" si="166"/>
        <v>-184000.00000000003</v>
      </c>
      <c r="I98" s="2">
        <f t="shared" si="167"/>
        <v>-161041.35719227028</v>
      </c>
      <c r="J98" s="2">
        <f t="shared" si="167"/>
        <v>-17443.30813257951</v>
      </c>
      <c r="K98" s="2">
        <f t="shared" si="167"/>
        <v>0</v>
      </c>
      <c r="L98" s="2">
        <f t="shared" si="167"/>
        <v>-215.97339558959993</v>
      </c>
      <c r="M98" s="2">
        <f t="shared" si="167"/>
        <v>-5299.3612795606296</v>
      </c>
      <c r="N98" s="2">
        <f t="shared" si="167"/>
        <v>0</v>
      </c>
      <c r="O98" s="2"/>
      <c r="P98" s="61" t="s">
        <v>1160</v>
      </c>
      <c r="Q98" s="61"/>
      <c r="R98" s="14">
        <f t="shared" si="168"/>
        <v>8.8133437743971782E-2</v>
      </c>
      <c r="S98" s="14">
        <f t="shared" si="169"/>
        <v>1.48122630432825E-2</v>
      </c>
      <c r="T98" s="14">
        <f t="shared" si="170"/>
        <v>6.2152272453224224E-3</v>
      </c>
      <c r="U98" s="14">
        <f t="shared" si="170"/>
        <v>4.15942131033116E-2</v>
      </c>
      <c r="V98" s="14">
        <f t="shared" si="170"/>
        <v>0</v>
      </c>
      <c r="W98" s="14">
        <f t="shared" si="170"/>
        <v>0.15413680450310352</v>
      </c>
      <c r="X98" s="14">
        <f t="shared" si="170"/>
        <v>0</v>
      </c>
      <c r="Y98" s="14">
        <f t="shared" si="170"/>
        <v>0</v>
      </c>
      <c r="Z98" s="14">
        <f t="shared" si="170"/>
        <v>0</v>
      </c>
      <c r="AA98" s="14">
        <f t="shared" si="170"/>
        <v>0</v>
      </c>
      <c r="AB98" s="14">
        <f t="shared" si="179"/>
        <v>0.45505508837908676</v>
      </c>
      <c r="AC98" s="14">
        <f t="shared" si="170"/>
        <v>0.16681683403029823</v>
      </c>
      <c r="AD98" s="14">
        <f t="shared" si="170"/>
        <v>7.1278348815059178E-2</v>
      </c>
      <c r="AE98" s="14">
        <f t="shared" si="170"/>
        <v>0</v>
      </c>
      <c r="AF98" s="14">
        <f t="shared" si="170"/>
        <v>1.9577831365640468E-3</v>
      </c>
      <c r="AG98" s="14">
        <f t="shared" si="170"/>
        <v>0</v>
      </c>
      <c r="AH98" s="14">
        <f t="shared" si="170"/>
        <v>0</v>
      </c>
      <c r="AI98" s="76">
        <f t="shared" si="165"/>
        <v>0</v>
      </c>
      <c r="AK98" s="2">
        <f t="shared" si="171"/>
        <v>-184000</v>
      </c>
      <c r="AL98" s="2">
        <f t="shared" si="172"/>
        <v>-27738.945969003445</v>
      </c>
      <c r="AM98" s="2">
        <f t="shared" si="172"/>
        <v>-28361.172028571047</v>
      </c>
      <c r="AN98" s="2">
        <f t="shared" si="172"/>
        <v>-127899.88200242551</v>
      </c>
      <c r="AO98" s="2">
        <f t="shared" si="172"/>
        <v>0</v>
      </c>
      <c r="AP98" s="2"/>
      <c r="AQ98" s="61" t="str">
        <f t="shared" si="180"/>
        <v>E98*      "</v>
      </c>
      <c r="AS98" s="2">
        <f t="shared" si="173"/>
        <v>-27738.945969003449</v>
      </c>
      <c r="AT98" s="2">
        <f t="shared" si="174"/>
        <v>-17674.383365178128</v>
      </c>
      <c r="AU98" s="2">
        <f t="shared" si="174"/>
        <v>-7288.0094443481967</v>
      </c>
      <c r="AV98" s="2">
        <f t="shared" si="174"/>
        <v>0</v>
      </c>
      <c r="AW98" s="2">
        <f t="shared" si="174"/>
        <v>-113.79295245577778</v>
      </c>
      <c r="AX98" s="2">
        <f t="shared" si="174"/>
        <v>-2662.7602070213466</v>
      </c>
      <c r="AY98" s="2">
        <f t="shared" si="174"/>
        <v>0</v>
      </c>
      <c r="BA98" s="2">
        <f t="shared" si="175"/>
        <v>-28361.172028571047</v>
      </c>
      <c r="BB98" s="2">
        <f t="shared" si="176"/>
        <v>-19365.241557270081</v>
      </c>
      <c r="BC98" s="2">
        <f t="shared" si="176"/>
        <v>-6554.6462244374197</v>
      </c>
      <c r="BD98" s="2">
        <f t="shared" si="176"/>
        <v>0</v>
      </c>
      <c r="BE98" s="2">
        <f t="shared" si="176"/>
        <v>-82.34459837823097</v>
      </c>
      <c r="BF98" s="2">
        <f t="shared" si="176"/>
        <v>-2358.939648485316</v>
      </c>
      <c r="BG98" s="2">
        <f t="shared" si="176"/>
        <v>0</v>
      </c>
      <c r="BI98" s="2">
        <f t="shared" si="177"/>
        <v>-127899.88200242551</v>
      </c>
      <c r="BJ98" s="2">
        <f t="shared" si="178"/>
        <v>-124001.73226982207</v>
      </c>
      <c r="BK98" s="2">
        <f t="shared" si="178"/>
        <v>-3600.6524637938915</v>
      </c>
      <c r="BL98" s="2">
        <f t="shared" si="178"/>
        <v>0</v>
      </c>
      <c r="BM98" s="2">
        <f t="shared" si="178"/>
        <v>-19.835844755591197</v>
      </c>
      <c r="BN98" s="2">
        <f t="shared" si="178"/>
        <v>-277.66142405396664</v>
      </c>
      <c r="BO98" s="2">
        <f t="shared" si="178"/>
        <v>0</v>
      </c>
    </row>
    <row r="99" spans="1:67">
      <c r="A99" s="50">
        <f t="shared" si="122"/>
        <v>99</v>
      </c>
      <c r="B99" s="51">
        <v>396</v>
      </c>
      <c r="C99" s="36" t="s">
        <v>152</v>
      </c>
      <c r="D99" s="28" t="s">
        <v>275</v>
      </c>
      <c r="E99" s="432">
        <f>PROFORMA!AV343</f>
        <v>-2263000</v>
      </c>
      <c r="F99" s="60" t="str">
        <f>"as 396 Plant ("&amp;A$53&amp;")"</f>
        <v>as 396 Plant (53)</v>
      </c>
      <c r="G99" s="60"/>
      <c r="H99" s="2">
        <f t="shared" si="166"/>
        <v>-2262999.9999999995</v>
      </c>
      <c r="I99" s="2">
        <f t="shared" si="167"/>
        <v>-1980633.6485114545</v>
      </c>
      <c r="J99" s="2">
        <f t="shared" si="167"/>
        <v>-214533.72991319254</v>
      </c>
      <c r="K99" s="2">
        <f t="shared" si="167"/>
        <v>0</v>
      </c>
      <c r="L99" s="2">
        <f t="shared" si="167"/>
        <v>-2656.2380120612211</v>
      </c>
      <c r="M99" s="2">
        <f t="shared" si="167"/>
        <v>-65176.383563291878</v>
      </c>
      <c r="N99" s="2">
        <f t="shared" si="167"/>
        <v>0</v>
      </c>
      <c r="O99" s="2"/>
      <c r="P99" s="61" t="s">
        <v>1160</v>
      </c>
      <c r="Q99" s="61"/>
      <c r="R99" s="14">
        <f t="shared" si="168"/>
        <v>8.8133437743971782E-2</v>
      </c>
      <c r="S99" s="14">
        <f t="shared" si="169"/>
        <v>1.48122630432825E-2</v>
      </c>
      <c r="T99" s="14">
        <f t="shared" si="170"/>
        <v>6.2152272453224224E-3</v>
      </c>
      <c r="U99" s="14">
        <f t="shared" si="170"/>
        <v>4.15942131033116E-2</v>
      </c>
      <c r="V99" s="14">
        <f t="shared" si="170"/>
        <v>0</v>
      </c>
      <c r="W99" s="14">
        <f t="shared" si="170"/>
        <v>0.15413680450310352</v>
      </c>
      <c r="X99" s="14">
        <f t="shared" si="170"/>
        <v>0</v>
      </c>
      <c r="Y99" s="14">
        <f t="shared" si="170"/>
        <v>0</v>
      </c>
      <c r="Z99" s="14">
        <f t="shared" si="170"/>
        <v>0</v>
      </c>
      <c r="AA99" s="14">
        <f t="shared" si="170"/>
        <v>0</v>
      </c>
      <c r="AB99" s="14">
        <f t="shared" si="179"/>
        <v>0.45505508837908676</v>
      </c>
      <c r="AC99" s="14">
        <f t="shared" si="170"/>
        <v>0.16681683403029823</v>
      </c>
      <c r="AD99" s="14">
        <f t="shared" si="170"/>
        <v>7.1278348815059178E-2</v>
      </c>
      <c r="AE99" s="14">
        <f t="shared" si="170"/>
        <v>0</v>
      </c>
      <c r="AF99" s="14">
        <f t="shared" si="170"/>
        <v>1.9577831365640468E-3</v>
      </c>
      <c r="AG99" s="14">
        <f t="shared" si="170"/>
        <v>0</v>
      </c>
      <c r="AH99" s="14">
        <f t="shared" si="170"/>
        <v>0</v>
      </c>
      <c r="AI99" s="76">
        <f t="shared" si="165"/>
        <v>0</v>
      </c>
      <c r="AK99" s="2">
        <f t="shared" si="171"/>
        <v>-2263000</v>
      </c>
      <c r="AL99" s="2">
        <f t="shared" si="172"/>
        <v>-341158.88439051516</v>
      </c>
      <c r="AM99" s="2">
        <f t="shared" si="172"/>
        <v>-348811.58859052329</v>
      </c>
      <c r="AN99" s="2">
        <f t="shared" si="172"/>
        <v>-1573029.5270189615</v>
      </c>
      <c r="AO99" s="2">
        <f t="shared" si="172"/>
        <v>0</v>
      </c>
      <c r="AP99" s="2"/>
      <c r="AQ99" s="61" t="str">
        <f t="shared" si="180"/>
        <v>E99*      "</v>
      </c>
      <c r="AS99" s="2">
        <f t="shared" si="173"/>
        <v>-341158.88439051522</v>
      </c>
      <c r="AT99" s="2">
        <f t="shared" si="174"/>
        <v>-217375.70410542446</v>
      </c>
      <c r="AU99" s="2">
        <f t="shared" si="174"/>
        <v>-89634.594416086795</v>
      </c>
      <c r="AV99" s="2">
        <f t="shared" si="174"/>
        <v>0</v>
      </c>
      <c r="AW99" s="2">
        <f t="shared" si="174"/>
        <v>-1399.5296272142671</v>
      </c>
      <c r="AX99" s="2">
        <f t="shared" si="174"/>
        <v>-32749.056241789716</v>
      </c>
      <c r="AY99" s="2">
        <f t="shared" si="174"/>
        <v>0</v>
      </c>
      <c r="BA99" s="2">
        <f t="shared" si="175"/>
        <v>-348811.58859052323</v>
      </c>
      <c r="BB99" s="2">
        <f t="shared" si="176"/>
        <v>-238171.42197881627</v>
      </c>
      <c r="BC99" s="2">
        <f t="shared" si="176"/>
        <v>-80615.023945118912</v>
      </c>
      <c r="BD99" s="2">
        <f t="shared" si="176"/>
        <v>0</v>
      </c>
      <c r="BE99" s="2">
        <f t="shared" si="176"/>
        <v>-1012.7490550540037</v>
      </c>
      <c r="BF99" s="2">
        <f t="shared" si="176"/>
        <v>-29012.393611534077</v>
      </c>
      <c r="BG99" s="2">
        <f t="shared" si="176"/>
        <v>0</v>
      </c>
      <c r="BI99" s="2">
        <f t="shared" si="177"/>
        <v>-1573029.5270189617</v>
      </c>
      <c r="BJ99" s="2">
        <f t="shared" si="178"/>
        <v>-1525086.5224272138</v>
      </c>
      <c r="BK99" s="2">
        <f t="shared" si="178"/>
        <v>-44284.111551986833</v>
      </c>
      <c r="BL99" s="2">
        <f t="shared" si="178"/>
        <v>0</v>
      </c>
      <c r="BM99" s="2">
        <f t="shared" si="178"/>
        <v>-243.9593297929504</v>
      </c>
      <c r="BN99" s="2">
        <f t="shared" si="178"/>
        <v>-3414.9337099680783</v>
      </c>
      <c r="BO99" s="2">
        <f t="shared" si="178"/>
        <v>0</v>
      </c>
    </row>
    <row r="100" spans="1:67">
      <c r="A100" s="50">
        <f t="shared" si="122"/>
        <v>100</v>
      </c>
      <c r="B100" s="51">
        <v>397</v>
      </c>
      <c r="C100" s="36" t="s">
        <v>152</v>
      </c>
      <c r="D100" s="28" t="s">
        <v>276</v>
      </c>
      <c r="E100" s="432">
        <f>PROFORMA!AV344</f>
        <v>-3224000</v>
      </c>
      <c r="F100" s="60" t="str">
        <f>"as 397 Plant ("&amp;A$54&amp;")"</f>
        <v>as 397 Plant (54)</v>
      </c>
      <c r="G100" s="60"/>
      <c r="H100" s="2">
        <f t="shared" si="166"/>
        <v>-3224000.0000000005</v>
      </c>
      <c r="I100" s="2">
        <f t="shared" si="167"/>
        <v>-2821724.649934127</v>
      </c>
      <c r="J100" s="2">
        <f t="shared" si="167"/>
        <v>-305637.09467084968</v>
      </c>
      <c r="K100" s="2">
        <f t="shared" si="167"/>
        <v>0</v>
      </c>
      <c r="L100" s="2">
        <f t="shared" si="167"/>
        <v>-3784.2294966351637</v>
      </c>
      <c r="M100" s="2">
        <f t="shared" si="167"/>
        <v>-92854.025898388427</v>
      </c>
      <c r="N100" s="2">
        <f t="shared" si="167"/>
        <v>0</v>
      </c>
      <c r="O100" s="2"/>
      <c r="P100" s="61" t="s">
        <v>1160</v>
      </c>
      <c r="Q100" s="61"/>
      <c r="R100" s="14">
        <f t="shared" si="168"/>
        <v>8.8133437743971782E-2</v>
      </c>
      <c r="S100" s="14">
        <f t="shared" si="169"/>
        <v>1.48122630432825E-2</v>
      </c>
      <c r="T100" s="14">
        <f t="shared" si="170"/>
        <v>6.2152272453224224E-3</v>
      </c>
      <c r="U100" s="14">
        <f t="shared" si="170"/>
        <v>4.15942131033116E-2</v>
      </c>
      <c r="V100" s="14">
        <f t="shared" si="170"/>
        <v>0</v>
      </c>
      <c r="W100" s="14">
        <f t="shared" si="170"/>
        <v>0.15413680450310352</v>
      </c>
      <c r="X100" s="14">
        <f t="shared" si="170"/>
        <v>0</v>
      </c>
      <c r="Y100" s="14">
        <f t="shared" si="170"/>
        <v>0</v>
      </c>
      <c r="Z100" s="14">
        <f t="shared" si="170"/>
        <v>0</v>
      </c>
      <c r="AA100" s="14">
        <f t="shared" si="170"/>
        <v>0</v>
      </c>
      <c r="AB100" s="14">
        <f t="shared" si="179"/>
        <v>0.45505508837908676</v>
      </c>
      <c r="AC100" s="14">
        <f t="shared" si="170"/>
        <v>0.16681683403029823</v>
      </c>
      <c r="AD100" s="14">
        <f t="shared" si="170"/>
        <v>7.1278348815059178E-2</v>
      </c>
      <c r="AE100" s="14">
        <f t="shared" si="170"/>
        <v>0</v>
      </c>
      <c r="AF100" s="14">
        <f t="shared" si="170"/>
        <v>1.9577831365640468E-3</v>
      </c>
      <c r="AG100" s="14">
        <f t="shared" si="170"/>
        <v>0</v>
      </c>
      <c r="AH100" s="14">
        <f t="shared" si="170"/>
        <v>0</v>
      </c>
      <c r="AI100" s="76">
        <f t="shared" si="165"/>
        <v>0</v>
      </c>
      <c r="AK100" s="2">
        <f t="shared" si="171"/>
        <v>-3224000</v>
      </c>
      <c r="AL100" s="2">
        <f t="shared" si="172"/>
        <v>-486034.57502210385</v>
      </c>
      <c r="AM100" s="2">
        <f t="shared" si="172"/>
        <v>-496937.05771800573</v>
      </c>
      <c r="AN100" s="2">
        <f t="shared" si="172"/>
        <v>-2241028.3672598903</v>
      </c>
      <c r="AO100" s="2">
        <f t="shared" si="172"/>
        <v>0</v>
      </c>
      <c r="AP100" s="2"/>
      <c r="AQ100" s="61" t="str">
        <f t="shared" si="180"/>
        <v>E100*      "</v>
      </c>
      <c r="AS100" s="2">
        <f t="shared" si="173"/>
        <v>-486034.57502210385</v>
      </c>
      <c r="AT100" s="2">
        <f t="shared" si="174"/>
        <v>-309685.93461594719</v>
      </c>
      <c r="AU100" s="2">
        <f t="shared" si="174"/>
        <v>-127698.60026401405</v>
      </c>
      <c r="AV100" s="2">
        <f t="shared" si="174"/>
        <v>0</v>
      </c>
      <c r="AW100" s="2">
        <f t="shared" si="174"/>
        <v>-1993.8504278121063</v>
      </c>
      <c r="AX100" s="2">
        <f t="shared" si="174"/>
        <v>-46656.189714330554</v>
      </c>
      <c r="AY100" s="2">
        <f t="shared" si="174"/>
        <v>0</v>
      </c>
      <c r="BA100" s="2">
        <f t="shared" si="175"/>
        <v>-496937.05771800579</v>
      </c>
      <c r="BB100" s="2">
        <f t="shared" si="176"/>
        <v>-339312.710764341</v>
      </c>
      <c r="BC100" s="2">
        <f t="shared" si="176"/>
        <v>-114848.80123688174</v>
      </c>
      <c r="BD100" s="2">
        <f t="shared" si="176"/>
        <v>0</v>
      </c>
      <c r="BE100" s="2">
        <f t="shared" si="176"/>
        <v>-1442.8205715837862</v>
      </c>
      <c r="BF100" s="2">
        <f t="shared" si="176"/>
        <v>-41332.725145199234</v>
      </c>
      <c r="BG100" s="2">
        <f t="shared" si="176"/>
        <v>0</v>
      </c>
      <c r="BI100" s="2">
        <f t="shared" si="177"/>
        <v>-2241028.3672598903</v>
      </c>
      <c r="BJ100" s="2">
        <f t="shared" si="178"/>
        <v>-2172726.0045538386</v>
      </c>
      <c r="BK100" s="2">
        <f t="shared" si="178"/>
        <v>-63089.69316995384</v>
      </c>
      <c r="BL100" s="2">
        <f t="shared" si="178"/>
        <v>0</v>
      </c>
      <c r="BM100" s="2">
        <f t="shared" si="178"/>
        <v>-347.55849723927179</v>
      </c>
      <c r="BN100" s="2">
        <f t="shared" si="178"/>
        <v>-4865.1110388586321</v>
      </c>
      <c r="BO100" s="2">
        <f t="shared" si="178"/>
        <v>0</v>
      </c>
    </row>
    <row r="101" spans="1:67">
      <c r="A101" s="50">
        <f t="shared" si="122"/>
        <v>101</v>
      </c>
      <c r="B101" s="51">
        <v>398</v>
      </c>
      <c r="C101" s="36" t="s">
        <v>152</v>
      </c>
      <c r="D101" s="28" t="s">
        <v>277</v>
      </c>
      <c r="E101" s="432">
        <f>PROFORMA!AV345</f>
        <v>-92000</v>
      </c>
      <c r="F101" s="60" t="str">
        <f>"as 398 Plant ("&amp;A$55&amp;")"</f>
        <v>as 398 Plant (55)</v>
      </c>
      <c r="G101" s="60"/>
      <c r="H101" s="2">
        <f t="shared" si="166"/>
        <v>-92000.000000000015</v>
      </c>
      <c r="I101" s="2">
        <f t="shared" si="167"/>
        <v>-80520.678596135142</v>
      </c>
      <c r="J101" s="2">
        <f t="shared" si="167"/>
        <v>-8721.6540662897551</v>
      </c>
      <c r="K101" s="2">
        <f t="shared" si="167"/>
        <v>0</v>
      </c>
      <c r="L101" s="2">
        <f t="shared" si="167"/>
        <v>-107.98669779479997</v>
      </c>
      <c r="M101" s="2">
        <f t="shared" si="167"/>
        <v>-2649.6806397803148</v>
      </c>
      <c r="N101" s="2">
        <f t="shared" si="167"/>
        <v>0</v>
      </c>
      <c r="O101" s="2"/>
      <c r="P101" s="61" t="s">
        <v>1160</v>
      </c>
      <c r="Q101" s="61"/>
      <c r="R101" s="14">
        <f t="shared" si="168"/>
        <v>8.8133437743971782E-2</v>
      </c>
      <c r="S101" s="14">
        <f t="shared" si="169"/>
        <v>1.48122630432825E-2</v>
      </c>
      <c r="T101" s="14">
        <f t="shared" si="170"/>
        <v>6.2152272453224224E-3</v>
      </c>
      <c r="U101" s="14">
        <f t="shared" si="170"/>
        <v>4.15942131033116E-2</v>
      </c>
      <c r="V101" s="14">
        <f t="shared" si="170"/>
        <v>0</v>
      </c>
      <c r="W101" s="14">
        <f t="shared" si="170"/>
        <v>0.15413680450310352</v>
      </c>
      <c r="X101" s="14">
        <f t="shared" si="170"/>
        <v>0</v>
      </c>
      <c r="Y101" s="14">
        <f t="shared" si="170"/>
        <v>0</v>
      </c>
      <c r="Z101" s="14">
        <f t="shared" si="170"/>
        <v>0</v>
      </c>
      <c r="AA101" s="14">
        <f t="shared" si="170"/>
        <v>0</v>
      </c>
      <c r="AB101" s="14">
        <f t="shared" si="179"/>
        <v>0.45505508837908676</v>
      </c>
      <c r="AC101" s="14">
        <f t="shared" si="170"/>
        <v>0.16681683403029823</v>
      </c>
      <c r="AD101" s="14">
        <f t="shared" si="170"/>
        <v>7.1278348815059178E-2</v>
      </c>
      <c r="AE101" s="14">
        <f t="shared" si="170"/>
        <v>0</v>
      </c>
      <c r="AF101" s="14">
        <f t="shared" si="170"/>
        <v>1.9577831365640468E-3</v>
      </c>
      <c r="AG101" s="14">
        <f t="shared" si="170"/>
        <v>0</v>
      </c>
      <c r="AH101" s="14">
        <f t="shared" si="170"/>
        <v>0</v>
      </c>
      <c r="AI101" s="76">
        <f t="shared" si="165"/>
        <v>0</v>
      </c>
      <c r="AK101" s="2">
        <f t="shared" si="171"/>
        <v>-92000</v>
      </c>
      <c r="AL101" s="2">
        <f t="shared" si="172"/>
        <v>-13869.472984501723</v>
      </c>
      <c r="AM101" s="2">
        <f t="shared" si="172"/>
        <v>-14180.586014285524</v>
      </c>
      <c r="AN101" s="2">
        <f t="shared" si="172"/>
        <v>-63949.941001212756</v>
      </c>
      <c r="AO101" s="2">
        <f t="shared" si="172"/>
        <v>0</v>
      </c>
      <c r="AP101" s="2"/>
      <c r="AQ101" s="61" t="str">
        <f t="shared" si="180"/>
        <v>E101*      "</v>
      </c>
      <c r="AS101" s="2">
        <f t="shared" si="173"/>
        <v>-13869.472984501725</v>
      </c>
      <c r="AT101" s="2">
        <f t="shared" si="174"/>
        <v>-8837.1916825890639</v>
      </c>
      <c r="AU101" s="2">
        <f t="shared" si="174"/>
        <v>-3644.0047221740983</v>
      </c>
      <c r="AV101" s="2">
        <f t="shared" si="174"/>
        <v>0</v>
      </c>
      <c r="AW101" s="2">
        <f t="shared" si="174"/>
        <v>-56.89647622788889</v>
      </c>
      <c r="AX101" s="2">
        <f t="shared" si="174"/>
        <v>-1331.3801035106733</v>
      </c>
      <c r="AY101" s="2">
        <f t="shared" si="174"/>
        <v>0</v>
      </c>
      <c r="BA101" s="2">
        <f t="shared" si="175"/>
        <v>-14180.586014285524</v>
      </c>
      <c r="BB101" s="2">
        <f t="shared" si="176"/>
        <v>-9682.6207786350406</v>
      </c>
      <c r="BC101" s="2">
        <f t="shared" si="176"/>
        <v>-3277.3231122187099</v>
      </c>
      <c r="BD101" s="2">
        <f t="shared" si="176"/>
        <v>0</v>
      </c>
      <c r="BE101" s="2">
        <f t="shared" si="176"/>
        <v>-41.172299189115485</v>
      </c>
      <c r="BF101" s="2">
        <f t="shared" si="176"/>
        <v>-1179.469824242658</v>
      </c>
      <c r="BG101" s="2">
        <f t="shared" si="176"/>
        <v>0</v>
      </c>
      <c r="BI101" s="2">
        <f t="shared" si="177"/>
        <v>-63949.941001212756</v>
      </c>
      <c r="BJ101" s="2">
        <f t="shared" si="178"/>
        <v>-62000.866134911033</v>
      </c>
      <c r="BK101" s="2">
        <f t="shared" si="178"/>
        <v>-1800.3262318969457</v>
      </c>
      <c r="BL101" s="2">
        <f t="shared" si="178"/>
        <v>0</v>
      </c>
      <c r="BM101" s="2">
        <f t="shared" si="178"/>
        <v>-9.9179223777955983</v>
      </c>
      <c r="BN101" s="2">
        <f t="shared" si="178"/>
        <v>-138.83071202698332</v>
      </c>
      <c r="BO101" s="2">
        <f t="shared" si="178"/>
        <v>0</v>
      </c>
    </row>
    <row r="102" spans="1:67">
      <c r="A102" s="50">
        <f t="shared" si="122"/>
        <v>102</v>
      </c>
      <c r="D102" s="52" t="s">
        <v>221</v>
      </c>
      <c r="E102" s="4">
        <f>SUM(E92:E101)</f>
        <v>-24999000</v>
      </c>
      <c r="F102" s="60"/>
      <c r="G102" s="60"/>
      <c r="H102" s="4">
        <f>IF(ROUND(SUM(H91:H101),3)&lt;&gt;ROUND(SUM(I102:N102),3),#VALUE!,SUM(H91:H101))</f>
        <v>-24999000</v>
      </c>
      <c r="I102" s="4">
        <f t="shared" ref="I102:N102" si="181">SUM(I91:I101)</f>
        <v>-21879743.958965026</v>
      </c>
      <c r="J102" s="4">
        <f t="shared" si="181"/>
        <v>-2369919.8913388867</v>
      </c>
      <c r="K102" s="4">
        <f t="shared" si="181"/>
        <v>0</v>
      </c>
      <c r="L102" s="4">
        <f t="shared" si="181"/>
        <v>-29343.037588828305</v>
      </c>
      <c r="M102" s="4">
        <f t="shared" si="181"/>
        <v>-719993.1121072619</v>
      </c>
      <c r="N102" s="4">
        <f t="shared" si="181"/>
        <v>0</v>
      </c>
      <c r="O102" s="5"/>
      <c r="P102" s="61" t="str">
        <f>$A91&amp;":"&amp;$A101</f>
        <v>91:101</v>
      </c>
      <c r="Q102" s="61"/>
      <c r="R102" s="13">
        <f>SUMPRODUCT($E92:$E101,R$92:R$101)/$E102</f>
        <v>8.8133437743971796E-2</v>
      </c>
      <c r="S102" s="13">
        <f t="shared" ref="S102:AH102" si="182">SUMPRODUCT($E92:$E101,S$92:S$101)/$E102</f>
        <v>1.4812263043282502E-2</v>
      </c>
      <c r="T102" s="13">
        <f t="shared" si="182"/>
        <v>6.2152272453224224E-3</v>
      </c>
      <c r="U102" s="13">
        <f>SUMPRODUCT($E92:$E101,U$92:U$101)/$E102</f>
        <v>4.15942131033116E-2</v>
      </c>
      <c r="V102" s="13">
        <f>SUMPRODUCT($E92:$E101,V$92:V$101)/$E102</f>
        <v>0</v>
      </c>
      <c r="W102" s="13">
        <f t="shared" si="182"/>
        <v>0.15413680450310352</v>
      </c>
      <c r="X102" s="13">
        <f t="shared" si="182"/>
        <v>0</v>
      </c>
      <c r="Y102" s="13">
        <f>SUMPRODUCT($E92:$E101,Y$92:Y$101)/$E102</f>
        <v>0</v>
      </c>
      <c r="Z102" s="13">
        <f t="shared" si="182"/>
        <v>0</v>
      </c>
      <c r="AA102" s="13">
        <f t="shared" si="182"/>
        <v>0</v>
      </c>
      <c r="AB102" s="13">
        <f t="shared" si="182"/>
        <v>0.45505508837908681</v>
      </c>
      <c r="AC102" s="13">
        <f t="shared" si="182"/>
        <v>0.16681683403029823</v>
      </c>
      <c r="AD102" s="13">
        <f t="shared" si="182"/>
        <v>7.1278348815059178E-2</v>
      </c>
      <c r="AE102" s="13">
        <f t="shared" si="182"/>
        <v>0</v>
      </c>
      <c r="AF102" s="13">
        <f t="shared" si="182"/>
        <v>1.9577831365640468E-3</v>
      </c>
      <c r="AG102" s="13">
        <f>SUMPRODUCT($E92:$E101,AG$92:AG$101)/$E102</f>
        <v>0</v>
      </c>
      <c r="AH102" s="13">
        <f t="shared" si="182"/>
        <v>0</v>
      </c>
      <c r="AI102" s="76">
        <f t="shared" si="165"/>
        <v>0</v>
      </c>
      <c r="AK102" s="4">
        <f>IF(ROUND(SUM(AK91:AK101),3)&lt;&gt;ROUND(SUM(AL102:AO102),3),#VALUE!,SUM(AK91:AK101))</f>
        <v>-24999000</v>
      </c>
      <c r="AL102" s="4">
        <f>SUM(AL91:AL101)</f>
        <v>-3768727.7732560709</v>
      </c>
      <c r="AM102" s="4">
        <f>SUM(AM91:AM101)</f>
        <v>-3853265.9757730849</v>
      </c>
      <c r="AN102" s="4">
        <f>SUM(AN91:AN101)</f>
        <v>-17377006.250970844</v>
      </c>
      <c r="AO102" s="4">
        <f>SUM(AO91:AO101)</f>
        <v>0</v>
      </c>
      <c r="AP102" s="5"/>
      <c r="AQ102" s="61" t="str">
        <f>$A91&amp;":"&amp;$A101</f>
        <v>91:101</v>
      </c>
      <c r="AS102" s="4">
        <f>IF(ROUND(SUM(AS91:AS101),3)&lt;&gt;ROUND(SUM(AT102:AY102),3),#VALUE!,SUM(AS91:AS101))</f>
        <v>-3768727.7732560718</v>
      </c>
      <c r="AT102" s="4">
        <f t="shared" ref="AT102:AY102" si="183">SUM(AT91:AT101)</f>
        <v>-2401314.7268809131</v>
      </c>
      <c r="AU102" s="4">
        <f t="shared" si="183"/>
        <v>-990179.06575685099</v>
      </c>
      <c r="AV102" s="4">
        <f t="shared" si="183"/>
        <v>0</v>
      </c>
      <c r="AW102" s="4">
        <f t="shared" si="183"/>
        <v>-15460.380535010809</v>
      </c>
      <c r="AX102" s="4">
        <f t="shared" si="183"/>
        <v>-361773.60008329694</v>
      </c>
      <c r="AY102" s="4">
        <f t="shared" si="183"/>
        <v>0</v>
      </c>
      <c r="BA102" s="4">
        <f>IF(ROUND(SUM(BA91:BA101),3)&lt;&gt;ROUND(SUM(BB102:BG102),3),#VALUE!,SUM(BA91:BA101))</f>
        <v>-3853265.9757730849</v>
      </c>
      <c r="BB102" s="4">
        <f t="shared" ref="BB102:BG102" si="184">SUM(BB91:BB101)</f>
        <v>-2631041.7048380151</v>
      </c>
      <c r="BC102" s="4">
        <f t="shared" si="184"/>
        <v>-890541.30959082092</v>
      </c>
      <c r="BD102" s="4">
        <f t="shared" si="184"/>
        <v>0</v>
      </c>
      <c r="BE102" s="4">
        <f t="shared" si="184"/>
        <v>-11187.677254659762</v>
      </c>
      <c r="BF102" s="4">
        <f t="shared" si="184"/>
        <v>-320495.2840895892</v>
      </c>
      <c r="BG102" s="4">
        <f t="shared" si="184"/>
        <v>0</v>
      </c>
      <c r="BI102" s="4">
        <f>IF(ROUND(SUM(BI91:BI101),3)&lt;&gt;ROUND(SUM(BJ102:BO102),3),#VALUE!,SUM(BI91:BI101))</f>
        <v>-17377006.250970848</v>
      </c>
      <c r="BJ102" s="4">
        <f t="shared" ref="BJ102:BO102" si="185">SUM(BJ91:BJ101)</f>
        <v>-16847387.527246099</v>
      </c>
      <c r="BK102" s="4">
        <f t="shared" si="185"/>
        <v>-489199.5159912146</v>
      </c>
      <c r="BL102" s="4">
        <f t="shared" si="185"/>
        <v>0</v>
      </c>
      <c r="BM102" s="4">
        <f t="shared" si="185"/>
        <v>-2694.9797991577402</v>
      </c>
      <c r="BN102" s="4">
        <f t="shared" si="185"/>
        <v>-37724.227934375609</v>
      </c>
      <c r="BO102" s="4">
        <f t="shared" si="185"/>
        <v>0</v>
      </c>
    </row>
    <row r="103" spans="1:67">
      <c r="A103" s="50">
        <f t="shared" si="122"/>
        <v>103</v>
      </c>
      <c r="E103" s="2"/>
      <c r="F103" s="60"/>
      <c r="G103" s="60"/>
      <c r="P103" s="61"/>
      <c r="Q103" s="61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76">
        <f t="shared" si="165"/>
        <v>0</v>
      </c>
      <c r="AQ103" s="61"/>
    </row>
    <row r="104" spans="1:67">
      <c r="A104" s="50">
        <f t="shared" si="122"/>
        <v>104</v>
      </c>
      <c r="D104" t="s">
        <v>107</v>
      </c>
      <c r="E104" s="2">
        <f>E71+E87+E102</f>
        <v>-186067000</v>
      </c>
      <c r="F104" s="60" t="str">
        <f>"("&amp;A$71&amp;"+"&amp;A$87&amp;"+"&amp;A$102&amp;")"</f>
        <v>(71+87+102)</v>
      </c>
      <c r="G104" s="60"/>
      <c r="H104" s="2">
        <f t="shared" ref="H104:N104" si="186">H71+H87+H102</f>
        <v>-186067000</v>
      </c>
      <c r="I104" s="2">
        <f t="shared" si="186"/>
        <v>-150259793.7526601</v>
      </c>
      <c r="J104" s="2">
        <f t="shared" si="186"/>
        <v>-26209380.171029031</v>
      </c>
      <c r="K104" s="2">
        <f t="shared" si="186"/>
        <v>0</v>
      </c>
      <c r="L104" s="2">
        <f t="shared" si="186"/>
        <v>-347392.32631897612</v>
      </c>
      <c r="M104" s="2">
        <f>M71+M87+M102</f>
        <v>-9250433.7499918994</v>
      </c>
      <c r="N104" s="2">
        <f t="shared" si="186"/>
        <v>0</v>
      </c>
      <c r="O104" s="2"/>
      <c r="P104" s="61" t="str">
        <f>"Sum("&amp;$A71&amp;","&amp;$A87&amp;","&amp;$A102&amp;")"</f>
        <v>Sum(71,87,102)</v>
      </c>
      <c r="Q104" s="61"/>
      <c r="R104" s="14">
        <f>($E71*R71+$E87*R87+$E102*R102)/$E104</f>
        <v>0.14876301289162461</v>
      </c>
      <c r="S104" s="14">
        <f t="shared" ref="S104:AH104" si="187">($E71*S71+$E87*S87+$E102*S102)/$E104</f>
        <v>1.9900990708670492E-3</v>
      </c>
      <c r="T104" s="14">
        <f t="shared" si="187"/>
        <v>9.0360701570177168E-3</v>
      </c>
      <c r="U104" s="14">
        <f t="shared" si="187"/>
        <v>6.0472161820041628E-2</v>
      </c>
      <c r="V104" s="14">
        <f t="shared" si="187"/>
        <v>0</v>
      </c>
      <c r="W104" s="14">
        <f t="shared" si="187"/>
        <v>0.27316227574261642</v>
      </c>
      <c r="X104" s="14">
        <f t="shared" si="187"/>
        <v>0</v>
      </c>
      <c r="Y104" s="14">
        <f t="shared" si="187"/>
        <v>0</v>
      </c>
      <c r="Z104" s="14">
        <f t="shared" si="187"/>
        <v>0</v>
      </c>
      <c r="AA104" s="14">
        <f t="shared" si="187"/>
        <v>0</v>
      </c>
      <c r="AB104" s="14">
        <f t="shared" si="187"/>
        <v>6.1138848664130614E-2</v>
      </c>
      <c r="AC104" s="14">
        <f t="shared" si="187"/>
        <v>0.35520549343831948</v>
      </c>
      <c r="AD104" s="14">
        <f t="shared" si="187"/>
        <v>8.3779964348920322E-2</v>
      </c>
      <c r="AE104" s="14">
        <f t="shared" si="187"/>
        <v>0</v>
      </c>
      <c r="AF104" s="14">
        <f t="shared" si="187"/>
        <v>6.4520738664620514E-3</v>
      </c>
      <c r="AG104" s="14">
        <f t="shared" si="187"/>
        <v>0</v>
      </c>
      <c r="AH104" s="14">
        <f t="shared" si="187"/>
        <v>0</v>
      </c>
      <c r="AI104" s="76">
        <f t="shared" si="165"/>
        <v>0</v>
      </c>
      <c r="AK104" s="2">
        <f>AK71+AK87+AK102</f>
        <v>-186067000</v>
      </c>
      <c r="AL104" s="2">
        <f>AL71+AL87+AL102</f>
        <v>-40983367.482800439</v>
      </c>
      <c r="AM104" s="2">
        <f>AM71+AM87+AM102</f>
        <v>-50826485.160601407</v>
      </c>
      <c r="AN104" s="2">
        <f>AN71+AN87+AN102</f>
        <v>-94257147.356598139</v>
      </c>
      <c r="AO104" s="2">
        <f>AO71+AO87+AO102</f>
        <v>0</v>
      </c>
      <c r="AP104" s="2"/>
      <c r="AQ104" s="61" t="str">
        <f>"Sum("&amp;$A71&amp;","&amp;$A87&amp;","&amp;$A102&amp;")"</f>
        <v>Sum(71,87,102)</v>
      </c>
      <c r="AS104" s="2">
        <f t="shared" ref="AS104:AY104" si="188">AS71+AS87+AS102</f>
        <v>-40983367.482800439</v>
      </c>
      <c r="AT104" s="2">
        <f t="shared" si="188"/>
        <v>-25710362.323347222</v>
      </c>
      <c r="AU104" s="2">
        <f t="shared" si="188"/>
        <v>-10591835.800741037</v>
      </c>
      <c r="AV104" s="2">
        <f t="shared" si="188"/>
        <v>0</v>
      </c>
      <c r="AW104" s="2">
        <f t="shared" si="188"/>
        <v>-165316.51640432616</v>
      </c>
      <c r="AX104" s="2">
        <f t="shared" si="188"/>
        <v>-4515852.8423078572</v>
      </c>
      <c r="AY104" s="2">
        <f t="shared" si="188"/>
        <v>0</v>
      </c>
      <c r="BA104" s="2">
        <f t="shared" ref="BA104:BG104" si="189">BA71+BA87+BA102</f>
        <v>-50826485.160601407</v>
      </c>
      <c r="BB104" s="2">
        <f t="shared" si="189"/>
        <v>-34704742.16123715</v>
      </c>
      <c r="BC104" s="2">
        <f t="shared" si="189"/>
        <v>-11746680.592880493</v>
      </c>
      <c r="BD104" s="2">
        <f t="shared" si="189"/>
        <v>0</v>
      </c>
      <c r="BE104" s="2">
        <f t="shared" si="189"/>
        <v>-147570.99965088125</v>
      </c>
      <c r="BF104" s="2">
        <f t="shared" si="189"/>
        <v>-4227491.4068328841</v>
      </c>
      <c r="BG104" s="2">
        <f t="shared" si="189"/>
        <v>0</v>
      </c>
      <c r="BI104" s="2">
        <f t="shared" ref="BI104:BO104" si="190">BI71+BI87+BI102</f>
        <v>-94257147.356598139</v>
      </c>
      <c r="BJ104" s="2">
        <f t="shared" si="190"/>
        <v>-89844689.268075719</v>
      </c>
      <c r="BK104" s="2">
        <f t="shared" si="190"/>
        <v>-3870863.7774075042</v>
      </c>
      <c r="BL104" s="2">
        <f t="shared" si="190"/>
        <v>0</v>
      </c>
      <c r="BM104" s="2">
        <f t="shared" si="190"/>
        <v>-34504.810263768777</v>
      </c>
      <c r="BN104" s="2">
        <f t="shared" si="190"/>
        <v>-507089.50085115724</v>
      </c>
      <c r="BO104" s="2">
        <f t="shared" si="190"/>
        <v>0</v>
      </c>
    </row>
    <row r="105" spans="1:67">
      <c r="A105" s="50">
        <f t="shared" si="122"/>
        <v>105</v>
      </c>
      <c r="E105" s="2"/>
      <c r="F105" s="60"/>
      <c r="G105" s="60"/>
      <c r="P105" s="61"/>
      <c r="Q105" s="6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76">
        <f t="shared" si="165"/>
        <v>0</v>
      </c>
      <c r="AQ105" s="61"/>
    </row>
    <row r="106" spans="1:67">
      <c r="A106" s="50">
        <f t="shared" si="122"/>
        <v>106</v>
      </c>
      <c r="D106" t="s">
        <v>73</v>
      </c>
      <c r="E106" s="2"/>
      <c r="F106" s="60"/>
      <c r="G106" s="60"/>
      <c r="P106" s="61"/>
      <c r="Q106" s="61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76">
        <f t="shared" si="165"/>
        <v>0</v>
      </c>
      <c r="AQ106" s="61"/>
    </row>
    <row r="107" spans="1:67">
      <c r="A107" s="50">
        <f t="shared" si="122"/>
        <v>107</v>
      </c>
      <c r="B107" s="51">
        <v>303.10000000000002</v>
      </c>
      <c r="C107" s="36" t="s">
        <v>152</v>
      </c>
      <c r="D107" s="28" t="s">
        <v>228</v>
      </c>
      <c r="E107" s="432">
        <f>PROFORMA!AV351</f>
        <v>-12626000</v>
      </c>
      <c r="F107" s="61" t="s">
        <v>1159</v>
      </c>
      <c r="G107" s="60"/>
      <c r="H107" s="2">
        <f>SUM(I107:N107)</f>
        <v>-12626000.000000002</v>
      </c>
      <c r="I107" s="2">
        <f t="shared" ref="I107:N109" si="191">$E107*SUMPRODUCT($R107:$AH107,INDEX(AllocFactors,I$4,0))</f>
        <v>-11050587.912552198</v>
      </c>
      <c r="J107" s="2">
        <f t="shared" si="191"/>
        <v>-1196952.2200105917</v>
      </c>
      <c r="K107" s="2">
        <f t="shared" si="191"/>
        <v>0</v>
      </c>
      <c r="L107" s="2">
        <f t="shared" si="191"/>
        <v>-14820.000503882004</v>
      </c>
      <c r="M107" s="2">
        <f t="shared" si="191"/>
        <v>-363639.86693332886</v>
      </c>
      <c r="N107" s="2">
        <f t="shared" si="191"/>
        <v>0</v>
      </c>
      <c r="O107" s="2"/>
      <c r="P107" s="61" t="s">
        <v>1160</v>
      </c>
      <c r="Q107" s="61"/>
      <c r="R107" s="14">
        <f>(R$116*0.25)+(R$253*0.25)+(BS$252*0.25)</f>
        <v>8.8133437743971782E-2</v>
      </c>
      <c r="S107" s="14">
        <f>(S$116*0.25)+(S$253*0.25)+(BT$252*0.25)</f>
        <v>1.48122630432825E-2</v>
      </c>
      <c r="T107" s="14">
        <f t="shared" ref="T107:AG107" si="192">(T$116*0.25)+(T$253*0.25)+(BU$252*0.25)</f>
        <v>6.2152272453224224E-3</v>
      </c>
      <c r="U107" s="14">
        <f t="shared" si="192"/>
        <v>4.15942131033116E-2</v>
      </c>
      <c r="V107" s="14">
        <f t="shared" si="192"/>
        <v>0</v>
      </c>
      <c r="W107" s="14">
        <f t="shared" si="192"/>
        <v>0.15413680450310352</v>
      </c>
      <c r="X107" s="14">
        <f t="shared" si="192"/>
        <v>0</v>
      </c>
      <c r="Y107" s="14">
        <f t="shared" si="192"/>
        <v>0</v>
      </c>
      <c r="Z107" s="14">
        <f t="shared" si="192"/>
        <v>0</v>
      </c>
      <c r="AA107" s="14">
        <f t="shared" si="192"/>
        <v>0</v>
      </c>
      <c r="AB107" s="14">
        <f>(AB$116*0.25)+(AB$253*0.25)+(CC$252*0.25)+0.25</f>
        <v>0.45505508837908676</v>
      </c>
      <c r="AC107" s="14">
        <f t="shared" si="192"/>
        <v>0.16681683403029823</v>
      </c>
      <c r="AD107" s="14">
        <f t="shared" si="192"/>
        <v>7.1278348815059178E-2</v>
      </c>
      <c r="AE107" s="14">
        <f t="shared" si="192"/>
        <v>0</v>
      </c>
      <c r="AF107" s="14">
        <f t="shared" si="192"/>
        <v>1.9577831365640468E-3</v>
      </c>
      <c r="AG107" s="14">
        <f t="shared" si="192"/>
        <v>0</v>
      </c>
      <c r="AH107" s="14">
        <f>AH$43</f>
        <v>0</v>
      </c>
      <c r="AI107" s="76">
        <f t="shared" si="165"/>
        <v>0</v>
      </c>
      <c r="AK107" s="2">
        <f>SUM(AL107:AO107)</f>
        <v>-12626000</v>
      </c>
      <c r="AL107" s="2">
        <f t="shared" ref="AL107:AO109" si="193">SUMIF($R$4:$AH$4,AL$5,$R107:$AH107)*$E107</f>
        <v>-1903434.4119817254</v>
      </c>
      <c r="AM107" s="2">
        <f t="shared" si="193"/>
        <v>-1946131.293656185</v>
      </c>
      <c r="AN107" s="2">
        <f t="shared" si="193"/>
        <v>-8776434.2943620887</v>
      </c>
      <c r="AO107" s="2">
        <f t="shared" si="193"/>
        <v>0</v>
      </c>
      <c r="AP107" s="2"/>
      <c r="AQ107" s="61" t="str">
        <f>E$1&amp;$A107&amp;"*      """</f>
        <v>E107*      "</v>
      </c>
      <c r="AS107" s="2">
        <f>SUM(AT107:AY107)</f>
        <v>-1903434.4119817256</v>
      </c>
      <c r="AT107" s="2">
        <f t="shared" ref="AT107:AY109" si="194">$E107*SUMPRODUCT($R107:$V107,INDEX(AllocFactors_E,AT$4,0))</f>
        <v>-1212808.5020040164</v>
      </c>
      <c r="AU107" s="2">
        <f t="shared" si="194"/>
        <v>-500100.03937141487</v>
      </c>
      <c r="AV107" s="2">
        <f t="shared" si="194"/>
        <v>0</v>
      </c>
      <c r="AW107" s="2">
        <f t="shared" si="194"/>
        <v>-7808.4229223187513</v>
      </c>
      <c r="AX107" s="2">
        <f t="shared" si="194"/>
        <v>-182717.44768397568</v>
      </c>
      <c r="AY107" s="2">
        <f t="shared" si="194"/>
        <v>0</v>
      </c>
      <c r="BA107" s="2">
        <f>SUM(BB107:BG107)</f>
        <v>-1946131.293656185</v>
      </c>
      <c r="BB107" s="2">
        <f t="shared" ref="BB107:BG109" si="195">$E107*SUMPRODUCT($W107:$AA107,INDEX(AllocFactors_D,BB$4,0))</f>
        <v>-1328834.4559896307</v>
      </c>
      <c r="BC107" s="2">
        <f t="shared" si="195"/>
        <v>-449776.97407471121</v>
      </c>
      <c r="BD107" s="2">
        <f t="shared" si="195"/>
        <v>0</v>
      </c>
      <c r="BE107" s="2">
        <f t="shared" si="195"/>
        <v>-5650.4505387149147</v>
      </c>
      <c r="BF107" s="2">
        <f t="shared" si="195"/>
        <v>-161869.41305312826</v>
      </c>
      <c r="BG107" s="2">
        <f t="shared" si="195"/>
        <v>0</v>
      </c>
      <c r="BI107" s="2">
        <f>SUM(BJ107:BO107)</f>
        <v>-8776434.2943620905</v>
      </c>
      <c r="BJ107" s="2">
        <f t="shared" ref="BJ107:BO109" si="196">$E107*SUMPRODUCT($AB107:$AG107,INDEX(AllocFactors_C,BJ$4,0))</f>
        <v>-8508944.9545585513</v>
      </c>
      <c r="BK107" s="2">
        <f t="shared" si="196"/>
        <v>-247075.20656446562</v>
      </c>
      <c r="BL107" s="2">
        <f t="shared" si="196"/>
        <v>0</v>
      </c>
      <c r="BM107" s="2">
        <f t="shared" si="196"/>
        <v>-1361.1270428483392</v>
      </c>
      <c r="BN107" s="2">
        <f t="shared" si="196"/>
        <v>-19053.006196224906</v>
      </c>
      <c r="BO107" s="2">
        <f t="shared" si="196"/>
        <v>0</v>
      </c>
    </row>
    <row r="108" spans="1:67">
      <c r="A108" s="50">
        <f t="shared" si="122"/>
        <v>108</v>
      </c>
      <c r="B108" s="51">
        <v>303.12</v>
      </c>
      <c r="C108" s="38" t="s">
        <v>152</v>
      </c>
      <c r="D108" s="501" t="s">
        <v>1463</v>
      </c>
      <c r="E108" s="432">
        <f>PROFORMA!AV352</f>
        <v>2716000</v>
      </c>
      <c r="F108" s="61" t="s">
        <v>1159</v>
      </c>
      <c r="G108" s="60"/>
      <c r="H108" s="2">
        <f t="shared" ref="H108:H109" si="197">SUM(I108:N108)</f>
        <v>2716000.0000000005</v>
      </c>
      <c r="I108" s="2">
        <f>$E108*SUMPRODUCT($R108:$AH108,INDEX(AllocFactors,I$4,0))</f>
        <v>2377110.4681206853</v>
      </c>
      <c r="J108" s="2">
        <f t="shared" si="191"/>
        <v>257478.39613090188</v>
      </c>
      <c r="K108" s="2">
        <f t="shared" si="191"/>
        <v>0</v>
      </c>
      <c r="L108" s="2">
        <f t="shared" si="191"/>
        <v>3187.9551218551815</v>
      </c>
      <c r="M108" s="2">
        <f t="shared" si="191"/>
        <v>78223.180626557994</v>
      </c>
      <c r="N108" s="2">
        <f t="shared" si="191"/>
        <v>0</v>
      </c>
      <c r="O108" s="2"/>
      <c r="P108" s="61" t="s">
        <v>1160</v>
      </c>
      <c r="Q108" s="61"/>
      <c r="R108" s="14">
        <f>(R$116*0.25)+(R$253*0.25)+(BS$252*0.25)</f>
        <v>8.8133437743971782E-2</v>
      </c>
      <c r="S108" s="14">
        <f>(S$116*0.25)+(S$253*0.25)+(BT$252*0.25)</f>
        <v>1.48122630432825E-2</v>
      </c>
      <c r="T108" s="14">
        <f t="shared" ref="T108" si="198">(T$116*0.25)+(T$253*0.25)+(BU$252*0.25)</f>
        <v>6.2152272453224224E-3</v>
      </c>
      <c r="U108" s="14">
        <f t="shared" ref="U108" si="199">(U$116*0.25)+(U$253*0.25)+(BV$252*0.25)</f>
        <v>4.15942131033116E-2</v>
      </c>
      <c r="V108" s="14">
        <f t="shared" ref="V108" si="200">(V$116*0.25)+(V$253*0.25)+(BW$252*0.25)</f>
        <v>0</v>
      </c>
      <c r="W108" s="14">
        <f t="shared" ref="W108" si="201">(W$116*0.25)+(W$253*0.25)+(BX$252*0.25)</f>
        <v>0.15413680450310352</v>
      </c>
      <c r="X108" s="14">
        <f t="shared" ref="X108" si="202">(X$116*0.25)+(X$253*0.25)+(BY$252*0.25)</f>
        <v>0</v>
      </c>
      <c r="Y108" s="14">
        <f t="shared" ref="Y108" si="203">(Y$116*0.25)+(Y$253*0.25)+(BZ$252*0.25)</f>
        <v>0</v>
      </c>
      <c r="Z108" s="14">
        <f t="shared" ref="Z108" si="204">(Z$116*0.25)+(Z$253*0.25)+(CA$252*0.25)</f>
        <v>0</v>
      </c>
      <c r="AA108" s="14">
        <f t="shared" ref="AA108" si="205">(AA$116*0.25)+(AA$253*0.25)+(CB$252*0.25)</f>
        <v>0</v>
      </c>
      <c r="AB108" s="14">
        <f>(AB$116*0.25)+(AB$253*0.25)+(CC$252*0.25)+0.25</f>
        <v>0.45505508837908676</v>
      </c>
      <c r="AC108" s="14">
        <f t="shared" ref="AC108" si="206">(AC$116*0.25)+(AC$253*0.25)+(CD$252*0.25)</f>
        <v>0.16681683403029823</v>
      </c>
      <c r="AD108" s="14">
        <f t="shared" ref="AD108" si="207">(AD$116*0.25)+(AD$253*0.25)+(CE$252*0.25)</f>
        <v>7.1278348815059178E-2</v>
      </c>
      <c r="AE108" s="14">
        <f t="shared" ref="AE108" si="208">(AE$116*0.25)+(AE$253*0.25)+(CF$252*0.25)</f>
        <v>0</v>
      </c>
      <c r="AF108" s="14">
        <f t="shared" ref="AF108" si="209">(AF$116*0.25)+(AF$253*0.25)+(CG$252*0.25)</f>
        <v>1.9577831365640468E-3</v>
      </c>
      <c r="AG108" s="14"/>
      <c r="AH108" s="14"/>
      <c r="AI108" s="76"/>
      <c r="AK108" s="2">
        <f t="shared" ref="AK108:AK109" si="210">SUM(AL108:AO108)</f>
        <v>2716000</v>
      </c>
      <c r="AL108" s="2">
        <f t="shared" si="193"/>
        <v>409450.96332507255</v>
      </c>
      <c r="AM108" s="2">
        <f t="shared" si="193"/>
        <v>418635.56103042915</v>
      </c>
      <c r="AN108" s="2">
        <f t="shared" si="193"/>
        <v>1887913.4756444984</v>
      </c>
      <c r="AO108" s="2">
        <f t="shared" si="193"/>
        <v>0</v>
      </c>
      <c r="AP108" s="2"/>
      <c r="AQ108" s="61" t="str">
        <f>E$1&amp;$A108&amp;"*      """</f>
        <v>E108*      "</v>
      </c>
      <c r="AS108" s="2">
        <f t="shared" ref="AS108:AS109" si="211">SUM(AT108:AY108)</f>
        <v>409450.96332507266</v>
      </c>
      <c r="AT108" s="2">
        <f t="shared" si="194"/>
        <v>260889.26749904235</v>
      </c>
      <c r="AU108" s="2">
        <f t="shared" si="194"/>
        <v>107577.35679809621</v>
      </c>
      <c r="AV108" s="2">
        <f t="shared" si="194"/>
        <v>0</v>
      </c>
      <c r="AW108" s="2">
        <f t="shared" si="194"/>
        <v>1679.6829286407199</v>
      </c>
      <c r="AX108" s="2">
        <f t="shared" si="194"/>
        <v>39304.656099293359</v>
      </c>
      <c r="AY108" s="2"/>
      <c r="BA108" s="2">
        <f>SUM(BB108:BG108)</f>
        <v>418635.56103042915</v>
      </c>
      <c r="BB108" s="2">
        <f t="shared" si="195"/>
        <v>285847.80472579098</v>
      </c>
      <c r="BC108" s="2">
        <f t="shared" si="195"/>
        <v>96752.277965065383</v>
      </c>
      <c r="BD108" s="2">
        <f t="shared" si="195"/>
        <v>0</v>
      </c>
      <c r="BE108" s="2">
        <f t="shared" si="195"/>
        <v>1215.4778760612789</v>
      </c>
      <c r="BF108" s="2">
        <f t="shared" si="195"/>
        <v>34820.000463511511</v>
      </c>
      <c r="BG108" s="2"/>
      <c r="BI108" s="2">
        <f>SUM(BJ108:BO108)</f>
        <v>1887913.4756444986</v>
      </c>
      <c r="BJ108" s="2">
        <f t="shared" si="196"/>
        <v>1830373.3958958518</v>
      </c>
      <c r="BK108" s="2">
        <f t="shared" si="196"/>
        <v>53148.76136774027</v>
      </c>
      <c r="BL108" s="2">
        <f t="shared" si="196"/>
        <v>0</v>
      </c>
      <c r="BM108" s="2">
        <f t="shared" si="196"/>
        <v>292.7943171531831</v>
      </c>
      <c r="BN108" s="2">
        <f t="shared" si="196"/>
        <v>4098.524063753116</v>
      </c>
      <c r="BO108" s="2"/>
    </row>
    <row r="109" spans="1:67">
      <c r="A109" s="50">
        <f t="shared" si="122"/>
        <v>109</v>
      </c>
      <c r="B109" s="51">
        <v>303</v>
      </c>
      <c r="C109" s="36" t="s">
        <v>155</v>
      </c>
      <c r="D109" s="28" t="s">
        <v>279</v>
      </c>
      <c r="E109" s="432">
        <f>PROFORMA!AV353</f>
        <v>-768000</v>
      </c>
      <c r="F109" s="60" t="s">
        <v>421</v>
      </c>
      <c r="G109" s="60"/>
      <c r="H109" s="2">
        <f t="shared" si="197"/>
        <v>-767999.99999999988</v>
      </c>
      <c r="I109" s="2">
        <f t="shared" si="191"/>
        <v>-608597.48999185523</v>
      </c>
      <c r="J109" s="2">
        <f t="shared" si="191"/>
        <v>-112715.02745231171</v>
      </c>
      <c r="K109" s="2">
        <f t="shared" si="191"/>
        <v>0</v>
      </c>
      <c r="L109" s="2">
        <f t="shared" si="191"/>
        <v>-1487.4478827385626</v>
      </c>
      <c r="M109" s="2">
        <f t="shared" si="191"/>
        <v>-45200.034673094437</v>
      </c>
      <c r="N109" s="2">
        <f t="shared" si="191"/>
        <v>0</v>
      </c>
      <c r="O109" s="2"/>
      <c r="P109" s="61" t="str">
        <f>E$1&amp;$A109&amp;"*     """</f>
        <v>E109*     "</v>
      </c>
      <c r="Q109" s="61"/>
      <c r="R109" s="14">
        <f>R$41</f>
        <v>0.18032917602090978</v>
      </c>
      <c r="S109" s="14">
        <f t="shared" ref="S109:AH109" si="212">S$41</f>
        <v>0</v>
      </c>
      <c r="T109" s="14">
        <f t="shared" si="212"/>
        <v>0</v>
      </c>
      <c r="U109" s="14">
        <f t="shared" si="212"/>
        <v>0</v>
      </c>
      <c r="V109" s="14">
        <f t="shared" si="212"/>
        <v>0</v>
      </c>
      <c r="W109" s="14">
        <f t="shared" si="212"/>
        <v>0.33248662332325996</v>
      </c>
      <c r="X109" s="14">
        <f t="shared" si="212"/>
        <v>0</v>
      </c>
      <c r="Y109" s="14">
        <f t="shared" si="212"/>
        <v>0</v>
      </c>
      <c r="Z109" s="14">
        <f t="shared" si="212"/>
        <v>0</v>
      </c>
      <c r="AA109" s="14">
        <f t="shared" si="212"/>
        <v>0</v>
      </c>
      <c r="AB109" s="14">
        <f t="shared" si="212"/>
        <v>0</v>
      </c>
      <c r="AC109" s="14">
        <f t="shared" si="212"/>
        <v>0.34784812665025233</v>
      </c>
      <c r="AD109" s="14">
        <f t="shared" si="212"/>
        <v>0.13399956178953271</v>
      </c>
      <c r="AE109" s="14">
        <f t="shared" si="212"/>
        <v>0</v>
      </c>
      <c r="AF109" s="14">
        <f t="shared" si="212"/>
        <v>5.3365122160451877E-3</v>
      </c>
      <c r="AG109" s="14">
        <f t="shared" si="212"/>
        <v>0</v>
      </c>
      <c r="AH109" s="14">
        <f t="shared" si="212"/>
        <v>0</v>
      </c>
      <c r="AI109" s="76">
        <f t="shared" si="165"/>
        <v>0</v>
      </c>
      <c r="AK109" s="2">
        <f t="shared" si="210"/>
        <v>-768000</v>
      </c>
      <c r="AL109" s="2">
        <f t="shared" si="193"/>
        <v>-138492.80718405871</v>
      </c>
      <c r="AM109" s="2">
        <f t="shared" si="193"/>
        <v>-255349.72671226365</v>
      </c>
      <c r="AN109" s="2">
        <f t="shared" si="193"/>
        <v>-374157.46610367764</v>
      </c>
      <c r="AO109" s="2">
        <f t="shared" si="193"/>
        <v>0</v>
      </c>
      <c r="AP109" s="2"/>
      <c r="AQ109" s="61" t="str">
        <f>E$1&amp;$A109&amp;"*      """</f>
        <v>E109*      "</v>
      </c>
      <c r="AS109" s="2">
        <f t="shared" si="211"/>
        <v>-138492.80718405871</v>
      </c>
      <c r="AT109" s="2">
        <f t="shared" si="194"/>
        <v>-80263.002375959841</v>
      </c>
      <c r="AU109" s="2">
        <f t="shared" si="194"/>
        <v>-35962.910992287354</v>
      </c>
      <c r="AV109" s="2">
        <f t="shared" si="194"/>
        <v>0</v>
      </c>
      <c r="AW109" s="2">
        <f t="shared" si="194"/>
        <v>-579.49414255256454</v>
      </c>
      <c r="AX109" s="2">
        <f t="shared" si="194"/>
        <v>-21687.399673258969</v>
      </c>
      <c r="AY109" s="2">
        <f t="shared" si="194"/>
        <v>0</v>
      </c>
      <c r="BA109" s="2">
        <f t="shared" ref="BA109" si="213">SUM(BB109:BG109)</f>
        <v>-255349.72671226365</v>
      </c>
      <c r="BB109" s="2">
        <f t="shared" si="195"/>
        <v>-174354.89388042156</v>
      </c>
      <c r="BC109" s="2">
        <f t="shared" si="195"/>
        <v>-59014.737487560567</v>
      </c>
      <c r="BD109" s="2">
        <f t="shared" si="195"/>
        <v>0</v>
      </c>
      <c r="BE109" s="2">
        <f t="shared" si="195"/>
        <v>-741.38934282864329</v>
      </c>
      <c r="BF109" s="2">
        <f t="shared" si="195"/>
        <v>-21238.706001452854</v>
      </c>
      <c r="BG109" s="2">
        <f t="shared" si="195"/>
        <v>0</v>
      </c>
      <c r="BI109" s="2">
        <f>SUM(BJ109:BO109)</f>
        <v>-374157.46610367764</v>
      </c>
      <c r="BJ109" s="2">
        <f t="shared" si="196"/>
        <v>-353979.59373547381</v>
      </c>
      <c r="BK109" s="2">
        <f t="shared" si="196"/>
        <v>-17737.378972463812</v>
      </c>
      <c r="BL109" s="2">
        <f t="shared" si="196"/>
        <v>0</v>
      </c>
      <c r="BM109" s="2">
        <f t="shared" si="196"/>
        <v>-166.56439735735452</v>
      </c>
      <c r="BN109" s="2">
        <f t="shared" si="196"/>
        <v>-2273.928998382617</v>
      </c>
      <c r="BO109" s="2">
        <f t="shared" si="196"/>
        <v>0</v>
      </c>
    </row>
    <row r="110" spans="1:67">
      <c r="A110" s="50">
        <f t="shared" si="122"/>
        <v>110</v>
      </c>
      <c r="D110" s="52" t="s">
        <v>108</v>
      </c>
      <c r="E110" s="4">
        <f>SUM(E106:E109)</f>
        <v>-10678000</v>
      </c>
      <c r="F110" s="60"/>
      <c r="G110" s="60"/>
      <c r="H110" s="4">
        <f>IF(ROUND(SUM(H106:H109),3)&lt;&gt;ROUND(SUM(I110:N110),3),#VALUE!,SUM(H106:H109))</f>
        <v>-10678000.000000002</v>
      </c>
      <c r="I110" s="4">
        <f>SUM(I106:I109)</f>
        <v>-9282074.9344233684</v>
      </c>
      <c r="J110" s="4">
        <f t="shared" ref="J110:N110" si="214">SUM(J106:J109)</f>
        <v>-1052188.8513320014</v>
      </c>
      <c r="K110" s="4">
        <f t="shared" si="214"/>
        <v>0</v>
      </c>
      <c r="L110" s="4">
        <f t="shared" si="214"/>
        <v>-13119.493264765386</v>
      </c>
      <c r="M110" s="4">
        <f t="shared" si="214"/>
        <v>-330616.72097986535</v>
      </c>
      <c r="N110" s="4">
        <f t="shared" si="214"/>
        <v>0</v>
      </c>
      <c r="O110" s="5"/>
      <c r="P110" s="61" t="str">
        <f>$A106&amp;":"&amp;$A109</f>
        <v>106:109</v>
      </c>
      <c r="Q110" s="61"/>
      <c r="R110" s="16">
        <f>SUMPRODUCT($E107:$E109,R107:R109)/$E110</f>
        <v>9.4764485411764285E-2</v>
      </c>
      <c r="S110" s="16">
        <f t="shared" ref="S110:AH110" si="215">SUMPRODUCT($E107:$E109,S107:S109)/$E110</f>
        <v>1.3746912039607564E-2</v>
      </c>
      <c r="T110" s="16">
        <f t="shared" si="215"/>
        <v>5.7682058438982197E-3</v>
      </c>
      <c r="U110" s="16">
        <f t="shared" si="215"/>
        <v>3.8602608339934251E-2</v>
      </c>
      <c r="V110" s="16">
        <f t="shared" si="215"/>
        <v>0</v>
      </c>
      <c r="W110" s="16">
        <f t="shared" si="215"/>
        <v>0.16696436217812508</v>
      </c>
      <c r="X110" s="16">
        <f t="shared" si="215"/>
        <v>0</v>
      </c>
      <c r="Y110" s="16">
        <f t="shared" si="215"/>
        <v>0</v>
      </c>
      <c r="Z110" s="16">
        <f t="shared" si="215"/>
        <v>0</v>
      </c>
      <c r="AA110" s="16">
        <f t="shared" si="215"/>
        <v>0</v>
      </c>
      <c r="AB110" s="16">
        <f t="shared" si="215"/>
        <v>0.42232589678186461</v>
      </c>
      <c r="AC110" s="16">
        <f t="shared" si="215"/>
        <v>0.17983725290388175</v>
      </c>
      <c r="AD110" s="16">
        <f t="shared" si="215"/>
        <v>7.5789483069076388E-2</v>
      </c>
      <c r="AE110" s="16">
        <f t="shared" si="215"/>
        <v>0</v>
      </c>
      <c r="AF110" s="16">
        <f t="shared" si="215"/>
        <v>2.2007934318479497E-3</v>
      </c>
      <c r="AG110" s="16">
        <f t="shared" si="215"/>
        <v>0</v>
      </c>
      <c r="AH110" s="16">
        <f t="shared" si="215"/>
        <v>0</v>
      </c>
      <c r="AI110" s="76">
        <f t="shared" si="165"/>
        <v>0</v>
      </c>
      <c r="AK110" s="4">
        <f>IF(ROUND(SUM(AK106:AK109),3)&lt;&gt;ROUND(SUM(AL110:AO110),3),#VALUE!,SUM(AK106:AK109))</f>
        <v>-10678000</v>
      </c>
      <c r="AL110" s="4">
        <f>SUM(AL106:AL109)</f>
        <v>-1632476.2558407115</v>
      </c>
      <c r="AM110" s="4">
        <f>SUM(AM106:AM109)</f>
        <v>-1782845.4593380196</v>
      </c>
      <c r="AN110" s="4">
        <f>SUM(AN106:AN109)</f>
        <v>-7262678.2848212682</v>
      </c>
      <c r="AO110" s="4">
        <f>SUM(AO106:AO109)</f>
        <v>0</v>
      </c>
      <c r="AP110" s="5"/>
      <c r="AQ110" s="61" t="str">
        <f>$A106&amp;":"&amp;$A109</f>
        <v>106:109</v>
      </c>
      <c r="AS110" s="4">
        <f>IF(ROUND(SUM(AS106:AS109),3)&lt;&gt;ROUND(SUM(AT110:AY110),3),#VALUE!,SUM(AS106:AS109))</f>
        <v>-1632476.2558407118</v>
      </c>
      <c r="AT110" s="4">
        <f t="shared" ref="AT110:AY110" si="216">SUM(AT106:AT109)</f>
        <v>-1032182.236880934</v>
      </c>
      <c r="AU110" s="4">
        <f t="shared" si="216"/>
        <v>-428485.59356560599</v>
      </c>
      <c r="AV110" s="4">
        <f t="shared" si="216"/>
        <v>0</v>
      </c>
      <c r="AW110" s="4">
        <f t="shared" si="216"/>
        <v>-6708.2341362305961</v>
      </c>
      <c r="AX110" s="4">
        <f t="shared" si="216"/>
        <v>-165100.1912579413</v>
      </c>
      <c r="AY110" s="4">
        <f t="shared" si="216"/>
        <v>0</v>
      </c>
      <c r="BA110" s="4">
        <f>IF(ROUND(SUM(BA106:BA109),3)&lt;&gt;ROUND(SUM(BB110:BG110),3),#VALUE!,SUM(BA106:BA109))</f>
        <v>-1782845.4593380196</v>
      </c>
      <c r="BB110" s="4">
        <f t="shared" ref="BB110:BG110" si="217">SUM(BB106:BB109)</f>
        <v>-1217341.5451442613</v>
      </c>
      <c r="BC110" s="4">
        <f t="shared" si="217"/>
        <v>-412039.43359720637</v>
      </c>
      <c r="BD110" s="4">
        <f t="shared" si="217"/>
        <v>0</v>
      </c>
      <c r="BE110" s="4">
        <f t="shared" si="217"/>
        <v>-5176.3620054822786</v>
      </c>
      <c r="BF110" s="4">
        <f t="shared" si="217"/>
        <v>-148288.11859106959</v>
      </c>
      <c r="BG110" s="4">
        <f t="shared" si="217"/>
        <v>0</v>
      </c>
      <c r="BI110" s="4">
        <f>IF(ROUND(SUM(BI106:BI109),3)&lt;&gt;ROUND(SUM(BJ110:BO110),3),#VALUE!,SUM(BI106:BI109))</f>
        <v>-7262678.2848212691</v>
      </c>
      <c r="BJ110" s="4">
        <f t="shared" ref="BJ110:BO110" si="218">SUM(BJ106:BJ109)</f>
        <v>-7032551.1523981737</v>
      </c>
      <c r="BK110" s="4">
        <f t="shared" si="218"/>
        <v>-211663.82416918917</v>
      </c>
      <c r="BL110" s="4">
        <f t="shared" si="218"/>
        <v>0</v>
      </c>
      <c r="BM110" s="4">
        <f t="shared" si="218"/>
        <v>-1234.8971230525106</v>
      </c>
      <c r="BN110" s="4">
        <f t="shared" si="218"/>
        <v>-17228.411130854405</v>
      </c>
      <c r="BO110" s="4">
        <f t="shared" si="218"/>
        <v>0</v>
      </c>
    </row>
    <row r="111" spans="1:67">
      <c r="A111" s="50">
        <f t="shared" si="122"/>
        <v>111</v>
      </c>
      <c r="E111" s="2"/>
      <c r="F111" s="60"/>
      <c r="G111" s="60"/>
      <c r="P111" s="61"/>
      <c r="Q111" s="6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76">
        <f t="shared" si="165"/>
        <v>0</v>
      </c>
      <c r="AQ111" s="61"/>
    </row>
    <row r="112" spans="1:67">
      <c r="A112" s="50">
        <f t="shared" si="122"/>
        <v>112</v>
      </c>
      <c r="C112" s="37"/>
      <c r="D112" s="17" t="s">
        <v>229</v>
      </c>
      <c r="E112" s="2">
        <f>E104+E110</f>
        <v>-196745000</v>
      </c>
      <c r="F112" s="60" t="str">
        <f>"("&amp;A$104&amp;"+"&amp;A$110&amp;")"</f>
        <v>(104+110)</v>
      </c>
      <c r="G112" s="60"/>
      <c r="H112" s="2">
        <f t="shared" ref="H112:N112" si="219">H104+H110</f>
        <v>-196745000</v>
      </c>
      <c r="I112" s="2">
        <f t="shared" si="219"/>
        <v>-159541868.68708345</v>
      </c>
      <c r="J112" s="2">
        <f t="shared" si="219"/>
        <v>-27261569.022361033</v>
      </c>
      <c r="K112" s="2">
        <f t="shared" si="219"/>
        <v>0</v>
      </c>
      <c r="L112" s="2">
        <f t="shared" si="219"/>
        <v>-360511.81958374148</v>
      </c>
      <c r="M112" s="2">
        <f>M104+M110</f>
        <v>-9581050.470971765</v>
      </c>
      <c r="N112" s="2">
        <f t="shared" si="219"/>
        <v>0</v>
      </c>
      <c r="O112" s="2"/>
      <c r="P112" s="61" t="str">
        <f>$A104&amp;"+"&amp;$A110</f>
        <v>104+110</v>
      </c>
      <c r="Q112" s="61"/>
      <c r="R112" s="14">
        <f>($E104*R104+$E110*R110)/$E112</f>
        <v>0.14583233472226861</v>
      </c>
      <c r="S112" s="14">
        <f t="shared" ref="S112:AH112" si="220">($E104*S104+$E110*S110)/$E112</f>
        <v>2.628180083752821E-3</v>
      </c>
      <c r="T112" s="14">
        <f t="shared" si="220"/>
        <v>8.8587123835775286E-3</v>
      </c>
      <c r="U112" s="14">
        <f t="shared" si="220"/>
        <v>5.928522902855729E-2</v>
      </c>
      <c r="V112" s="14">
        <f t="shared" si="220"/>
        <v>0</v>
      </c>
      <c r="W112" s="14">
        <f t="shared" si="220"/>
        <v>0.26739856474085455</v>
      </c>
      <c r="X112" s="14">
        <f t="shared" si="220"/>
        <v>0</v>
      </c>
      <c r="Y112" s="14">
        <f t="shared" si="220"/>
        <v>0</v>
      </c>
      <c r="Z112" s="14">
        <f t="shared" si="220"/>
        <v>0</v>
      </c>
      <c r="AA112" s="14">
        <f t="shared" si="220"/>
        <v>0</v>
      </c>
      <c r="AB112" s="14">
        <f t="shared" si="220"/>
        <v>8.0741660932809184E-2</v>
      </c>
      <c r="AC112" s="14">
        <f t="shared" si="220"/>
        <v>0.34568768067343741</v>
      </c>
      <c r="AD112" s="14">
        <f t="shared" si="220"/>
        <v>8.3346294577865535E-2</v>
      </c>
      <c r="AE112" s="14">
        <f t="shared" si="220"/>
        <v>0</v>
      </c>
      <c r="AF112" s="14">
        <f t="shared" si="220"/>
        <v>6.2213428568770081E-3</v>
      </c>
      <c r="AG112" s="14">
        <f t="shared" si="220"/>
        <v>0</v>
      </c>
      <c r="AH112" s="14">
        <f t="shared" si="220"/>
        <v>0</v>
      </c>
      <c r="AI112" s="76">
        <f t="shared" si="165"/>
        <v>0</v>
      </c>
      <c r="AK112" s="2">
        <f>AK104+AK110</f>
        <v>-196745000</v>
      </c>
      <c r="AL112" s="2">
        <f>AL104+AL110</f>
        <v>-42615843.73864115</v>
      </c>
      <c r="AM112" s="2">
        <f>AM104+AM110</f>
        <v>-52609330.619939424</v>
      </c>
      <c r="AN112" s="2">
        <f>AN104+AN110</f>
        <v>-101519825.64141941</v>
      </c>
      <c r="AO112" s="2">
        <f>AO104+AO110</f>
        <v>0</v>
      </c>
      <c r="AP112" s="2"/>
      <c r="AQ112" s="61" t="str">
        <f>$A104&amp;"+"&amp;$A110</f>
        <v>104+110</v>
      </c>
      <c r="AS112" s="2">
        <f t="shared" ref="AS112:AY112" si="221">AS104+AS110</f>
        <v>-42615843.73864115</v>
      </c>
      <c r="AT112" s="2">
        <f t="shared" si="221"/>
        <v>-26742544.560228158</v>
      </c>
      <c r="AU112" s="2">
        <f t="shared" si="221"/>
        <v>-11020321.394306643</v>
      </c>
      <c r="AV112" s="2">
        <f t="shared" si="221"/>
        <v>0</v>
      </c>
      <c r="AW112" s="2">
        <f t="shared" si="221"/>
        <v>-172024.75054055676</v>
      </c>
      <c r="AX112" s="2">
        <f t="shared" si="221"/>
        <v>-4680953.0335657988</v>
      </c>
      <c r="AY112" s="2">
        <f t="shared" si="221"/>
        <v>0</v>
      </c>
      <c r="BA112" s="2">
        <f t="shared" ref="BA112:BG112" si="222">BA104+BA110</f>
        <v>-52609330.619939424</v>
      </c>
      <c r="BB112" s="2">
        <f t="shared" si="222"/>
        <v>-35922083.70638141</v>
      </c>
      <c r="BC112" s="2">
        <f t="shared" si="222"/>
        <v>-12158720.0264777</v>
      </c>
      <c r="BD112" s="2">
        <f t="shared" si="222"/>
        <v>0</v>
      </c>
      <c r="BE112" s="2">
        <f t="shared" si="222"/>
        <v>-152747.36165636353</v>
      </c>
      <c r="BF112" s="2">
        <f t="shared" si="222"/>
        <v>-4375779.5254239533</v>
      </c>
      <c r="BG112" s="2">
        <f t="shared" si="222"/>
        <v>0</v>
      </c>
      <c r="BI112" s="2">
        <f t="shared" ref="BI112:BO112" si="223">BI104+BI110</f>
        <v>-101519825.64141941</v>
      </c>
      <c r="BJ112" s="2">
        <f t="shared" si="223"/>
        <v>-96877240.420473889</v>
      </c>
      <c r="BK112" s="2">
        <f t="shared" si="223"/>
        <v>-4082527.6015766934</v>
      </c>
      <c r="BL112" s="2">
        <f t="shared" si="223"/>
        <v>0</v>
      </c>
      <c r="BM112" s="2">
        <f t="shared" si="223"/>
        <v>-35739.70738682129</v>
      </c>
      <c r="BN112" s="2">
        <f t="shared" si="223"/>
        <v>-524317.91198201163</v>
      </c>
      <c r="BO112" s="2">
        <f t="shared" si="223"/>
        <v>0</v>
      </c>
    </row>
    <row r="113" spans="1:85">
      <c r="A113" s="50">
        <f t="shared" si="122"/>
        <v>113</v>
      </c>
      <c r="E113" s="2"/>
      <c r="F113" s="60"/>
      <c r="G113" s="60"/>
      <c r="H113" s="2"/>
      <c r="I113" s="2"/>
      <c r="J113" s="2"/>
      <c r="K113" s="2"/>
      <c r="L113" s="2"/>
      <c r="M113" s="2"/>
      <c r="N113" s="2"/>
      <c r="O113" s="2"/>
      <c r="P113" s="61"/>
      <c r="Q113" s="61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76">
        <f t="shared" si="165"/>
        <v>0</v>
      </c>
      <c r="AK113" s="2"/>
      <c r="AL113" s="2"/>
      <c r="AM113" s="2"/>
      <c r="AN113" s="2"/>
      <c r="AO113" s="2"/>
      <c r="AP113" s="2"/>
      <c r="AQ113" s="61"/>
      <c r="AS113" s="2"/>
      <c r="AT113" s="2"/>
      <c r="AU113" s="2"/>
      <c r="AV113" s="2"/>
      <c r="AW113" s="2"/>
      <c r="AX113" s="2"/>
      <c r="AY113" s="2"/>
      <c r="BA113" s="2"/>
      <c r="BB113" s="2"/>
      <c r="BC113" s="2"/>
      <c r="BD113" s="2"/>
      <c r="BE113" s="2"/>
      <c r="BF113" s="2"/>
      <c r="BG113" s="2"/>
      <c r="BI113" s="2"/>
      <c r="BJ113" s="2"/>
      <c r="BK113" s="2"/>
      <c r="BL113" s="2"/>
      <c r="BM113" s="2"/>
      <c r="BN113" s="2"/>
      <c r="BO113" s="2"/>
    </row>
    <row r="114" spans="1:85">
      <c r="A114" s="50">
        <f t="shared" si="122"/>
        <v>114</v>
      </c>
      <c r="C114" s="37"/>
      <c r="D114" s="1" t="s">
        <v>109</v>
      </c>
      <c r="E114" s="2">
        <f>E58+E112</f>
        <v>533289000</v>
      </c>
      <c r="F114" s="60" t="str">
        <f>"("&amp;A$58&amp;"+"&amp;A$112&amp;")"</f>
        <v>(58+112)</v>
      </c>
      <c r="G114" s="60" t="s">
        <v>422</v>
      </c>
      <c r="H114" s="2">
        <f>H58+H112</f>
        <v>533288999.99999988</v>
      </c>
      <c r="I114" s="2">
        <f t="shared" ref="I114:N114" si="224">I58+I112</f>
        <v>429832865.10512006</v>
      </c>
      <c r="J114" s="2">
        <f t="shared" si="224"/>
        <v>75193489.058867276</v>
      </c>
      <c r="K114" s="2">
        <f t="shared" si="224"/>
        <v>0</v>
      </c>
      <c r="L114" s="2">
        <f t="shared" si="224"/>
        <v>989899.70224609156</v>
      </c>
      <c r="M114" s="2">
        <f>M58+M112</f>
        <v>27272746.133766517</v>
      </c>
      <c r="N114" s="2">
        <f t="shared" si="224"/>
        <v>0</v>
      </c>
      <c r="O114" s="2"/>
      <c r="P114" s="61" t="str">
        <f>$A58&amp;"+"&amp;$A112</f>
        <v>58+112</v>
      </c>
      <c r="Q114" s="61"/>
      <c r="R114" s="14">
        <f>($E58*R58+$E112*R112)/$E114</f>
        <v>0.15535044761143227</v>
      </c>
      <c r="S114" s="14">
        <f t="shared" ref="S114:AH114" si="225">($E58*S58+$E112*S112)/$E114</f>
        <v>3.3630057942646515E-3</v>
      </c>
      <c r="T114" s="14">
        <f t="shared" si="225"/>
        <v>6.2909107437738128E-3</v>
      </c>
      <c r="U114" s="14">
        <f t="shared" si="225"/>
        <v>4.2100710362178613E-2</v>
      </c>
      <c r="V114" s="14">
        <f t="shared" si="225"/>
        <v>0</v>
      </c>
      <c r="W114" s="14">
        <f t="shared" si="225"/>
        <v>0.28453302468804215</v>
      </c>
      <c r="X114" s="14">
        <f t="shared" si="225"/>
        <v>0</v>
      </c>
      <c r="Y114" s="14">
        <f t="shared" si="225"/>
        <v>0</v>
      </c>
      <c r="Z114" s="14">
        <f t="shared" si="225"/>
        <v>0</v>
      </c>
      <c r="AA114" s="14">
        <f t="shared" si="225"/>
        <v>0</v>
      </c>
      <c r="AB114" s="14">
        <f t="shared" si="225"/>
        <v>0.10331661640471008</v>
      </c>
      <c r="AC114" s="14">
        <f t="shared" si="225"/>
        <v>0.27497972426543221</v>
      </c>
      <c r="AD114" s="14">
        <f t="shared" si="225"/>
        <v>0.1263615463868315</v>
      </c>
      <c r="AE114" s="14">
        <f t="shared" si="225"/>
        <v>0</v>
      </c>
      <c r="AF114" s="14">
        <f t="shared" si="225"/>
        <v>3.7040137433347205E-3</v>
      </c>
      <c r="AG114" s="14">
        <f t="shared" si="225"/>
        <v>0</v>
      </c>
      <c r="AH114" s="14">
        <f t="shared" si="225"/>
        <v>0</v>
      </c>
      <c r="AI114" s="76">
        <f t="shared" si="165"/>
        <v>0</v>
      </c>
      <c r="AK114" s="2">
        <f>AK58+AK112</f>
        <v>533289000</v>
      </c>
      <c r="AL114" s="2">
        <f>AL58+AL112</f>
        <v>110446858.08124298</v>
      </c>
      <c r="AM114" s="2">
        <f>AM58+AM112</f>
        <v>151738332.20286134</v>
      </c>
      <c r="AN114" s="2">
        <f>AN58+AN112</f>
        <v>271103809.71589571</v>
      </c>
      <c r="AO114" s="2">
        <f>AO58+AO112</f>
        <v>0</v>
      </c>
      <c r="AP114" s="2"/>
      <c r="AQ114" s="61" t="str">
        <f>$A58&amp;"+"&amp;$A112</f>
        <v>58+112</v>
      </c>
      <c r="AS114" s="2">
        <f t="shared" ref="AS114:AY114" si="226">AS58+AS112</f>
        <v>110446858.08124298</v>
      </c>
      <c r="AT114" s="2">
        <f t="shared" si="226"/>
        <v>68030719.863042355</v>
      </c>
      <c r="AU114" s="2">
        <f t="shared" si="226"/>
        <v>28630282.73208043</v>
      </c>
      <c r="AV114" s="2">
        <f t="shared" si="226"/>
        <v>0</v>
      </c>
      <c r="AW114" s="2">
        <f t="shared" si="226"/>
        <v>450649.90641680581</v>
      </c>
      <c r="AX114" s="2">
        <f t="shared" si="226"/>
        <v>13335205.579703366</v>
      </c>
      <c r="AY114" s="2">
        <f t="shared" si="226"/>
        <v>0</v>
      </c>
      <c r="BA114" s="2">
        <f t="shared" ref="BA114:BG114" si="227">BA58+BA112</f>
        <v>151738332.20286134</v>
      </c>
      <c r="BB114" s="2">
        <f t="shared" si="227"/>
        <v>103608181.41244334</v>
      </c>
      <c r="BC114" s="2">
        <f t="shared" si="227"/>
        <v>35068758.275361985</v>
      </c>
      <c r="BD114" s="2">
        <f t="shared" si="227"/>
        <v>0</v>
      </c>
      <c r="BE114" s="2">
        <f t="shared" si="227"/>
        <v>440561.20146374468</v>
      </c>
      <c r="BF114" s="2">
        <f t="shared" si="227"/>
        <v>12620831.313592238</v>
      </c>
      <c r="BG114" s="2">
        <f t="shared" si="227"/>
        <v>0</v>
      </c>
      <c r="BI114" s="2">
        <f t="shared" ref="BI114:BO114" si="228">BI58+BI112</f>
        <v>271103809.71589571</v>
      </c>
      <c r="BJ114" s="2">
        <f t="shared" si="228"/>
        <v>258193963.82963443</v>
      </c>
      <c r="BK114" s="2">
        <f t="shared" si="228"/>
        <v>11494448.051424848</v>
      </c>
      <c r="BL114" s="2">
        <f t="shared" si="228"/>
        <v>0</v>
      </c>
      <c r="BM114" s="2">
        <f t="shared" si="228"/>
        <v>98688.594365541168</v>
      </c>
      <c r="BN114" s="2">
        <f t="shared" si="228"/>
        <v>1316709.2404709216</v>
      </c>
      <c r="BO114" s="2">
        <f t="shared" si="228"/>
        <v>0</v>
      </c>
    </row>
    <row r="115" spans="1:85">
      <c r="C115" s="37"/>
      <c r="D115" s="1"/>
      <c r="E115" s="2"/>
      <c r="F115" s="60"/>
      <c r="G115" s="60"/>
      <c r="H115" s="2"/>
      <c r="I115" s="2"/>
      <c r="J115" s="2"/>
      <c r="K115" s="2"/>
      <c r="L115" s="2"/>
      <c r="M115" s="2"/>
      <c r="N115" s="2"/>
      <c r="O115" s="2"/>
      <c r="P115" s="61"/>
      <c r="Q115" s="61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76"/>
      <c r="AK115" s="2"/>
      <c r="AL115" s="2"/>
      <c r="AM115" s="2"/>
      <c r="AN115" s="2"/>
      <c r="AO115" s="2"/>
      <c r="AP115" s="2"/>
      <c r="AQ115" s="61"/>
      <c r="AS115" s="2"/>
      <c r="AT115" s="2"/>
      <c r="AU115" s="2"/>
      <c r="AV115" s="2"/>
      <c r="AW115" s="2"/>
      <c r="AX115" s="2"/>
      <c r="AY115" s="2"/>
      <c r="BA115" s="2"/>
      <c r="BB115" s="2"/>
      <c r="BC115" s="2"/>
      <c r="BD115" s="2"/>
      <c r="BE115" s="2"/>
      <c r="BF115" s="2"/>
      <c r="BG115" s="2"/>
      <c r="BI115" s="2"/>
      <c r="BJ115" s="2"/>
      <c r="BK115" s="2"/>
      <c r="BL115" s="2"/>
      <c r="BM115" s="2"/>
      <c r="BN115" s="2"/>
      <c r="BO115" s="2"/>
    </row>
    <row r="116" spans="1:85">
      <c r="A116" s="50">
        <f>RowHdr</f>
        <v>116</v>
      </c>
      <c r="B116" s="51"/>
      <c r="D116" t="s">
        <v>1152</v>
      </c>
      <c r="E116" s="2">
        <f>E43+E89</f>
        <v>410456000</v>
      </c>
      <c r="F116" s="60" t="str">
        <f>"("&amp;A$24&amp;"+"&amp;A$41&amp;")"</f>
        <v>(24+41)</v>
      </c>
      <c r="G116" s="60" t="s">
        <v>404</v>
      </c>
      <c r="H116" s="2">
        <f t="shared" ref="H116:N116" si="229">H43+H89</f>
        <v>410455999.99999988</v>
      </c>
      <c r="I116" s="2">
        <f t="shared" si="229"/>
        <v>322471577.58589399</v>
      </c>
      <c r="J116" s="2">
        <f t="shared" si="229"/>
        <v>63457704.018423304</v>
      </c>
      <c r="K116" s="2">
        <f t="shared" si="229"/>
        <v>0</v>
      </c>
      <c r="L116" s="2">
        <f t="shared" si="229"/>
        <v>844383.87752426276</v>
      </c>
      <c r="M116" s="2">
        <f t="shared" si="229"/>
        <v>23682334.518158369</v>
      </c>
      <c r="N116" s="2">
        <f t="shared" si="229"/>
        <v>0</v>
      </c>
      <c r="O116" s="2"/>
      <c r="P116" s="61"/>
      <c r="Q116" s="61"/>
      <c r="R116" s="14">
        <f>($E43*R43+$E89*R89)/$E116</f>
        <v>0.17507182005601107</v>
      </c>
      <c r="S116" s="14">
        <f t="shared" ref="S116:AH116" si="230">($E43*S43+$E89*S89)/$E116</f>
        <v>0</v>
      </c>
      <c r="T116" s="14">
        <f t="shared" si="230"/>
        <v>6.340119281969322E-3</v>
      </c>
      <c r="U116" s="14">
        <f t="shared" si="230"/>
        <v>4.2430029040871613E-2</v>
      </c>
      <c r="V116" s="14">
        <f t="shared" si="230"/>
        <v>0</v>
      </c>
      <c r="W116" s="14">
        <f t="shared" si="230"/>
        <v>0.32279323609137411</v>
      </c>
      <c r="X116" s="14">
        <f t="shared" si="230"/>
        <v>0</v>
      </c>
      <c r="Y116" s="14">
        <f t="shared" si="230"/>
        <v>0</v>
      </c>
      <c r="Z116" s="14">
        <f t="shared" si="230"/>
        <v>0</v>
      </c>
      <c r="AA116" s="14">
        <f t="shared" si="230"/>
        <v>0</v>
      </c>
      <c r="AB116" s="14">
        <f t="shared" si="230"/>
        <v>0</v>
      </c>
      <c r="AC116" s="14">
        <f t="shared" si="230"/>
        <v>0.30657493400532343</v>
      </c>
      <c r="AD116" s="14">
        <f t="shared" si="230"/>
        <v>0.14257770938548736</v>
      </c>
      <c r="AE116" s="14">
        <f t="shared" si="230"/>
        <v>0</v>
      </c>
      <c r="AF116" s="14">
        <f t="shared" si="230"/>
        <v>4.212152138963126E-3</v>
      </c>
      <c r="AG116" s="14">
        <f t="shared" si="230"/>
        <v>0</v>
      </c>
      <c r="AH116" s="14">
        <f t="shared" si="230"/>
        <v>0</v>
      </c>
      <c r="AI116" s="14">
        <f>(AI43+AI89)/2</f>
        <v>0</v>
      </c>
      <c r="AP116" s="2"/>
      <c r="AQ116" s="61"/>
      <c r="AS116" s="2"/>
      <c r="AT116" s="2"/>
      <c r="AU116" s="2"/>
      <c r="AV116" s="2"/>
      <c r="AW116" s="2"/>
      <c r="AX116" s="2"/>
      <c r="AY116" s="2"/>
      <c r="BA116" s="2"/>
      <c r="BB116" s="2"/>
      <c r="BC116" s="2"/>
      <c r="BD116" s="2"/>
      <c r="BE116" s="2"/>
      <c r="BF116" s="2"/>
      <c r="BG116" s="2"/>
      <c r="BI116" s="2"/>
      <c r="BJ116" s="2"/>
      <c r="BK116" s="2"/>
      <c r="BL116" s="2"/>
      <c r="BM116" s="2"/>
      <c r="BN116" s="2"/>
      <c r="BO116" s="2"/>
    </row>
    <row r="117" spans="1:85">
      <c r="C117" s="37"/>
      <c r="D117" s="1"/>
      <c r="E117" s="2"/>
      <c r="F117" s="60"/>
      <c r="G117" s="60"/>
      <c r="H117" s="2"/>
      <c r="I117" s="2"/>
      <c r="J117" s="2"/>
      <c r="K117" s="2"/>
      <c r="L117" s="2"/>
      <c r="M117" s="2"/>
      <c r="N117" s="2"/>
      <c r="O117" s="2"/>
      <c r="P117" s="61"/>
      <c r="Q117" s="6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76"/>
      <c r="AK117" s="2"/>
      <c r="AL117" s="2"/>
      <c r="AM117" s="2"/>
      <c r="AN117" s="2"/>
      <c r="AO117" s="2"/>
      <c r="AP117" s="2"/>
      <c r="AQ117" s="61"/>
      <c r="AS117" s="2"/>
      <c r="AT117" s="2"/>
      <c r="AU117" s="2"/>
      <c r="AV117" s="2"/>
      <c r="AW117" s="2"/>
      <c r="AX117" s="2"/>
      <c r="AY117" s="2"/>
      <c r="BA117" s="2"/>
      <c r="BB117" s="2"/>
      <c r="BC117" s="2"/>
      <c r="BD117" s="2"/>
      <c r="BE117" s="2"/>
      <c r="BF117" s="2"/>
      <c r="BG117" s="2"/>
      <c r="BI117" s="2"/>
      <c r="BJ117" s="2"/>
      <c r="BK117" s="2"/>
      <c r="BL117" s="2"/>
      <c r="BM117" s="2"/>
      <c r="BN117" s="2"/>
      <c r="BO117" s="2"/>
    </row>
    <row r="118" spans="1:85" ht="14.4">
      <c r="A118" s="50">
        <f t="shared" si="122"/>
        <v>118</v>
      </c>
      <c r="D118" s="10"/>
      <c r="E118" s="463">
        <f>(E114/1000)-PROFORMA!AV356</f>
        <v>0</v>
      </c>
      <c r="F118" s="60"/>
      <c r="G118" s="60"/>
      <c r="P118" s="61"/>
      <c r="Q118" s="6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76">
        <f t="shared" ref="AI118:AI158" si="231">IF(SUM(R118:AH118)&lt;&gt;0,(ROUND(SUM(R118:AH118),8)&lt;&gt;1)+0,0)</f>
        <v>0</v>
      </c>
      <c r="AQ118" s="61"/>
    </row>
    <row r="119" spans="1:85">
      <c r="A119" s="50">
        <f t="shared" si="122"/>
        <v>119</v>
      </c>
      <c r="C119" s="36" t="s">
        <v>468</v>
      </c>
      <c r="D119" s="17" t="s">
        <v>396</v>
      </c>
      <c r="E119" s="432">
        <f>PROFORMA!AV367*1000</f>
        <v>-111424000</v>
      </c>
      <c r="F119" s="60" t="str">
        <f>"as Plant in Service ("&amp;A$58&amp;")"</f>
        <v>as Plant in Service (58)</v>
      </c>
      <c r="G119" s="60"/>
      <c r="H119" s="2">
        <f>SUM(I119:N119)</f>
        <v>-111424000</v>
      </c>
      <c r="I119" s="2">
        <f t="shared" ref="I119:N119" si="232">$E119*SUMPRODUCT($R119:$AH119,INDEX(AllocFactors,I$4,0))</f>
        <v>-89955386.102650687</v>
      </c>
      <c r="J119" s="2">
        <f t="shared" si="232"/>
        <v>-15637562.622621389</v>
      </c>
      <c r="K119" s="2">
        <f t="shared" si="232"/>
        <v>0</v>
      </c>
      <c r="L119" s="2">
        <f t="shared" si="232"/>
        <v>-206111.29537578707</v>
      </c>
      <c r="M119" s="2">
        <f t="shared" si="232"/>
        <v>-5624939.9793521389</v>
      </c>
      <c r="N119" s="2">
        <f t="shared" si="232"/>
        <v>0</v>
      </c>
      <c r="O119" s="2"/>
      <c r="P119" s="61" t="str">
        <f>E$1&amp;$A119&amp;"* Sum["&amp;$R$1&amp;$A119&amp;":"&amp;$AH$1&amp;$A119&amp;"* "&amp;Factors!D$1&amp;Factors!$A$58&amp;":"&amp;Factors!S$1&amp;Factors!$A$64&amp;"]"</f>
        <v>E119* Sum[R119:AH119* D1040:S1046]</v>
      </c>
      <c r="Q119" s="61"/>
      <c r="R119" s="14">
        <f>R$58</f>
        <v>0.15278530527507739</v>
      </c>
      <c r="S119" s="14">
        <f t="shared" ref="S119:AH119" si="233">S$58</f>
        <v>3.164969422787912E-3</v>
      </c>
      <c r="T119" s="14">
        <f t="shared" si="233"/>
        <v>6.9829362297418388E-3</v>
      </c>
      <c r="U119" s="14">
        <f t="shared" si="233"/>
        <v>4.673195784519539E-2</v>
      </c>
      <c r="V119" s="14">
        <f t="shared" si="233"/>
        <v>0</v>
      </c>
      <c r="W119" s="14">
        <f t="shared" si="233"/>
        <v>0.27991526808724082</v>
      </c>
      <c r="X119" s="14">
        <f t="shared" si="233"/>
        <v>0</v>
      </c>
      <c r="Y119" s="14">
        <f t="shared" si="233"/>
        <v>0</v>
      </c>
      <c r="Z119" s="14">
        <f t="shared" si="233"/>
        <v>0</v>
      </c>
      <c r="AA119" s="14">
        <f t="shared" si="233"/>
        <v>0</v>
      </c>
      <c r="AB119" s="14">
        <f t="shared" si="233"/>
        <v>9.7232640022350991E-2</v>
      </c>
      <c r="AC119" s="14">
        <f t="shared" si="233"/>
        <v>0.29403559958561315</v>
      </c>
      <c r="AD119" s="14">
        <f t="shared" si="233"/>
        <v>0.1147688867063851</v>
      </c>
      <c r="AE119" s="14">
        <f t="shared" si="233"/>
        <v>0</v>
      </c>
      <c r="AF119" s="14">
        <f t="shared" si="233"/>
        <v>4.3824368256074331E-3</v>
      </c>
      <c r="AG119" s="14">
        <f t="shared" si="233"/>
        <v>0</v>
      </c>
      <c r="AH119" s="14">
        <f t="shared" si="233"/>
        <v>0</v>
      </c>
      <c r="AI119" s="76">
        <f t="shared" si="231"/>
        <v>0</v>
      </c>
      <c r="AK119" s="2">
        <f>SUM(AL119:AO119)</f>
        <v>-111424000</v>
      </c>
      <c r="AL119" s="2">
        <f>SUMIF($R$4:$AH$4,AL$5,$R119:$AH119)*$E119</f>
        <v>-23361731.765340745</v>
      </c>
      <c r="AM119" s="2">
        <f>SUMIF($R$4:$AH$4,AM$5,$R119:$AH119)*$E119</f>
        <v>-31189278.831352722</v>
      </c>
      <c r="AN119" s="2">
        <f>SUMIF($R$4:$AH$4,AN$5,$R119:$AH119)*$E119</f>
        <v>-56872989.403306536</v>
      </c>
      <c r="AO119" s="2">
        <f>SUMIF($R$4:$AH$4,AO$5,$R119:$AH119)*$E119</f>
        <v>0</v>
      </c>
      <c r="AP119" s="2"/>
      <c r="AQ119" s="61" t="str">
        <f>E$1&amp;$A119&amp;"*["&amp;R$1&amp;$A119&amp;":"&amp;$AH$1&amp;$A119&amp;" when "&amp;R$1&amp;$A$4&amp;":"&amp;$AH$1&amp;$A$4&amp;" = E,D,C,or R]"</f>
        <v>E119*[R119:AH119 when R4:AH4 = E,D,C,or R]</v>
      </c>
      <c r="AS119" s="2">
        <f>SUM(AT119:AY119)</f>
        <v>-23361731.765340753</v>
      </c>
      <c r="AT119" s="2">
        <f t="shared" ref="AT119:AY119" si="234">$E119*SUMPRODUCT($R119:$V119,INDEX(AllocFactors_E,AT$4,0))</f>
        <v>-14465101.920045499</v>
      </c>
      <c r="AU119" s="2">
        <f t="shared" si="234"/>
        <v>-6051812.5377428373</v>
      </c>
      <c r="AV119" s="2">
        <f t="shared" si="234"/>
        <v>0</v>
      </c>
      <c r="AW119" s="2">
        <f t="shared" si="234"/>
        <v>-95037.903682317745</v>
      </c>
      <c r="AX119" s="2">
        <f t="shared" si="234"/>
        <v>-2749779.4038700988</v>
      </c>
      <c r="AY119" s="2">
        <f t="shared" si="234"/>
        <v>0</v>
      </c>
      <c r="BA119" s="2">
        <f>SUM(BB119:BG119)</f>
        <v>-31189278.831352718</v>
      </c>
      <c r="BB119" s="2">
        <f t="shared" ref="BB119:BG119" si="235">$E119*SUMPRODUCT($W119:$AA119,INDEX(AllocFactors_D,BB$4,0))</f>
        <v>-21296296.145932835</v>
      </c>
      <c r="BC119" s="2">
        <f t="shared" si="235"/>
        <v>-7208259.5362739079</v>
      </c>
      <c r="BD119" s="2">
        <f t="shared" si="235"/>
        <v>0</v>
      </c>
      <c r="BE119" s="2">
        <f t="shared" si="235"/>
        <v>-90555.800602567731</v>
      </c>
      <c r="BF119" s="2">
        <f t="shared" si="235"/>
        <v>-2594167.3485434107</v>
      </c>
      <c r="BG119" s="2">
        <f t="shared" si="235"/>
        <v>0</v>
      </c>
      <c r="BI119" s="2">
        <f>SUM(BJ119:BO119)</f>
        <v>-56872989.403306529</v>
      </c>
      <c r="BJ119" s="2">
        <f t="shared" ref="BJ119:BO119" si="236">$E119*SUMPRODUCT($AB119:$AG119,INDEX(AllocFactors_C,BJ$4,0))</f>
        <v>-54193988.036672354</v>
      </c>
      <c r="BK119" s="2">
        <f t="shared" si="236"/>
        <v>-2377490.5486046458</v>
      </c>
      <c r="BL119" s="2">
        <f t="shared" si="236"/>
        <v>0</v>
      </c>
      <c r="BM119" s="2">
        <f t="shared" si="236"/>
        <v>-20517.591090901562</v>
      </c>
      <c r="BN119" s="2">
        <f t="shared" si="236"/>
        <v>-280993.2269386297</v>
      </c>
      <c r="BO119" s="2">
        <f t="shared" si="236"/>
        <v>0</v>
      </c>
    </row>
    <row r="120" spans="1:85">
      <c r="A120" s="50">
        <f t="shared" si="122"/>
        <v>120</v>
      </c>
      <c r="E120" s="2"/>
      <c r="F120" s="60"/>
      <c r="G120" s="60"/>
      <c r="P120" s="61"/>
      <c r="Q120" s="6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76">
        <f t="shared" si="231"/>
        <v>0</v>
      </c>
      <c r="AQ120" s="61"/>
    </row>
    <row r="121" spans="1:85">
      <c r="A121" s="50">
        <f t="shared" si="122"/>
        <v>121</v>
      </c>
      <c r="C121" s="37"/>
      <c r="D121" s="17" t="s">
        <v>280</v>
      </c>
      <c r="E121" s="2"/>
      <c r="F121" s="60"/>
      <c r="G121" s="60"/>
      <c r="P121" s="61"/>
      <c r="Q121" s="61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76">
        <f t="shared" si="231"/>
        <v>0</v>
      </c>
      <c r="AQ121" s="61"/>
    </row>
    <row r="122" spans="1:85">
      <c r="A122" s="50">
        <f t="shared" si="122"/>
        <v>122</v>
      </c>
      <c r="C122" s="37" t="s">
        <v>155</v>
      </c>
      <c r="D122" s="28" t="s">
        <v>668</v>
      </c>
      <c r="E122" s="432">
        <f>(PROFORMA!AV370+PROFORMA!AV371)*1000</f>
        <v>-570000</v>
      </c>
      <c r="F122" s="60" t="s">
        <v>443</v>
      </c>
      <c r="G122" s="60"/>
      <c r="H122" s="2">
        <f>SUM(I122:N122)</f>
        <v>-570000</v>
      </c>
      <c r="I122" s="2">
        <f t="shared" ref="I122:N126" si="237">$E122*SUMPRODUCT($R122:$AH122,INDEX(AllocFactors,I$4,0))</f>
        <v>-570000</v>
      </c>
      <c r="J122" s="2">
        <f t="shared" si="237"/>
        <v>0</v>
      </c>
      <c r="K122" s="2">
        <f t="shared" si="237"/>
        <v>0</v>
      </c>
      <c r="L122" s="2">
        <f t="shared" si="237"/>
        <v>0</v>
      </c>
      <c r="M122" s="2">
        <f t="shared" si="237"/>
        <v>0</v>
      </c>
      <c r="N122" s="2">
        <f t="shared" si="237"/>
        <v>0</v>
      </c>
      <c r="O122" s="2"/>
      <c r="P122" s="61" t="str">
        <f>E$1&amp;$A122&amp;"* Sum["&amp;$R$1&amp;$A122&amp;":"&amp;$AH$1&amp;$A122&amp;"* "&amp;Factors!D$1&amp;Factors!$A$58&amp;":"&amp;Factors!S$1&amp;Factors!$A$64&amp;"]"</f>
        <v>E122* Sum[R122:AH122* D1040:S1046]</v>
      </c>
      <c r="Q122" s="61"/>
      <c r="R122" s="12"/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1</v>
      </c>
      <c r="AH122" s="12">
        <v>0</v>
      </c>
      <c r="AI122" s="76">
        <f t="shared" si="231"/>
        <v>0</v>
      </c>
      <c r="AK122" s="2">
        <f>SUM(AL122:AO122)</f>
        <v>-570000</v>
      </c>
      <c r="AL122" s="2">
        <f t="shared" ref="AL122:AO126" si="238">SUMIF($R$4:$AH$4,AL$5,$R122:$AH122)*$E122</f>
        <v>0</v>
      </c>
      <c r="AM122" s="2">
        <f t="shared" si="238"/>
        <v>0</v>
      </c>
      <c r="AN122" s="2">
        <f t="shared" si="238"/>
        <v>-570000</v>
      </c>
      <c r="AO122" s="2">
        <f t="shared" si="238"/>
        <v>0</v>
      </c>
      <c r="AP122" s="2"/>
      <c r="AQ122" s="61" t="str">
        <f>E$1&amp;$A122&amp;"*["&amp;R$1&amp;$A122&amp;":"&amp;$AH$1&amp;$A122&amp;" when "&amp;R$1&amp;$A$4&amp;":"&amp;$AH$1&amp;$A$4&amp;" = E,D,C,or R]"</f>
        <v>E122*[R122:AH122 when R4:AH4 = E,D,C,or R]</v>
      </c>
      <c r="AS122" s="2">
        <f>SUM(AT122:AY122)</f>
        <v>0</v>
      </c>
      <c r="AT122" s="2">
        <f t="shared" ref="AT122:AY126" si="239">$E122*SUMPRODUCT($R122:$V122,INDEX(AllocFactors_E,AT$4,0))</f>
        <v>0</v>
      </c>
      <c r="AU122" s="2">
        <f t="shared" si="239"/>
        <v>0</v>
      </c>
      <c r="AV122" s="2">
        <f t="shared" si="239"/>
        <v>0</v>
      </c>
      <c r="AW122" s="2">
        <f t="shared" si="239"/>
        <v>0</v>
      </c>
      <c r="AX122" s="2">
        <f t="shared" si="239"/>
        <v>0</v>
      </c>
      <c r="AY122" s="2">
        <f t="shared" si="239"/>
        <v>0</v>
      </c>
      <c r="BA122" s="2">
        <f>SUM(BB122:BG122)</f>
        <v>0</v>
      </c>
      <c r="BB122" s="2">
        <f t="shared" ref="BB122:BG126" si="240">$E122*SUMPRODUCT($W122:$AA122,INDEX(AllocFactors_D,BB$4,0))</f>
        <v>0</v>
      </c>
      <c r="BC122" s="2">
        <f t="shared" si="240"/>
        <v>0</v>
      </c>
      <c r="BD122" s="2">
        <f t="shared" si="240"/>
        <v>0</v>
      </c>
      <c r="BE122" s="2">
        <f t="shared" si="240"/>
        <v>0</v>
      </c>
      <c r="BF122" s="2">
        <f t="shared" si="240"/>
        <v>0</v>
      </c>
      <c r="BG122" s="2">
        <f t="shared" si="240"/>
        <v>0</v>
      </c>
      <c r="BI122" s="2">
        <f>SUM(BJ122:BO122)</f>
        <v>-570000</v>
      </c>
      <c r="BJ122" s="2">
        <f t="shared" ref="BJ122:BO126" si="241">$E122*SUMPRODUCT($AB122:$AG122,INDEX(AllocFactors_C,BJ$4,0))</f>
        <v>-570000</v>
      </c>
      <c r="BK122" s="2">
        <f t="shared" si="241"/>
        <v>0</v>
      </c>
      <c r="BL122" s="2">
        <f t="shared" si="241"/>
        <v>0</v>
      </c>
      <c r="BM122" s="2">
        <f t="shared" si="241"/>
        <v>0</v>
      </c>
      <c r="BN122" s="2">
        <f t="shared" si="241"/>
        <v>0</v>
      </c>
      <c r="BO122" s="2">
        <f t="shared" si="241"/>
        <v>0</v>
      </c>
    </row>
    <row r="123" spans="1:85">
      <c r="A123" s="50">
        <f t="shared" si="122"/>
        <v>123</v>
      </c>
      <c r="C123" s="37" t="s">
        <v>395</v>
      </c>
      <c r="D123" s="28" t="s">
        <v>281</v>
      </c>
      <c r="E123" s="432">
        <f>PROFORMA!AV372*1000</f>
        <v>10412000</v>
      </c>
      <c r="F123" s="60" t="str">
        <f>"as UG Storage Plant ("&amp;A$24&amp;")"</f>
        <v>as UG Storage Plant (24)</v>
      </c>
      <c r="G123" s="60"/>
      <c r="H123" s="2">
        <f>SUM(I123:N123)</f>
        <v>10412000</v>
      </c>
      <c r="I123" s="2">
        <f t="shared" si="237"/>
        <v>7578951.1904099928</v>
      </c>
      <c r="J123" s="2">
        <f t="shared" si="237"/>
        <v>2648725.4383219769</v>
      </c>
      <c r="K123" s="2">
        <f t="shared" si="237"/>
        <v>0</v>
      </c>
      <c r="L123" s="2">
        <f t="shared" si="237"/>
        <v>38368.169808375038</v>
      </c>
      <c r="M123" s="2">
        <f t="shared" si="237"/>
        <v>145955.20145965516</v>
      </c>
      <c r="N123" s="2">
        <f t="shared" si="237"/>
        <v>0</v>
      </c>
      <c r="O123" s="2"/>
      <c r="P123" s="61" t="str">
        <f>E$1&amp;$A123&amp;"*     """</f>
        <v>E123*     "</v>
      </c>
      <c r="Q123" s="61"/>
      <c r="R123" s="14">
        <f>R$24</f>
        <v>0</v>
      </c>
      <c r="S123" s="14">
        <f t="shared" ref="S123:AH123" si="242">S$24</f>
        <v>0</v>
      </c>
      <c r="T123" s="14">
        <f t="shared" si="242"/>
        <v>0.13</v>
      </c>
      <c r="U123" s="14">
        <f t="shared" si="242"/>
        <v>0.87</v>
      </c>
      <c r="V123" s="14">
        <f t="shared" si="242"/>
        <v>0</v>
      </c>
      <c r="W123" s="14">
        <f t="shared" si="242"/>
        <v>0</v>
      </c>
      <c r="X123" s="14">
        <f t="shared" si="242"/>
        <v>0</v>
      </c>
      <c r="Y123" s="14">
        <f t="shared" si="242"/>
        <v>0</v>
      </c>
      <c r="Z123" s="14">
        <f t="shared" si="242"/>
        <v>0</v>
      </c>
      <c r="AA123" s="14">
        <f t="shared" si="242"/>
        <v>0</v>
      </c>
      <c r="AB123" s="14">
        <f t="shared" si="242"/>
        <v>0</v>
      </c>
      <c r="AC123" s="14">
        <f t="shared" si="242"/>
        <v>0</v>
      </c>
      <c r="AD123" s="14">
        <f t="shared" si="242"/>
        <v>0</v>
      </c>
      <c r="AE123" s="14">
        <f t="shared" si="242"/>
        <v>0</v>
      </c>
      <c r="AF123" s="14">
        <f t="shared" si="242"/>
        <v>0</v>
      </c>
      <c r="AG123" s="14">
        <f t="shared" si="242"/>
        <v>0</v>
      </c>
      <c r="AH123" s="14">
        <f t="shared" si="242"/>
        <v>0</v>
      </c>
      <c r="AI123" s="76">
        <f t="shared" si="231"/>
        <v>0</v>
      </c>
      <c r="AK123" s="2">
        <f>SUM(AL123:AO123)</f>
        <v>10412000</v>
      </c>
      <c r="AL123" s="2">
        <f t="shared" si="238"/>
        <v>10412000</v>
      </c>
      <c r="AM123" s="2">
        <f t="shared" si="238"/>
        <v>0</v>
      </c>
      <c r="AN123" s="2">
        <f t="shared" si="238"/>
        <v>0</v>
      </c>
      <c r="AO123" s="2">
        <f t="shared" si="238"/>
        <v>0</v>
      </c>
      <c r="AP123" s="2"/>
      <c r="AQ123" s="61" t="str">
        <f>E$1&amp;$A123&amp;"*      """</f>
        <v>E123*      "</v>
      </c>
      <c r="AS123" s="2">
        <f>SUM(AT123:AY123)</f>
        <v>10412000</v>
      </c>
      <c r="AT123" s="2">
        <f t="shared" si="239"/>
        <v>7578951.1904099928</v>
      </c>
      <c r="AU123" s="2">
        <f t="shared" si="239"/>
        <v>2648725.4383219769</v>
      </c>
      <c r="AV123" s="2">
        <f t="shared" si="239"/>
        <v>0</v>
      </c>
      <c r="AW123" s="2">
        <f t="shared" si="239"/>
        <v>38368.169808375038</v>
      </c>
      <c r="AX123" s="2">
        <f t="shared" si="239"/>
        <v>145955.20145965516</v>
      </c>
      <c r="AY123" s="2">
        <f t="shared" si="239"/>
        <v>0</v>
      </c>
      <c r="BA123" s="2">
        <f>SUM(BB123:BG123)</f>
        <v>0</v>
      </c>
      <c r="BB123" s="2">
        <f t="shared" si="240"/>
        <v>0</v>
      </c>
      <c r="BC123" s="2">
        <f t="shared" si="240"/>
        <v>0</v>
      </c>
      <c r="BD123" s="2">
        <f t="shared" si="240"/>
        <v>0</v>
      </c>
      <c r="BE123" s="2">
        <f t="shared" si="240"/>
        <v>0</v>
      </c>
      <c r="BF123" s="2">
        <f t="shared" si="240"/>
        <v>0</v>
      </c>
      <c r="BG123" s="2">
        <f t="shared" si="240"/>
        <v>0</v>
      </c>
      <c r="BI123" s="2">
        <f>SUM(BJ123:BO123)</f>
        <v>0</v>
      </c>
      <c r="BJ123" s="2">
        <f t="shared" si="241"/>
        <v>0</v>
      </c>
      <c r="BK123" s="2">
        <f t="shared" si="241"/>
        <v>0</v>
      </c>
      <c r="BL123" s="2">
        <f t="shared" si="241"/>
        <v>0</v>
      </c>
      <c r="BM123" s="2">
        <f t="shared" si="241"/>
        <v>0</v>
      </c>
      <c r="BN123" s="2">
        <f t="shared" si="241"/>
        <v>0</v>
      </c>
      <c r="BO123" s="2">
        <f t="shared" si="241"/>
        <v>0</v>
      </c>
    </row>
    <row r="124" spans="1:85" s="49" customFormat="1">
      <c r="A124" s="145">
        <f t="shared" si="122"/>
        <v>124</v>
      </c>
      <c r="C124" s="525" t="s">
        <v>152</v>
      </c>
      <c r="D124" s="56" t="s">
        <v>703</v>
      </c>
      <c r="E124" s="436">
        <f>PROFORMA!AV373*1000</f>
        <v>2349000</v>
      </c>
      <c r="F124" s="134" t="s">
        <v>669</v>
      </c>
      <c r="G124" s="134"/>
      <c r="H124" s="21">
        <f>SUM(I124:N124)</f>
        <v>2349000</v>
      </c>
      <c r="I124" s="21">
        <f t="shared" si="237"/>
        <v>1896406.5367885416</v>
      </c>
      <c r="J124" s="21">
        <f t="shared" si="237"/>
        <v>329665.37371246453</v>
      </c>
      <c r="K124" s="21">
        <f t="shared" si="237"/>
        <v>0</v>
      </c>
      <c r="L124" s="21">
        <f t="shared" si="237"/>
        <v>4345.1629167659021</v>
      </c>
      <c r="M124" s="21">
        <f t="shared" si="237"/>
        <v>118582.92658222801</v>
      </c>
      <c r="N124" s="21">
        <f t="shared" si="237"/>
        <v>0</v>
      </c>
      <c r="O124" s="21"/>
      <c r="P124" s="148" t="str">
        <f>E$1&amp;$A124&amp;"*     """</f>
        <v>E124*     "</v>
      </c>
      <c r="Q124" s="148"/>
      <c r="R124" s="526">
        <f>R$58</f>
        <v>0.15278530527507739</v>
      </c>
      <c r="S124" s="526">
        <f t="shared" ref="S124:AF125" si="243">S$58</f>
        <v>3.164969422787912E-3</v>
      </c>
      <c r="T124" s="526">
        <f t="shared" si="243"/>
        <v>6.9829362297418388E-3</v>
      </c>
      <c r="U124" s="526">
        <f t="shared" si="243"/>
        <v>4.673195784519539E-2</v>
      </c>
      <c r="V124" s="526">
        <f t="shared" si="243"/>
        <v>0</v>
      </c>
      <c r="W124" s="526">
        <f t="shared" si="243"/>
        <v>0.27991526808724082</v>
      </c>
      <c r="X124" s="526">
        <f t="shared" si="243"/>
        <v>0</v>
      </c>
      <c r="Y124" s="526">
        <f t="shared" si="243"/>
        <v>0</v>
      </c>
      <c r="Z124" s="526">
        <f t="shared" si="243"/>
        <v>0</v>
      </c>
      <c r="AA124" s="526">
        <f t="shared" si="243"/>
        <v>0</v>
      </c>
      <c r="AB124" s="526">
        <f t="shared" si="243"/>
        <v>9.7232640022350991E-2</v>
      </c>
      <c r="AC124" s="526">
        <f t="shared" si="243"/>
        <v>0.29403559958561315</v>
      </c>
      <c r="AD124" s="526">
        <f t="shared" si="243"/>
        <v>0.1147688867063851</v>
      </c>
      <c r="AE124" s="526">
        <f t="shared" si="243"/>
        <v>0</v>
      </c>
      <c r="AF124" s="526">
        <f t="shared" si="243"/>
        <v>4.3824368256074331E-3</v>
      </c>
      <c r="AG124" s="526">
        <f>AG$56</f>
        <v>0</v>
      </c>
      <c r="AH124" s="526">
        <f>AH$56</f>
        <v>0</v>
      </c>
      <c r="AI124" s="131">
        <f t="shared" si="231"/>
        <v>0</v>
      </c>
      <c r="AK124" s="21">
        <f>SUM(AL124:AO124)</f>
        <v>2349000</v>
      </c>
      <c r="AL124" s="21">
        <f t="shared" si="238"/>
        <v>492503.4814473131</v>
      </c>
      <c r="AM124" s="21">
        <f t="shared" si="238"/>
        <v>657520.9647369287</v>
      </c>
      <c r="AN124" s="21">
        <f t="shared" si="238"/>
        <v>1198975.5538157583</v>
      </c>
      <c r="AO124" s="21">
        <f t="shared" si="238"/>
        <v>0</v>
      </c>
      <c r="AP124" s="21"/>
      <c r="AQ124" s="148" t="str">
        <f>E$1&amp;$A124&amp;"*      """</f>
        <v>E124*      "</v>
      </c>
      <c r="AS124" s="21">
        <f>SUM(AT124:AY124)</f>
        <v>492503.48144731327</v>
      </c>
      <c r="AT124" s="21">
        <f t="shared" si="239"/>
        <v>304947.9861626479</v>
      </c>
      <c r="AU124" s="21">
        <f t="shared" si="239"/>
        <v>127582.09767337309</v>
      </c>
      <c r="AV124" s="21">
        <f t="shared" si="239"/>
        <v>0</v>
      </c>
      <c r="AW124" s="21">
        <f t="shared" si="239"/>
        <v>2003.5543128030263</v>
      </c>
      <c r="AX124" s="21">
        <f t="shared" si="239"/>
        <v>57969.843298489206</v>
      </c>
      <c r="AY124" s="21">
        <f t="shared" si="239"/>
        <v>0</v>
      </c>
      <c r="BA124" s="21">
        <f>SUM(BB124:BG124)</f>
        <v>657520.96473692858</v>
      </c>
      <c r="BB124" s="21">
        <f t="shared" si="240"/>
        <v>448960.72342400404</v>
      </c>
      <c r="BC124" s="21">
        <f t="shared" si="240"/>
        <v>151961.89017363772</v>
      </c>
      <c r="BD124" s="21">
        <f t="shared" si="240"/>
        <v>0</v>
      </c>
      <c r="BE124" s="21">
        <f t="shared" si="240"/>
        <v>1909.0642555951285</v>
      </c>
      <c r="BF124" s="21">
        <f t="shared" si="240"/>
        <v>54689.28688369177</v>
      </c>
      <c r="BG124" s="21">
        <f t="shared" si="240"/>
        <v>0</v>
      </c>
      <c r="BI124" s="21">
        <f>SUM(BJ124:BO124)</f>
        <v>1198975.5538157583</v>
      </c>
      <c r="BJ124" s="21">
        <f t="shared" si="241"/>
        <v>1142497.8272018898</v>
      </c>
      <c r="BK124" s="21">
        <f t="shared" si="241"/>
        <v>50121.385865453696</v>
      </c>
      <c r="BL124" s="21">
        <f t="shared" si="241"/>
        <v>0</v>
      </c>
      <c r="BM124" s="21">
        <f t="shared" si="241"/>
        <v>432.54434836774635</v>
      </c>
      <c r="BN124" s="21">
        <f t="shared" si="241"/>
        <v>5923.7964000470383</v>
      </c>
      <c r="BO124" s="21">
        <f t="shared" si="241"/>
        <v>0</v>
      </c>
    </row>
    <row r="125" spans="1:85">
      <c r="A125" s="50">
        <f t="shared" si="122"/>
        <v>125</v>
      </c>
      <c r="C125" s="36" t="s">
        <v>152</v>
      </c>
      <c r="D125" s="28" t="s">
        <v>280</v>
      </c>
      <c r="E125" s="436">
        <f>PROFORMA!AV375*1000</f>
        <v>11450000</v>
      </c>
      <c r="F125" s="134" t="s">
        <v>669</v>
      </c>
      <c r="G125" s="60"/>
      <c r="H125" s="2">
        <f>SUM(I125:N125)</f>
        <v>11449999.999999998</v>
      </c>
      <c r="I125" s="2">
        <f t="shared" si="237"/>
        <v>9243871.794903703</v>
      </c>
      <c r="J125" s="2">
        <f t="shared" si="237"/>
        <v>1606925.725418356</v>
      </c>
      <c r="K125" s="2">
        <f t="shared" si="237"/>
        <v>0</v>
      </c>
      <c r="L125" s="2">
        <f t="shared" si="237"/>
        <v>21180.125754350607</v>
      </c>
      <c r="M125" s="2">
        <f t="shared" si="237"/>
        <v>578022.35392358911</v>
      </c>
      <c r="N125" s="2">
        <f t="shared" si="237"/>
        <v>0</v>
      </c>
      <c r="O125" s="2"/>
      <c r="P125" s="61" t="str">
        <f>E$1&amp;$A125&amp;"*     """</f>
        <v>E125*     "</v>
      </c>
      <c r="Q125" s="61"/>
      <c r="R125" s="526">
        <f>R$58</f>
        <v>0.15278530527507739</v>
      </c>
      <c r="S125" s="526">
        <f t="shared" si="243"/>
        <v>3.164969422787912E-3</v>
      </c>
      <c r="T125" s="526">
        <f t="shared" si="243"/>
        <v>6.9829362297418388E-3</v>
      </c>
      <c r="U125" s="526">
        <f t="shared" si="243"/>
        <v>4.673195784519539E-2</v>
      </c>
      <c r="V125" s="526">
        <f t="shared" si="243"/>
        <v>0</v>
      </c>
      <c r="W125" s="526">
        <f t="shared" si="243"/>
        <v>0.27991526808724082</v>
      </c>
      <c r="X125" s="526">
        <f t="shared" si="243"/>
        <v>0</v>
      </c>
      <c r="Y125" s="526">
        <f t="shared" si="243"/>
        <v>0</v>
      </c>
      <c r="Z125" s="526">
        <f t="shared" si="243"/>
        <v>0</v>
      </c>
      <c r="AA125" s="526">
        <f t="shared" si="243"/>
        <v>0</v>
      </c>
      <c r="AB125" s="526">
        <f t="shared" si="243"/>
        <v>9.7232640022350991E-2</v>
      </c>
      <c r="AC125" s="526">
        <f t="shared" si="243"/>
        <v>0.29403559958561315</v>
      </c>
      <c r="AD125" s="526">
        <f t="shared" si="243"/>
        <v>0.1147688867063851</v>
      </c>
      <c r="AE125" s="526">
        <f t="shared" si="243"/>
        <v>0</v>
      </c>
      <c r="AF125" s="526">
        <f t="shared" si="243"/>
        <v>4.3824368256074331E-3</v>
      </c>
      <c r="AG125" s="526">
        <f>AG$56</f>
        <v>0</v>
      </c>
      <c r="AH125" s="526">
        <f>AH$56</f>
        <v>0</v>
      </c>
      <c r="AI125" s="131">
        <f t="shared" si="231"/>
        <v>0</v>
      </c>
      <c r="AJ125" s="49"/>
      <c r="AK125" s="21">
        <f>SUM(AL125:AO125)</f>
        <v>11450000</v>
      </c>
      <c r="AL125" s="21">
        <f t="shared" si="238"/>
        <v>2400666.1824485888</v>
      </c>
      <c r="AM125" s="21">
        <f t="shared" si="238"/>
        <v>3205029.8195989076</v>
      </c>
      <c r="AN125" s="21">
        <f t="shared" si="238"/>
        <v>5844303.997952505</v>
      </c>
      <c r="AO125" s="21">
        <f t="shared" si="238"/>
        <v>0</v>
      </c>
      <c r="AP125" s="21"/>
      <c r="AQ125" s="148" t="str">
        <f>E$1&amp;$A125&amp;"*      """</f>
        <v>E125*      "</v>
      </c>
      <c r="AR125" s="49"/>
      <c r="AS125" s="21">
        <f>SUM(AT125:AY125)</f>
        <v>2400666.1824485892</v>
      </c>
      <c r="AT125" s="21">
        <f t="shared" si="239"/>
        <v>1486442.9295710167</v>
      </c>
      <c r="AU125" s="21">
        <f t="shared" si="239"/>
        <v>621888.04527889402</v>
      </c>
      <c r="AV125" s="21">
        <f t="shared" si="239"/>
        <v>0</v>
      </c>
      <c r="AW125" s="21">
        <f t="shared" si="239"/>
        <v>9766.1544834374836</v>
      </c>
      <c r="AX125" s="21">
        <f t="shared" si="239"/>
        <v>282569.05311524111</v>
      </c>
      <c r="AY125" s="21">
        <f t="shared" si="239"/>
        <v>0</v>
      </c>
      <c r="AZ125" s="49"/>
      <c r="BA125" s="21">
        <f>SUM(BB125:BG125)</f>
        <v>3205029.8195989071</v>
      </c>
      <c r="BB125" s="21">
        <f t="shared" si="240"/>
        <v>2188420.7250765627</v>
      </c>
      <c r="BC125" s="21">
        <f t="shared" si="240"/>
        <v>740725.26287277648</v>
      </c>
      <c r="BD125" s="21">
        <f t="shared" si="240"/>
        <v>0</v>
      </c>
      <c r="BE125" s="21">
        <f t="shared" si="240"/>
        <v>9305.57076482087</v>
      </c>
      <c r="BF125" s="21">
        <f t="shared" si="240"/>
        <v>266578.26088474703</v>
      </c>
      <c r="BG125" s="21">
        <f t="shared" si="240"/>
        <v>0</v>
      </c>
      <c r="BH125" s="49"/>
      <c r="BI125" s="21">
        <f>SUM(BJ125:BO125)</f>
        <v>5844303.9979525032</v>
      </c>
      <c r="BJ125" s="21">
        <f t="shared" si="241"/>
        <v>5569008.1402561245</v>
      </c>
      <c r="BK125" s="21">
        <f t="shared" si="241"/>
        <v>244312.41726668575</v>
      </c>
      <c r="BL125" s="21">
        <f t="shared" si="241"/>
        <v>0</v>
      </c>
      <c r="BM125" s="21">
        <f t="shared" si="241"/>
        <v>2108.4005060922505</v>
      </c>
      <c r="BN125" s="21">
        <f t="shared" si="241"/>
        <v>28875.039923600929</v>
      </c>
      <c r="BO125" s="21">
        <f t="shared" si="241"/>
        <v>0</v>
      </c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</row>
    <row r="126" spans="1:85" s="49" customFormat="1">
      <c r="A126" s="145">
        <f t="shared" si="122"/>
        <v>126</v>
      </c>
      <c r="C126" s="525" t="s">
        <v>152</v>
      </c>
      <c r="D126" s="56" t="s">
        <v>1206</v>
      </c>
      <c r="E126" s="436">
        <f>PROFORMA!AV374*1000</f>
        <v>8134000</v>
      </c>
      <c r="F126" s="60" t="s">
        <v>443</v>
      </c>
      <c r="G126" s="134"/>
      <c r="H126" s="21">
        <f>SUM(I126:N126)</f>
        <v>8134000</v>
      </c>
      <c r="I126" s="21">
        <f t="shared" si="237"/>
        <v>8134000</v>
      </c>
      <c r="J126" s="21">
        <f t="shared" si="237"/>
        <v>0</v>
      </c>
      <c r="K126" s="21">
        <f t="shared" si="237"/>
        <v>0</v>
      </c>
      <c r="L126" s="21">
        <f t="shared" si="237"/>
        <v>0</v>
      </c>
      <c r="M126" s="21">
        <f t="shared" si="237"/>
        <v>0</v>
      </c>
      <c r="N126" s="21">
        <f t="shared" si="237"/>
        <v>0</v>
      </c>
      <c r="O126" s="21"/>
      <c r="P126" s="148" t="str">
        <f>E$1&amp;$A126&amp;"*     """</f>
        <v>E126*     "</v>
      </c>
      <c r="Q126" s="148"/>
      <c r="R126" s="108"/>
      <c r="S126" s="108"/>
      <c r="T126" s="108"/>
      <c r="U126" s="108"/>
      <c r="V126" s="108"/>
      <c r="W126" s="108"/>
      <c r="X126" s="108"/>
      <c r="Y126" s="108"/>
      <c r="Z126" s="580"/>
      <c r="AA126" s="108"/>
      <c r="AB126" s="108"/>
      <c r="AC126" s="108"/>
      <c r="AD126" s="108"/>
      <c r="AE126" s="108"/>
      <c r="AF126" s="108"/>
      <c r="AG126" s="12">
        <v>1</v>
      </c>
      <c r="AH126" s="108"/>
      <c r="AI126" s="131">
        <f t="shared" si="231"/>
        <v>0</v>
      </c>
      <c r="AK126" s="21">
        <f>SUM(AL126:AO126)</f>
        <v>8134000</v>
      </c>
      <c r="AL126" s="21">
        <f t="shared" si="238"/>
        <v>0</v>
      </c>
      <c r="AM126" s="21">
        <f t="shared" si="238"/>
        <v>0</v>
      </c>
      <c r="AN126" s="21">
        <f t="shared" si="238"/>
        <v>8134000</v>
      </c>
      <c r="AO126" s="21">
        <f t="shared" si="238"/>
        <v>0</v>
      </c>
      <c r="AP126" s="21"/>
      <c r="AQ126" s="148" t="str">
        <f>E$1&amp;$A126&amp;"*      """</f>
        <v>E126*      "</v>
      </c>
      <c r="AS126" s="21">
        <f>SUM(AT126:AY126)</f>
        <v>0</v>
      </c>
      <c r="AT126" s="21">
        <f t="shared" si="239"/>
        <v>0</v>
      </c>
      <c r="AU126" s="21">
        <f t="shared" si="239"/>
        <v>0</v>
      </c>
      <c r="AV126" s="21">
        <f t="shared" si="239"/>
        <v>0</v>
      </c>
      <c r="AW126" s="21">
        <f t="shared" si="239"/>
        <v>0</v>
      </c>
      <c r="AX126" s="21">
        <f t="shared" si="239"/>
        <v>0</v>
      </c>
      <c r="AY126" s="21">
        <f t="shared" si="239"/>
        <v>0</v>
      </c>
      <c r="BA126" s="21">
        <f>SUM(BB126:BG126)</f>
        <v>0</v>
      </c>
      <c r="BB126" s="21">
        <f t="shared" si="240"/>
        <v>0</v>
      </c>
      <c r="BC126" s="21">
        <f t="shared" si="240"/>
        <v>0</v>
      </c>
      <c r="BD126" s="21">
        <f t="shared" si="240"/>
        <v>0</v>
      </c>
      <c r="BE126" s="21">
        <f t="shared" si="240"/>
        <v>0</v>
      </c>
      <c r="BF126" s="21">
        <f t="shared" si="240"/>
        <v>0</v>
      </c>
      <c r="BG126" s="21">
        <f t="shared" si="240"/>
        <v>0</v>
      </c>
      <c r="BI126" s="21">
        <f>SUM(BJ126:BO126)</f>
        <v>8134000</v>
      </c>
      <c r="BJ126" s="21">
        <f t="shared" si="241"/>
        <v>8134000</v>
      </c>
      <c r="BK126" s="21">
        <f t="shared" si="241"/>
        <v>0</v>
      </c>
      <c r="BL126" s="21">
        <f t="shared" si="241"/>
        <v>0</v>
      </c>
      <c r="BM126" s="21">
        <f t="shared" si="241"/>
        <v>0</v>
      </c>
      <c r="BN126" s="21">
        <f t="shared" si="241"/>
        <v>0</v>
      </c>
      <c r="BO126" s="21">
        <f t="shared" si="241"/>
        <v>0</v>
      </c>
    </row>
    <row r="127" spans="1:85">
      <c r="A127" s="50">
        <f t="shared" si="122"/>
        <v>127</v>
      </c>
      <c r="E127" s="8"/>
      <c r="F127" s="60"/>
      <c r="G127" s="60"/>
      <c r="P127" s="61"/>
      <c r="Q127" s="6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76">
        <f t="shared" si="231"/>
        <v>0</v>
      </c>
      <c r="AQ127" s="61"/>
    </row>
    <row r="128" spans="1:85">
      <c r="A128" s="50">
        <f t="shared" si="122"/>
        <v>128</v>
      </c>
      <c r="C128" s="37"/>
      <c r="D128" s="17" t="s">
        <v>115</v>
      </c>
      <c r="E128" s="4">
        <f>SUM(E119:E126)</f>
        <v>-79649000</v>
      </c>
      <c r="F128" s="60"/>
      <c r="G128" s="60"/>
      <c r="H128" s="4">
        <f>IF(ROUND(SUM(H119:H127),3)&lt;&gt;ROUND(SUM(I128:N128),3),#VALUE!,SUM(H119:H127))</f>
        <v>-79649000</v>
      </c>
      <c r="I128" s="4">
        <f t="shared" ref="I128:N128" si="244">SUM(I119:I127)</f>
        <v>-63672156.580548465</v>
      </c>
      <c r="J128" s="4">
        <f t="shared" si="244"/>
        <v>-11052246.085168593</v>
      </c>
      <c r="K128" s="4">
        <f t="shared" si="244"/>
        <v>0</v>
      </c>
      <c r="L128" s="4">
        <f t="shared" si="244"/>
        <v>-142217.83689629554</v>
      </c>
      <c r="M128" s="4">
        <f>SUM(M119:M127)</f>
        <v>-4782379.497386666</v>
      </c>
      <c r="N128" s="4">
        <f t="shared" si="244"/>
        <v>0</v>
      </c>
      <c r="O128" s="5"/>
      <c r="P128" s="61" t="str">
        <f>$A119&amp;":"&amp;$A127</f>
        <v>119:127</v>
      </c>
      <c r="Q128" s="61"/>
      <c r="R128" s="16">
        <f t="shared" ref="R128:AH128" si="245">SUMPRODUCT($E119:$E127,R119:R127)/$E128</f>
        <v>0.18726745379702736</v>
      </c>
      <c r="S128" s="16">
        <f t="shared" si="245"/>
        <v>3.8792720548866894E-3</v>
      </c>
      <c r="T128" s="16">
        <f t="shared" si="245"/>
        <v>-8.4351448300851624E-3</v>
      </c>
      <c r="U128" s="16">
        <f t="shared" si="245"/>
        <v>-5.6450584632108371E-2</v>
      </c>
      <c r="V128" s="16">
        <f t="shared" si="245"/>
        <v>0</v>
      </c>
      <c r="W128" s="16">
        <f t="shared" si="245"/>
        <v>0.34308940535370047</v>
      </c>
      <c r="X128" s="16">
        <f t="shared" si="245"/>
        <v>0</v>
      </c>
      <c r="Y128" s="16">
        <f t="shared" si="245"/>
        <v>0</v>
      </c>
      <c r="Z128" s="16">
        <f t="shared" si="245"/>
        <v>0</v>
      </c>
      <c r="AA128" s="16">
        <f t="shared" si="245"/>
        <v>0</v>
      </c>
      <c r="AB128" s="16">
        <f t="shared" si="245"/>
        <v>0.11917709553393033</v>
      </c>
      <c r="AC128" s="16">
        <f t="shared" si="245"/>
        <v>0.36039655751541744</v>
      </c>
      <c r="AD128" s="16">
        <f t="shared" si="245"/>
        <v>0.14067110151679046</v>
      </c>
      <c r="AE128" s="16">
        <f t="shared" si="245"/>
        <v>0</v>
      </c>
      <c r="AF128" s="16">
        <f t="shared" si="245"/>
        <v>5.3715099386046983E-3</v>
      </c>
      <c r="AG128" s="16">
        <f t="shared" si="245"/>
        <v>-9.4966666248163814E-2</v>
      </c>
      <c r="AH128" s="16">
        <f t="shared" si="245"/>
        <v>0</v>
      </c>
      <c r="AI128" s="76">
        <f t="shared" si="231"/>
        <v>0</v>
      </c>
      <c r="AK128" s="4">
        <f>IF(ROUND(SUM(AK119:AK127),3)&lt;&gt;ROUND(SUM(AL128:AO128),3),#VALUE!,SUM(AK119:AK127))</f>
        <v>-79649000</v>
      </c>
      <c r="AL128" s="4">
        <f>SUM(AL119:AL127)</f>
        <v>-10056562.101444844</v>
      </c>
      <c r="AM128" s="4">
        <f>SUM(AM119:AM127)</f>
        <v>-27326728.047016889</v>
      </c>
      <c r="AN128" s="4">
        <f>SUM(AN119:AN127)</f>
        <v>-42265709.851538271</v>
      </c>
      <c r="AO128" s="4">
        <f>SUM(AO119:AO127)</f>
        <v>0</v>
      </c>
      <c r="AP128" s="5"/>
      <c r="AQ128" s="61" t="str">
        <f>$A119&amp;":"&amp;$A127</f>
        <v>119:127</v>
      </c>
      <c r="AS128" s="4">
        <f>IF(ROUND(SUM(AS119:AS127),3)&lt;&gt;ROUND(SUM(AT128:AY128),3),#VALUE!,SUM(AS119:AS127))</f>
        <v>-10056562.101444852</v>
      </c>
      <c r="AT128" s="4">
        <f t="shared" ref="AT128:AY128" si="246">SUM(AT119:AT127)</f>
        <v>-5094759.8139018416</v>
      </c>
      <c r="AU128" s="4">
        <f t="shared" si="246"/>
        <v>-2653616.9564685933</v>
      </c>
      <c r="AV128" s="4">
        <f t="shared" si="246"/>
        <v>0</v>
      </c>
      <c r="AW128" s="4">
        <f t="shared" si="246"/>
        <v>-44900.025077702201</v>
      </c>
      <c r="AX128" s="4">
        <f t="shared" si="246"/>
        <v>-2263285.3059967132</v>
      </c>
      <c r="AY128" s="4">
        <f t="shared" si="246"/>
        <v>0</v>
      </c>
      <c r="BA128" s="4">
        <f>IF(ROUND(SUM(BA119:BA127),3)&lt;&gt;ROUND(SUM(BB128:BG128),3),#VALUE!,SUM(BA119:BA127))</f>
        <v>-27326728.047016885</v>
      </c>
      <c r="BB128" s="4">
        <f t="shared" ref="BB128:BG128" si="247">SUM(BB119:BB127)</f>
        <v>-18658914.697432268</v>
      </c>
      <c r="BC128" s="4">
        <f t="shared" si="247"/>
        <v>-6315572.3832274936</v>
      </c>
      <c r="BD128" s="4">
        <f t="shared" si="247"/>
        <v>0</v>
      </c>
      <c r="BE128" s="4">
        <f t="shared" si="247"/>
        <v>-79341.165582151734</v>
      </c>
      <c r="BF128" s="4">
        <f t="shared" si="247"/>
        <v>-2272899.800774972</v>
      </c>
      <c r="BG128" s="4">
        <f t="shared" si="247"/>
        <v>0</v>
      </c>
      <c r="BI128" s="4">
        <f>IF(ROUND(SUM(BI119:BI127),3)&lt;&gt;ROUND(SUM(BJ128:BO128),3),#VALUE!,SUM(BI119:BI127))</f>
        <v>-42265709.851538263</v>
      </c>
      <c r="BJ128" s="4">
        <f t="shared" ref="BJ128:BO128" si="248">SUM(BJ119:BJ127)</f>
        <v>-39918482.069214344</v>
      </c>
      <c r="BK128" s="4">
        <f t="shared" si="248"/>
        <v>-2083056.7454725064</v>
      </c>
      <c r="BL128" s="4">
        <f t="shared" si="248"/>
        <v>0</v>
      </c>
      <c r="BM128" s="4">
        <f t="shared" si="248"/>
        <v>-17976.646236441564</v>
      </c>
      <c r="BN128" s="4">
        <f t="shared" si="248"/>
        <v>-246194.39061498173</v>
      </c>
      <c r="BO128" s="4">
        <f t="shared" si="248"/>
        <v>0</v>
      </c>
    </row>
    <row r="129" spans="1:67">
      <c r="A129" s="50">
        <f t="shared" si="122"/>
        <v>129</v>
      </c>
      <c r="E129" s="9"/>
      <c r="F129" s="60"/>
      <c r="G129" s="60"/>
      <c r="P129" s="61"/>
      <c r="Q129" s="61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76">
        <f t="shared" si="231"/>
        <v>0</v>
      </c>
      <c r="AQ129" s="61"/>
    </row>
    <row r="130" spans="1:67" ht="13.8" thickBot="1">
      <c r="A130" s="50">
        <f t="shared" si="122"/>
        <v>130</v>
      </c>
      <c r="C130" s="37"/>
      <c r="D130" s="1" t="s">
        <v>110</v>
      </c>
      <c r="E130" s="18">
        <f>E114+E128</f>
        <v>453640000</v>
      </c>
      <c r="F130" s="60" t="str">
        <f>"("&amp;A$114&amp;"+"&amp;A$128&amp;")"</f>
        <v>(114+128)</v>
      </c>
      <c r="G130" s="60" t="s">
        <v>454</v>
      </c>
      <c r="H130" s="18">
        <f>H114+H128</f>
        <v>453639999.99999988</v>
      </c>
      <c r="I130" s="18">
        <f t="shared" ref="I130:N130" si="249">I114+I128</f>
        <v>366160708.5245716</v>
      </c>
      <c r="J130" s="18">
        <f t="shared" si="249"/>
        <v>64141242.973698683</v>
      </c>
      <c r="K130" s="18">
        <f t="shared" si="249"/>
        <v>0</v>
      </c>
      <c r="L130" s="18">
        <f t="shared" si="249"/>
        <v>847681.86534979602</v>
      </c>
      <c r="M130" s="18">
        <f>M114+M128</f>
        <v>22490366.636379853</v>
      </c>
      <c r="N130" s="18">
        <f t="shared" si="249"/>
        <v>0</v>
      </c>
      <c r="O130" s="5"/>
      <c r="P130" s="61" t="str">
        <f>$A114&amp;"+"&amp;$A128</f>
        <v>114+128</v>
      </c>
      <c r="Q130" s="61"/>
      <c r="R130" s="20">
        <f>($E114*R114+$E128*R128)/$E130</f>
        <v>0.1497465378466927</v>
      </c>
      <c r="S130" s="20">
        <f t="shared" ref="S130:AH130" si="250">($E114*S114+$E128*S128)/$E130</f>
        <v>3.2723610288288773E-3</v>
      </c>
      <c r="T130" s="20">
        <f t="shared" si="250"/>
        <v>8.8764755096725299E-3</v>
      </c>
      <c r="U130" s="20">
        <f t="shared" si="250"/>
        <v>5.9404105333962322E-2</v>
      </c>
      <c r="V130" s="20">
        <f t="shared" si="250"/>
        <v>0</v>
      </c>
      <c r="W130" s="20">
        <f t="shared" si="250"/>
        <v>0.27425183880575882</v>
      </c>
      <c r="X130" s="20">
        <f t="shared" si="250"/>
        <v>0</v>
      </c>
      <c r="Y130" s="20">
        <f t="shared" si="250"/>
        <v>0</v>
      </c>
      <c r="Z130" s="20">
        <f t="shared" si="250"/>
        <v>0</v>
      </c>
      <c r="AA130" s="20">
        <f t="shared" si="250"/>
        <v>0</v>
      </c>
      <c r="AB130" s="20">
        <f t="shared" si="250"/>
        <v>0.10053187232975359</v>
      </c>
      <c r="AC130" s="20">
        <f t="shared" si="250"/>
        <v>0.2599824459135936</v>
      </c>
      <c r="AD130" s="20">
        <f t="shared" si="250"/>
        <v>0.12384910974864682</v>
      </c>
      <c r="AE130" s="20">
        <f t="shared" si="250"/>
        <v>0</v>
      </c>
      <c r="AF130" s="20">
        <f t="shared" si="250"/>
        <v>3.4112388459335689E-3</v>
      </c>
      <c r="AG130" s="20">
        <f t="shared" si="250"/>
        <v>1.6674014637157217E-2</v>
      </c>
      <c r="AH130" s="20">
        <f t="shared" si="250"/>
        <v>0</v>
      </c>
      <c r="AI130" s="76">
        <f t="shared" si="231"/>
        <v>0</v>
      </c>
      <c r="AK130" s="18">
        <f>AK114+AK128</f>
        <v>453640000</v>
      </c>
      <c r="AL130" s="18">
        <f>AL114+AL128</f>
        <v>100390295.97979814</v>
      </c>
      <c r="AM130" s="18">
        <f>AM114+AM128</f>
        <v>124411604.15584445</v>
      </c>
      <c r="AN130" s="18">
        <f>AN114+AN128</f>
        <v>228838099.86435744</v>
      </c>
      <c r="AO130" s="18">
        <f>AO114+AO128</f>
        <v>0</v>
      </c>
      <c r="AP130" s="5"/>
      <c r="AQ130" s="61" t="str">
        <f>$A114&amp;"+"&amp;$A128</f>
        <v>114+128</v>
      </c>
      <c r="AS130" s="18">
        <f t="shared" ref="AS130:AY130" si="251">AS114+AS128</f>
        <v>100390295.97979812</v>
      </c>
      <c r="AT130" s="18">
        <f t="shared" si="251"/>
        <v>62935960.049140513</v>
      </c>
      <c r="AU130" s="18">
        <f t="shared" si="251"/>
        <v>25976665.775611836</v>
      </c>
      <c r="AV130" s="18">
        <f t="shared" si="251"/>
        <v>0</v>
      </c>
      <c r="AW130" s="18">
        <f t="shared" si="251"/>
        <v>405749.88133910362</v>
      </c>
      <c r="AX130" s="18">
        <f t="shared" si="251"/>
        <v>11071920.273706652</v>
      </c>
      <c r="AY130" s="18">
        <f t="shared" si="251"/>
        <v>0</v>
      </c>
      <c r="BA130" s="18">
        <f t="shared" ref="BA130:BG130" si="252">BA114+BA128</f>
        <v>124411604.15584445</v>
      </c>
      <c r="BB130" s="18">
        <f t="shared" si="252"/>
        <v>84949266.715011075</v>
      </c>
      <c r="BC130" s="18">
        <f t="shared" si="252"/>
        <v>28753185.892134491</v>
      </c>
      <c r="BD130" s="18">
        <f t="shared" si="252"/>
        <v>0</v>
      </c>
      <c r="BE130" s="18">
        <f t="shared" si="252"/>
        <v>361220.03588159295</v>
      </c>
      <c r="BF130" s="18">
        <f t="shared" si="252"/>
        <v>10347931.512817267</v>
      </c>
      <c r="BG130" s="18">
        <f t="shared" si="252"/>
        <v>0</v>
      </c>
      <c r="BI130" s="18">
        <f t="shared" ref="BI130:BO130" si="253">BI114+BI128</f>
        <v>228838099.86435744</v>
      </c>
      <c r="BJ130" s="18">
        <f t="shared" si="253"/>
        <v>218275481.76042008</v>
      </c>
      <c r="BK130" s="18">
        <f t="shared" si="253"/>
        <v>9411391.3059523422</v>
      </c>
      <c r="BL130" s="18">
        <f t="shared" si="253"/>
        <v>0</v>
      </c>
      <c r="BM130" s="18">
        <f t="shared" si="253"/>
        <v>80711.948129099605</v>
      </c>
      <c r="BN130" s="18">
        <f t="shared" si="253"/>
        <v>1070514.8498559399</v>
      </c>
      <c r="BO130" s="18">
        <f t="shared" si="253"/>
        <v>0</v>
      </c>
    </row>
    <row r="131" spans="1:67" ht="13.8" thickTop="1">
      <c r="A131" s="50">
        <f t="shared" si="122"/>
        <v>131</v>
      </c>
      <c r="D131" t="s">
        <v>136</v>
      </c>
      <c r="E131" s="31">
        <f>-E433/E130</f>
        <v>5.2111806718984216E-2</v>
      </c>
      <c r="F131" s="60"/>
      <c r="G131" s="60"/>
      <c r="H131" s="31">
        <f t="shared" ref="H131:N131" si="254">IF(H130,-H433/H130,0)</f>
        <v>5.2111806654366787E-2</v>
      </c>
      <c r="I131" s="31">
        <f t="shared" si="254"/>
        <v>3.4707878421624594E-2</v>
      </c>
      <c r="J131" s="31">
        <f t="shared" si="254"/>
        <v>0.15340052302060972</v>
      </c>
      <c r="K131" s="31">
        <f>IF(K130,-K433/K130,0)</f>
        <v>0</v>
      </c>
      <c r="L131" s="31">
        <f t="shared" si="254"/>
        <v>0.11053459581792362</v>
      </c>
      <c r="M131" s="31">
        <f>IF(M130,-M433/M130,0)</f>
        <v>4.4389682073893544E-2</v>
      </c>
      <c r="N131" s="31">
        <f t="shared" si="254"/>
        <v>0</v>
      </c>
      <c r="O131" s="31"/>
      <c r="P131" s="61" t="str">
        <f>"-"&amp;$A433&amp;"/"&amp;$A130</f>
        <v>-433/130</v>
      </c>
      <c r="Q131" s="61"/>
      <c r="S131" s="2"/>
      <c r="AI131" s="76">
        <f t="shared" si="231"/>
        <v>0</v>
      </c>
      <c r="AK131" s="31">
        <f>IF(AK130&lt;&gt;0,-AK433/AK130,0)</f>
        <v>5.2111806718984216E-2</v>
      </c>
      <c r="AL131" s="31">
        <f>IF(AL130&lt;&gt;0,-AL433/AL130,0)</f>
        <v>-0.10540161469646277</v>
      </c>
      <c r="AM131" s="31">
        <f>IF(AM130&lt;&gt;0,-AM433/AM130,0)</f>
        <v>-7.8910638265171917E-2</v>
      </c>
      <c r="AN131" s="31">
        <f>IF(AN130&lt;&gt;0,-AN433/AN130,0)</f>
        <v>-0.16789093008789988</v>
      </c>
      <c r="AO131" s="31">
        <f>IF(AO130&lt;&gt;0,-AO433/AO130,0)</f>
        <v>0</v>
      </c>
      <c r="AP131" s="31"/>
      <c r="AQ131" s="61" t="str">
        <f>"-"&amp;$A433&amp;"/"&amp;$A130</f>
        <v>-433/130</v>
      </c>
    </row>
    <row r="132" spans="1:67">
      <c r="A132" s="50">
        <f t="shared" si="122"/>
        <v>132</v>
      </c>
      <c r="E132" s="439">
        <f>E130/1000-PROFORMA!AV378</f>
        <v>0</v>
      </c>
      <c r="F132" s="60"/>
      <c r="G132" s="60"/>
      <c r="H132" s="31"/>
      <c r="I132" s="31"/>
      <c r="J132" s="31"/>
      <c r="K132" s="31"/>
      <c r="L132" s="31"/>
      <c r="M132" s="31"/>
      <c r="N132" s="31"/>
      <c r="O132" s="31"/>
      <c r="P132" s="61"/>
      <c r="Q132" s="61"/>
      <c r="S132" s="2"/>
      <c r="AI132" s="76">
        <f t="shared" si="231"/>
        <v>0</v>
      </c>
      <c r="AK132" s="31"/>
      <c r="AL132" s="31"/>
      <c r="AM132" s="31"/>
      <c r="AN132" s="31"/>
      <c r="AO132" s="31"/>
      <c r="AP132" s="31"/>
      <c r="AQ132" s="61"/>
    </row>
    <row r="133" spans="1:67">
      <c r="A133" s="50">
        <f t="shared" si="122"/>
        <v>133</v>
      </c>
      <c r="E133" s="9"/>
      <c r="F133" s="60"/>
      <c r="G133" s="60"/>
      <c r="H133" s="32"/>
      <c r="P133" s="61"/>
      <c r="Q133" s="61"/>
      <c r="S133" s="2"/>
      <c r="AI133" s="76">
        <f t="shared" si="231"/>
        <v>0</v>
      </c>
      <c r="AQ133" s="61"/>
    </row>
    <row r="134" spans="1:67">
      <c r="A134" s="50">
        <f t="shared" si="122"/>
        <v>134</v>
      </c>
      <c r="C134" s="36" t="s">
        <v>395</v>
      </c>
      <c r="D134" t="s">
        <v>357</v>
      </c>
      <c r="E134" s="39">
        <f>SUMIF($C$7:$C$130,$C134,E$7:E$130)</f>
        <v>30430000</v>
      </c>
      <c r="F134" s="60" t="str">
        <f>"sum where Func = "&amp;$C134&amp;" ("&amp;A$7&amp;"-"&amp;A$130&amp;")"</f>
        <v>sum where Func = U (7-130)</v>
      </c>
      <c r="G134" s="60"/>
      <c r="H134" s="39">
        <f t="shared" ref="H134:N138" si="255">SUMIF($C$7:$C$130,$C134,H$7:H$130)</f>
        <v>30430000</v>
      </c>
      <c r="I134" s="39">
        <f t="shared" si="255"/>
        <v>22150161.806009993</v>
      </c>
      <c r="J134" s="39">
        <f t="shared" si="255"/>
        <v>7741136.6776928315</v>
      </c>
      <c r="K134" s="39">
        <f t="shared" si="255"/>
        <v>0</v>
      </c>
      <c r="L134" s="39">
        <f t="shared" si="255"/>
        <v>112134.40331049293</v>
      </c>
      <c r="M134" s="39">
        <f t="shared" si="255"/>
        <v>426567.11298667942</v>
      </c>
      <c r="N134" s="39">
        <f t="shared" si="255"/>
        <v>0</v>
      </c>
      <c r="O134" s="39"/>
      <c r="P134" s="61" t="str">
        <f>H$1&amp;$A$7&amp;":"&amp;H$1&amp;$A$130&amp;", col "&amp;C$1&amp;"= T"</f>
        <v>H7:H130, col C= T</v>
      </c>
      <c r="Q134" s="61"/>
      <c r="R134" s="14">
        <f t="array" ref="R134">SUM(IF($C$7:$C$130=$C134,$E$7:$E$130*R$7:R$130))/$E134</f>
        <v>0</v>
      </c>
      <c r="S134" s="14">
        <f t="array" ref="S134">SUM(IF($C$7:$C$130=$C134,$E$7:$E$130*S$7:S$130))/$E134</f>
        <v>0</v>
      </c>
      <c r="T134" s="14">
        <f t="array" ref="T134">SUM(IF($C$7:$C$130=$C134,$E$7:$E$130*T$7:T$130))/$E134</f>
        <v>0.13</v>
      </c>
      <c r="U134" s="14">
        <f t="array" ref="U134">SUM(IF($C$7:$C$130=$C134,$E$7:$E$130*U$7:U$130))/$E134</f>
        <v>0.87</v>
      </c>
      <c r="V134" s="14">
        <f t="array" ref="V134">SUM(IF($C$7:$C$130=$C134,$E$7:$E$130*V$7:V$130))/$E134</f>
        <v>0</v>
      </c>
      <c r="W134" s="14">
        <f t="array" ref="W134">SUM(IF($C$7:$C$130=$C134,$E$7:$E$130*W$7:W$130))/$E134</f>
        <v>0</v>
      </c>
      <c r="X134" s="14">
        <f t="array" ref="X134">SUM(IF($C$7:$C$130=$C134,$E$7:$E$130*X$7:X$130))/$E134</f>
        <v>0</v>
      </c>
      <c r="Y134" s="14">
        <f t="array" ref="Y134">SUM(IF($C$7:$C$130=$C134,$E$7:$E$130*Y$7:Y$130))/$E134</f>
        <v>0</v>
      </c>
      <c r="Z134" s="14">
        <f t="array" ref="Z134">SUM(IF($C$7:$C$130=$C134,$E$7:$E$130*Z$7:Z$130))/$E134</f>
        <v>0</v>
      </c>
      <c r="AA134" s="14">
        <f t="array" ref="AA134">SUM(IF($C$7:$C$130=$C134,$E$7:$E$130*AA$7:AA$130))/$E134</f>
        <v>0</v>
      </c>
      <c r="AB134" s="14">
        <f t="array" ref="AB134">SUM(IF($C$7:$C$130=$C134,$E$7:$E$130*AB$7:AB$130))/$E134</f>
        <v>0</v>
      </c>
      <c r="AC134" s="14">
        <f t="array" ref="AC134">SUM(IF($C$7:$C$130=$C134,$E$7:$E$130*AC$7:AC$130))/$E134</f>
        <v>0</v>
      </c>
      <c r="AD134" s="14">
        <f t="array" ref="AD134">SUM(IF($C$7:$C$130=$C134,$E$7:$E$130*AD$7:AD$130))/$E134</f>
        <v>0</v>
      </c>
      <c r="AE134" s="14">
        <f t="array" ref="AE134">SUM(IF($C$7:$C$130=$C134,$E$7:$E$130*AE$7:AE$130))/$E134</f>
        <v>0</v>
      </c>
      <c r="AF134" s="14">
        <f t="array" ref="AF134">SUM(IF($C$7:$C$130=$C134,$E$7:$E$130*AF$7:AF$130))/$E134</f>
        <v>0</v>
      </c>
      <c r="AG134" s="14">
        <f t="array" ref="AG134">SUM(IF($C$7:$C$130=$C134,$E$7:$E$130*AG$7:AG$130))/$E134</f>
        <v>0</v>
      </c>
      <c r="AH134" s="14">
        <f t="array" ref="AH134">SUM(IF($C$7:$C$130=$C134,$E$7:$E$130*AH$7:AH$130))/$E134</f>
        <v>0</v>
      </c>
      <c r="AI134" s="76">
        <f t="shared" si="231"/>
        <v>0</v>
      </c>
      <c r="AK134" s="39">
        <f t="shared" ref="AK134:AO138" si="256">SUMIF($C$7:$C$130,$C134,AK$7:AK$130)</f>
        <v>30430000</v>
      </c>
      <c r="AL134" s="39">
        <f t="shared" si="256"/>
        <v>30430000</v>
      </c>
      <c r="AM134" s="39">
        <f t="shared" si="256"/>
        <v>0</v>
      </c>
      <c r="AN134" s="39">
        <f t="shared" si="256"/>
        <v>0</v>
      </c>
      <c r="AO134" s="39">
        <f t="shared" si="256"/>
        <v>0</v>
      </c>
      <c r="AP134" s="39"/>
      <c r="AQ134" s="61" t="str">
        <f>E$1&amp;$A134&amp;"*      """</f>
        <v>E134*      "</v>
      </c>
      <c r="AS134" s="2">
        <f>SUM(AT134:AY134)</f>
        <v>30429999.999999996</v>
      </c>
      <c r="AT134" s="39">
        <f t="shared" ref="AT134:AY138" si="257">SUMIF($C$7:$C$130,$C134,AT$7:AT$130)</f>
        <v>22150161.806009993</v>
      </c>
      <c r="AU134" s="39">
        <f t="shared" si="257"/>
        <v>7741136.6776928315</v>
      </c>
      <c r="AV134" s="39">
        <f t="shared" si="257"/>
        <v>0</v>
      </c>
      <c r="AW134" s="39">
        <f t="shared" si="257"/>
        <v>112134.40331049293</v>
      </c>
      <c r="AX134" s="39">
        <f t="shared" si="257"/>
        <v>426567.11298667942</v>
      </c>
      <c r="AY134" s="39">
        <f t="shared" si="257"/>
        <v>0</v>
      </c>
      <c r="BA134" s="2">
        <f>SUM(BB134:BG134)</f>
        <v>0</v>
      </c>
      <c r="BB134" s="39">
        <f t="shared" ref="BB134:BG138" si="258">SUMIF($C$7:$C$130,$C134,BB$7:BB$130)</f>
        <v>0</v>
      </c>
      <c r="BC134" s="39">
        <f t="shared" si="258"/>
        <v>0</v>
      </c>
      <c r="BD134" s="39">
        <f t="shared" si="258"/>
        <v>0</v>
      </c>
      <c r="BE134" s="39">
        <f t="shared" si="258"/>
        <v>0</v>
      </c>
      <c r="BF134" s="39">
        <f t="shared" si="258"/>
        <v>0</v>
      </c>
      <c r="BG134" s="39">
        <f t="shared" si="258"/>
        <v>0</v>
      </c>
      <c r="BI134" s="2">
        <f>SUM(BJ134:BO134)</f>
        <v>0</v>
      </c>
      <c r="BJ134" s="39">
        <f t="shared" ref="BJ134:BO138" si="259">SUMIF($C$7:$C$130,$C134,BJ$7:BJ$130)</f>
        <v>0</v>
      </c>
      <c r="BK134" s="39">
        <f t="shared" si="259"/>
        <v>0</v>
      </c>
      <c r="BL134" s="39">
        <f t="shared" si="259"/>
        <v>0</v>
      </c>
      <c r="BM134" s="39">
        <f t="shared" si="259"/>
        <v>0</v>
      </c>
      <c r="BN134" s="39">
        <f t="shared" si="259"/>
        <v>0</v>
      </c>
      <c r="BO134" s="39">
        <f t="shared" si="259"/>
        <v>0</v>
      </c>
    </row>
    <row r="135" spans="1:67">
      <c r="A135" s="50">
        <f t="shared" si="122"/>
        <v>135</v>
      </c>
      <c r="C135" s="36" t="s">
        <v>155</v>
      </c>
      <c r="D135" t="s">
        <v>118</v>
      </c>
      <c r="E135" s="39">
        <f>SUMIF($C$7:$C$130,$C135,E$7:E$130)</f>
        <v>391622000</v>
      </c>
      <c r="F135" s="60" t="str">
        <f>"sum where Func = "&amp;$C135&amp;" ("&amp;A$7&amp;"-"&amp;A$130&amp;")"</f>
        <v>sum where Func = D (7-130)</v>
      </c>
      <c r="G135" s="60"/>
      <c r="H135" s="39">
        <f t="shared" si="255"/>
        <v>391621999.99999988</v>
      </c>
      <c r="I135" s="39">
        <f t="shared" si="255"/>
        <v>308720314.88363475</v>
      </c>
      <c r="J135" s="39">
        <f t="shared" si="255"/>
        <v>58622717.464145333</v>
      </c>
      <c r="K135" s="39">
        <f t="shared" si="255"/>
        <v>0</v>
      </c>
      <c r="L135" s="39">
        <f t="shared" si="255"/>
        <v>774014.75806683663</v>
      </c>
      <c r="M135" s="39">
        <f t="shared" si="255"/>
        <v>23504952.894152969</v>
      </c>
      <c r="N135" s="39">
        <f t="shared" si="255"/>
        <v>0</v>
      </c>
      <c r="O135" s="39"/>
      <c r="P135" s="61" t="str">
        <f>H$1&amp;$A$7&amp;":"&amp;H$1&amp;$A$130&amp;", col "&amp;C$1&amp;"= D"</f>
        <v>H7:H130, col C= D</v>
      </c>
      <c r="Q135" s="61"/>
      <c r="R135" s="14">
        <f t="array" ref="R135">SUM(IF($C$7:$C$130=$C135,$E$7:$E$130*R$7:R$130))/$E135</f>
        <v>0.18429908520882571</v>
      </c>
      <c r="S135" s="14">
        <f t="array" ref="S135">SUM(IF($C$7:$C$130=$C135,$E$7:$E$130*S$7:S$130))/$E135</f>
        <v>0</v>
      </c>
      <c r="T135" s="14">
        <f t="array" ref="T135">SUM(IF($C$7:$C$130=$C135,$E$7:$E$130*T$7:T$130))/$E135</f>
        <v>0</v>
      </c>
      <c r="U135" s="14">
        <f t="array" ref="U135">SUM(IF($C$7:$C$130=$C135,$E$7:$E$130*U$7:U$130))/$E135</f>
        <v>0</v>
      </c>
      <c r="V135" s="14">
        <f t="array" ref="V135">SUM(IF($C$7:$C$130=$C135,$E$7:$E$130*V$7:V$130))/$E135</f>
        <v>0</v>
      </c>
      <c r="W135" s="14">
        <f t="array" ref="W135">SUM(IF($C$7:$C$130=$C135,$E$7:$E$130*W$7:W$130))/$E135</f>
        <v>0.33980624696883732</v>
      </c>
      <c r="X135" s="14">
        <f t="array" ref="X135">SUM(IF($C$7:$C$130=$C135,$E$7:$E$130*X$7:X$130))/$E135</f>
        <v>0</v>
      </c>
      <c r="Y135" s="14">
        <f t="array" ref="Y135">SUM(IF($C$7:$C$130=$C135,$E$7:$E$130*Y$7:Y$130))/$E135</f>
        <v>0</v>
      </c>
      <c r="Z135" s="14">
        <f t="array" ref="Z135">SUM(IF($C$7:$C$130=$C135,$E$7:$E$130*Z$7:Z$130))/$E135</f>
        <v>0</v>
      </c>
      <c r="AA135" s="14">
        <f t="array" ref="AA135">SUM(IF($C$7:$C$130=$C135,$E$7:$E$130*AA$7:AA$130))/$E135</f>
        <v>0</v>
      </c>
      <c r="AB135" s="14">
        <f t="array" ref="AB135">SUM(IF($C$7:$C$130=$C135,$E$7:$E$130*AB$7:AB$130))/$E135</f>
        <v>0</v>
      </c>
      <c r="AC135" s="14">
        <f t="array" ref="AC135">SUM(IF($C$7:$C$130=$C135,$E$7:$E$130*AC$7:AC$130))/$E135</f>
        <v>0.32287677077956195</v>
      </c>
      <c r="AD135" s="14">
        <f t="array" ref="AD135">SUM(IF($C$7:$C$130=$C135,$E$7:$E$130*AD$7:AD$130))/$E135</f>
        <v>0.15003475676777209</v>
      </c>
      <c r="AE135" s="14">
        <f t="array" ref="AE135">SUM(IF($C$7:$C$130=$C135,$E$7:$E$130*AE$7:AE$130))/$E135</f>
        <v>0</v>
      </c>
      <c r="AF135" s="14">
        <f t="array" ref="AF135">SUM(IF($C$7:$C$130=$C135,$E$7:$E$130*AF$7:AF$130))/$E135</f>
        <v>4.438625411180148E-3</v>
      </c>
      <c r="AG135" s="14">
        <f t="array" ref="AG135">SUM(IF($C$7:$C$130=$C135,$E$7:$E$130*AG$7:AG$130))/$E135</f>
        <v>-1.4554851361772321E-3</v>
      </c>
      <c r="AH135" s="14">
        <f t="array" ref="AH135">SUM(IF($C$7:$C$130=$C135,$E$7:$E$130*AH$7:AH$130))/$E135</f>
        <v>0</v>
      </c>
      <c r="AI135" s="76">
        <f t="shared" si="231"/>
        <v>0</v>
      </c>
      <c r="AK135" s="39">
        <f t="shared" si="256"/>
        <v>391622000</v>
      </c>
      <c r="AL135" s="39">
        <f t="shared" si="256"/>
        <v>72175576.347650737</v>
      </c>
      <c r="AM135" s="39">
        <f t="shared" si="256"/>
        <v>133075602.05043001</v>
      </c>
      <c r="AN135" s="39">
        <f t="shared" si="256"/>
        <v>186370821.6019192</v>
      </c>
      <c r="AO135" s="39">
        <f t="shared" si="256"/>
        <v>0</v>
      </c>
      <c r="AP135" s="39"/>
      <c r="AQ135" s="61" t="str">
        <f>E$1&amp;$A135&amp;"*      """</f>
        <v>E135*      "</v>
      </c>
      <c r="AS135" s="2">
        <f>SUM(AT135:AY135)</f>
        <v>72175576.347650737</v>
      </c>
      <c r="AT135" s="39">
        <f t="shared" si="257"/>
        <v>41829092.598135822</v>
      </c>
      <c r="AU135" s="39">
        <f t="shared" si="257"/>
        <v>18742084.0170996</v>
      </c>
      <c r="AV135" s="39">
        <f t="shared" si="257"/>
        <v>0</v>
      </c>
      <c r="AW135" s="39">
        <f t="shared" si="257"/>
        <v>302003.58111907303</v>
      </c>
      <c r="AX135" s="39">
        <f t="shared" si="257"/>
        <v>11302396.151296247</v>
      </c>
      <c r="AY135" s="39">
        <f t="shared" si="257"/>
        <v>0</v>
      </c>
      <c r="BA135" s="2">
        <f>SUM(BB135:BG135)</f>
        <v>133075602.05043</v>
      </c>
      <c r="BB135" s="39">
        <f t="shared" si="258"/>
        <v>90865115.746613413</v>
      </c>
      <c r="BC135" s="39">
        <f t="shared" si="258"/>
        <v>30755551.698141012</v>
      </c>
      <c r="BD135" s="39">
        <f t="shared" si="258"/>
        <v>0</v>
      </c>
      <c r="BE135" s="39">
        <f t="shared" si="258"/>
        <v>386375.32305593032</v>
      </c>
      <c r="BF135" s="39">
        <f t="shared" si="258"/>
        <v>11068559.282619663</v>
      </c>
      <c r="BG135" s="39">
        <f t="shared" si="258"/>
        <v>0</v>
      </c>
      <c r="BI135" s="2">
        <f>SUM(BJ135:BO135)</f>
        <v>186370821.60191917</v>
      </c>
      <c r="BJ135" s="39">
        <f t="shared" si="259"/>
        <v>176026106.53888556</v>
      </c>
      <c r="BK135" s="39">
        <f t="shared" si="259"/>
        <v>9125081.7489047367</v>
      </c>
      <c r="BL135" s="39">
        <f t="shared" si="259"/>
        <v>0</v>
      </c>
      <c r="BM135" s="39">
        <f t="shared" si="259"/>
        <v>85635.853891833409</v>
      </c>
      <c r="BN135" s="39">
        <f t="shared" si="259"/>
        <v>1133997.4602370621</v>
      </c>
      <c r="BO135" s="39">
        <f t="shared" si="259"/>
        <v>0</v>
      </c>
    </row>
    <row r="136" spans="1:67">
      <c r="A136" s="50">
        <f t="shared" si="122"/>
        <v>136</v>
      </c>
      <c r="C136" s="36" t="s">
        <v>466</v>
      </c>
      <c r="D136" t="s">
        <v>467</v>
      </c>
      <c r="E136" s="39">
        <f>SUMIF($C$7:$C$130,$C136,E$7:E$130)</f>
        <v>0</v>
      </c>
      <c r="F136" s="60" t="str">
        <f>"sum where Func = "&amp;$C136&amp;" ("&amp;A$7&amp;"-"&amp;A$130&amp;")"</f>
        <v>sum where Func = M (7-130)</v>
      </c>
      <c r="G136" s="60"/>
      <c r="H136" s="39">
        <f t="shared" si="255"/>
        <v>0</v>
      </c>
      <c r="I136" s="39">
        <f t="shared" si="255"/>
        <v>0</v>
      </c>
      <c r="J136" s="39">
        <f t="shared" si="255"/>
        <v>0</v>
      </c>
      <c r="K136" s="39">
        <f t="shared" si="255"/>
        <v>0</v>
      </c>
      <c r="L136" s="39">
        <f t="shared" si="255"/>
        <v>0</v>
      </c>
      <c r="M136" s="39">
        <f t="shared" si="255"/>
        <v>0</v>
      </c>
      <c r="N136" s="39">
        <f t="shared" si="255"/>
        <v>0</v>
      </c>
      <c r="O136" s="39"/>
      <c r="P136" s="61" t="str">
        <f>H$1&amp;$A$7&amp;":"&amp;H$1&amp;$A$130&amp;", col "&amp;C$1&amp;"= D"</f>
        <v>H7:H130, col C= D</v>
      </c>
      <c r="Q136" s="61"/>
      <c r="R136" s="14">
        <f t="array" ref="R136">IF($E136,SUM(IF($C$7:$C$130=$C136,$E$7:$E$130*R$7:R$130))/$E136,0)</f>
        <v>0</v>
      </c>
      <c r="S136" s="14">
        <f t="array" ref="S136">IF($E136,SUM(IF($C$7:$C$130=$C136,$E$7:$E$130*S$7:S$130))/$E136,0)</f>
        <v>0</v>
      </c>
      <c r="T136" s="14">
        <f t="array" ref="T136">IF($E136,SUM(IF($C$7:$C$130=$C136,$E$7:$E$130*T$7:T$130))/$E136,0)</f>
        <v>0</v>
      </c>
      <c r="U136" s="14">
        <f t="array" ref="U136">IF($E136,SUM(IF($C$7:$C$130=$C136,$E$7:$E$130*U$7:U$130))/$E136,0)</f>
        <v>0</v>
      </c>
      <c r="V136" s="14">
        <f t="array" ref="V136">IF($E136,SUM(IF($C$7:$C$130=$C136,$E$7:$E$130*V$7:V$130))/$E136,0)</f>
        <v>0</v>
      </c>
      <c r="W136" s="14">
        <f t="array" ref="W136">IF($E136,SUM(IF($C$7:$C$130=$C136,$E$7:$E$130*W$7:W$130))/$E136,0)</f>
        <v>0</v>
      </c>
      <c r="X136" s="14">
        <f t="array" ref="X136">IF($E136,SUM(IF($C$7:$C$130=$C136,$E$7:$E$130*X$7:X$130))/$E136,0)</f>
        <v>0</v>
      </c>
      <c r="Y136" s="14">
        <f t="array" ref="Y136">IF($E136,SUM(IF($C$7:$C$130=$C136,$E$7:$E$130*Y$7:Y$130))/$E136,0)</f>
        <v>0</v>
      </c>
      <c r="Z136" s="14">
        <f t="array" ref="Z136">IF($E136,SUM(IF($C$7:$C$130=$C136,$E$7:$E$130*Z$7:Z$130))/$E136,0)</f>
        <v>0</v>
      </c>
      <c r="AA136" s="14">
        <f t="array" ref="AA136">IF($E136,SUM(IF($C$7:$C$130=$C136,$E$7:$E$130*AA$7:AA$130))/$E136,0)</f>
        <v>0</v>
      </c>
      <c r="AB136" s="14">
        <f t="array" ref="AB136">IF($E136,SUM(IF($C$7:$C$130=$C136,$E$7:$E$130*AB$7:AB$130))/$E136,0)</f>
        <v>0</v>
      </c>
      <c r="AC136" s="14">
        <f t="array" ref="AC136">IF($E136,SUM(IF($C$7:$C$130=$C136,$E$7:$E$130*AC$7:AC$130))/$E136,0)</f>
        <v>0</v>
      </c>
      <c r="AD136" s="14">
        <f t="array" ref="AD136">IF($E136,SUM(IF($C$7:$C$130=$C136,$E$7:$E$130*AD$7:AD$130))/$E136,0)</f>
        <v>0</v>
      </c>
      <c r="AE136" s="14">
        <f t="array" ref="AE136">IF($E136,SUM(IF($C$7:$C$130=$C136,$E$7:$E$130*AE$7:AE$130))/$E136,0)</f>
        <v>0</v>
      </c>
      <c r="AF136" s="14">
        <f t="array" ref="AF136">IF($E136,SUM(IF($C$7:$C$130=$C136,$E$7:$E$130*AF$7:AF$130))/$E136,0)</f>
        <v>0</v>
      </c>
      <c r="AG136" s="14">
        <f t="array" ref="AG136">IF($E136,SUM(IF($C$7:$C$130=$C136,$E$7:$E$130*AG$7:AG$130))/$E136,0)</f>
        <v>0</v>
      </c>
      <c r="AH136" s="14">
        <f t="array" ref="AH136">IF($E136,SUM(IF($C$7:$C$130=$C136,$E$7:$E$130*AH$7:AH$130))/$E136,0)</f>
        <v>0</v>
      </c>
      <c r="AI136" s="76">
        <f t="shared" si="231"/>
        <v>0</v>
      </c>
      <c r="AK136" s="39">
        <f t="shared" si="256"/>
        <v>0</v>
      </c>
      <c r="AL136" s="39">
        <f t="shared" si="256"/>
        <v>0</v>
      </c>
      <c r="AM136" s="39">
        <f t="shared" si="256"/>
        <v>0</v>
      </c>
      <c r="AN136" s="39">
        <f t="shared" si="256"/>
        <v>0</v>
      </c>
      <c r="AO136" s="39">
        <f t="shared" si="256"/>
        <v>0</v>
      </c>
      <c r="AP136" s="39"/>
      <c r="AQ136" s="61" t="str">
        <f>E$1&amp;$A136&amp;"*      """</f>
        <v>E136*      "</v>
      </c>
      <c r="AS136" s="2">
        <f>SUM(AT136:AY136)</f>
        <v>0</v>
      </c>
      <c r="AT136" s="39">
        <f t="shared" si="257"/>
        <v>0</v>
      </c>
      <c r="AU136" s="39">
        <f t="shared" si="257"/>
        <v>0</v>
      </c>
      <c r="AV136" s="39">
        <f t="shared" si="257"/>
        <v>0</v>
      </c>
      <c r="AW136" s="39">
        <f t="shared" si="257"/>
        <v>0</v>
      </c>
      <c r="AX136" s="39">
        <f t="shared" si="257"/>
        <v>0</v>
      </c>
      <c r="AY136" s="39">
        <f t="shared" si="257"/>
        <v>0</v>
      </c>
      <c r="BA136" s="2">
        <f>SUM(BB136:BG136)</f>
        <v>0</v>
      </c>
      <c r="BB136" s="39">
        <f t="shared" si="258"/>
        <v>0</v>
      </c>
      <c r="BC136" s="39">
        <f t="shared" si="258"/>
        <v>0</v>
      </c>
      <c r="BD136" s="39">
        <f t="shared" si="258"/>
        <v>0</v>
      </c>
      <c r="BE136" s="39">
        <f t="shared" si="258"/>
        <v>0</v>
      </c>
      <c r="BF136" s="39">
        <f t="shared" si="258"/>
        <v>0</v>
      </c>
      <c r="BG136" s="39">
        <f t="shared" si="258"/>
        <v>0</v>
      </c>
      <c r="BI136" s="2">
        <f>SUM(BJ136:BO136)</f>
        <v>0</v>
      </c>
      <c r="BJ136" s="39">
        <f t="shared" si="259"/>
        <v>0</v>
      </c>
      <c r="BK136" s="39">
        <f t="shared" si="259"/>
        <v>0</v>
      </c>
      <c r="BL136" s="39">
        <f t="shared" si="259"/>
        <v>0</v>
      </c>
      <c r="BM136" s="39">
        <f t="shared" si="259"/>
        <v>0</v>
      </c>
      <c r="BN136" s="39">
        <f t="shared" si="259"/>
        <v>0</v>
      </c>
      <c r="BO136" s="39">
        <f t="shared" si="259"/>
        <v>0</v>
      </c>
    </row>
    <row r="137" spans="1:67">
      <c r="A137" s="50">
        <f t="shared" ref="A137:A201" si="260">RowHdr</f>
        <v>137</v>
      </c>
      <c r="C137" s="36" t="s">
        <v>152</v>
      </c>
      <c r="D137" t="s">
        <v>148</v>
      </c>
      <c r="E137" s="39">
        <f>SUMIF($C$7:$C$130,$C137,E$7:E$130)</f>
        <v>143012000</v>
      </c>
      <c r="F137" s="60" t="str">
        <f>"sum where Func = "&amp;$C137&amp;" ("&amp;A$7&amp;"-"&amp;A$130&amp;")"</f>
        <v>sum where Func = O (7-130)</v>
      </c>
      <c r="G137" s="60"/>
      <c r="H137" s="39">
        <f t="shared" si="255"/>
        <v>143012000</v>
      </c>
      <c r="I137" s="39">
        <f t="shared" si="255"/>
        <v>125245617.93757755</v>
      </c>
      <c r="J137" s="39">
        <f t="shared" si="255"/>
        <v>13414951.454481885</v>
      </c>
      <c r="K137" s="39">
        <f t="shared" si="255"/>
        <v>0</v>
      </c>
      <c r="L137" s="39">
        <f t="shared" si="255"/>
        <v>167643.9993482533</v>
      </c>
      <c r="M137" s="39">
        <f t="shared" si="255"/>
        <v>4183786.6085923463</v>
      </c>
      <c r="N137" s="39">
        <f t="shared" si="255"/>
        <v>0</v>
      </c>
      <c r="O137" s="39"/>
      <c r="P137" s="61" t="str">
        <f>H$1&amp;$A$7&amp;":"&amp;H$1&amp;$A$130&amp;", col "&amp;C$1&amp;"= O"</f>
        <v>H7:H130, col C= O</v>
      </c>
      <c r="Q137" s="61"/>
      <c r="R137" s="14">
        <f t="array" ref="R137">SUM(IF($C$7:$C$130=$C137,$E$7:$E$130*R$7:R$130))/$E137</f>
        <v>8.9358885520747541E-2</v>
      </c>
      <c r="S137" s="14">
        <f t="array" ref="S137">SUM(IF($C$7:$C$130=$C137,$E$7:$E$130*S$7:S$130))/$E137</f>
        <v>1.2845966842521268E-2</v>
      </c>
      <c r="T137" s="14">
        <f t="array" ref="T137">SUM(IF($C$7:$C$130=$C137,$E$7:$E$130*T$7:T$130))/$E137</f>
        <v>5.9358028464087014E-3</v>
      </c>
      <c r="U137" s="14">
        <f t="array" ref="U137">SUM(IF($C$7:$C$130=$C137,$E$7:$E$130*U$7:U$130))/$E137</f>
        <v>3.9724219049042858E-2</v>
      </c>
      <c r="V137" s="14">
        <f t="array" ref="V137">SUM(IF($C$7:$C$130=$C137,$E$7:$E$130*V$7:V$130))/$E137</f>
        <v>0</v>
      </c>
      <c r="W137" s="14">
        <f t="array" ref="W137">SUM(IF($C$7:$C$130=$C137,$E$7:$E$130*W$7:W$130))/$E137</f>
        <v>0.15750622980426188</v>
      </c>
      <c r="X137" s="14">
        <f t="array" ref="X137">SUM(IF($C$7:$C$130=$C137,$E$7:$E$130*X$7:X$130))/$E137</f>
        <v>0</v>
      </c>
      <c r="Y137" s="14">
        <f t="array" ref="Y137">SUM(IF($C$7:$C$130=$C137,$E$7:$E$130*Y$7:Y$130))/$E137</f>
        <v>0</v>
      </c>
      <c r="Z137" s="14">
        <f t="array" ref="Z137">SUM(IF($C$7:$C$130=$C137,$E$7:$E$130*Z$7:Z$130))/$E137</f>
        <v>0</v>
      </c>
      <c r="AA137" s="14">
        <f t="array" ref="AA137">SUM(IF($C$7:$C$130=$C137,$E$7:$E$130*AA$7:AA$130))/$E137</f>
        <v>0</v>
      </c>
      <c r="AB137" s="14">
        <f t="array" ref="AB137">SUM(IF($C$7:$C$130=$C137,$E$7:$E$130*AB$7:AB$130))/$E137</f>
        <v>0.39464749982882447</v>
      </c>
      <c r="AC137" s="14">
        <f t="array" ref="AC137">SUM(IF($C$7:$C$130=$C137,$E$7:$E$130*AC$7:AC$130))/$E137</f>
        <v>0.16960403802643384</v>
      </c>
      <c r="AD137" s="14">
        <f t="array" ref="AD137">SUM(IF($C$7:$C$130=$C137,$E$7:$E$130*AD$7:AD$130))/$E137</f>
        <v>7.1420629484518536E-2</v>
      </c>
      <c r="AE137" s="14">
        <f t="array" ref="AE137">SUM(IF($C$7:$C$130=$C137,$E$7:$E$130*AE$7:AE$130))/$E137</f>
        <v>0</v>
      </c>
      <c r="AF137" s="14">
        <f t="array" ref="AF137">SUM(IF($C$7:$C$130=$C137,$E$7:$E$130*AF$7:AF$130))/$E137</f>
        <v>2.0803825563490844E-3</v>
      </c>
      <c r="AG137" s="14">
        <f t="array" ref="AG137">SUM(IF($C$7:$C$130=$C137,$E$7:$E$130*AG$7:AG$130))/$E137</f>
        <v>5.6876346040891673E-2</v>
      </c>
      <c r="AH137" s="14">
        <f t="array" ref="AH137">SUM(IF($C$7:$C$130=$C137,$E$7:$E$130*AH$7:AH$130))/$E137</f>
        <v>0</v>
      </c>
      <c r="AI137" s="76">
        <f t="shared" si="231"/>
        <v>0</v>
      </c>
      <c r="AK137" s="39">
        <f t="shared" si="256"/>
        <v>143012000</v>
      </c>
      <c r="AL137" s="39">
        <f t="shared" si="256"/>
        <v>21146451.397488117</v>
      </c>
      <c r="AM137" s="39">
        <f t="shared" si="256"/>
        <v>22525280.936767101</v>
      </c>
      <c r="AN137" s="39">
        <f t="shared" si="256"/>
        <v>99340267.665744781</v>
      </c>
      <c r="AO137" s="39">
        <f t="shared" si="256"/>
        <v>0</v>
      </c>
      <c r="AP137" s="39"/>
      <c r="AQ137" s="61" t="str">
        <f>E$1&amp;$A137&amp;"*      """</f>
        <v>E137*      "</v>
      </c>
      <c r="AS137" s="2">
        <f>SUM(AT137:AY137)</f>
        <v>21146451.397488128</v>
      </c>
      <c r="AT137" s="39">
        <f t="shared" si="257"/>
        <v>13421807.565040201</v>
      </c>
      <c r="AU137" s="39">
        <f t="shared" si="257"/>
        <v>5545257.618562242</v>
      </c>
      <c r="AV137" s="39">
        <f t="shared" si="257"/>
        <v>0</v>
      </c>
      <c r="AW137" s="39">
        <f t="shared" si="257"/>
        <v>86649.800591855237</v>
      </c>
      <c r="AX137" s="39">
        <f t="shared" si="257"/>
        <v>2092736.4132938259</v>
      </c>
      <c r="AY137" s="39">
        <f t="shared" si="257"/>
        <v>0</v>
      </c>
      <c r="BA137" s="2">
        <f>SUM(BB137:BG137)</f>
        <v>22525280.936767105</v>
      </c>
      <c r="BB137" s="39">
        <f t="shared" si="258"/>
        <v>15380447.114330478</v>
      </c>
      <c r="BC137" s="39">
        <f t="shared" si="258"/>
        <v>5205893.7302673813</v>
      </c>
      <c r="BD137" s="39">
        <f t="shared" si="258"/>
        <v>0</v>
      </c>
      <c r="BE137" s="39">
        <f t="shared" si="258"/>
        <v>65400.513428230304</v>
      </c>
      <c r="BF137" s="39">
        <f t="shared" si="258"/>
        <v>1873539.5787410126</v>
      </c>
      <c r="BG137" s="39">
        <f t="shared" si="258"/>
        <v>0</v>
      </c>
      <c r="BI137" s="2">
        <f>SUM(BJ137:BO137)</f>
        <v>99340267.665744781</v>
      </c>
      <c r="BJ137" s="39">
        <f t="shared" si="259"/>
        <v>96443363.258206844</v>
      </c>
      <c r="BK137" s="39">
        <f t="shared" si="259"/>
        <v>2663800.1056522522</v>
      </c>
      <c r="BL137" s="39">
        <f t="shared" si="259"/>
        <v>0</v>
      </c>
      <c r="BM137" s="39">
        <f t="shared" si="259"/>
        <v>15593.685328167756</v>
      </c>
      <c r="BN137" s="39">
        <f t="shared" si="259"/>
        <v>217510.61655750792</v>
      </c>
      <c r="BO137" s="39">
        <f t="shared" si="259"/>
        <v>0</v>
      </c>
    </row>
    <row r="138" spans="1:67">
      <c r="A138" s="50">
        <f t="shared" si="260"/>
        <v>138</v>
      </c>
      <c r="C138" s="36" t="s">
        <v>468</v>
      </c>
      <c r="D138" t="s">
        <v>469</v>
      </c>
      <c r="E138" s="39">
        <f>SUMIF($C$7:$C$130,$C138,E$7:E$130)</f>
        <v>-111424000</v>
      </c>
      <c r="F138" s="60" t="str">
        <f>"sum where Func = "&amp;$C138&amp;" ("&amp;A$7&amp;"-"&amp;A$130&amp;")"</f>
        <v>sum where Func = A (7-130)</v>
      </c>
      <c r="G138" s="60"/>
      <c r="H138" s="39">
        <f t="shared" si="255"/>
        <v>-111424000</v>
      </c>
      <c r="I138" s="39">
        <f t="shared" si="255"/>
        <v>-89955386.102650687</v>
      </c>
      <c r="J138" s="39">
        <f t="shared" si="255"/>
        <v>-15637562.622621389</v>
      </c>
      <c r="K138" s="39">
        <f t="shared" si="255"/>
        <v>0</v>
      </c>
      <c r="L138" s="39">
        <f t="shared" si="255"/>
        <v>-206111.29537578707</v>
      </c>
      <c r="M138" s="39">
        <f t="shared" si="255"/>
        <v>-5624939.9793521389</v>
      </c>
      <c r="N138" s="39">
        <f t="shared" si="255"/>
        <v>0</v>
      </c>
      <c r="O138" s="39"/>
      <c r="P138" s="61" t="str">
        <f>H$1&amp;$A$7&amp;":"&amp;H$1&amp;$A$130&amp;", col "&amp;C$1&amp;"= O"</f>
        <v>H7:H130, col C= O</v>
      </c>
      <c r="Q138" s="61"/>
      <c r="R138" s="42">
        <f t="array" ref="R138">SUM(IF($C$7:$C$130=$C138,$E$7:$E$130*R$7:R$130))/$E138</f>
        <v>0.15278530527507739</v>
      </c>
      <c r="S138" s="14">
        <f t="array" ref="S138">SUM(IF($C$7:$C$130=$C138,$E$7:$E$130*S$7:S$130))/$E138</f>
        <v>3.164969422787912E-3</v>
      </c>
      <c r="T138" s="14">
        <f t="array" ref="T138">SUM(IF($C$7:$C$130=$C138,$E$7:$E$130*T$7:T$130))/$E138</f>
        <v>6.9829362297418388E-3</v>
      </c>
      <c r="U138" s="14">
        <f t="array" ref="U138">SUM(IF($C$7:$C$130=$C138,$E$7:$E$130*U$7:U$130))/$E138</f>
        <v>4.6731957845195397E-2</v>
      </c>
      <c r="V138" s="14">
        <f t="array" ref="V138">SUM(IF($C$7:$C$130=$C138,$E$7:$E$130*V$7:V$130))/$E138</f>
        <v>0</v>
      </c>
      <c r="W138" s="14">
        <f t="array" ref="W138">SUM(IF($C$7:$C$130=$C138,$E$7:$E$130*W$7:W$130))/$E138</f>
        <v>0.27991526808724082</v>
      </c>
      <c r="X138" s="14">
        <f t="array" ref="X138">SUM(IF($C$7:$C$130=$C138,$E$7:$E$130*X$7:X$130))/$E138</f>
        <v>0</v>
      </c>
      <c r="Y138" s="14">
        <f t="array" ref="Y138">SUM(IF($C$7:$C$130=$C138,$E$7:$E$130*Y$7:Y$130))/$E138</f>
        <v>0</v>
      </c>
      <c r="Z138" s="14">
        <f t="array" ref="Z138">SUM(IF($C$7:$C$130=$C138,$E$7:$E$130*Z$7:Z$130))/$E138</f>
        <v>0</v>
      </c>
      <c r="AA138" s="14">
        <f t="array" ref="AA138">SUM(IF($C$7:$C$130=$C138,$E$7:$E$130*AA$7:AA$130))/$E138</f>
        <v>0</v>
      </c>
      <c r="AB138" s="14">
        <f t="array" ref="AB138">SUM(IF($C$7:$C$130=$C138,$E$7:$E$130*AB$7:AB$130))/$E138</f>
        <v>9.7232640022350991E-2</v>
      </c>
      <c r="AC138" s="14">
        <f t="array" ref="AC138">SUM(IF($C$7:$C$130=$C138,$E$7:$E$130*AC$7:AC$130))/$E138</f>
        <v>0.29403559958561315</v>
      </c>
      <c r="AD138" s="14">
        <f t="array" ref="AD138">SUM(IF($C$7:$C$130=$C138,$E$7:$E$130*AD$7:AD$130))/$E138</f>
        <v>0.1147688867063851</v>
      </c>
      <c r="AE138" s="14">
        <f t="array" ref="AE138">SUM(IF($C$7:$C$130=$C138,$E$7:$E$130*AE$7:AE$130))/$E138</f>
        <v>0</v>
      </c>
      <c r="AF138" s="14">
        <f t="array" ref="AF138">SUM(IF($C$7:$C$130=$C138,$E$7:$E$130*AF$7:AF$130))/$E138</f>
        <v>4.3824368256074331E-3</v>
      </c>
      <c r="AG138" s="14">
        <f t="array" ref="AG138">SUM(IF($C$7:$C$130=$C138,$E$7:$E$130*AG$7:AG$130))/$E138</f>
        <v>0</v>
      </c>
      <c r="AH138" s="14">
        <f t="array" ref="AH138">SUM(IF($C$7:$C$130=$C138,$E$7:$E$130*AH$7:AH$130))/$E138</f>
        <v>0</v>
      </c>
      <c r="AI138" s="76">
        <f t="shared" si="231"/>
        <v>0</v>
      </c>
      <c r="AK138" s="39">
        <f t="shared" si="256"/>
        <v>-111424000</v>
      </c>
      <c r="AL138" s="39">
        <f t="shared" si="256"/>
        <v>-23361731.765340745</v>
      </c>
      <c r="AM138" s="39">
        <f t="shared" si="256"/>
        <v>-31189278.831352722</v>
      </c>
      <c r="AN138" s="39">
        <f t="shared" si="256"/>
        <v>-56872989.403306536</v>
      </c>
      <c r="AO138" s="39">
        <f t="shared" si="256"/>
        <v>0</v>
      </c>
      <c r="AP138" s="39"/>
      <c r="AQ138" s="61" t="str">
        <f>E$1&amp;$A138&amp;"*      """</f>
        <v>E138*      "</v>
      </c>
      <c r="AS138" s="2">
        <f>SUM(AT138:AY138)</f>
        <v>-23361731.765340753</v>
      </c>
      <c r="AT138" s="39">
        <f t="shared" si="257"/>
        <v>-14465101.920045499</v>
      </c>
      <c r="AU138" s="39">
        <f t="shared" si="257"/>
        <v>-6051812.5377428373</v>
      </c>
      <c r="AV138" s="39">
        <f t="shared" si="257"/>
        <v>0</v>
      </c>
      <c r="AW138" s="39">
        <f t="shared" si="257"/>
        <v>-95037.903682317745</v>
      </c>
      <c r="AX138" s="39">
        <f t="shared" si="257"/>
        <v>-2749779.4038700988</v>
      </c>
      <c r="AY138" s="39">
        <f t="shared" si="257"/>
        <v>0</v>
      </c>
      <c r="BA138" s="2">
        <f>SUM(BB138:BG138)</f>
        <v>-31189278.831352718</v>
      </c>
      <c r="BB138" s="39">
        <f t="shared" si="258"/>
        <v>-21296296.145932835</v>
      </c>
      <c r="BC138" s="39">
        <f t="shared" si="258"/>
        <v>-7208259.5362739079</v>
      </c>
      <c r="BD138" s="39">
        <f t="shared" si="258"/>
        <v>0</v>
      </c>
      <c r="BE138" s="39">
        <f t="shared" si="258"/>
        <v>-90555.800602567731</v>
      </c>
      <c r="BF138" s="39">
        <f t="shared" si="258"/>
        <v>-2594167.3485434107</v>
      </c>
      <c r="BG138" s="39">
        <f t="shared" si="258"/>
        <v>0</v>
      </c>
      <c r="BI138" s="2">
        <f>SUM(BJ138:BO138)</f>
        <v>-56872989.403306529</v>
      </c>
      <c r="BJ138" s="39">
        <f t="shared" si="259"/>
        <v>-54193988.036672354</v>
      </c>
      <c r="BK138" s="39">
        <f t="shared" si="259"/>
        <v>-2377490.5486046458</v>
      </c>
      <c r="BL138" s="39">
        <f t="shared" si="259"/>
        <v>0</v>
      </c>
      <c r="BM138" s="39">
        <f t="shared" si="259"/>
        <v>-20517.591090901562</v>
      </c>
      <c r="BN138" s="39">
        <f t="shared" si="259"/>
        <v>-280993.2269386297</v>
      </c>
      <c r="BO138" s="39">
        <f t="shared" si="259"/>
        <v>0</v>
      </c>
    </row>
    <row r="139" spans="1:67" ht="13.8" thickBot="1">
      <c r="A139" s="50">
        <f t="shared" si="260"/>
        <v>139</v>
      </c>
      <c r="D139" s="28" t="s">
        <v>110</v>
      </c>
      <c r="E139" s="6">
        <f>SUM(E134:E138)</f>
        <v>453640000</v>
      </c>
      <c r="F139" s="60"/>
      <c r="G139" s="60"/>
      <c r="H139" s="6">
        <f t="shared" ref="H139:N139" si="261">SUM(H134:H138)</f>
        <v>453639999.99999988</v>
      </c>
      <c r="I139" s="6">
        <f t="shared" si="261"/>
        <v>366160708.5245716</v>
      </c>
      <c r="J139" s="6">
        <f t="shared" si="261"/>
        <v>64141242.973698661</v>
      </c>
      <c r="K139" s="6">
        <f t="shared" si="261"/>
        <v>0</v>
      </c>
      <c r="L139" s="6">
        <f t="shared" si="261"/>
        <v>847681.86534979579</v>
      </c>
      <c r="M139" s="6">
        <f t="shared" si="261"/>
        <v>22490366.636379857</v>
      </c>
      <c r="N139" s="6">
        <f t="shared" si="261"/>
        <v>0</v>
      </c>
      <c r="O139" s="5"/>
      <c r="P139" s="61" t="str">
        <f>A134&amp;":"&amp;$A137</f>
        <v>134:137</v>
      </c>
      <c r="Q139" s="61"/>
      <c r="R139" s="41"/>
      <c r="S139" s="2"/>
      <c r="AI139" s="76">
        <f t="shared" si="231"/>
        <v>0</v>
      </c>
      <c r="AK139" s="54">
        <f>SUM(AK134:AK138)</f>
        <v>453640000</v>
      </c>
      <c r="AL139" s="54">
        <f>SUM(AL134:AL138)</f>
        <v>100390295.97979811</v>
      </c>
      <c r="AM139" s="54">
        <f>SUM(AM134:AM138)</f>
        <v>124411604.15584438</v>
      </c>
      <c r="AN139" s="54">
        <f>SUM(AN134:AN138)</f>
        <v>228838099.86435741</v>
      </c>
      <c r="AO139" s="54">
        <f>SUM(AO134:AO138)</f>
        <v>0</v>
      </c>
      <c r="AP139" s="5"/>
      <c r="AQ139" s="61" t="str">
        <f>A134&amp;":"&amp;$A137</f>
        <v>134:137</v>
      </c>
      <c r="AS139" s="54">
        <f>IF(ROUND(SUM(AS134:AS138),3)&lt;&gt;ROUND(SUM(AT139:AY139),3),#VALUE!,SUM(AS134:AS138))</f>
        <v>100390295.97979811</v>
      </c>
      <c r="AT139" s="54">
        <f t="shared" ref="AT139:AY139" si="262">SUM(AT134:AT138)</f>
        <v>62935960.049140513</v>
      </c>
      <c r="AU139" s="54">
        <f t="shared" si="262"/>
        <v>25976665.775611833</v>
      </c>
      <c r="AV139" s="54">
        <f t="shared" si="262"/>
        <v>0</v>
      </c>
      <c r="AW139" s="54">
        <f t="shared" si="262"/>
        <v>405749.88133910345</v>
      </c>
      <c r="AX139" s="54">
        <f t="shared" si="262"/>
        <v>11071920.273706654</v>
      </c>
      <c r="AY139" s="54">
        <f t="shared" si="262"/>
        <v>0</v>
      </c>
      <c r="BA139" s="54">
        <f>IF(ROUND(SUM(BA134:BA138),3)&lt;&gt;ROUND(SUM(BB139:BG139),3),#VALUE!,SUM(BA134:BA138))</f>
        <v>124411604.15584439</v>
      </c>
      <c r="BB139" s="54">
        <f t="shared" ref="BB139:BG139" si="263">SUM(BB134:BB138)</f>
        <v>84949266.715011045</v>
      </c>
      <c r="BC139" s="54">
        <f t="shared" si="263"/>
        <v>28753185.892134484</v>
      </c>
      <c r="BD139" s="54">
        <f t="shared" si="263"/>
        <v>0</v>
      </c>
      <c r="BE139" s="54">
        <f t="shared" si="263"/>
        <v>361220.03588159289</v>
      </c>
      <c r="BF139" s="54">
        <f t="shared" si="263"/>
        <v>10347931.512817264</v>
      </c>
      <c r="BG139" s="54">
        <f t="shared" si="263"/>
        <v>0</v>
      </c>
      <c r="BI139" s="54">
        <f>IF(ROUND(SUM(BI134:BI138),3)&lt;&gt;ROUND(SUM(BJ139:BO139),3),#VALUE!,SUM(BI134:BI138))</f>
        <v>228838099.86435741</v>
      </c>
      <c r="BJ139" s="54">
        <f t="shared" ref="BJ139:BO139" si="264">SUM(BJ134:BJ138)</f>
        <v>218275481.76042008</v>
      </c>
      <c r="BK139" s="54">
        <f t="shared" si="264"/>
        <v>9411391.3059523441</v>
      </c>
      <c r="BL139" s="54">
        <f t="shared" si="264"/>
        <v>0</v>
      </c>
      <c r="BM139" s="54">
        <f t="shared" si="264"/>
        <v>80711.948129099605</v>
      </c>
      <c r="BN139" s="54">
        <f t="shared" si="264"/>
        <v>1070514.8498559403</v>
      </c>
      <c r="BO139" s="54">
        <f t="shared" si="264"/>
        <v>0</v>
      </c>
    </row>
    <row r="140" spans="1:67" ht="13.8" thickTop="1">
      <c r="A140" s="50">
        <f t="shared" si="260"/>
        <v>140</v>
      </c>
      <c r="E140" s="2"/>
      <c r="F140" s="60"/>
      <c r="G140" s="60"/>
      <c r="H140" s="33">
        <f>H139-$E139</f>
        <v>0</v>
      </c>
      <c r="P140" s="61"/>
      <c r="Q140" s="61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76">
        <f t="shared" si="231"/>
        <v>0</v>
      </c>
      <c r="AK140" s="33">
        <f>AK139-$E139</f>
        <v>0</v>
      </c>
      <c r="AQ140" s="61"/>
    </row>
    <row r="141" spans="1:67">
      <c r="A141" s="50">
        <f t="shared" si="260"/>
        <v>141</v>
      </c>
      <c r="D141" s="87" t="s">
        <v>470</v>
      </c>
      <c r="E141" s="8"/>
      <c r="F141" s="60"/>
      <c r="G141" s="60"/>
      <c r="H141" s="2"/>
      <c r="I141" s="2"/>
      <c r="J141" s="2"/>
      <c r="K141" s="2"/>
      <c r="L141" s="2"/>
      <c r="M141" s="2"/>
      <c r="N141" s="2"/>
      <c r="O141" s="2"/>
      <c r="P141" s="61"/>
      <c r="Q141" s="61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76">
        <f t="shared" si="231"/>
        <v>0</v>
      </c>
      <c r="AP141" s="2"/>
    </row>
    <row r="142" spans="1:67">
      <c r="A142" s="50">
        <f t="shared" si="260"/>
        <v>142</v>
      </c>
      <c r="D142" s="28" t="s">
        <v>357</v>
      </c>
      <c r="E142" s="39">
        <f>$E$138*$E$24/$E$58</f>
        <v>-4846870.890944805</v>
      </c>
      <c r="F142" s="60"/>
      <c r="G142" s="60"/>
      <c r="H142" s="39">
        <f>SUM(I142:N142)</f>
        <v>-4846870.8909448059</v>
      </c>
      <c r="I142" s="39">
        <f>I$138*IF(I$58,I$24/I$58,0)</f>
        <v>-3528063.571714337</v>
      </c>
      <c r="J142" s="39">
        <f t="shared" ref="J142:N142" si="265">J$138*IF(J$58,J$24/J$58,0)</f>
        <v>-1233003.2870829632</v>
      </c>
      <c r="K142" s="39">
        <f t="shared" si="265"/>
        <v>0</v>
      </c>
      <c r="L142" s="39">
        <f t="shared" si="265"/>
        <v>-17860.695868520968</v>
      </c>
      <c r="M142" s="39">
        <f t="shared" si="265"/>
        <v>-67943.336278984585</v>
      </c>
      <c r="N142" s="39">
        <f t="shared" si="265"/>
        <v>0</v>
      </c>
      <c r="O142" s="2"/>
      <c r="P142" s="61"/>
      <c r="Q142" s="61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76">
        <f t="shared" si="231"/>
        <v>0</v>
      </c>
      <c r="AK142" s="39">
        <f>SUM(AL142:AQ142)</f>
        <v>-4846870.8909448041</v>
      </c>
      <c r="AL142" s="39">
        <f>AL$138*IF(AL$58,AL$24/AL$58,0)</f>
        <v>-4846870.8909448041</v>
      </c>
      <c r="AM142" s="39">
        <f>AM$138*IF(AM$58,AM$24/AM$58,0)</f>
        <v>0</v>
      </c>
      <c r="AN142" s="39">
        <f>AN$138*IF(AN$58,AN$24/AN$58,0)</f>
        <v>0</v>
      </c>
      <c r="AO142" s="39">
        <f>AO$138*IF(AO$58,AO$24/AO$58,0)</f>
        <v>0</v>
      </c>
      <c r="AP142" s="2"/>
      <c r="AS142" s="39">
        <f>SUM(AT142:AY142)</f>
        <v>-4846870.8909448059</v>
      </c>
      <c r="AT142" s="39">
        <f t="shared" ref="AT142:AY142" si="266">AT$138*IF(AT$58,AT$24/AT$58,0)</f>
        <v>-3528063.5717143374</v>
      </c>
      <c r="AU142" s="39">
        <f t="shared" si="266"/>
        <v>-1233003.2870829634</v>
      </c>
      <c r="AV142" s="39">
        <f t="shared" si="266"/>
        <v>0</v>
      </c>
      <c r="AW142" s="39">
        <f t="shared" si="266"/>
        <v>-17860.695868520965</v>
      </c>
      <c r="AX142" s="39">
        <f t="shared" si="266"/>
        <v>-67943.336278984571</v>
      </c>
      <c r="AY142" s="39">
        <f t="shared" si="266"/>
        <v>0</v>
      </c>
      <c r="BA142" s="39">
        <f>SUM(BB142:BG142)</f>
        <v>0</v>
      </c>
      <c r="BB142" s="39">
        <f t="shared" ref="BB142:BG142" si="267">BB$138*IF(BB$58,BB$24/BB$58,0)</f>
        <v>0</v>
      </c>
      <c r="BC142" s="39">
        <f t="shared" si="267"/>
        <v>0</v>
      </c>
      <c r="BD142" s="39">
        <f t="shared" si="267"/>
        <v>0</v>
      </c>
      <c r="BE142" s="39">
        <f t="shared" si="267"/>
        <v>0</v>
      </c>
      <c r="BF142" s="39">
        <f t="shared" si="267"/>
        <v>0</v>
      </c>
      <c r="BG142" s="39">
        <f t="shared" si="267"/>
        <v>0</v>
      </c>
      <c r="BI142" s="39">
        <f>SUM(BJ142:BO142)</f>
        <v>0</v>
      </c>
      <c r="BJ142" s="39">
        <f t="shared" ref="BJ142:BO142" si="268">BJ$138*IF(BJ$58,BJ$24/BJ$58,0)</f>
        <v>0</v>
      </c>
      <c r="BK142" s="39">
        <f t="shared" si="268"/>
        <v>0</v>
      </c>
      <c r="BL142" s="39">
        <f t="shared" si="268"/>
        <v>0</v>
      </c>
      <c r="BM142" s="39">
        <f t="shared" si="268"/>
        <v>0</v>
      </c>
      <c r="BN142" s="39">
        <f t="shared" si="268"/>
        <v>0</v>
      </c>
      <c r="BO142" s="39">
        <f t="shared" si="268"/>
        <v>0</v>
      </c>
    </row>
    <row r="143" spans="1:67">
      <c r="A143" s="50">
        <f t="shared" si="260"/>
        <v>143</v>
      </c>
      <c r="D143" s="28" t="s">
        <v>118</v>
      </c>
      <c r="E143" s="39">
        <f>$E$138*$E$41/$E$58</f>
        <v>-82383984.351413772</v>
      </c>
      <c r="F143" s="60"/>
      <c r="G143" s="60"/>
      <c r="H143" s="39">
        <f>SUM(I143:N143)</f>
        <v>-82383984.351413757</v>
      </c>
      <c r="I143" s="39">
        <f t="shared" ref="I143:N143" si="269">I$138*IF(I$58,I$41/I$58,0)</f>
        <v>-65284747.515362889</v>
      </c>
      <c r="J143" s="39">
        <f t="shared" si="269"/>
        <v>-12091032.627344301</v>
      </c>
      <c r="K143" s="39">
        <f t="shared" si="269"/>
        <v>0</v>
      </c>
      <c r="L143" s="39">
        <f t="shared" si="269"/>
        <v>-159559.74361338187</v>
      </c>
      <c r="M143" s="39">
        <f t="shared" si="269"/>
        <v>-4848644.4650931936</v>
      </c>
      <c r="N143" s="39">
        <f t="shared" si="269"/>
        <v>0</v>
      </c>
      <c r="O143" s="2"/>
      <c r="P143" s="61"/>
      <c r="Q143" s="61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76">
        <f t="shared" si="231"/>
        <v>0</v>
      </c>
      <c r="AK143" s="39">
        <f>SUM(AL143:AQ143)</f>
        <v>-82383984.351413772</v>
      </c>
      <c r="AL143" s="39">
        <f>AL$138*IF(AL$58,AL$41/AL$58,0)</f>
        <v>-14856236.015409969</v>
      </c>
      <c r="AM143" s="39">
        <f>AM$138*IF(AM$58,AM$41/AM$58,0)</f>
        <v>-27391572.772917856</v>
      </c>
      <c r="AN143" s="39">
        <f>AN$138*IF(AN$58,AN$41/AN$58,0)</f>
        <v>-40136175.563085943</v>
      </c>
      <c r="AO143" s="39">
        <f>AO$138*IF(AO$58,AO$41/AO$58,0)</f>
        <v>0</v>
      </c>
      <c r="AP143" s="2"/>
      <c r="AS143" s="39">
        <f>SUM(AT143:AY143)</f>
        <v>-14856236.015409973</v>
      </c>
      <c r="AT143" s="39">
        <f t="shared" ref="AT143:AY143" si="270">AT$138*IF(AT$58,AT$41/AT$58,0)</f>
        <v>-8609877.5152845867</v>
      </c>
      <c r="AU143" s="39">
        <f t="shared" si="270"/>
        <v>-3857770.6984633962</v>
      </c>
      <c r="AV143" s="39">
        <f t="shared" si="270"/>
        <v>0</v>
      </c>
      <c r="AW143" s="39">
        <f t="shared" si="270"/>
        <v>-62162.807775763555</v>
      </c>
      <c r="AX143" s="39">
        <f t="shared" si="270"/>
        <v>-2326424.9938862277</v>
      </c>
      <c r="AY143" s="39">
        <f t="shared" si="270"/>
        <v>0</v>
      </c>
      <c r="BA143" s="39">
        <f>SUM(BB143:BG143)</f>
        <v>-27391572.772917848</v>
      </c>
      <c r="BB143" s="39">
        <f t="shared" ref="BB143:BG143" si="271">BB$138*IF(BB$58,BB$41/BB$58,0)</f>
        <v>-18703191.209683672</v>
      </c>
      <c r="BC143" s="39">
        <f t="shared" si="271"/>
        <v>-6330558.8667682055</v>
      </c>
      <c r="BD143" s="39">
        <f t="shared" si="271"/>
        <v>0</v>
      </c>
      <c r="BE143" s="39">
        <f t="shared" si="271"/>
        <v>-79529.437523307133</v>
      </c>
      <c r="BF143" s="39">
        <f t="shared" si="271"/>
        <v>-2278293.2589426688</v>
      </c>
      <c r="BG143" s="39">
        <f t="shared" si="271"/>
        <v>0</v>
      </c>
      <c r="BI143" s="39">
        <f>SUM(BJ143:BO143)</f>
        <v>-40136175.563085951</v>
      </c>
      <c r="BJ143" s="39">
        <f t="shared" ref="BJ143:BO143" si="272">BJ$138*IF(BJ$58,BJ$41/BJ$58,0)</f>
        <v>-37971678.790394634</v>
      </c>
      <c r="BK143" s="39">
        <f t="shared" si="272"/>
        <v>-1902703.0621127014</v>
      </c>
      <c r="BL143" s="39">
        <f t="shared" si="272"/>
        <v>0</v>
      </c>
      <c r="BM143" s="39">
        <f t="shared" si="272"/>
        <v>-17867.498314311146</v>
      </c>
      <c r="BN143" s="39">
        <f t="shared" si="272"/>
        <v>-243926.21226429619</v>
      </c>
      <c r="BO143" s="39">
        <f t="shared" si="272"/>
        <v>0</v>
      </c>
    </row>
    <row r="144" spans="1:67">
      <c r="A144" s="50">
        <f t="shared" si="260"/>
        <v>144</v>
      </c>
      <c r="D144" s="28" t="s">
        <v>148</v>
      </c>
      <c r="E144" s="39">
        <f>$E$138*SUM($E$13,$E$56)/$E$58</f>
        <v>-24193144.757641423</v>
      </c>
      <c r="F144" s="60"/>
      <c r="G144" s="60"/>
      <c r="H144" s="39">
        <f>SUM(I144:N144)</f>
        <v>-24193144.757641431</v>
      </c>
      <c r="I144" s="39">
        <f t="shared" ref="I144:N144" si="273">I$138*IF(I$58,SUM(I$13,I$56)/I$58,0)</f>
        <v>-21142575.015573461</v>
      </c>
      <c r="J144" s="39">
        <f t="shared" si="273"/>
        <v>-2313526.708194125</v>
      </c>
      <c r="K144" s="39">
        <f t="shared" si="273"/>
        <v>0</v>
      </c>
      <c r="L144" s="39">
        <f t="shared" si="273"/>
        <v>-28690.855893884225</v>
      </c>
      <c r="M144" s="39">
        <f t="shared" si="273"/>
        <v>-708352.17797996127</v>
      </c>
      <c r="N144" s="39">
        <f t="shared" si="273"/>
        <v>0</v>
      </c>
      <c r="O144" s="2"/>
      <c r="P144" s="61"/>
      <c r="Q144" s="6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76">
        <f t="shared" si="231"/>
        <v>0</v>
      </c>
      <c r="AK144" s="39">
        <f>SUM(AL144:AQ144)</f>
        <v>-24193144.757641427</v>
      </c>
      <c r="AL144" s="39">
        <f>AL$138*IF(AL$58,SUM(AL$13,AL$56)/AL$58,0)</f>
        <v>-3658624.8589859703</v>
      </c>
      <c r="AM144" s="39">
        <f>AM$138*IF(AM$58,SUM(AM$13,AM$56)/AM$58,0)</f>
        <v>-3797706.0584348673</v>
      </c>
      <c r="AN144" s="39">
        <f>AN$138*IF(AN$58,SUM(AN$13,AN$56)/AN$58,0)</f>
        <v>-16736813.840220587</v>
      </c>
      <c r="AO144" s="39">
        <f>AO$138*IF(AO$58,SUM(AO$13,AO$56)/AO$58,0)</f>
        <v>0</v>
      </c>
      <c r="AP144" s="2"/>
      <c r="AS144" s="39">
        <f>SUM(AT144:AY144)</f>
        <v>-3658624.8589859726</v>
      </c>
      <c r="AT144" s="39">
        <f t="shared" ref="AT144:AY144" si="274">AT$138*IF(AT$58,SUM(AT$13,AT$56)/AT$58,0)</f>
        <v>-2327160.8330465755</v>
      </c>
      <c r="AU144" s="39">
        <f t="shared" si="274"/>
        <v>-961038.55219647742</v>
      </c>
      <c r="AV144" s="39">
        <f t="shared" si="274"/>
        <v>0</v>
      </c>
      <c r="AW144" s="39">
        <f t="shared" si="274"/>
        <v>-15014.400038033224</v>
      </c>
      <c r="AX144" s="39">
        <f t="shared" si="274"/>
        <v>-355411.07370488613</v>
      </c>
      <c r="AY144" s="39">
        <f t="shared" si="274"/>
        <v>0</v>
      </c>
      <c r="BA144" s="39">
        <f>SUM(BB144:BG144)</f>
        <v>-3797706.0584348668</v>
      </c>
      <c r="BB144" s="39">
        <f t="shared" ref="BB144:BG144" si="275">BB$138*IF(BB$58,SUM(BB$13,BB$56)/BB$58,0)</f>
        <v>-2593104.9362491616</v>
      </c>
      <c r="BC144" s="39">
        <f t="shared" si="275"/>
        <v>-877700.66950570268</v>
      </c>
      <c r="BD144" s="39">
        <f t="shared" si="275"/>
        <v>0</v>
      </c>
      <c r="BE144" s="39">
        <f t="shared" si="275"/>
        <v>-11026.363079260578</v>
      </c>
      <c r="BF144" s="39">
        <f t="shared" si="275"/>
        <v>-315874.08960074169</v>
      </c>
      <c r="BG144" s="39">
        <f t="shared" si="275"/>
        <v>0</v>
      </c>
      <c r="BI144" s="39">
        <f>SUM(BJ144:BO144)</f>
        <v>-16736813.840220585</v>
      </c>
      <c r="BJ144" s="39">
        <f t="shared" ref="BJ144:BO144" si="276">BJ$138*IF(BJ$58,SUM(BJ$13,BJ$56)/BJ$58,0)</f>
        <v>-16222309.246277716</v>
      </c>
      <c r="BK144" s="39">
        <f t="shared" si="276"/>
        <v>-474787.4864919447</v>
      </c>
      <c r="BL144" s="39">
        <f t="shared" si="276"/>
        <v>0</v>
      </c>
      <c r="BM144" s="39">
        <f t="shared" si="276"/>
        <v>-2650.0927765904198</v>
      </c>
      <c r="BN144" s="39">
        <f t="shared" si="276"/>
        <v>-37067.014674333492</v>
      </c>
      <c r="BO144" s="39">
        <f t="shared" si="276"/>
        <v>0</v>
      </c>
    </row>
    <row r="145" spans="1:67">
      <c r="A145" s="50">
        <f t="shared" si="260"/>
        <v>145</v>
      </c>
      <c r="D145" s="52" t="s">
        <v>471</v>
      </c>
      <c r="E145" s="40">
        <f>SUM(E142:E144)</f>
        <v>-111424000</v>
      </c>
      <c r="F145" s="60"/>
      <c r="G145" s="60"/>
      <c r="H145" s="40">
        <f>SUM(H142:H144)</f>
        <v>-111424000</v>
      </c>
      <c r="I145" s="40">
        <f t="shared" ref="I145:N145" si="277">SUM(I142:I144)</f>
        <v>-89955386.102650687</v>
      </c>
      <c r="J145" s="40">
        <f t="shared" si="277"/>
        <v>-15637562.622621389</v>
      </c>
      <c r="K145" s="40">
        <f t="shared" si="277"/>
        <v>0</v>
      </c>
      <c r="L145" s="40">
        <f t="shared" si="277"/>
        <v>-206111.29537578707</v>
      </c>
      <c r="M145" s="40">
        <f t="shared" si="277"/>
        <v>-5624939.9793521389</v>
      </c>
      <c r="N145" s="40">
        <f t="shared" si="277"/>
        <v>0</v>
      </c>
      <c r="O145" s="2"/>
      <c r="P145" s="61"/>
      <c r="Q145" s="6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76">
        <f t="shared" si="231"/>
        <v>0</v>
      </c>
      <c r="AK145" s="40">
        <f>SUM(AK142:AK144)</f>
        <v>-111424000</v>
      </c>
      <c r="AL145" s="40">
        <f>SUM(AL142:AL144)</f>
        <v>-23361731.765340745</v>
      </c>
      <c r="AM145" s="40">
        <f>SUM(AM142:AM144)</f>
        <v>-31189278.831352722</v>
      </c>
      <c r="AN145" s="40">
        <f>SUM(AN142:AN144)</f>
        <v>-56872989.403306529</v>
      </c>
      <c r="AO145" s="40">
        <f>SUM(AO142:AO144)</f>
        <v>0</v>
      </c>
      <c r="AP145" s="2"/>
      <c r="AS145" s="40">
        <f t="shared" ref="AS145:AY145" si="278">SUM(AS142:AS144)</f>
        <v>-23361731.765340749</v>
      </c>
      <c r="AT145" s="40">
        <f t="shared" si="278"/>
        <v>-14465101.920045501</v>
      </c>
      <c r="AU145" s="40">
        <f t="shared" si="278"/>
        <v>-6051812.5377428373</v>
      </c>
      <c r="AV145" s="40">
        <f t="shared" si="278"/>
        <v>0</v>
      </c>
      <c r="AW145" s="40">
        <f t="shared" si="278"/>
        <v>-95037.903682317745</v>
      </c>
      <c r="AX145" s="40">
        <f t="shared" si="278"/>
        <v>-2749779.4038700988</v>
      </c>
      <c r="AY145" s="40">
        <f t="shared" si="278"/>
        <v>0</v>
      </c>
      <c r="BA145" s="40">
        <f t="shared" ref="BA145:BG145" si="279">SUM(BA142:BA144)</f>
        <v>-31189278.831352714</v>
      </c>
      <c r="BB145" s="40">
        <f t="shared" si="279"/>
        <v>-21296296.145932835</v>
      </c>
      <c r="BC145" s="40">
        <f t="shared" si="279"/>
        <v>-7208259.5362739079</v>
      </c>
      <c r="BD145" s="40">
        <f t="shared" si="279"/>
        <v>0</v>
      </c>
      <c r="BE145" s="40">
        <f t="shared" si="279"/>
        <v>-90555.800602567717</v>
      </c>
      <c r="BF145" s="40">
        <f t="shared" si="279"/>
        <v>-2594167.3485434107</v>
      </c>
      <c r="BG145" s="40">
        <f t="shared" si="279"/>
        <v>0</v>
      </c>
      <c r="BI145" s="40">
        <f t="shared" ref="BI145:BO145" si="280">SUM(BI142:BI144)</f>
        <v>-56872989.403306536</v>
      </c>
      <c r="BJ145" s="40">
        <f t="shared" si="280"/>
        <v>-54193988.036672354</v>
      </c>
      <c r="BK145" s="40">
        <f t="shared" si="280"/>
        <v>-2377490.5486046462</v>
      </c>
      <c r="BL145" s="40">
        <f t="shared" si="280"/>
        <v>0</v>
      </c>
      <c r="BM145" s="40">
        <f t="shared" si="280"/>
        <v>-20517.591090901566</v>
      </c>
      <c r="BN145" s="40">
        <f t="shared" si="280"/>
        <v>-280993.2269386297</v>
      </c>
      <c r="BO145" s="40">
        <f t="shared" si="280"/>
        <v>0</v>
      </c>
    </row>
    <row r="146" spans="1:67">
      <c r="A146" s="50">
        <f t="shared" si="260"/>
        <v>146</v>
      </c>
      <c r="D146" s="52"/>
      <c r="E146" s="41"/>
      <c r="F146" s="60"/>
      <c r="G146" s="60"/>
      <c r="H146" s="33">
        <f>H145-$E145</f>
        <v>0</v>
      </c>
      <c r="I146" s="41"/>
      <c r="J146" s="41"/>
      <c r="K146" s="41"/>
      <c r="L146" s="41"/>
      <c r="M146" s="41"/>
      <c r="N146" s="41"/>
      <c r="O146" s="2"/>
      <c r="P146" s="61"/>
      <c r="Q146" s="61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76">
        <f t="shared" si="231"/>
        <v>0</v>
      </c>
      <c r="AK146" s="41"/>
      <c r="AL146" s="41"/>
      <c r="AM146" s="41"/>
      <c r="AN146" s="41"/>
      <c r="AO146" s="41"/>
      <c r="AP146" s="2"/>
      <c r="AS146" s="41"/>
      <c r="AT146" s="41"/>
      <c r="AU146" s="41"/>
      <c r="AV146" s="41"/>
      <c r="AW146" s="41"/>
      <c r="AX146" s="41"/>
      <c r="AY146" s="41"/>
      <c r="BA146" s="41"/>
      <c r="BB146" s="41"/>
      <c r="BC146" s="41"/>
      <c r="BD146" s="41"/>
      <c r="BE146" s="41"/>
      <c r="BF146" s="41"/>
      <c r="BG146" s="41"/>
      <c r="BI146" s="41"/>
      <c r="BJ146" s="41"/>
      <c r="BK146" s="41"/>
      <c r="BL146" s="41"/>
      <c r="BM146" s="41"/>
      <c r="BN146" s="41"/>
      <c r="BO146" s="41"/>
    </row>
    <row r="147" spans="1:67">
      <c r="A147" s="50">
        <f t="shared" si="260"/>
        <v>147</v>
      </c>
      <c r="D147" s="87" t="s">
        <v>475</v>
      </c>
      <c r="E147" s="8"/>
      <c r="F147" s="60"/>
      <c r="G147" s="60"/>
      <c r="H147" s="2"/>
      <c r="I147" s="2"/>
      <c r="J147" s="2"/>
      <c r="K147" s="2"/>
      <c r="L147" s="2"/>
      <c r="M147" s="2"/>
      <c r="N147" s="2"/>
      <c r="O147" s="2"/>
      <c r="P147" s="61"/>
      <c r="Q147" s="61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76">
        <f t="shared" si="231"/>
        <v>0</v>
      </c>
      <c r="AP147" s="2"/>
    </row>
    <row r="148" spans="1:67">
      <c r="A148" s="50">
        <f t="shared" si="260"/>
        <v>148</v>
      </c>
      <c r="D148" s="28" t="s">
        <v>357</v>
      </c>
      <c r="E148" s="39">
        <f>E134+E142</f>
        <v>25583129.109055195</v>
      </c>
      <c r="F148" s="60"/>
      <c r="G148" s="60"/>
      <c r="H148" s="39">
        <f t="shared" ref="H148:N149" si="281">H134+H142</f>
        <v>25583129.109055195</v>
      </c>
      <c r="I148" s="39">
        <f t="shared" si="281"/>
        <v>18622098.234295655</v>
      </c>
      <c r="J148" s="39">
        <f t="shared" si="281"/>
        <v>6508133.3906098679</v>
      </c>
      <c r="K148" s="39">
        <f t="shared" si="281"/>
        <v>0</v>
      </c>
      <c r="L148" s="39">
        <f t="shared" si="281"/>
        <v>94273.707441971957</v>
      </c>
      <c r="M148" s="39">
        <f t="shared" si="281"/>
        <v>358623.77670769487</v>
      </c>
      <c r="N148" s="39">
        <f t="shared" si="281"/>
        <v>0</v>
      </c>
      <c r="O148" s="2"/>
      <c r="P148" s="61"/>
      <c r="Q148" s="61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76">
        <f t="shared" si="231"/>
        <v>0</v>
      </c>
      <c r="AK148" s="39">
        <f t="shared" ref="AK148:AO149" si="282">AK134+AK142</f>
        <v>25583129.109055195</v>
      </c>
      <c r="AL148" s="39">
        <f t="shared" si="282"/>
        <v>25583129.109055195</v>
      </c>
      <c r="AM148" s="39">
        <f t="shared" si="282"/>
        <v>0</v>
      </c>
      <c r="AN148" s="39">
        <f t="shared" si="282"/>
        <v>0</v>
      </c>
      <c r="AO148" s="39">
        <f t="shared" si="282"/>
        <v>0</v>
      </c>
      <c r="AP148" s="2"/>
      <c r="AS148" s="39">
        <f t="shared" ref="AS148:AY148" si="283">AS134+AS142</f>
        <v>25583129.109055191</v>
      </c>
      <c r="AT148" s="39">
        <f t="shared" si="283"/>
        <v>18622098.234295655</v>
      </c>
      <c r="AU148" s="39">
        <f t="shared" si="283"/>
        <v>6508133.3906098679</v>
      </c>
      <c r="AV148" s="39">
        <f t="shared" si="283"/>
        <v>0</v>
      </c>
      <c r="AW148" s="39">
        <f t="shared" si="283"/>
        <v>94273.707441971957</v>
      </c>
      <c r="AX148" s="39">
        <f t="shared" si="283"/>
        <v>358623.77670769487</v>
      </c>
      <c r="AY148" s="39">
        <f t="shared" si="283"/>
        <v>0</v>
      </c>
      <c r="BA148" s="39">
        <f t="shared" ref="BA148:BG148" si="284">BA134+BA142</f>
        <v>0</v>
      </c>
      <c r="BB148" s="39">
        <f t="shared" si="284"/>
        <v>0</v>
      </c>
      <c r="BC148" s="39">
        <f t="shared" si="284"/>
        <v>0</v>
      </c>
      <c r="BD148" s="39">
        <f t="shared" si="284"/>
        <v>0</v>
      </c>
      <c r="BE148" s="39">
        <f t="shared" si="284"/>
        <v>0</v>
      </c>
      <c r="BF148" s="39">
        <f t="shared" si="284"/>
        <v>0</v>
      </c>
      <c r="BG148" s="39">
        <f t="shared" si="284"/>
        <v>0</v>
      </c>
      <c r="BI148" s="39">
        <f t="shared" ref="BI148:BO148" si="285">BI134+BI142</f>
        <v>0</v>
      </c>
      <c r="BJ148" s="39">
        <f t="shared" si="285"/>
        <v>0</v>
      </c>
      <c r="BK148" s="39">
        <f t="shared" si="285"/>
        <v>0</v>
      </c>
      <c r="BL148" s="39">
        <f t="shared" si="285"/>
        <v>0</v>
      </c>
      <c r="BM148" s="39">
        <f t="shared" si="285"/>
        <v>0</v>
      </c>
      <c r="BN148" s="39">
        <f t="shared" si="285"/>
        <v>0</v>
      </c>
      <c r="BO148" s="39">
        <f t="shared" si="285"/>
        <v>0</v>
      </c>
    </row>
    <row r="149" spans="1:67">
      <c r="A149" s="50">
        <f t="shared" si="260"/>
        <v>149</v>
      </c>
      <c r="D149" s="28" t="s">
        <v>118</v>
      </c>
      <c r="E149" s="39">
        <f>E135+E143</f>
        <v>309238015.64858621</v>
      </c>
      <c r="F149" s="60"/>
      <c r="G149" s="60"/>
      <c r="H149" s="39">
        <f t="shared" si="281"/>
        <v>309238015.64858615</v>
      </c>
      <c r="I149" s="39">
        <f t="shared" si="281"/>
        <v>243435567.36827186</v>
      </c>
      <c r="J149" s="39">
        <f t="shared" si="281"/>
        <v>46531684.83680103</v>
      </c>
      <c r="K149" s="39">
        <f t="shared" si="281"/>
        <v>0</v>
      </c>
      <c r="L149" s="39">
        <f t="shared" si="281"/>
        <v>614455.01445345476</v>
      </c>
      <c r="M149" s="39">
        <f t="shared" si="281"/>
        <v>18656308.429059774</v>
      </c>
      <c r="N149" s="39">
        <f t="shared" si="281"/>
        <v>0</v>
      </c>
      <c r="O149" s="2"/>
      <c r="P149" s="61"/>
      <c r="Q149" s="61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76">
        <f t="shared" si="231"/>
        <v>0</v>
      </c>
      <c r="AK149" s="39">
        <f t="shared" si="282"/>
        <v>309238015.64858621</v>
      </c>
      <c r="AL149" s="39">
        <f t="shared" si="282"/>
        <v>57319340.332240768</v>
      </c>
      <c r="AM149" s="39">
        <f t="shared" si="282"/>
        <v>105684029.27751216</v>
      </c>
      <c r="AN149" s="39">
        <f t="shared" si="282"/>
        <v>146234646.03883326</v>
      </c>
      <c r="AO149" s="39">
        <f t="shared" si="282"/>
        <v>0</v>
      </c>
      <c r="AP149" s="2"/>
      <c r="AS149" s="39">
        <f t="shared" ref="AS149:AY149" si="286">AS135+AS143</f>
        <v>57319340.33224076</v>
      </c>
      <c r="AT149" s="39">
        <f t="shared" si="286"/>
        <v>33219215.082851235</v>
      </c>
      <c r="AU149" s="39">
        <f t="shared" si="286"/>
        <v>14884313.318636205</v>
      </c>
      <c r="AV149" s="39">
        <f t="shared" si="286"/>
        <v>0</v>
      </c>
      <c r="AW149" s="39">
        <f t="shared" si="286"/>
        <v>239840.77334330947</v>
      </c>
      <c r="AX149" s="39">
        <f t="shared" si="286"/>
        <v>8975971.1574100181</v>
      </c>
      <c r="AY149" s="39">
        <f t="shared" si="286"/>
        <v>0</v>
      </c>
      <c r="BA149" s="39">
        <f t="shared" ref="BA149:BG149" si="287">BA135+BA143</f>
        <v>105684029.27751215</v>
      </c>
      <c r="BB149" s="39">
        <f t="shared" si="287"/>
        <v>72161924.536929742</v>
      </c>
      <c r="BC149" s="39">
        <f t="shared" si="287"/>
        <v>24424992.831372805</v>
      </c>
      <c r="BD149" s="39">
        <f t="shared" si="287"/>
        <v>0</v>
      </c>
      <c r="BE149" s="39">
        <f t="shared" si="287"/>
        <v>306845.88553262316</v>
      </c>
      <c r="BF149" s="39">
        <f t="shared" si="287"/>
        <v>8790266.0236769933</v>
      </c>
      <c r="BG149" s="39">
        <f t="shared" si="287"/>
        <v>0</v>
      </c>
      <c r="BI149" s="39">
        <f t="shared" ref="BI149:BO149" si="288">BI135+BI143</f>
        <v>146234646.03883323</v>
      </c>
      <c r="BJ149" s="39">
        <f t="shared" si="288"/>
        <v>138054427.74849093</v>
      </c>
      <c r="BK149" s="39">
        <f t="shared" si="288"/>
        <v>7222378.6867920356</v>
      </c>
      <c r="BL149" s="39">
        <f t="shared" si="288"/>
        <v>0</v>
      </c>
      <c r="BM149" s="39">
        <f t="shared" si="288"/>
        <v>67768.355577522263</v>
      </c>
      <c r="BN149" s="39">
        <f t="shared" si="288"/>
        <v>890071.24797276594</v>
      </c>
      <c r="BO149" s="39">
        <f t="shared" si="288"/>
        <v>0</v>
      </c>
    </row>
    <row r="150" spans="1:67">
      <c r="A150" s="50">
        <f t="shared" si="260"/>
        <v>150</v>
      </c>
      <c r="D150" s="28" t="s">
        <v>467</v>
      </c>
      <c r="E150" s="39">
        <f>E136</f>
        <v>0</v>
      </c>
      <c r="F150" s="60"/>
      <c r="G150" s="60"/>
      <c r="H150" s="39">
        <f t="shared" ref="H150:N150" si="289">H136</f>
        <v>0</v>
      </c>
      <c r="I150" s="39">
        <f t="shared" si="289"/>
        <v>0</v>
      </c>
      <c r="J150" s="39">
        <f t="shared" si="289"/>
        <v>0</v>
      </c>
      <c r="K150" s="39">
        <f t="shared" si="289"/>
        <v>0</v>
      </c>
      <c r="L150" s="39">
        <f t="shared" si="289"/>
        <v>0</v>
      </c>
      <c r="M150" s="39">
        <f t="shared" si="289"/>
        <v>0</v>
      </c>
      <c r="N150" s="39">
        <f t="shared" si="289"/>
        <v>0</v>
      </c>
      <c r="O150" s="2"/>
      <c r="P150" s="61"/>
      <c r="Q150" s="61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76">
        <f t="shared" si="231"/>
        <v>0</v>
      </c>
      <c r="AK150" s="39">
        <f>AK136</f>
        <v>0</v>
      </c>
      <c r="AL150" s="39">
        <f>AL136</f>
        <v>0</v>
      </c>
      <c r="AM150" s="39">
        <f>AM136</f>
        <v>0</v>
      </c>
      <c r="AN150" s="39">
        <f>AN136</f>
        <v>0</v>
      </c>
      <c r="AO150" s="39">
        <f>AO136</f>
        <v>0</v>
      </c>
      <c r="AP150" s="2"/>
      <c r="AS150" s="39">
        <f t="shared" ref="AS150:AY150" si="290">AS136</f>
        <v>0</v>
      </c>
      <c r="AT150" s="39">
        <f t="shared" si="290"/>
        <v>0</v>
      </c>
      <c r="AU150" s="39">
        <f t="shared" si="290"/>
        <v>0</v>
      </c>
      <c r="AV150" s="39">
        <f t="shared" si="290"/>
        <v>0</v>
      </c>
      <c r="AW150" s="39">
        <f t="shared" si="290"/>
        <v>0</v>
      </c>
      <c r="AX150" s="39">
        <f t="shared" si="290"/>
        <v>0</v>
      </c>
      <c r="AY150" s="39">
        <f t="shared" si="290"/>
        <v>0</v>
      </c>
      <c r="BA150" s="39">
        <f t="shared" ref="BA150:BG150" si="291">BA136</f>
        <v>0</v>
      </c>
      <c r="BB150" s="39">
        <f t="shared" si="291"/>
        <v>0</v>
      </c>
      <c r="BC150" s="39">
        <f t="shared" si="291"/>
        <v>0</v>
      </c>
      <c r="BD150" s="39">
        <f t="shared" si="291"/>
        <v>0</v>
      </c>
      <c r="BE150" s="39">
        <f t="shared" si="291"/>
        <v>0</v>
      </c>
      <c r="BF150" s="39">
        <f t="shared" si="291"/>
        <v>0</v>
      </c>
      <c r="BG150" s="39">
        <f t="shared" si="291"/>
        <v>0</v>
      </c>
      <c r="BI150" s="39">
        <f t="shared" ref="BI150:BO150" si="292">BI136</f>
        <v>0</v>
      </c>
      <c r="BJ150" s="39">
        <f t="shared" si="292"/>
        <v>0</v>
      </c>
      <c r="BK150" s="39">
        <f t="shared" si="292"/>
        <v>0</v>
      </c>
      <c r="BL150" s="39">
        <f t="shared" si="292"/>
        <v>0</v>
      </c>
      <c r="BM150" s="39">
        <f t="shared" si="292"/>
        <v>0</v>
      </c>
      <c r="BN150" s="39">
        <f t="shared" si="292"/>
        <v>0</v>
      </c>
      <c r="BO150" s="39">
        <f t="shared" si="292"/>
        <v>0</v>
      </c>
    </row>
    <row r="151" spans="1:67">
      <c r="A151" s="50">
        <f t="shared" si="260"/>
        <v>151</v>
      </c>
      <c r="D151" s="28" t="s">
        <v>148</v>
      </c>
      <c r="E151" s="39">
        <f>E137+E144</f>
        <v>118818855.24235858</v>
      </c>
      <c r="F151" s="60"/>
      <c r="G151" s="60"/>
      <c r="H151" s="39">
        <f t="shared" ref="H151:N151" si="293">H137+H144</f>
        <v>118818855.24235857</v>
      </c>
      <c r="I151" s="39">
        <f t="shared" si="293"/>
        <v>104103042.92200409</v>
      </c>
      <c r="J151" s="39">
        <f t="shared" si="293"/>
        <v>11101424.746287759</v>
      </c>
      <c r="K151" s="39">
        <f t="shared" si="293"/>
        <v>0</v>
      </c>
      <c r="L151" s="39">
        <f t="shared" si="293"/>
        <v>138953.14345436907</v>
      </c>
      <c r="M151" s="39">
        <f t="shared" si="293"/>
        <v>3475434.4306123853</v>
      </c>
      <c r="N151" s="39">
        <f t="shared" si="293"/>
        <v>0</v>
      </c>
      <c r="O151" s="2"/>
      <c r="P151" s="61"/>
      <c r="Q151" s="61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76">
        <f t="shared" si="231"/>
        <v>0</v>
      </c>
      <c r="AK151" s="39">
        <f>AK137+AK144</f>
        <v>118818855.24235857</v>
      </c>
      <c r="AL151" s="39">
        <f>AL137+AL144</f>
        <v>17487826.538502146</v>
      </c>
      <c r="AM151" s="39">
        <f>AM137+AM144</f>
        <v>18727574.878332235</v>
      </c>
      <c r="AN151" s="39">
        <f>AN137+AN144</f>
        <v>82603453.825524196</v>
      </c>
      <c r="AO151" s="39">
        <f>AO137+AO144</f>
        <v>0</v>
      </c>
      <c r="AP151" s="2"/>
      <c r="AS151" s="39">
        <f t="shared" ref="AS151:AY151" si="294">AS137+AS144</f>
        <v>17487826.538502157</v>
      </c>
      <c r="AT151" s="39">
        <f t="shared" si="294"/>
        <v>11094646.731993625</v>
      </c>
      <c r="AU151" s="39">
        <f t="shared" si="294"/>
        <v>4584219.0663657645</v>
      </c>
      <c r="AV151" s="39">
        <f t="shared" si="294"/>
        <v>0</v>
      </c>
      <c r="AW151" s="39">
        <f t="shared" si="294"/>
        <v>71635.400553822008</v>
      </c>
      <c r="AX151" s="39">
        <f t="shared" si="294"/>
        <v>1737325.3395889397</v>
      </c>
      <c r="AY151" s="39">
        <f t="shared" si="294"/>
        <v>0</v>
      </c>
      <c r="BA151" s="39">
        <f t="shared" ref="BA151:BG151" si="295">BA137+BA144</f>
        <v>18727574.878332239</v>
      </c>
      <c r="BB151" s="39">
        <f t="shared" si="295"/>
        <v>12787342.178081317</v>
      </c>
      <c r="BC151" s="39">
        <f t="shared" si="295"/>
        <v>4328193.060761679</v>
      </c>
      <c r="BD151" s="39">
        <f t="shared" si="295"/>
        <v>0</v>
      </c>
      <c r="BE151" s="39">
        <f t="shared" si="295"/>
        <v>54374.150348969728</v>
      </c>
      <c r="BF151" s="39">
        <f t="shared" si="295"/>
        <v>1557665.489140271</v>
      </c>
      <c r="BG151" s="39">
        <f t="shared" si="295"/>
        <v>0</v>
      </c>
      <c r="BI151" s="39">
        <f t="shared" ref="BI151:BO151" si="296">BI137+BI144</f>
        <v>82603453.825524196</v>
      </c>
      <c r="BJ151" s="39">
        <f t="shared" si="296"/>
        <v>80221054.011929125</v>
      </c>
      <c r="BK151" s="39">
        <f t="shared" si="296"/>
        <v>2189012.6191603076</v>
      </c>
      <c r="BL151" s="39">
        <f t="shared" si="296"/>
        <v>0</v>
      </c>
      <c r="BM151" s="39">
        <f t="shared" si="296"/>
        <v>12943.592551577336</v>
      </c>
      <c r="BN151" s="39">
        <f t="shared" si="296"/>
        <v>180443.60188317444</v>
      </c>
      <c r="BO151" s="39">
        <f t="shared" si="296"/>
        <v>0</v>
      </c>
    </row>
    <row r="152" spans="1:67">
      <c r="A152" s="50">
        <f t="shared" si="260"/>
        <v>152</v>
      </c>
      <c r="D152" s="52" t="s">
        <v>471</v>
      </c>
      <c r="E152" s="40">
        <f>SUM(E148:E151)</f>
        <v>453640000</v>
      </c>
      <c r="F152" s="60"/>
      <c r="G152" s="60"/>
      <c r="H152" s="40">
        <f t="shared" ref="H152:N152" si="297">SUM(H148:H151)</f>
        <v>453639999.99999994</v>
      </c>
      <c r="I152" s="40">
        <f t="shared" si="297"/>
        <v>366160708.5245716</v>
      </c>
      <c r="J152" s="40">
        <f t="shared" si="297"/>
        <v>64141242.973698661</v>
      </c>
      <c r="K152" s="40">
        <f t="shared" si="297"/>
        <v>0</v>
      </c>
      <c r="L152" s="40">
        <f t="shared" si="297"/>
        <v>847681.86534979579</v>
      </c>
      <c r="M152" s="40">
        <f t="shared" si="297"/>
        <v>22490366.636379853</v>
      </c>
      <c r="N152" s="40">
        <f t="shared" si="297"/>
        <v>0</v>
      </c>
      <c r="O152" s="2"/>
      <c r="P152" s="61"/>
      <c r="Q152" s="61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76">
        <f t="shared" si="231"/>
        <v>0</v>
      </c>
      <c r="AK152" s="40">
        <f>SUM(AK148:AK151)</f>
        <v>453640000</v>
      </c>
      <c r="AL152" s="40">
        <f>SUM(AL148:AL151)</f>
        <v>100390295.97979811</v>
      </c>
      <c r="AM152" s="40">
        <f>SUM(AM148:AM151)</f>
        <v>124411604.15584439</v>
      </c>
      <c r="AN152" s="40">
        <f>SUM(AN148:AN151)</f>
        <v>228838099.86435747</v>
      </c>
      <c r="AO152" s="40">
        <f>SUM(AO148:AO151)</f>
        <v>0</v>
      </c>
      <c r="AP152" s="2"/>
      <c r="AS152" s="40">
        <f t="shared" ref="AS152:AY152" si="298">SUM(AS148:AS151)</f>
        <v>100390295.97979811</v>
      </c>
      <c r="AT152" s="40">
        <f t="shared" si="298"/>
        <v>62935960.049140513</v>
      </c>
      <c r="AU152" s="40">
        <f t="shared" si="298"/>
        <v>25976665.775611836</v>
      </c>
      <c r="AV152" s="40">
        <f t="shared" si="298"/>
        <v>0</v>
      </c>
      <c r="AW152" s="40">
        <f t="shared" si="298"/>
        <v>405749.88133910339</v>
      </c>
      <c r="AX152" s="40">
        <f t="shared" si="298"/>
        <v>11071920.273706652</v>
      </c>
      <c r="AY152" s="40">
        <f t="shared" si="298"/>
        <v>0</v>
      </c>
      <c r="BA152" s="40">
        <f t="shared" ref="BA152:BG152" si="299">SUM(BA148:BA151)</f>
        <v>124411604.15584439</v>
      </c>
      <c r="BB152" s="40">
        <f t="shared" si="299"/>
        <v>84949266.71501106</v>
      </c>
      <c r="BC152" s="40">
        <f t="shared" si="299"/>
        <v>28753185.892134484</v>
      </c>
      <c r="BD152" s="40">
        <f t="shared" si="299"/>
        <v>0</v>
      </c>
      <c r="BE152" s="40">
        <f t="shared" si="299"/>
        <v>361220.03588159289</v>
      </c>
      <c r="BF152" s="40">
        <f t="shared" si="299"/>
        <v>10347931.512817264</v>
      </c>
      <c r="BG152" s="40">
        <f t="shared" si="299"/>
        <v>0</v>
      </c>
      <c r="BI152" s="40">
        <f t="shared" ref="BI152:BO152" si="300">SUM(BI148:BI151)</f>
        <v>228838099.86435741</v>
      </c>
      <c r="BJ152" s="40">
        <f t="shared" si="300"/>
        <v>218275481.76042005</v>
      </c>
      <c r="BK152" s="40">
        <f t="shared" si="300"/>
        <v>9411391.3059523441</v>
      </c>
      <c r="BL152" s="40">
        <f t="shared" si="300"/>
        <v>0</v>
      </c>
      <c r="BM152" s="40">
        <f t="shared" si="300"/>
        <v>80711.948129099605</v>
      </c>
      <c r="BN152" s="40">
        <f t="shared" si="300"/>
        <v>1070514.8498559403</v>
      </c>
      <c r="BO152" s="40">
        <f t="shared" si="300"/>
        <v>0</v>
      </c>
    </row>
    <row r="153" spans="1:67">
      <c r="A153" s="50">
        <f t="shared" si="260"/>
        <v>153</v>
      </c>
      <c r="D153" s="52"/>
      <c r="E153" s="41"/>
      <c r="F153" s="60"/>
      <c r="G153" s="60"/>
      <c r="H153" s="33">
        <f>H152-$E152</f>
        <v>0</v>
      </c>
      <c r="I153" s="41"/>
      <c r="J153" s="41"/>
      <c r="K153" s="41"/>
      <c r="L153" s="41"/>
      <c r="M153" s="41"/>
      <c r="N153" s="41"/>
      <c r="O153" s="2"/>
      <c r="P153" s="61"/>
      <c r="Q153" s="6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76">
        <f t="shared" si="231"/>
        <v>0</v>
      </c>
      <c r="AK153" s="33">
        <f>AK152-$E152</f>
        <v>0</v>
      </c>
      <c r="AL153" s="41"/>
      <c r="AM153" s="41"/>
      <c r="AN153" s="41"/>
      <c r="AO153" s="41"/>
      <c r="AP153" s="2"/>
      <c r="AS153" s="41"/>
      <c r="AT153" s="41"/>
      <c r="AU153" s="41"/>
      <c r="AV153" s="41"/>
      <c r="AW153" s="41"/>
      <c r="AX153" s="41"/>
      <c r="AY153" s="41"/>
      <c r="BA153" s="41"/>
      <c r="BB153" s="41"/>
      <c r="BC153" s="41"/>
      <c r="BD153" s="41"/>
      <c r="BE153" s="41"/>
      <c r="BF153" s="41"/>
      <c r="BG153" s="41"/>
      <c r="BI153" s="41"/>
      <c r="BJ153" s="41"/>
      <c r="BK153" s="41"/>
      <c r="BL153" s="41"/>
      <c r="BM153" s="41"/>
      <c r="BN153" s="41"/>
      <c r="BO153" s="41"/>
    </row>
    <row r="154" spans="1:67">
      <c r="A154" s="50">
        <f t="shared" si="260"/>
        <v>154</v>
      </c>
      <c r="D154" s="52"/>
      <c r="E154" s="41"/>
      <c r="F154" s="60"/>
      <c r="G154" s="60"/>
      <c r="H154" s="41"/>
      <c r="I154" s="41"/>
      <c r="J154" s="41"/>
      <c r="K154" s="41"/>
      <c r="L154" s="41"/>
      <c r="M154" s="41"/>
      <c r="N154" s="41"/>
      <c r="O154" s="2"/>
      <c r="P154" s="61"/>
      <c r="Q154" s="61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76">
        <f t="shared" si="231"/>
        <v>0</v>
      </c>
      <c r="AK154" s="41"/>
      <c r="AL154" s="41"/>
      <c r="AM154" s="41"/>
      <c r="AN154" s="41"/>
      <c r="AO154" s="41"/>
      <c r="AP154" s="2"/>
      <c r="AS154" s="41"/>
      <c r="AT154" s="41"/>
      <c r="AU154" s="41"/>
      <c r="AV154" s="41"/>
      <c r="AW154" s="41"/>
      <c r="AX154" s="41"/>
      <c r="AY154" s="41"/>
      <c r="BA154" s="41"/>
      <c r="BB154" s="41"/>
      <c r="BC154" s="41"/>
      <c r="BD154" s="41"/>
      <c r="BE154" s="41"/>
      <c r="BF154" s="41"/>
      <c r="BG154" s="41"/>
      <c r="BI154" s="41"/>
      <c r="BJ154" s="41"/>
      <c r="BK154" s="41"/>
      <c r="BL154" s="41"/>
      <c r="BM154" s="41"/>
      <c r="BN154" s="41"/>
      <c r="BO154" s="41"/>
    </row>
    <row r="155" spans="1:67">
      <c r="A155" s="50">
        <f t="shared" si="260"/>
        <v>155</v>
      </c>
      <c r="D155" s="55" t="s">
        <v>211</v>
      </c>
      <c r="E155" s="2"/>
      <c r="F155" s="60"/>
      <c r="G155" s="60"/>
      <c r="P155" s="61"/>
      <c r="Q155" s="61"/>
      <c r="AI155" s="76">
        <f t="shared" si="231"/>
        <v>0</v>
      </c>
      <c r="AQ155" s="61"/>
    </row>
    <row r="156" spans="1:67">
      <c r="A156" s="50">
        <f t="shared" si="260"/>
        <v>156</v>
      </c>
      <c r="C156" s="36" t="s">
        <v>156</v>
      </c>
      <c r="D156" s="28" t="s">
        <v>211</v>
      </c>
      <c r="E156" s="432">
        <f>PROFORMA!AV410*1000</f>
        <v>11123000</v>
      </c>
      <c r="F156" s="60" t="str">
        <f>"as Total Rate Base ("&amp;A$130&amp;")"</f>
        <v>as Total Rate Base (130)</v>
      </c>
      <c r="G156" s="60"/>
      <c r="H156" s="2">
        <f>SUM(I156:N156)</f>
        <v>11123000.000000004</v>
      </c>
      <c r="I156" s="2">
        <f t="shared" ref="I156:N156" si="301">$E156*SUMPRODUCT($R156:$AH156,INDEX(AllocFactors,I$4,0))</f>
        <v>8978056.5226144325</v>
      </c>
      <c r="J156" s="2">
        <f t="shared" si="301"/>
        <v>1572707.5337193601</v>
      </c>
      <c r="K156" s="2">
        <f t="shared" si="301"/>
        <v>0</v>
      </c>
      <c r="L156" s="2">
        <f t="shared" si="301"/>
        <v>20784.686950634383</v>
      </c>
      <c r="M156" s="2">
        <f t="shared" si="301"/>
        <v>551451.25671557453</v>
      </c>
      <c r="N156" s="2">
        <f t="shared" si="301"/>
        <v>0</v>
      </c>
      <c r="O156" s="2"/>
      <c r="P156" s="61" t="str">
        <f>E$1&amp;$A156&amp;"* Sum["&amp;$R$1&amp;$A156&amp;":"&amp;$AH$1&amp;$A156&amp;"* "&amp;Factors!D$1&amp;Factors!$A$58&amp;":"&amp;Factors!S$1&amp;Factors!$A$64&amp;"]"</f>
        <v>E156* Sum[R156:AH156* D1040:S1046]</v>
      </c>
      <c r="Q156" s="61"/>
      <c r="R156" s="14">
        <f t="shared" ref="R156:AH156" si="302">R$130</f>
        <v>0.1497465378466927</v>
      </c>
      <c r="S156" s="14">
        <f t="shared" si="302"/>
        <v>3.2723610288288773E-3</v>
      </c>
      <c r="T156" s="14">
        <f t="shared" si="302"/>
        <v>8.8764755096725299E-3</v>
      </c>
      <c r="U156" s="14">
        <f t="shared" si="302"/>
        <v>5.9404105333962322E-2</v>
      </c>
      <c r="V156" s="14">
        <f t="shared" si="302"/>
        <v>0</v>
      </c>
      <c r="W156" s="14">
        <f t="shared" si="302"/>
        <v>0.27425183880575882</v>
      </c>
      <c r="X156" s="14">
        <f t="shared" si="302"/>
        <v>0</v>
      </c>
      <c r="Y156" s="14">
        <f t="shared" si="302"/>
        <v>0</v>
      </c>
      <c r="Z156" s="14">
        <f t="shared" si="302"/>
        <v>0</v>
      </c>
      <c r="AA156" s="14">
        <f t="shared" si="302"/>
        <v>0</v>
      </c>
      <c r="AB156" s="14">
        <f t="shared" si="302"/>
        <v>0.10053187232975359</v>
      </c>
      <c r="AC156" s="14">
        <f t="shared" si="302"/>
        <v>0.2599824459135936</v>
      </c>
      <c r="AD156" s="14">
        <f t="shared" si="302"/>
        <v>0.12384910974864682</v>
      </c>
      <c r="AE156" s="14">
        <f t="shared" si="302"/>
        <v>0</v>
      </c>
      <c r="AF156" s="14">
        <f t="shared" si="302"/>
        <v>3.4112388459335689E-3</v>
      </c>
      <c r="AG156" s="14">
        <f t="shared" si="302"/>
        <v>1.6674014637157217E-2</v>
      </c>
      <c r="AH156" s="14">
        <f t="shared" si="302"/>
        <v>0</v>
      </c>
      <c r="AI156" s="76">
        <f t="shared" si="231"/>
        <v>0</v>
      </c>
      <c r="AK156" s="2">
        <f>SUM(AL156:AO156)</f>
        <v>11123000</v>
      </c>
      <c r="AL156" s="2">
        <f>SUMIF($R$4:$AH$4,AL$5,$R156:$AH156)*$E156</f>
        <v>2461514.1129161767</v>
      </c>
      <c r="AM156" s="2">
        <f>SUMIF($R$4:$AH$4,AM$5,$R156:$AH156)*$E156</f>
        <v>3050503.2030364554</v>
      </c>
      <c r="AN156" s="2">
        <f>SUMIF($R$4:$AH$4,AN$5,$R156:$AH156)*$E156</f>
        <v>5610982.6840473684</v>
      </c>
      <c r="AO156" s="2">
        <f>SUMIF($R$4:$AH$4,AO$5,$R156:$AH156)*$E156</f>
        <v>0</v>
      </c>
      <c r="AP156" s="2"/>
      <c r="AQ156" s="61" t="str">
        <f>E$1&amp;$A156&amp;"*["&amp;R$1&amp;$A156&amp;":"&amp;$AH$1&amp;$A156&amp;" when "&amp;R$1&amp;$A$4&amp;":"&amp;$AH$1&amp;$A$4&amp;" = E,D,C,or R]"</f>
        <v>E156*[R156:AH156 when R4:AH4 = E,D,C,or R]</v>
      </c>
    </row>
    <row r="157" spans="1:67">
      <c r="A157" s="50">
        <f t="shared" si="260"/>
        <v>157</v>
      </c>
      <c r="D157" s="28"/>
      <c r="E157" s="8"/>
      <c r="F157" s="60"/>
      <c r="G157" s="60"/>
      <c r="H157" s="33">
        <f>H156-E156</f>
        <v>0</v>
      </c>
      <c r="I157" s="2"/>
      <c r="J157" s="2"/>
      <c r="K157" s="2"/>
      <c r="L157" s="2"/>
      <c r="M157" s="2"/>
      <c r="N157" s="2"/>
      <c r="O157" s="2"/>
      <c r="P157" s="61"/>
      <c r="Q157" s="61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76">
        <f t="shared" si="231"/>
        <v>0</v>
      </c>
      <c r="AP157" s="2"/>
    </row>
    <row r="158" spans="1:67">
      <c r="A158" s="50">
        <f t="shared" si="260"/>
        <v>158</v>
      </c>
      <c r="D158" t="s">
        <v>566</v>
      </c>
      <c r="E158" s="434">
        <f>'Demand - Pk-Avg'!R28</f>
        <v>0.35164512530918368</v>
      </c>
      <c r="F158" s="60"/>
      <c r="G158" s="60"/>
      <c r="H158" s="33">
        <f>H145-$E145</f>
        <v>0</v>
      </c>
      <c r="P158" s="61"/>
      <c r="Q158" s="61"/>
      <c r="AI158" s="76">
        <f t="shared" si="231"/>
        <v>0</v>
      </c>
      <c r="AK158" s="33">
        <f>AK145-$E145</f>
        <v>0</v>
      </c>
    </row>
    <row r="159" spans="1:67">
      <c r="A159" s="50">
        <f t="shared" si="260"/>
        <v>159</v>
      </c>
      <c r="D159" t="s">
        <v>567</v>
      </c>
      <c r="E159" s="434">
        <f>'Demand - Pk-Avg'!R27</f>
        <v>0.64835487469081621</v>
      </c>
      <c r="F159" s="60"/>
      <c r="G159" s="60"/>
      <c r="P159" s="61"/>
      <c r="Q159" s="61"/>
      <c r="AI159" s="76"/>
      <c r="AQ159" s="61"/>
    </row>
    <row r="160" spans="1:67">
      <c r="A160" s="50">
        <f t="shared" si="260"/>
        <v>160</v>
      </c>
      <c r="E160" s="2"/>
      <c r="F160" s="60"/>
      <c r="G160" s="60"/>
      <c r="P160" s="61"/>
      <c r="Q160" s="61"/>
      <c r="AI160" s="76"/>
      <c r="AQ160" s="61"/>
    </row>
    <row r="161" spans="1:96">
      <c r="A161" s="50">
        <f t="shared" si="260"/>
        <v>161</v>
      </c>
      <c r="E161" s="2"/>
      <c r="F161" s="60"/>
      <c r="G161" s="60"/>
      <c r="P161" s="61"/>
      <c r="Q161" s="61"/>
      <c r="AI161" s="76"/>
      <c r="AQ161" s="61"/>
    </row>
    <row r="162" spans="1:96">
      <c r="A162" s="50">
        <f t="shared" si="260"/>
        <v>162</v>
      </c>
      <c r="P162" s="61"/>
      <c r="Q162" s="61"/>
      <c r="AI162" s="76"/>
      <c r="AQ162" s="61"/>
    </row>
    <row r="163" spans="1:96">
      <c r="A163" s="50">
        <f t="shared" si="260"/>
        <v>163</v>
      </c>
      <c r="E163" s="2"/>
      <c r="P163" s="61"/>
      <c r="Q163" s="61"/>
      <c r="AI163" s="76"/>
      <c r="AQ163" s="61"/>
    </row>
    <row r="164" spans="1:96">
      <c r="A164" s="50">
        <f t="shared" si="260"/>
        <v>164</v>
      </c>
      <c r="P164" s="61"/>
      <c r="Q164" s="61"/>
      <c r="AI164" s="76"/>
      <c r="AQ164" s="61"/>
    </row>
    <row r="165" spans="1:96">
      <c r="A165" s="50">
        <f t="shared" si="260"/>
        <v>165</v>
      </c>
      <c r="P165" s="61"/>
      <c r="Q165" s="61"/>
      <c r="AI165" s="76"/>
      <c r="AQ165" s="61"/>
    </row>
    <row r="166" spans="1:96">
      <c r="A166" s="50">
        <f t="shared" si="260"/>
        <v>166</v>
      </c>
      <c r="P166" s="61"/>
      <c r="Q166" s="61"/>
      <c r="AI166" s="76"/>
      <c r="AQ166" s="61"/>
    </row>
    <row r="167" spans="1:96">
      <c r="A167" s="50">
        <f t="shared" si="260"/>
        <v>167</v>
      </c>
      <c r="P167" s="61"/>
      <c r="Q167" s="61"/>
      <c r="AI167" s="76"/>
      <c r="AQ167" s="61"/>
    </row>
    <row r="168" spans="1:96">
      <c r="A168" s="50">
        <f t="shared" si="260"/>
        <v>168</v>
      </c>
      <c r="E168" s="36"/>
      <c r="P168" s="61"/>
      <c r="Q168" s="61"/>
      <c r="AI168" s="76"/>
      <c r="AQ168" s="61"/>
      <c r="BQ168" s="1"/>
    </row>
    <row r="169" spans="1:96">
      <c r="A169" s="50">
        <f t="shared" si="260"/>
        <v>169</v>
      </c>
      <c r="P169" s="61"/>
      <c r="Q169" s="61"/>
      <c r="R169" s="1"/>
      <c r="AI169"/>
      <c r="AQ169" s="61"/>
      <c r="AS169" t="s">
        <v>464</v>
      </c>
      <c r="BA169" t="s">
        <v>111</v>
      </c>
      <c r="BI169" t="s">
        <v>121</v>
      </c>
    </row>
    <row r="170" spans="1:96">
      <c r="A170" s="50">
        <f t="shared" si="260"/>
        <v>170</v>
      </c>
      <c r="E170" s="36" t="s">
        <v>3</v>
      </c>
      <c r="P170" s="61"/>
      <c r="Q170" s="61"/>
      <c r="R170" t="s">
        <v>464</v>
      </c>
      <c r="S170" t="s">
        <v>464</v>
      </c>
      <c r="T170" t="s">
        <v>464</v>
      </c>
      <c r="U170" t="s">
        <v>464</v>
      </c>
      <c r="V170" t="s">
        <v>464</v>
      </c>
      <c r="W170" t="s">
        <v>111</v>
      </c>
      <c r="X170" t="s">
        <v>111</v>
      </c>
      <c r="Y170" t="s">
        <v>111</v>
      </c>
      <c r="Z170" t="s">
        <v>111</v>
      </c>
      <c r="AA170" t="s">
        <v>111</v>
      </c>
      <c r="AB170" t="s">
        <v>121</v>
      </c>
      <c r="AC170" t="s">
        <v>121</v>
      </c>
      <c r="AD170" t="s">
        <v>121</v>
      </c>
      <c r="AE170" t="s">
        <v>121</v>
      </c>
      <c r="AF170" t="s">
        <v>121</v>
      </c>
      <c r="AG170" t="s">
        <v>121</v>
      </c>
      <c r="AH170" t="s">
        <v>122</v>
      </c>
      <c r="AI170" s="76"/>
      <c r="AQ170" s="61"/>
      <c r="BR170" s="36" t="s">
        <v>3</v>
      </c>
      <c r="BS170" t="s">
        <v>464</v>
      </c>
      <c r="BT170" t="s">
        <v>464</v>
      </c>
      <c r="BU170" t="s">
        <v>464</v>
      </c>
      <c r="BV170" t="s">
        <v>464</v>
      </c>
      <c r="BW170" t="s">
        <v>464</v>
      </c>
      <c r="BX170" t="s">
        <v>111</v>
      </c>
      <c r="BY170" t="s">
        <v>111</v>
      </c>
      <c r="BZ170" t="s">
        <v>111</v>
      </c>
      <c r="CA170" t="s">
        <v>111</v>
      </c>
      <c r="CB170" t="s">
        <v>111</v>
      </c>
      <c r="CC170" t="s">
        <v>121</v>
      </c>
      <c r="CD170" t="s">
        <v>121</v>
      </c>
      <c r="CE170" t="s">
        <v>121</v>
      </c>
      <c r="CF170" t="s">
        <v>1158</v>
      </c>
      <c r="CG170" t="s">
        <v>121</v>
      </c>
      <c r="CH170" t="s">
        <v>121</v>
      </c>
      <c r="CI170" t="s">
        <v>122</v>
      </c>
      <c r="CM170">
        <f>MATCH(CM171,Factors!$C$58:$C$64,0)</f>
        <v>1</v>
      </c>
      <c r="CN170">
        <f>MATCH(CN171,Factors!$C$58:$C$64,0)</f>
        <v>2</v>
      </c>
      <c r="CO170">
        <f>MATCH(CO171,Factors!$C$58:$C$64,0)</f>
        <v>3</v>
      </c>
      <c r="CP170">
        <f>MATCH(CP171,Factors!$C$58:$C$64,0)</f>
        <v>4</v>
      </c>
      <c r="CQ170">
        <f>MATCH(CQ171,Factors!$C$58:$C$64,0)</f>
        <v>5</v>
      </c>
      <c r="CR170">
        <f>MATCH(CR171,Factors!$C$58:$C$64,0)</f>
        <v>6</v>
      </c>
    </row>
    <row r="171" spans="1:96" ht="13.8">
      <c r="A171" s="50">
        <f t="shared" si="260"/>
        <v>171</v>
      </c>
      <c r="B171" t="s">
        <v>219</v>
      </c>
      <c r="C171" s="36" t="s">
        <v>153</v>
      </c>
      <c r="D171" t="s">
        <v>4</v>
      </c>
      <c r="E171" s="36" t="s">
        <v>5</v>
      </c>
      <c r="F171" s="60" t="s">
        <v>217</v>
      </c>
      <c r="G171" s="60" t="s">
        <v>123</v>
      </c>
      <c r="H171" s="26" t="s">
        <v>120</v>
      </c>
      <c r="I171" s="26" t="s">
        <v>398</v>
      </c>
      <c r="J171" s="26" t="s">
        <v>399</v>
      </c>
      <c r="K171" s="26" t="s">
        <v>400</v>
      </c>
      <c r="L171" s="26" t="s">
        <v>401</v>
      </c>
      <c r="M171" s="26" t="s">
        <v>402</v>
      </c>
      <c r="N171" s="26" t="s">
        <v>282</v>
      </c>
      <c r="P171" s="64" t="s">
        <v>230</v>
      </c>
      <c r="Q171" s="64"/>
      <c r="R171" t="s">
        <v>353</v>
      </c>
      <c r="S171" t="s">
        <v>406</v>
      </c>
      <c r="T171" s="7" t="s">
        <v>408</v>
      </c>
      <c r="U171" s="7" t="s">
        <v>426</v>
      </c>
      <c r="V171" s="7" t="s">
        <v>431</v>
      </c>
      <c r="W171" t="s">
        <v>410</v>
      </c>
      <c r="X171" t="s">
        <v>409</v>
      </c>
      <c r="Y171" t="s">
        <v>427</v>
      </c>
      <c r="Z171" t="s">
        <v>411</v>
      </c>
      <c r="AA171" t="s">
        <v>412</v>
      </c>
      <c r="AB171" t="s">
        <v>355</v>
      </c>
      <c r="AC171" t="s">
        <v>413</v>
      </c>
      <c r="AD171" t="s">
        <v>414</v>
      </c>
      <c r="AE171" t="s">
        <v>415</v>
      </c>
      <c r="AF171" t="s">
        <v>417</v>
      </c>
      <c r="AG171" t="s">
        <v>424</v>
      </c>
      <c r="AH171" t="s">
        <v>351</v>
      </c>
      <c r="AI171" s="76"/>
      <c r="AK171" s="26" t="s">
        <v>120</v>
      </c>
      <c r="AL171" s="26" t="s">
        <v>465</v>
      </c>
      <c r="AM171" s="26" t="s">
        <v>158</v>
      </c>
      <c r="AN171" s="26" t="s">
        <v>159</v>
      </c>
      <c r="AO171" s="26" t="s">
        <v>160</v>
      </c>
      <c r="AQ171" s="64" t="s">
        <v>230</v>
      </c>
      <c r="AS171" s="26" t="s">
        <v>120</v>
      </c>
      <c r="AT171" s="26" t="s">
        <v>398</v>
      </c>
      <c r="AU171" s="26" t="s">
        <v>399</v>
      </c>
      <c r="AV171" s="26" t="s">
        <v>400</v>
      </c>
      <c r="AW171" s="26" t="s">
        <v>401</v>
      </c>
      <c r="AX171" s="26" t="s">
        <v>402</v>
      </c>
      <c r="AY171" s="26" t="s">
        <v>282</v>
      </c>
      <c r="BA171" s="26" t="s">
        <v>120</v>
      </c>
      <c r="BB171" s="26" t="s">
        <v>398</v>
      </c>
      <c r="BC171" s="26" t="s">
        <v>399</v>
      </c>
      <c r="BD171" s="26" t="s">
        <v>400</v>
      </c>
      <c r="BE171" s="26" t="s">
        <v>401</v>
      </c>
      <c r="BF171" s="26" t="s">
        <v>402</v>
      </c>
      <c r="BG171" s="26" t="s">
        <v>282</v>
      </c>
      <c r="BI171" s="26" t="s">
        <v>120</v>
      </c>
      <c r="BJ171" s="26" t="s">
        <v>398</v>
      </c>
      <c r="BK171" s="26" t="s">
        <v>399</v>
      </c>
      <c r="BL171" s="26" t="s">
        <v>400</v>
      </c>
      <c r="BM171" s="26" t="s">
        <v>401</v>
      </c>
      <c r="BN171" s="26" t="s">
        <v>402</v>
      </c>
      <c r="BO171" s="26" t="s">
        <v>282</v>
      </c>
      <c r="BQ171" t="s">
        <v>4</v>
      </c>
      <c r="BR171" s="36" t="s">
        <v>571</v>
      </c>
      <c r="BS171" t="s">
        <v>353</v>
      </c>
      <c r="BT171" t="s">
        <v>406</v>
      </c>
      <c r="BU171" s="7" t="s">
        <v>408</v>
      </c>
      <c r="BV171" s="7" t="s">
        <v>426</v>
      </c>
      <c r="BW171" s="7" t="s">
        <v>431</v>
      </c>
      <c r="BX171" t="s">
        <v>410</v>
      </c>
      <c r="BY171" t="s">
        <v>409</v>
      </c>
      <c r="BZ171" t="s">
        <v>427</v>
      </c>
      <c r="CA171" t="s">
        <v>411</v>
      </c>
      <c r="CB171" t="s">
        <v>412</v>
      </c>
      <c r="CC171" t="s">
        <v>355</v>
      </c>
      <c r="CD171" t="s">
        <v>413</v>
      </c>
      <c r="CE171" t="s">
        <v>414</v>
      </c>
      <c r="CF171" t="s">
        <v>1159</v>
      </c>
      <c r="CG171" t="s">
        <v>417</v>
      </c>
      <c r="CH171" t="s">
        <v>424</v>
      </c>
      <c r="CI171" t="s">
        <v>351</v>
      </c>
      <c r="CK171" s="64" t="s">
        <v>230</v>
      </c>
      <c r="CM171" s="26" t="s">
        <v>398</v>
      </c>
      <c r="CN171" s="26" t="s">
        <v>399</v>
      </c>
      <c r="CO171" s="26" t="s">
        <v>400</v>
      </c>
      <c r="CP171" s="26" t="s">
        <v>401</v>
      </c>
      <c r="CQ171" s="26" t="s">
        <v>402</v>
      </c>
      <c r="CR171" s="26" t="s">
        <v>282</v>
      </c>
    </row>
    <row r="172" spans="1:96">
      <c r="A172" s="50">
        <f t="shared" si="260"/>
        <v>172</v>
      </c>
      <c r="C172" s="34"/>
      <c r="E172" s="10"/>
      <c r="P172" s="61"/>
      <c r="Q172" s="61"/>
      <c r="R172" s="25" t="s">
        <v>397</v>
      </c>
      <c r="S172" s="25" t="s">
        <v>405</v>
      </c>
      <c r="T172" s="25" t="s">
        <v>407</v>
      </c>
      <c r="U172" s="25" t="s">
        <v>425</v>
      </c>
      <c r="V172" s="25" t="s">
        <v>430</v>
      </c>
      <c r="W172" s="25" t="s">
        <v>125</v>
      </c>
      <c r="X172" s="25" t="s">
        <v>112</v>
      </c>
      <c r="Y172" s="25" t="s">
        <v>428</v>
      </c>
      <c r="Z172" s="25" t="s">
        <v>126</v>
      </c>
      <c r="AA172" s="25" t="s">
        <v>127</v>
      </c>
      <c r="AB172" s="25" t="s">
        <v>114</v>
      </c>
      <c r="AC172" s="25" t="s">
        <v>128</v>
      </c>
      <c r="AD172" s="25" t="s">
        <v>129</v>
      </c>
      <c r="AE172" s="25" t="s">
        <v>130</v>
      </c>
      <c r="AF172" s="25" t="s">
        <v>131</v>
      </c>
      <c r="AG172" s="25" t="s">
        <v>423</v>
      </c>
      <c r="AH172" s="25" t="s">
        <v>113</v>
      </c>
      <c r="AI172" s="76"/>
      <c r="AQ172" s="61"/>
      <c r="BR172" s="49"/>
      <c r="BS172" s="25" t="s">
        <v>397</v>
      </c>
      <c r="BT172" s="25" t="s">
        <v>405</v>
      </c>
      <c r="BU172" s="25" t="s">
        <v>407</v>
      </c>
      <c r="BV172" s="25" t="s">
        <v>425</v>
      </c>
      <c r="BW172" s="25" t="s">
        <v>430</v>
      </c>
      <c r="BX172" s="25" t="s">
        <v>125</v>
      </c>
      <c r="BY172" s="25" t="s">
        <v>112</v>
      </c>
      <c r="BZ172" s="25" t="s">
        <v>428</v>
      </c>
      <c r="CA172" s="25" t="s">
        <v>126</v>
      </c>
      <c r="CB172" s="25" t="s">
        <v>127</v>
      </c>
      <c r="CC172" s="25" t="s">
        <v>114</v>
      </c>
      <c r="CD172" s="25" t="s">
        <v>128</v>
      </c>
      <c r="CE172" s="25" t="s">
        <v>129</v>
      </c>
      <c r="CF172" s="25" t="s">
        <v>130</v>
      </c>
      <c r="CG172" s="25" t="s">
        <v>131</v>
      </c>
      <c r="CH172" s="25" t="s">
        <v>423</v>
      </c>
      <c r="CI172" s="25" t="s">
        <v>113</v>
      </c>
      <c r="CJ172" s="25"/>
      <c r="CK172" s="25"/>
    </row>
    <row r="173" spans="1:96">
      <c r="A173" s="50">
        <f t="shared" si="260"/>
        <v>173</v>
      </c>
      <c r="C173" s="34"/>
      <c r="D173" s="1" t="s">
        <v>0</v>
      </c>
      <c r="E173" s="10"/>
      <c r="P173" s="61"/>
      <c r="Q173" s="61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76"/>
      <c r="AQ173" s="61"/>
      <c r="BQ173" s="1" t="s">
        <v>0</v>
      </c>
      <c r="BR173" s="49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</row>
    <row r="174" spans="1:96" ht="13.8">
      <c r="A174" s="50">
        <f t="shared" si="260"/>
        <v>174</v>
      </c>
      <c r="D174" t="s">
        <v>283</v>
      </c>
      <c r="P174" s="61"/>
      <c r="Q174" s="61"/>
      <c r="T174" s="7"/>
      <c r="U174" s="7"/>
      <c r="V174" s="7"/>
      <c r="AI174" s="76">
        <f t="shared" ref="AI174:AI205" si="303">IF(SUM(R174:AH174)&lt;&gt;0,(ROUND(SUM(R174:AH174),8)&lt;&gt;1)+0,0)</f>
        <v>0</v>
      </c>
      <c r="AQ174" s="61"/>
      <c r="BQ174" t="s">
        <v>283</v>
      </c>
      <c r="BR174" s="49"/>
    </row>
    <row r="175" spans="1:96">
      <c r="A175" s="50">
        <f t="shared" si="260"/>
        <v>175</v>
      </c>
      <c r="B175" s="51">
        <v>804</v>
      </c>
      <c r="C175" s="36" t="s">
        <v>154</v>
      </c>
      <c r="D175" s="28" t="s">
        <v>285</v>
      </c>
      <c r="E175" s="436">
        <f>PROFORMA!AV29+PROFORMA!AV28*1000</f>
        <v>1000</v>
      </c>
      <c r="F175" s="60" t="s">
        <v>569</v>
      </c>
      <c r="G175" s="60"/>
      <c r="H175" s="2">
        <f>SUM(I175:N175)</f>
        <v>1000</v>
      </c>
      <c r="I175" s="2">
        <f t="shared" ref="I175:N177" si="304">$E175*SUMPRODUCT($R175:$AH175,INDEX(AllocFactors,I$4,0))</f>
        <v>743.03274753938524</v>
      </c>
      <c r="J175" s="2">
        <f t="shared" si="304"/>
        <v>253.2972158481291</v>
      </c>
      <c r="K175" s="2">
        <f t="shared" si="304"/>
        <v>0</v>
      </c>
      <c r="L175" s="2">
        <f t="shared" si="304"/>
        <v>3.6700366124856116</v>
      </c>
      <c r="M175" s="2">
        <f t="shared" si="304"/>
        <v>0</v>
      </c>
      <c r="N175" s="2">
        <f t="shared" si="304"/>
        <v>0</v>
      </c>
      <c r="O175" s="2"/>
      <c r="P175" s="61" t="str">
        <f>E$1&amp;$A175&amp;"* Sum["&amp;$R$1&amp;$A175&amp;":"&amp;$AH$1&amp;$A175&amp;"* "&amp;Factors!D$1&amp;Factors!$A$58&amp;":"&amp;Factors!S$1&amp;Factors!$A$64&amp;"]"</f>
        <v>E175* Sum[R175:AH175* D1040:S1046]</v>
      </c>
      <c r="Q175" s="61"/>
      <c r="R175" s="12">
        <v>0</v>
      </c>
      <c r="S175" s="12"/>
      <c r="T175" s="12">
        <v>0</v>
      </c>
      <c r="U175" s="434">
        <f>ROUND((Factors!D7/(Factors!D7+Factors!D11)),4)</f>
        <v>1</v>
      </c>
      <c r="V175" s="79">
        <v>0</v>
      </c>
      <c r="W175" s="79">
        <v>0</v>
      </c>
      <c r="X175" s="79">
        <v>0</v>
      </c>
      <c r="Y175" s="434">
        <f>ROUND((Factors!D11/(Factors!D7+Factors!D11)),4)</f>
        <v>0</v>
      </c>
      <c r="Z175" s="79">
        <v>0</v>
      </c>
      <c r="AA175" s="79">
        <v>0</v>
      </c>
      <c r="AB175" s="79">
        <v>0</v>
      </c>
      <c r="AC175" s="79">
        <v>0</v>
      </c>
      <c r="AD175" s="79">
        <v>0</v>
      </c>
      <c r="AE175" s="79">
        <v>0</v>
      </c>
      <c r="AF175" s="79">
        <v>0</v>
      </c>
      <c r="AG175" s="79">
        <v>0</v>
      </c>
      <c r="AH175" s="79">
        <v>0</v>
      </c>
      <c r="AI175" s="131">
        <f t="shared" si="303"/>
        <v>0</v>
      </c>
      <c r="AK175" s="2">
        <f>SUM(AL175:AO175)</f>
        <v>1000</v>
      </c>
      <c r="AL175" s="2">
        <f t="shared" ref="AL175:AO177" si="305">SUMIF($R$4:$AH$4,AL$5,$R175:$AH175)*$E175</f>
        <v>1000</v>
      </c>
      <c r="AM175" s="2">
        <f t="shared" si="305"/>
        <v>0</v>
      </c>
      <c r="AN175" s="2">
        <f t="shared" si="305"/>
        <v>0</v>
      </c>
      <c r="AO175" s="2">
        <f t="shared" si="305"/>
        <v>0</v>
      </c>
      <c r="AP175" s="2"/>
      <c r="AQ175" s="61" t="str">
        <f>E$1&amp;$A175&amp;"*["&amp;R$1&amp;$A175&amp;":"&amp;$AH$1&amp;$A175&amp;" when "&amp;R$1&amp;$A$4&amp;":"&amp;$AH$1&amp;$A$4&amp;" = E,D,C,or R]"</f>
        <v>E175*[R175:AH175 when R4:AH4 = E,D,C,or R]</v>
      </c>
      <c r="AS175" s="2">
        <f>SUM(AT175:AY175)</f>
        <v>1000</v>
      </c>
      <c r="AT175" s="2">
        <f>$E175*SUMPRODUCT($R175:$V175,INDEX(AllocFactors_E,AT$4,0))</f>
        <v>743.03274753938524</v>
      </c>
      <c r="AU175" s="2">
        <f t="shared" ref="AT175:AY177" si="306">$E175*SUMPRODUCT($R175:$V175,INDEX(AllocFactors_E,AU$4,0))</f>
        <v>253.2972158481291</v>
      </c>
      <c r="AV175" s="2">
        <f t="shared" si="306"/>
        <v>0</v>
      </c>
      <c r="AW175" s="2">
        <f t="shared" si="306"/>
        <v>3.6700366124856116</v>
      </c>
      <c r="AX175" s="2">
        <f t="shared" si="306"/>
        <v>0</v>
      </c>
      <c r="AY175" s="2">
        <f t="shared" si="306"/>
        <v>0</v>
      </c>
      <c r="BA175" s="2">
        <f>SUM(BB175:BG175)</f>
        <v>0</v>
      </c>
      <c r="BB175" s="2">
        <f t="shared" ref="BB175:BG177" si="307">$E175*SUMPRODUCT($W175:$AA175,INDEX(AllocFactors_D,BB$4,0))</f>
        <v>0</v>
      </c>
      <c r="BC175" s="2">
        <f t="shared" si="307"/>
        <v>0</v>
      </c>
      <c r="BD175" s="2">
        <f t="shared" si="307"/>
        <v>0</v>
      </c>
      <c r="BE175" s="2">
        <f t="shared" si="307"/>
        <v>0</v>
      </c>
      <c r="BF175" s="2">
        <f t="shared" si="307"/>
        <v>0</v>
      </c>
      <c r="BG175" s="2">
        <f t="shared" si="307"/>
        <v>0</v>
      </c>
      <c r="BI175" s="2">
        <f>SUM(BJ175:BO175)</f>
        <v>0</v>
      </c>
      <c r="BJ175" s="2">
        <f t="shared" ref="BJ175:BO177" si="308">$E175*SUMPRODUCT($AB175:$AG175,INDEX(AllocFactors_C,BJ$4,0))</f>
        <v>0</v>
      </c>
      <c r="BK175" s="2">
        <f t="shared" si="308"/>
        <v>0</v>
      </c>
      <c r="BL175" s="2">
        <f t="shared" si="308"/>
        <v>0</v>
      </c>
      <c r="BM175" s="2">
        <f t="shared" si="308"/>
        <v>0</v>
      </c>
      <c r="BN175" s="2">
        <f t="shared" si="308"/>
        <v>0</v>
      </c>
      <c r="BO175" s="2">
        <f t="shared" si="308"/>
        <v>0</v>
      </c>
      <c r="BQ175" s="28" t="s">
        <v>285</v>
      </c>
      <c r="BR175" s="23">
        <v>0</v>
      </c>
      <c r="BS175" s="14">
        <f t="shared" ref="BS175:BU177" si="309">R175</f>
        <v>0</v>
      </c>
      <c r="BT175" s="14">
        <f t="shared" si="309"/>
        <v>0</v>
      </c>
      <c r="BU175" s="14">
        <f t="shared" si="309"/>
        <v>0</v>
      </c>
      <c r="BV175" s="14">
        <f t="shared" ref="BV175:CF177" si="310">U175</f>
        <v>1</v>
      </c>
      <c r="BW175" s="14">
        <f t="shared" si="310"/>
        <v>0</v>
      </c>
      <c r="BX175" s="14">
        <f t="shared" si="310"/>
        <v>0</v>
      </c>
      <c r="BY175" s="14">
        <f t="shared" si="310"/>
        <v>0</v>
      </c>
      <c r="BZ175" s="14">
        <f t="shared" si="310"/>
        <v>0</v>
      </c>
      <c r="CA175" s="14">
        <f t="shared" si="310"/>
        <v>0</v>
      </c>
      <c r="CB175" s="14">
        <f t="shared" si="310"/>
        <v>0</v>
      </c>
      <c r="CC175" s="14">
        <f t="shared" si="310"/>
        <v>0</v>
      </c>
      <c r="CD175" s="14">
        <f t="shared" si="310"/>
        <v>0</v>
      </c>
      <c r="CE175" s="14">
        <f t="shared" si="310"/>
        <v>0</v>
      </c>
      <c r="CF175" s="14">
        <f t="shared" si="310"/>
        <v>0</v>
      </c>
      <c r="CG175" s="14">
        <f t="shared" ref="CG175:CI177" si="311">AF175</f>
        <v>0</v>
      </c>
      <c r="CH175" s="14">
        <f t="shared" si="311"/>
        <v>0</v>
      </c>
      <c r="CI175" s="14">
        <f t="shared" si="311"/>
        <v>0</v>
      </c>
      <c r="CJ175" s="14"/>
      <c r="CK175" s="120" t="str">
        <f>F175</f>
        <v>Input - from PF Gas Costs</v>
      </c>
      <c r="CL175" s="76">
        <f t="shared" ref="CL175:CL206" si="312">IF(SUM(BS175:CI175)&lt;&gt;0,(ROUND(SUM(BS175:CI175),4)&lt;&gt;1)+0,0)</f>
        <v>0</v>
      </c>
      <c r="CM175" s="2">
        <f t="shared" ref="CM175:CR177" si="313">$BR175*SUMPRODUCT($BS175:$CI175,INDEX(AllocFactors,CM$170,0))</f>
        <v>0</v>
      </c>
      <c r="CN175" s="2">
        <f t="shared" si="313"/>
        <v>0</v>
      </c>
      <c r="CO175" s="2">
        <f t="shared" si="313"/>
        <v>0</v>
      </c>
      <c r="CP175" s="2">
        <f t="shared" si="313"/>
        <v>0</v>
      </c>
      <c r="CQ175" s="2">
        <f t="shared" si="313"/>
        <v>0</v>
      </c>
      <c r="CR175" s="2">
        <f t="shared" si="313"/>
        <v>0</v>
      </c>
    </row>
    <row r="176" spans="1:96">
      <c r="A176" s="50">
        <f t="shared" si="260"/>
        <v>176</v>
      </c>
      <c r="B176" s="51" t="s">
        <v>689</v>
      </c>
      <c r="C176" s="36" t="s">
        <v>154</v>
      </c>
      <c r="D176" s="28" t="s">
        <v>690</v>
      </c>
      <c r="E176" s="436">
        <f>PROFORMA!AV30</f>
        <v>84000</v>
      </c>
      <c r="F176" s="60" t="s">
        <v>444</v>
      </c>
      <c r="G176" s="60"/>
      <c r="H176" s="2">
        <f>SUM(I176:N176)</f>
        <v>84000</v>
      </c>
      <c r="I176" s="2">
        <f t="shared" si="304"/>
        <v>61467.976488146094</v>
      </c>
      <c r="J176" s="2">
        <f t="shared" si="304"/>
        <v>22267.63490331405</v>
      </c>
      <c r="K176" s="2">
        <f t="shared" si="304"/>
        <v>0</v>
      </c>
      <c r="L176" s="2">
        <f t="shared" si="304"/>
        <v>264.38860853985028</v>
      </c>
      <c r="M176" s="2">
        <f t="shared" si="304"/>
        <v>0</v>
      </c>
      <c r="N176" s="2">
        <f t="shared" si="304"/>
        <v>0</v>
      </c>
      <c r="O176" s="2"/>
      <c r="P176" s="61" t="str">
        <f>E$1&amp;$A176&amp;"*     """</f>
        <v>E176*     "</v>
      </c>
      <c r="Q176" s="61"/>
      <c r="R176" s="12">
        <v>0</v>
      </c>
      <c r="S176" s="12">
        <v>0</v>
      </c>
      <c r="T176" s="12">
        <v>0</v>
      </c>
      <c r="U176" s="12"/>
      <c r="V176" s="79">
        <v>1</v>
      </c>
      <c r="W176" s="12">
        <v>0</v>
      </c>
      <c r="X176" s="12">
        <v>0</v>
      </c>
      <c r="Y176" s="12"/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76">
        <f t="shared" si="303"/>
        <v>0</v>
      </c>
      <c r="AK176" s="2">
        <f>SUM(AL176:AO176)</f>
        <v>84000</v>
      </c>
      <c r="AL176" s="2">
        <f t="shared" si="305"/>
        <v>84000</v>
      </c>
      <c r="AM176" s="2">
        <f t="shared" si="305"/>
        <v>0</v>
      </c>
      <c r="AN176" s="2">
        <f t="shared" si="305"/>
        <v>0</v>
      </c>
      <c r="AO176" s="2">
        <f t="shared" si="305"/>
        <v>0</v>
      </c>
      <c r="AP176" s="2"/>
      <c r="AQ176" s="61" t="str">
        <f>E$1&amp;$A176&amp;"*      """</f>
        <v>E176*      "</v>
      </c>
      <c r="AS176" s="2">
        <f>SUM(AT176:AY176)</f>
        <v>84000</v>
      </c>
      <c r="AT176" s="2">
        <f t="shared" si="306"/>
        <v>61467.976488146094</v>
      </c>
      <c r="AU176" s="2">
        <f t="shared" si="306"/>
        <v>22267.63490331405</v>
      </c>
      <c r="AV176" s="2">
        <f t="shared" si="306"/>
        <v>0</v>
      </c>
      <c r="AW176" s="2">
        <f t="shared" si="306"/>
        <v>264.38860853985028</v>
      </c>
      <c r="AX176" s="2">
        <f t="shared" si="306"/>
        <v>0</v>
      </c>
      <c r="AY176" s="2">
        <f t="shared" si="306"/>
        <v>0</v>
      </c>
      <c r="BA176" s="2">
        <f>SUM(BB176:BG176)</f>
        <v>0</v>
      </c>
      <c r="BB176" s="2">
        <f t="shared" si="307"/>
        <v>0</v>
      </c>
      <c r="BC176" s="2">
        <f t="shared" si="307"/>
        <v>0</v>
      </c>
      <c r="BD176" s="2">
        <f t="shared" si="307"/>
        <v>0</v>
      </c>
      <c r="BE176" s="2">
        <f t="shared" si="307"/>
        <v>0</v>
      </c>
      <c r="BF176" s="2">
        <f t="shared" si="307"/>
        <v>0</v>
      </c>
      <c r="BG176" s="2">
        <f t="shared" si="307"/>
        <v>0</v>
      </c>
      <c r="BI176" s="2">
        <f>SUM(BJ176:BO176)</f>
        <v>0</v>
      </c>
      <c r="BJ176" s="2">
        <f t="shared" si="308"/>
        <v>0</v>
      </c>
      <c r="BK176" s="2">
        <f t="shared" si="308"/>
        <v>0</v>
      </c>
      <c r="BL176" s="2">
        <f t="shared" si="308"/>
        <v>0</v>
      </c>
      <c r="BM176" s="2">
        <f t="shared" si="308"/>
        <v>0</v>
      </c>
      <c r="BN176" s="2">
        <f t="shared" si="308"/>
        <v>0</v>
      </c>
      <c r="BO176" s="2">
        <f t="shared" si="308"/>
        <v>0</v>
      </c>
      <c r="BQ176" s="28" t="s">
        <v>284</v>
      </c>
      <c r="BR176" s="23">
        <v>0</v>
      </c>
      <c r="BS176" s="14">
        <f t="shared" si="309"/>
        <v>0</v>
      </c>
      <c r="BT176" s="14">
        <f t="shared" si="309"/>
        <v>0</v>
      </c>
      <c r="BU176" s="14">
        <f t="shared" si="309"/>
        <v>0</v>
      </c>
      <c r="BV176" s="14">
        <f t="shared" si="310"/>
        <v>0</v>
      </c>
      <c r="BW176" s="14">
        <f t="shared" si="310"/>
        <v>1</v>
      </c>
      <c r="BX176" s="14">
        <f t="shared" si="310"/>
        <v>0</v>
      </c>
      <c r="BY176" s="14">
        <f t="shared" si="310"/>
        <v>0</v>
      </c>
      <c r="BZ176" s="14">
        <f t="shared" si="310"/>
        <v>0</v>
      </c>
      <c r="CA176" s="14">
        <f t="shared" si="310"/>
        <v>0</v>
      </c>
      <c r="CB176" s="14">
        <f t="shared" si="310"/>
        <v>0</v>
      </c>
      <c r="CC176" s="14">
        <f t="shared" si="310"/>
        <v>0</v>
      </c>
      <c r="CD176" s="14">
        <f t="shared" si="310"/>
        <v>0</v>
      </c>
      <c r="CE176" s="14">
        <f t="shared" si="310"/>
        <v>0</v>
      </c>
      <c r="CF176" s="14">
        <f t="shared" si="310"/>
        <v>0</v>
      </c>
      <c r="CG176" s="14">
        <f t="shared" si="311"/>
        <v>0</v>
      </c>
      <c r="CH176" s="14">
        <f t="shared" si="311"/>
        <v>0</v>
      </c>
      <c r="CI176" s="14">
        <f t="shared" si="311"/>
        <v>0</v>
      </c>
      <c r="CJ176" s="14"/>
      <c r="CK176" s="120" t="str">
        <f>F176</f>
        <v>Input - 100% GTI</v>
      </c>
      <c r="CL176" s="76">
        <f t="shared" si="312"/>
        <v>0</v>
      </c>
      <c r="CM176" s="2">
        <f t="shared" si="313"/>
        <v>0</v>
      </c>
      <c r="CN176" s="2">
        <f t="shared" si="313"/>
        <v>0</v>
      </c>
      <c r="CO176" s="2">
        <f t="shared" si="313"/>
        <v>0</v>
      </c>
      <c r="CP176" s="2">
        <f t="shared" si="313"/>
        <v>0</v>
      </c>
      <c r="CQ176" s="2">
        <f t="shared" si="313"/>
        <v>0</v>
      </c>
      <c r="CR176" s="2">
        <f t="shared" si="313"/>
        <v>0</v>
      </c>
    </row>
    <row r="177" spans="1:96">
      <c r="A177" s="50">
        <f t="shared" si="260"/>
        <v>177</v>
      </c>
      <c r="B177" s="51">
        <v>813</v>
      </c>
      <c r="C177" s="36" t="s">
        <v>154</v>
      </c>
      <c r="D177" s="28" t="s">
        <v>286</v>
      </c>
      <c r="E177" s="436">
        <f>PROFORMA!AV31</f>
        <v>911000</v>
      </c>
      <c r="F177" s="60" t="s">
        <v>568</v>
      </c>
      <c r="G177" s="60"/>
      <c r="H177" s="2">
        <f>SUM(I177:N177)</f>
        <v>911000</v>
      </c>
      <c r="I177" s="2">
        <f t="shared" si="304"/>
        <v>603017.13583471265</v>
      </c>
      <c r="J177" s="2">
        <f t="shared" si="304"/>
        <v>270189.8875059181</v>
      </c>
      <c r="K177" s="2">
        <f t="shared" si="304"/>
        <v>0</v>
      </c>
      <c r="L177" s="2">
        <f t="shared" si="304"/>
        <v>4353.7481495920838</v>
      </c>
      <c r="M177" s="2">
        <f t="shared" si="304"/>
        <v>33439.228509777131</v>
      </c>
      <c r="N177" s="2">
        <f t="shared" si="304"/>
        <v>0</v>
      </c>
      <c r="O177" s="2"/>
      <c r="P177" s="61" t="str">
        <f>E$1&amp;$A177&amp;"*     """</f>
        <v>E177*     "</v>
      </c>
      <c r="Q177" s="61"/>
      <c r="R177" s="434">
        <f>'Acct 813'!E27</f>
        <v>0.2344</v>
      </c>
      <c r="S177" s="434">
        <f>'Acct 813'!E28</f>
        <v>0.76559999999999995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76">
        <f t="shared" si="303"/>
        <v>0</v>
      </c>
      <c r="AK177" s="2">
        <f>SUM(AL177:AO177)</f>
        <v>911000</v>
      </c>
      <c r="AL177" s="2">
        <f t="shared" si="305"/>
        <v>911000</v>
      </c>
      <c r="AM177" s="2">
        <f t="shared" si="305"/>
        <v>0</v>
      </c>
      <c r="AN177" s="2">
        <f t="shared" si="305"/>
        <v>0</v>
      </c>
      <c r="AO177" s="2">
        <f t="shared" si="305"/>
        <v>0</v>
      </c>
      <c r="AP177" s="2"/>
      <c r="AQ177" s="61" t="str">
        <f>E$1&amp;$A177&amp;"*      """</f>
        <v>E177*      "</v>
      </c>
      <c r="AS177" s="2">
        <f>SUM(AT177:AY177)</f>
        <v>911000</v>
      </c>
      <c r="AT177" s="2">
        <f t="shared" si="306"/>
        <v>603017.13583471265</v>
      </c>
      <c r="AU177" s="2">
        <f t="shared" si="306"/>
        <v>270189.8875059181</v>
      </c>
      <c r="AV177" s="2">
        <f t="shared" si="306"/>
        <v>0</v>
      </c>
      <c r="AW177" s="2">
        <f t="shared" si="306"/>
        <v>4353.7481495920838</v>
      </c>
      <c r="AX177" s="2">
        <f t="shared" si="306"/>
        <v>33439.228509777131</v>
      </c>
      <c r="AY177" s="2">
        <f t="shared" si="306"/>
        <v>0</v>
      </c>
      <c r="BA177" s="2">
        <f>SUM(BB177:BG177)</f>
        <v>0</v>
      </c>
      <c r="BB177" s="2">
        <f t="shared" si="307"/>
        <v>0</v>
      </c>
      <c r="BC177" s="2">
        <f t="shared" si="307"/>
        <v>0</v>
      </c>
      <c r="BD177" s="2">
        <f t="shared" si="307"/>
        <v>0</v>
      </c>
      <c r="BE177" s="2">
        <f t="shared" si="307"/>
        <v>0</v>
      </c>
      <c r="BF177" s="2">
        <f t="shared" si="307"/>
        <v>0</v>
      </c>
      <c r="BG177" s="2">
        <f t="shared" si="307"/>
        <v>0</v>
      </c>
      <c r="BI177" s="2">
        <f>SUM(BJ177:BO177)</f>
        <v>0</v>
      </c>
      <c r="BJ177" s="2">
        <f t="shared" si="308"/>
        <v>0</v>
      </c>
      <c r="BK177" s="2">
        <f t="shared" si="308"/>
        <v>0</v>
      </c>
      <c r="BL177" s="2">
        <f t="shared" si="308"/>
        <v>0</v>
      </c>
      <c r="BM177" s="2">
        <f t="shared" si="308"/>
        <v>0</v>
      </c>
      <c r="BN177" s="2">
        <f t="shared" si="308"/>
        <v>0</v>
      </c>
      <c r="BO177" s="2">
        <f t="shared" si="308"/>
        <v>0</v>
      </c>
      <c r="BQ177" s="28" t="s">
        <v>286</v>
      </c>
      <c r="BR177" s="23">
        <v>473238</v>
      </c>
      <c r="BS177" s="14">
        <f t="shared" si="309"/>
        <v>0.2344</v>
      </c>
      <c r="BT177" s="14">
        <f t="shared" si="309"/>
        <v>0.76559999999999995</v>
      </c>
      <c r="BU177" s="14">
        <f t="shared" si="309"/>
        <v>0</v>
      </c>
      <c r="BV177" s="14">
        <f t="shared" si="310"/>
        <v>0</v>
      </c>
      <c r="BW177" s="14">
        <f t="shared" si="310"/>
        <v>0</v>
      </c>
      <c r="BX177" s="14">
        <f t="shared" si="310"/>
        <v>0</v>
      </c>
      <c r="BY177" s="14">
        <f t="shared" si="310"/>
        <v>0</v>
      </c>
      <c r="BZ177" s="14">
        <f t="shared" si="310"/>
        <v>0</v>
      </c>
      <c r="CA177" s="14">
        <f t="shared" si="310"/>
        <v>0</v>
      </c>
      <c r="CB177" s="14">
        <f t="shared" si="310"/>
        <v>0</v>
      </c>
      <c r="CC177" s="14">
        <f t="shared" si="310"/>
        <v>0</v>
      </c>
      <c r="CD177" s="14">
        <f t="shared" si="310"/>
        <v>0</v>
      </c>
      <c r="CE177" s="14">
        <f t="shared" si="310"/>
        <v>0</v>
      </c>
      <c r="CF177" s="14">
        <f t="shared" si="310"/>
        <v>0</v>
      </c>
      <c r="CG177" s="14">
        <f t="shared" si="311"/>
        <v>0</v>
      </c>
      <c r="CH177" s="14">
        <f t="shared" si="311"/>
        <v>0</v>
      </c>
      <c r="CI177" s="14">
        <f t="shared" si="311"/>
        <v>0</v>
      </c>
      <c r="CJ177" s="14"/>
      <c r="CK177" s="120" t="str">
        <f>F177</f>
        <v>Input - purch vs. sched analysis</v>
      </c>
      <c r="CL177" s="76">
        <f t="shared" si="312"/>
        <v>0</v>
      </c>
      <c r="CM177" s="2">
        <f t="shared" si="313"/>
        <v>313249.86095296126</v>
      </c>
      <c r="CN177" s="2">
        <f t="shared" si="313"/>
        <v>140355.78702911711</v>
      </c>
      <c r="CO177" s="2">
        <f t="shared" si="313"/>
        <v>0</v>
      </c>
      <c r="CP177" s="2">
        <f t="shared" si="313"/>
        <v>2261.645517910712</v>
      </c>
      <c r="CQ177" s="2">
        <f t="shared" si="313"/>
        <v>17370.706500010878</v>
      </c>
      <c r="CR177" s="2">
        <f t="shared" si="313"/>
        <v>0</v>
      </c>
    </row>
    <row r="178" spans="1:96">
      <c r="A178" s="50">
        <f t="shared" si="260"/>
        <v>178</v>
      </c>
      <c r="B178" s="51"/>
      <c r="D178" s="52" t="s">
        <v>287</v>
      </c>
      <c r="E178" s="4">
        <f>SUM(E174:E177)</f>
        <v>996000</v>
      </c>
      <c r="F178" s="60"/>
      <c r="G178" s="60"/>
      <c r="H178" s="4">
        <f>IF(ROUND(SUM(H175:H177),3)&lt;&gt;ROUND(SUM(I178:N178),3),#VALUE!,SUM(H175:H177))</f>
        <v>996000</v>
      </c>
      <c r="I178" s="4">
        <f t="shared" ref="I178:N178" si="314">SUM(I175:I177)</f>
        <v>665228.14507039811</v>
      </c>
      <c r="J178" s="4">
        <f t="shared" si="314"/>
        <v>292710.81962508027</v>
      </c>
      <c r="K178" s="4">
        <f t="shared" si="314"/>
        <v>0</v>
      </c>
      <c r="L178" s="4">
        <f t="shared" si="314"/>
        <v>4621.8067947444197</v>
      </c>
      <c r="M178" s="4">
        <f t="shared" si="314"/>
        <v>33439.228509777131</v>
      </c>
      <c r="N178" s="4">
        <f t="shared" si="314"/>
        <v>0</v>
      </c>
      <c r="O178" s="5"/>
      <c r="P178" s="61" t="str">
        <f>A175&amp;":"&amp;A177</f>
        <v>175:177</v>
      </c>
      <c r="Q178" s="61"/>
      <c r="R178" s="13">
        <f>SUMPRODUCT($E175:$E177,R$175:R$177)/$E178</f>
        <v>0.21439598393574297</v>
      </c>
      <c r="S178" s="13">
        <f t="shared" ref="S178:AH178" si="315">SUMPRODUCT($E175:$E177,S$175:S$177)/$E178</f>
        <v>0.70026265060240966</v>
      </c>
      <c r="T178" s="13">
        <f t="shared" si="315"/>
        <v>0</v>
      </c>
      <c r="U178" s="13">
        <f>SUMPRODUCT($E175:$E177,U$175:U$177)/$E178</f>
        <v>1.004016064257028E-3</v>
      </c>
      <c r="V178" s="13">
        <f t="shared" si="315"/>
        <v>8.4337349397590355E-2</v>
      </c>
      <c r="W178" s="13">
        <f t="shared" si="315"/>
        <v>0</v>
      </c>
      <c r="X178" s="13">
        <f t="shared" si="315"/>
        <v>0</v>
      </c>
      <c r="Y178" s="13">
        <f t="shared" si="315"/>
        <v>0</v>
      </c>
      <c r="Z178" s="13">
        <f t="shared" si="315"/>
        <v>0</v>
      </c>
      <c r="AA178" s="13">
        <f t="shared" si="315"/>
        <v>0</v>
      </c>
      <c r="AB178" s="13">
        <f t="shared" si="315"/>
        <v>0</v>
      </c>
      <c r="AC178" s="13">
        <f t="shared" si="315"/>
        <v>0</v>
      </c>
      <c r="AD178" s="13">
        <f t="shared" si="315"/>
        <v>0</v>
      </c>
      <c r="AE178" s="13">
        <f t="shared" si="315"/>
        <v>0</v>
      </c>
      <c r="AF178" s="13">
        <f t="shared" si="315"/>
        <v>0</v>
      </c>
      <c r="AG178" s="13">
        <f t="shared" si="315"/>
        <v>0</v>
      </c>
      <c r="AH178" s="13">
        <f t="shared" si="315"/>
        <v>0</v>
      </c>
      <c r="AI178" s="76">
        <f t="shared" si="303"/>
        <v>0</v>
      </c>
      <c r="AK178" s="4">
        <f>IF(ROUND(SUM(AK175:AK177),3)&lt;&gt;ROUND(SUM(AL178:AO178),3),#VALUE!,SUM(AK175:AK177))</f>
        <v>996000</v>
      </c>
      <c r="AL178" s="4">
        <f>SUM(AL175:AL177)</f>
        <v>996000</v>
      </c>
      <c r="AM178" s="4">
        <f>SUM(AM175:AM177)</f>
        <v>0</v>
      </c>
      <c r="AN178" s="4">
        <f>SUM(AN175:AN177)</f>
        <v>0</v>
      </c>
      <c r="AO178" s="4">
        <f>SUM(AO175:AO177)</f>
        <v>0</v>
      </c>
      <c r="AP178" s="5"/>
      <c r="AQ178" s="61" t="str">
        <f>$A175&amp;":"&amp;$A177</f>
        <v>175:177</v>
      </c>
      <c r="AS178" s="4">
        <f>IF(ROUND(SUM(AS175:AS177),3)&lt;&gt;ROUND(SUM(AT178:AY178),3),#VALUE!,SUM(AS175:AS177))</f>
        <v>996000</v>
      </c>
      <c r="AT178" s="4">
        <f t="shared" ref="AT178:AY178" si="316">SUM(AT175:AT177)</f>
        <v>665228.14507039811</v>
      </c>
      <c r="AU178" s="4">
        <f t="shared" si="316"/>
        <v>292710.81962508027</v>
      </c>
      <c r="AV178" s="4">
        <f t="shared" si="316"/>
        <v>0</v>
      </c>
      <c r="AW178" s="4">
        <f t="shared" si="316"/>
        <v>4621.8067947444197</v>
      </c>
      <c r="AX178" s="4">
        <f t="shared" si="316"/>
        <v>33439.228509777131</v>
      </c>
      <c r="AY178" s="4">
        <f t="shared" si="316"/>
        <v>0</v>
      </c>
      <c r="BA178" s="4">
        <f>IF(ROUND(SUM(BA175:BA177),3)&lt;&gt;ROUND(SUM(BB178:BG178),3),#VALUE!,SUM(BA175:BA177))</f>
        <v>0</v>
      </c>
      <c r="BB178" s="4">
        <f t="shared" ref="BB178:BG178" si="317">SUM(BB175:BB177)</f>
        <v>0</v>
      </c>
      <c r="BC178" s="4">
        <f t="shared" si="317"/>
        <v>0</v>
      </c>
      <c r="BD178" s="4">
        <f t="shared" si="317"/>
        <v>0</v>
      </c>
      <c r="BE178" s="4">
        <f t="shared" si="317"/>
        <v>0</v>
      </c>
      <c r="BF178" s="4">
        <f t="shared" si="317"/>
        <v>0</v>
      </c>
      <c r="BG178" s="4">
        <f t="shared" si="317"/>
        <v>0</v>
      </c>
      <c r="BI178" s="4">
        <f>IF(ROUND(SUM(BI175:BI177),3)&lt;&gt;ROUND(SUM(BJ178:BO178),3),#VALUE!,SUM(BI175:BI177))</f>
        <v>0</v>
      </c>
      <c r="BJ178" s="4">
        <f t="shared" ref="BJ178:BO178" si="318">SUM(BJ175:BJ177)</f>
        <v>0</v>
      </c>
      <c r="BK178" s="4">
        <f t="shared" si="318"/>
        <v>0</v>
      </c>
      <c r="BL178" s="4">
        <f t="shared" si="318"/>
        <v>0</v>
      </c>
      <c r="BM178" s="4">
        <f t="shared" si="318"/>
        <v>0</v>
      </c>
      <c r="BN178" s="4">
        <f t="shared" si="318"/>
        <v>0</v>
      </c>
      <c r="BO178" s="4">
        <f t="shared" si="318"/>
        <v>0</v>
      </c>
      <c r="BQ178" s="52" t="s">
        <v>287</v>
      </c>
      <c r="BR178" s="48">
        <f>IF(ROUND(SUM(BR175:BR177),3)&lt;&gt;ROUND(SUM(CM178:CR178),3),#VALUE!,SUM(BR175:BR177))</f>
        <v>473238</v>
      </c>
      <c r="BS178" s="13">
        <f>SUMPRODUCT($BR$175:$BR$177,BS$175:BS$177)/$BR$178</f>
        <v>0.2344</v>
      </c>
      <c r="BT178" s="13">
        <f t="shared" ref="BT178:CI178" si="319">SUMPRODUCT($BR$175:$BR$177,BT$175:BT$177)/$BR$178</f>
        <v>0.76559999999999995</v>
      </c>
      <c r="BU178" s="13">
        <f t="shared" si="319"/>
        <v>0</v>
      </c>
      <c r="BV178" s="13">
        <f t="shared" si="319"/>
        <v>0</v>
      </c>
      <c r="BW178" s="13">
        <f t="shared" si="319"/>
        <v>0</v>
      </c>
      <c r="BX178" s="13">
        <f t="shared" si="319"/>
        <v>0</v>
      </c>
      <c r="BY178" s="13">
        <f t="shared" si="319"/>
        <v>0</v>
      </c>
      <c r="BZ178" s="13">
        <f t="shared" si="319"/>
        <v>0</v>
      </c>
      <c r="CA178" s="13">
        <f t="shared" si="319"/>
        <v>0</v>
      </c>
      <c r="CB178" s="13">
        <f t="shared" si="319"/>
        <v>0</v>
      </c>
      <c r="CC178" s="13">
        <f t="shared" si="319"/>
        <v>0</v>
      </c>
      <c r="CD178" s="13">
        <f t="shared" si="319"/>
        <v>0</v>
      </c>
      <c r="CE178" s="13">
        <f t="shared" si="319"/>
        <v>0</v>
      </c>
      <c r="CF178" s="13">
        <f t="shared" si="319"/>
        <v>0</v>
      </c>
      <c r="CG178" s="13">
        <f t="shared" si="319"/>
        <v>0</v>
      </c>
      <c r="CH178" s="13">
        <f t="shared" si="319"/>
        <v>0</v>
      </c>
      <c r="CI178" s="13">
        <f t="shared" si="319"/>
        <v>0</v>
      </c>
      <c r="CJ178" s="119"/>
      <c r="CK178" s="119"/>
      <c r="CL178" s="76">
        <f t="shared" si="312"/>
        <v>0</v>
      </c>
      <c r="CM178" s="4">
        <f t="shared" ref="CM178:CR178" si="320">SUM(CM175:CM177)</f>
        <v>313249.86095296126</v>
      </c>
      <c r="CN178" s="4">
        <f t="shared" si="320"/>
        <v>140355.78702911711</v>
      </c>
      <c r="CO178" s="4">
        <f t="shared" si="320"/>
        <v>0</v>
      </c>
      <c r="CP178" s="4">
        <f t="shared" si="320"/>
        <v>2261.645517910712</v>
      </c>
      <c r="CQ178" s="4">
        <f t="shared" si="320"/>
        <v>17370.706500010878</v>
      </c>
      <c r="CR178" s="4">
        <f t="shared" si="320"/>
        <v>0</v>
      </c>
    </row>
    <row r="179" spans="1:96">
      <c r="A179" s="50">
        <f t="shared" si="260"/>
        <v>179</v>
      </c>
      <c r="D179" s="83"/>
      <c r="E179" s="23"/>
      <c r="F179" s="60"/>
      <c r="G179" s="60"/>
      <c r="H179" s="2"/>
      <c r="I179" s="2"/>
      <c r="J179" s="2"/>
      <c r="K179" s="2"/>
      <c r="L179" s="2"/>
      <c r="M179" s="2"/>
      <c r="N179" s="2"/>
      <c r="O179" s="2"/>
      <c r="P179" s="61"/>
      <c r="Q179" s="61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76">
        <f t="shared" si="303"/>
        <v>0</v>
      </c>
      <c r="AK179" s="2"/>
      <c r="AL179" s="2"/>
      <c r="AM179" s="2"/>
      <c r="AN179" s="2"/>
      <c r="AO179" s="2"/>
      <c r="AP179" s="2"/>
      <c r="AQ179" s="61"/>
      <c r="AS179" s="2"/>
      <c r="AT179" s="2"/>
      <c r="AU179" s="2"/>
      <c r="AV179" s="2"/>
      <c r="AW179" s="2"/>
      <c r="AX179" s="2"/>
      <c r="AY179" s="2"/>
      <c r="BA179" s="2"/>
      <c r="BB179" s="2"/>
      <c r="BC179" s="2"/>
      <c r="BD179" s="2"/>
      <c r="BE179" s="2"/>
      <c r="BF179" s="2"/>
      <c r="BG179" s="2"/>
      <c r="BI179" s="2"/>
      <c r="BJ179" s="2"/>
      <c r="BK179" s="2"/>
      <c r="BL179" s="2"/>
      <c r="BM179" s="2"/>
      <c r="BN179" s="2"/>
      <c r="BO179" s="2"/>
      <c r="BQ179" s="83"/>
      <c r="BR179" s="21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76">
        <f t="shared" si="312"/>
        <v>0</v>
      </c>
      <c r="CM179" s="2"/>
      <c r="CN179" s="2"/>
      <c r="CO179" s="2"/>
      <c r="CP179" s="2"/>
      <c r="CQ179" s="2"/>
      <c r="CR179" s="2"/>
    </row>
    <row r="180" spans="1:96">
      <c r="A180" s="50">
        <f t="shared" si="260"/>
        <v>180</v>
      </c>
      <c r="D180" t="s">
        <v>288</v>
      </c>
      <c r="E180" s="2"/>
      <c r="F180" s="60"/>
      <c r="G180" s="60"/>
      <c r="P180" s="61"/>
      <c r="Q180" s="61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76">
        <f t="shared" si="303"/>
        <v>0</v>
      </c>
      <c r="AQ180" s="61"/>
      <c r="BQ180" t="s">
        <v>288</v>
      </c>
      <c r="BR180" s="49"/>
      <c r="CL180" s="76">
        <f t="shared" si="312"/>
        <v>0</v>
      </c>
    </row>
    <row r="181" spans="1:96">
      <c r="A181" s="50">
        <f t="shared" si="260"/>
        <v>181</v>
      </c>
      <c r="B181" t="s">
        <v>299</v>
      </c>
      <c r="C181" s="36" t="s">
        <v>395</v>
      </c>
      <c r="D181" s="28" t="s">
        <v>1</v>
      </c>
      <c r="E181" s="436">
        <f>PROFORMA!AV35</f>
        <v>14000</v>
      </c>
      <c r="F181" s="60" t="str">
        <f>"as UG Storage Plant ("&amp;A$24&amp;")"</f>
        <v>as UG Storage Plant (24)</v>
      </c>
      <c r="G181" s="60"/>
      <c r="H181" s="2">
        <f t="shared" ref="H181:H191" si="321">SUM(I181:N181)</f>
        <v>13999.999999999998</v>
      </c>
      <c r="I181" s="2">
        <f t="shared" ref="I181:N191" si="322">$E181*SUMPRODUCT($R181:$AH181,INDEX(AllocFactors,I$4,0))</f>
        <v>10190.67582267959</v>
      </c>
      <c r="J181" s="2">
        <f t="shared" si="322"/>
        <v>3561.4825332796463</v>
      </c>
      <c r="K181" s="2">
        <f t="shared" si="322"/>
        <v>0</v>
      </c>
      <c r="L181" s="2">
        <f t="shared" si="322"/>
        <v>51.58993251222153</v>
      </c>
      <c r="M181" s="2">
        <f t="shared" si="322"/>
        <v>196.25171152854131</v>
      </c>
      <c r="N181" s="2">
        <f t="shared" si="322"/>
        <v>0</v>
      </c>
      <c r="O181" s="2"/>
      <c r="P181" s="61" t="str">
        <f>E$1&amp;$A181&amp;"* Sum["&amp;$R$1&amp;$A181&amp;":"&amp;$AH$1&amp;$A181&amp;"* "&amp;Factors!D$1&amp;Factors!$A$58&amp;":"&amp;Factors!S$1&amp;Factors!$A$64&amp;"]"</f>
        <v>E181* Sum[R181:AH181* D1040:S1046]</v>
      </c>
      <c r="Q181" s="61"/>
      <c r="R181" s="14">
        <f t="shared" ref="R181:R191" si="323">R$24</f>
        <v>0</v>
      </c>
      <c r="S181" s="14">
        <f t="shared" ref="S181:AH196" si="324">S$24</f>
        <v>0</v>
      </c>
      <c r="T181" s="14">
        <f t="shared" si="324"/>
        <v>0.13</v>
      </c>
      <c r="U181" s="14">
        <f t="shared" si="324"/>
        <v>0.87</v>
      </c>
      <c r="V181" s="14">
        <f t="shared" si="324"/>
        <v>0</v>
      </c>
      <c r="W181" s="14">
        <f t="shared" si="324"/>
        <v>0</v>
      </c>
      <c r="X181" s="14">
        <f t="shared" si="324"/>
        <v>0</v>
      </c>
      <c r="Y181" s="14">
        <f t="shared" si="324"/>
        <v>0</v>
      </c>
      <c r="Z181" s="14">
        <f t="shared" si="324"/>
        <v>0</v>
      </c>
      <c r="AA181" s="14">
        <f t="shared" si="324"/>
        <v>0</v>
      </c>
      <c r="AB181" s="14">
        <f t="shared" si="324"/>
        <v>0</v>
      </c>
      <c r="AC181" s="14">
        <f t="shared" si="324"/>
        <v>0</v>
      </c>
      <c r="AD181" s="14">
        <f t="shared" si="324"/>
        <v>0</v>
      </c>
      <c r="AE181" s="14">
        <f t="shared" si="324"/>
        <v>0</v>
      </c>
      <c r="AF181" s="14">
        <f t="shared" si="324"/>
        <v>0</v>
      </c>
      <c r="AG181" s="14">
        <f t="shared" si="324"/>
        <v>0</v>
      </c>
      <c r="AH181" s="14">
        <f t="shared" si="324"/>
        <v>0</v>
      </c>
      <c r="AI181" s="76">
        <f t="shared" si="303"/>
        <v>0</v>
      </c>
      <c r="AK181" s="2">
        <f>SUM(AL181:AO181)</f>
        <v>14000</v>
      </c>
      <c r="AL181" s="2">
        <f t="shared" ref="AL181:AO191" si="325">SUMIF($R$4:$AH$4,AL$5,$R181:$AH181)*$E181</f>
        <v>14000</v>
      </c>
      <c r="AM181" s="2">
        <f t="shared" si="325"/>
        <v>0</v>
      </c>
      <c r="AN181" s="2">
        <f t="shared" si="325"/>
        <v>0</v>
      </c>
      <c r="AO181" s="2">
        <f t="shared" si="325"/>
        <v>0</v>
      </c>
      <c r="AP181" s="2"/>
      <c r="AQ181" s="61" t="str">
        <f>E$1&amp;$A181&amp;"*["&amp;R$1&amp;$A181&amp;":"&amp;$AH$1&amp;$A181&amp;" when "&amp;R$1&amp;$A$4&amp;":"&amp;$AH$1&amp;$A$4&amp;" = E,D,C,or R]"</f>
        <v>E181*[R181:AH181 when R4:AH4 = E,D,C,or R]</v>
      </c>
      <c r="AS181" s="2">
        <f t="shared" ref="AS181:AS191" si="326">SUM(AT181:AY181)</f>
        <v>13999.999999999998</v>
      </c>
      <c r="AT181" s="2">
        <f t="shared" ref="AT181:AY191" si="327">$E181*SUMPRODUCT($R181:$V181,INDEX(AllocFactors_E,AT$4,0))</f>
        <v>10190.67582267959</v>
      </c>
      <c r="AU181" s="2">
        <f t="shared" si="327"/>
        <v>3561.4825332796463</v>
      </c>
      <c r="AV181" s="2">
        <f t="shared" si="327"/>
        <v>0</v>
      </c>
      <c r="AW181" s="2">
        <f t="shared" si="327"/>
        <v>51.58993251222153</v>
      </c>
      <c r="AX181" s="2">
        <f t="shared" si="327"/>
        <v>196.25171152854131</v>
      </c>
      <c r="AY181" s="2">
        <f t="shared" si="327"/>
        <v>0</v>
      </c>
      <c r="BA181" s="2">
        <f>SUM(BB181:BG181)</f>
        <v>0</v>
      </c>
      <c r="BB181" s="2">
        <f t="shared" ref="BB181:BG191" si="328">$E181*SUMPRODUCT($W181:$AA181,INDEX(AllocFactors_D,BB$4,0))</f>
        <v>0</v>
      </c>
      <c r="BC181" s="2">
        <f t="shared" si="328"/>
        <v>0</v>
      </c>
      <c r="BD181" s="2">
        <f t="shared" si="328"/>
        <v>0</v>
      </c>
      <c r="BE181" s="2">
        <f t="shared" si="328"/>
        <v>0</v>
      </c>
      <c r="BF181" s="2">
        <f t="shared" si="328"/>
        <v>0</v>
      </c>
      <c r="BG181" s="2">
        <f t="shared" si="328"/>
        <v>0</v>
      </c>
      <c r="BI181" s="2">
        <f t="shared" ref="BI181:BI191" si="329">SUM(BJ181:BO181)</f>
        <v>0</v>
      </c>
      <c r="BJ181" s="2">
        <f t="shared" ref="BJ181:BO191" si="330">$E181*SUMPRODUCT($AB181:$AG181,INDEX(AllocFactors_C,BJ$4,0))</f>
        <v>0</v>
      </c>
      <c r="BK181" s="2">
        <f t="shared" si="330"/>
        <v>0</v>
      </c>
      <c r="BL181" s="2">
        <f t="shared" si="330"/>
        <v>0</v>
      </c>
      <c r="BM181" s="2">
        <f t="shared" si="330"/>
        <v>0</v>
      </c>
      <c r="BN181" s="2">
        <f t="shared" si="330"/>
        <v>0</v>
      </c>
      <c r="BO181" s="2">
        <f t="shared" si="330"/>
        <v>0</v>
      </c>
      <c r="BQ181" s="28" t="s">
        <v>1</v>
      </c>
      <c r="BR181" s="23">
        <v>8543</v>
      </c>
      <c r="BS181" s="14">
        <f t="shared" ref="BS181:BS191" si="331">R181</f>
        <v>0</v>
      </c>
      <c r="BT181" s="14">
        <f t="shared" ref="BT181:BT191" si="332">S181</f>
        <v>0</v>
      </c>
      <c r="BU181" s="14">
        <f t="shared" ref="BU181:BU191" si="333">T181</f>
        <v>0.13</v>
      </c>
      <c r="BV181" s="14">
        <f t="shared" ref="BV181:BV191" si="334">U181</f>
        <v>0.87</v>
      </c>
      <c r="BW181" s="14">
        <f t="shared" ref="BW181:BW191" si="335">V181</f>
        <v>0</v>
      </c>
      <c r="BX181" s="14">
        <f t="shared" ref="BX181:BX191" si="336">W181</f>
        <v>0</v>
      </c>
      <c r="BY181" s="14">
        <f t="shared" ref="BY181:BY191" si="337">X181</f>
        <v>0</v>
      </c>
      <c r="BZ181" s="14">
        <f t="shared" ref="BZ181:BZ191" si="338">Y181</f>
        <v>0</v>
      </c>
      <c r="CA181" s="14">
        <f t="shared" ref="CA181:CA191" si="339">Z181</f>
        <v>0</v>
      </c>
      <c r="CB181" s="14">
        <f t="shared" ref="CB181:CB191" si="340">AA181</f>
        <v>0</v>
      </c>
      <c r="CC181" s="14">
        <f t="shared" ref="CC181:CC191" si="341">AB181</f>
        <v>0</v>
      </c>
      <c r="CD181" s="14">
        <f t="shared" ref="CD181:CD191" si="342">AC181</f>
        <v>0</v>
      </c>
      <c r="CE181" s="14">
        <f t="shared" ref="CE181:CE191" si="343">AD181</f>
        <v>0</v>
      </c>
      <c r="CF181" s="14">
        <f t="shared" ref="CF181:CF191" si="344">AE181</f>
        <v>0</v>
      </c>
      <c r="CG181" s="14">
        <f t="shared" ref="CG181:CG191" si="345">AF181</f>
        <v>0</v>
      </c>
      <c r="CH181" s="14">
        <f t="shared" ref="CH181:CH191" si="346">AG181</f>
        <v>0</v>
      </c>
      <c r="CI181" s="14">
        <f t="shared" ref="CI181:CI191" si="347">AH181</f>
        <v>0</v>
      </c>
      <c r="CJ181" s="14"/>
      <c r="CK181" s="120" t="str">
        <f t="shared" ref="CK181:CK191" si="348">F181</f>
        <v>as UG Storage Plant (24)</v>
      </c>
      <c r="CL181" s="76">
        <f t="shared" si="312"/>
        <v>0</v>
      </c>
      <c r="CM181" s="2">
        <f t="shared" ref="CM181:CR191" si="349">$BR181*SUMPRODUCT($BS181:$CI181,INDEX(AllocFactors,CM$170,0))</f>
        <v>6218.4959680822676</v>
      </c>
      <c r="CN181" s="2">
        <f t="shared" si="349"/>
        <v>2173.2675201291445</v>
      </c>
      <c r="CO181" s="2">
        <f t="shared" si="349"/>
        <v>0</v>
      </c>
      <c r="CP181" s="2">
        <f t="shared" si="349"/>
        <v>31.480913817993468</v>
      </c>
      <c r="CQ181" s="2">
        <f t="shared" si="349"/>
        <v>119.75559797059489</v>
      </c>
      <c r="CR181" s="2">
        <f t="shared" si="349"/>
        <v>0</v>
      </c>
    </row>
    <row r="182" spans="1:96">
      <c r="A182" s="50">
        <f t="shared" si="260"/>
        <v>182</v>
      </c>
      <c r="B182" t="s">
        <v>300</v>
      </c>
      <c r="C182" s="36" t="s">
        <v>395</v>
      </c>
      <c r="D182" s="28" t="s">
        <v>290</v>
      </c>
      <c r="E182" s="436">
        <f>PROFORMA!AV36</f>
        <v>0</v>
      </c>
      <c r="F182" s="60" t="str">
        <f t="shared" ref="F182:F200" si="350">"as UG Storage Plant ("&amp;A$24&amp;")"</f>
        <v>as UG Storage Plant (24)</v>
      </c>
      <c r="G182" s="60"/>
      <c r="H182" s="2">
        <f t="shared" si="321"/>
        <v>0</v>
      </c>
      <c r="I182" s="2">
        <f t="shared" si="322"/>
        <v>0</v>
      </c>
      <c r="J182" s="2">
        <f t="shared" si="322"/>
        <v>0</v>
      </c>
      <c r="K182" s="2">
        <f t="shared" si="322"/>
        <v>0</v>
      </c>
      <c r="L182" s="2">
        <f t="shared" si="322"/>
        <v>0</v>
      </c>
      <c r="M182" s="2">
        <f t="shared" si="322"/>
        <v>0</v>
      </c>
      <c r="N182" s="2">
        <f t="shared" si="322"/>
        <v>0</v>
      </c>
      <c r="O182" s="2"/>
      <c r="P182" s="61" t="str">
        <f>E$1&amp;$A182&amp;"*     """</f>
        <v>E182*     "</v>
      </c>
      <c r="Q182" s="61"/>
      <c r="R182" s="14">
        <f t="shared" si="323"/>
        <v>0</v>
      </c>
      <c r="S182" s="14">
        <f t="shared" si="324"/>
        <v>0</v>
      </c>
      <c r="T182" s="14">
        <f t="shared" si="324"/>
        <v>0.13</v>
      </c>
      <c r="U182" s="14">
        <f t="shared" si="324"/>
        <v>0.87</v>
      </c>
      <c r="V182" s="14">
        <f t="shared" si="324"/>
        <v>0</v>
      </c>
      <c r="W182" s="14">
        <f t="shared" si="324"/>
        <v>0</v>
      </c>
      <c r="X182" s="14">
        <f t="shared" si="324"/>
        <v>0</v>
      </c>
      <c r="Y182" s="14">
        <f t="shared" si="324"/>
        <v>0</v>
      </c>
      <c r="Z182" s="14">
        <f t="shared" si="324"/>
        <v>0</v>
      </c>
      <c r="AA182" s="14">
        <f t="shared" si="324"/>
        <v>0</v>
      </c>
      <c r="AB182" s="14">
        <f t="shared" si="324"/>
        <v>0</v>
      </c>
      <c r="AC182" s="14">
        <f t="shared" si="324"/>
        <v>0</v>
      </c>
      <c r="AD182" s="14">
        <f t="shared" si="324"/>
        <v>0</v>
      </c>
      <c r="AE182" s="14">
        <f t="shared" si="324"/>
        <v>0</v>
      </c>
      <c r="AF182" s="14">
        <f t="shared" si="324"/>
        <v>0</v>
      </c>
      <c r="AG182" s="14">
        <f t="shared" si="324"/>
        <v>0</v>
      </c>
      <c r="AH182" s="14">
        <f t="shared" si="324"/>
        <v>0</v>
      </c>
      <c r="AI182" s="76">
        <f t="shared" si="303"/>
        <v>0</v>
      </c>
      <c r="AK182" s="2">
        <f>SUM(AL182:AO182)</f>
        <v>0</v>
      </c>
      <c r="AL182" s="2">
        <f t="shared" si="325"/>
        <v>0</v>
      </c>
      <c r="AM182" s="2">
        <f t="shared" si="325"/>
        <v>0</v>
      </c>
      <c r="AN182" s="2">
        <f t="shared" si="325"/>
        <v>0</v>
      </c>
      <c r="AO182" s="2">
        <f t="shared" si="325"/>
        <v>0</v>
      </c>
      <c r="AP182" s="2"/>
      <c r="AQ182" s="61" t="str">
        <f t="shared" ref="AQ182:AQ191" si="351">E$1&amp;$A182&amp;"*      """</f>
        <v>E182*      "</v>
      </c>
      <c r="AS182" s="2">
        <f t="shared" si="326"/>
        <v>0</v>
      </c>
      <c r="AT182" s="2">
        <f t="shared" si="327"/>
        <v>0</v>
      </c>
      <c r="AU182" s="2">
        <f t="shared" si="327"/>
        <v>0</v>
      </c>
      <c r="AV182" s="2">
        <f t="shared" si="327"/>
        <v>0</v>
      </c>
      <c r="AW182" s="2">
        <f t="shared" si="327"/>
        <v>0</v>
      </c>
      <c r="AX182" s="2">
        <f t="shared" si="327"/>
        <v>0</v>
      </c>
      <c r="AY182" s="2">
        <f t="shared" si="327"/>
        <v>0</v>
      </c>
      <c r="BA182" s="2">
        <f>SUM(BB182:BG182)</f>
        <v>0</v>
      </c>
      <c r="BB182" s="2">
        <f t="shared" si="328"/>
        <v>0</v>
      </c>
      <c r="BC182" s="2">
        <f t="shared" si="328"/>
        <v>0</v>
      </c>
      <c r="BD182" s="2">
        <f t="shared" si="328"/>
        <v>0</v>
      </c>
      <c r="BE182" s="2">
        <f t="shared" si="328"/>
        <v>0</v>
      </c>
      <c r="BF182" s="2">
        <f t="shared" si="328"/>
        <v>0</v>
      </c>
      <c r="BG182" s="2">
        <f t="shared" si="328"/>
        <v>0</v>
      </c>
      <c r="BI182" s="2">
        <f t="shared" si="329"/>
        <v>0</v>
      </c>
      <c r="BJ182" s="2">
        <f t="shared" si="330"/>
        <v>0</v>
      </c>
      <c r="BK182" s="2">
        <f t="shared" si="330"/>
        <v>0</v>
      </c>
      <c r="BL182" s="2">
        <f t="shared" si="330"/>
        <v>0</v>
      </c>
      <c r="BM182" s="2">
        <f t="shared" si="330"/>
        <v>0</v>
      </c>
      <c r="BN182" s="2">
        <f t="shared" si="330"/>
        <v>0</v>
      </c>
      <c r="BO182" s="2">
        <f t="shared" si="330"/>
        <v>0</v>
      </c>
      <c r="BQ182" s="28" t="s">
        <v>290</v>
      </c>
      <c r="BR182" s="23">
        <v>0</v>
      </c>
      <c r="BS182" s="14">
        <f t="shared" si="331"/>
        <v>0</v>
      </c>
      <c r="BT182" s="14">
        <f t="shared" si="332"/>
        <v>0</v>
      </c>
      <c r="BU182" s="14">
        <f t="shared" si="333"/>
        <v>0.13</v>
      </c>
      <c r="BV182" s="14">
        <f t="shared" si="334"/>
        <v>0.87</v>
      </c>
      <c r="BW182" s="14">
        <f t="shared" si="335"/>
        <v>0</v>
      </c>
      <c r="BX182" s="14">
        <f t="shared" si="336"/>
        <v>0</v>
      </c>
      <c r="BY182" s="14">
        <f t="shared" si="337"/>
        <v>0</v>
      </c>
      <c r="BZ182" s="14">
        <f t="shared" si="338"/>
        <v>0</v>
      </c>
      <c r="CA182" s="14">
        <f t="shared" si="339"/>
        <v>0</v>
      </c>
      <c r="CB182" s="14">
        <f t="shared" si="340"/>
        <v>0</v>
      </c>
      <c r="CC182" s="14">
        <f t="shared" si="341"/>
        <v>0</v>
      </c>
      <c r="CD182" s="14">
        <f t="shared" si="342"/>
        <v>0</v>
      </c>
      <c r="CE182" s="14">
        <f t="shared" si="343"/>
        <v>0</v>
      </c>
      <c r="CF182" s="14">
        <f t="shared" si="344"/>
        <v>0</v>
      </c>
      <c r="CG182" s="14">
        <f t="shared" si="345"/>
        <v>0</v>
      </c>
      <c r="CH182" s="14">
        <f t="shared" si="346"/>
        <v>0</v>
      </c>
      <c r="CI182" s="14">
        <f t="shared" si="347"/>
        <v>0</v>
      </c>
      <c r="CJ182" s="14"/>
      <c r="CK182" s="120" t="str">
        <f t="shared" si="348"/>
        <v>as UG Storage Plant (24)</v>
      </c>
      <c r="CL182" s="76">
        <f t="shared" si="312"/>
        <v>0</v>
      </c>
      <c r="CM182" s="2">
        <f t="shared" si="349"/>
        <v>0</v>
      </c>
      <c r="CN182" s="2">
        <f t="shared" si="349"/>
        <v>0</v>
      </c>
      <c r="CO182" s="2">
        <f t="shared" si="349"/>
        <v>0</v>
      </c>
      <c r="CP182" s="2">
        <f t="shared" si="349"/>
        <v>0</v>
      </c>
      <c r="CQ182" s="2">
        <f t="shared" si="349"/>
        <v>0</v>
      </c>
      <c r="CR182" s="2">
        <f t="shared" si="349"/>
        <v>0</v>
      </c>
    </row>
    <row r="183" spans="1:96">
      <c r="A183" s="50">
        <f t="shared" si="260"/>
        <v>183</v>
      </c>
      <c r="B183" t="s">
        <v>301</v>
      </c>
      <c r="C183" s="36" t="s">
        <v>395</v>
      </c>
      <c r="D183" s="28" t="s">
        <v>291</v>
      </c>
      <c r="E183" s="436">
        <f>PROFORMA!AV37</f>
        <v>0</v>
      </c>
      <c r="F183" s="60" t="str">
        <f t="shared" si="350"/>
        <v>as UG Storage Plant (24)</v>
      </c>
      <c r="G183" s="60"/>
      <c r="H183" s="2">
        <f t="shared" si="321"/>
        <v>0</v>
      </c>
      <c r="I183" s="2">
        <f t="shared" si="322"/>
        <v>0</v>
      </c>
      <c r="J183" s="2">
        <f t="shared" si="322"/>
        <v>0</v>
      </c>
      <c r="K183" s="2">
        <f t="shared" si="322"/>
        <v>0</v>
      </c>
      <c r="L183" s="2">
        <f t="shared" si="322"/>
        <v>0</v>
      </c>
      <c r="M183" s="2">
        <f t="shared" si="322"/>
        <v>0</v>
      </c>
      <c r="N183" s="2">
        <f t="shared" si="322"/>
        <v>0</v>
      </c>
      <c r="O183" s="2"/>
      <c r="P183" s="61" t="str">
        <f>E$1&amp;$A183&amp;"*     """</f>
        <v>E183*     "</v>
      </c>
      <c r="Q183" s="61"/>
      <c r="R183" s="14">
        <f t="shared" si="323"/>
        <v>0</v>
      </c>
      <c r="S183" s="14">
        <f t="shared" si="324"/>
        <v>0</v>
      </c>
      <c r="T183" s="14">
        <f t="shared" si="324"/>
        <v>0.13</v>
      </c>
      <c r="U183" s="14">
        <f t="shared" si="324"/>
        <v>0.87</v>
      </c>
      <c r="V183" s="14">
        <f t="shared" si="324"/>
        <v>0</v>
      </c>
      <c r="W183" s="14">
        <f t="shared" si="324"/>
        <v>0</v>
      </c>
      <c r="X183" s="14">
        <f t="shared" si="324"/>
        <v>0</v>
      </c>
      <c r="Y183" s="14">
        <f t="shared" si="324"/>
        <v>0</v>
      </c>
      <c r="Z183" s="14">
        <f t="shared" si="324"/>
        <v>0</v>
      </c>
      <c r="AA183" s="14">
        <f t="shared" si="324"/>
        <v>0</v>
      </c>
      <c r="AB183" s="14">
        <f t="shared" si="324"/>
        <v>0</v>
      </c>
      <c r="AC183" s="14">
        <f t="shared" si="324"/>
        <v>0</v>
      </c>
      <c r="AD183" s="14">
        <f t="shared" si="324"/>
        <v>0</v>
      </c>
      <c r="AE183" s="14">
        <f t="shared" si="324"/>
        <v>0</v>
      </c>
      <c r="AF183" s="14">
        <f t="shared" si="324"/>
        <v>0</v>
      </c>
      <c r="AG183" s="14">
        <f t="shared" si="324"/>
        <v>0</v>
      </c>
      <c r="AH183" s="14">
        <f t="shared" si="324"/>
        <v>0</v>
      </c>
      <c r="AI183" s="76">
        <f t="shared" si="303"/>
        <v>0</v>
      </c>
      <c r="AK183" s="2">
        <f>SUM(AL183:AO183)</f>
        <v>0</v>
      </c>
      <c r="AL183" s="2">
        <f t="shared" si="325"/>
        <v>0</v>
      </c>
      <c r="AM183" s="2">
        <f t="shared" si="325"/>
        <v>0</v>
      </c>
      <c r="AN183" s="2">
        <f t="shared" si="325"/>
        <v>0</v>
      </c>
      <c r="AO183" s="2">
        <f t="shared" si="325"/>
        <v>0</v>
      </c>
      <c r="AP183" s="2"/>
      <c r="AQ183" s="61" t="str">
        <f t="shared" si="351"/>
        <v>E183*      "</v>
      </c>
      <c r="AS183" s="2">
        <f t="shared" si="326"/>
        <v>0</v>
      </c>
      <c r="AT183" s="2">
        <f t="shared" si="327"/>
        <v>0</v>
      </c>
      <c r="AU183" s="2">
        <f t="shared" si="327"/>
        <v>0</v>
      </c>
      <c r="AV183" s="2">
        <f t="shared" si="327"/>
        <v>0</v>
      </c>
      <c r="AW183" s="2">
        <f t="shared" si="327"/>
        <v>0</v>
      </c>
      <c r="AX183" s="2">
        <f t="shared" si="327"/>
        <v>0</v>
      </c>
      <c r="AY183" s="2">
        <f t="shared" si="327"/>
        <v>0</v>
      </c>
      <c r="BA183" s="2">
        <f>SUM(BB183:BG183)</f>
        <v>0</v>
      </c>
      <c r="BB183" s="2">
        <f t="shared" si="328"/>
        <v>0</v>
      </c>
      <c r="BC183" s="2">
        <f t="shared" si="328"/>
        <v>0</v>
      </c>
      <c r="BD183" s="2">
        <f t="shared" si="328"/>
        <v>0</v>
      </c>
      <c r="BE183" s="2">
        <f t="shared" si="328"/>
        <v>0</v>
      </c>
      <c r="BF183" s="2">
        <f t="shared" si="328"/>
        <v>0</v>
      </c>
      <c r="BG183" s="2">
        <f t="shared" si="328"/>
        <v>0</v>
      </c>
      <c r="BI183" s="2">
        <f t="shared" si="329"/>
        <v>0</v>
      </c>
      <c r="BJ183" s="2">
        <f t="shared" si="330"/>
        <v>0</v>
      </c>
      <c r="BK183" s="2">
        <f t="shared" si="330"/>
        <v>0</v>
      </c>
      <c r="BL183" s="2">
        <f t="shared" si="330"/>
        <v>0</v>
      </c>
      <c r="BM183" s="2">
        <f t="shared" si="330"/>
        <v>0</v>
      </c>
      <c r="BN183" s="2">
        <f t="shared" si="330"/>
        <v>0</v>
      </c>
      <c r="BO183" s="2">
        <f t="shared" si="330"/>
        <v>0</v>
      </c>
      <c r="BQ183" s="28" t="s">
        <v>291</v>
      </c>
      <c r="BR183" s="23">
        <v>0</v>
      </c>
      <c r="BS183" s="14">
        <f t="shared" si="331"/>
        <v>0</v>
      </c>
      <c r="BT183" s="14">
        <f t="shared" si="332"/>
        <v>0</v>
      </c>
      <c r="BU183" s="14">
        <f t="shared" si="333"/>
        <v>0.13</v>
      </c>
      <c r="BV183" s="14">
        <f t="shared" si="334"/>
        <v>0.87</v>
      </c>
      <c r="BW183" s="14">
        <f t="shared" si="335"/>
        <v>0</v>
      </c>
      <c r="BX183" s="14">
        <f t="shared" si="336"/>
        <v>0</v>
      </c>
      <c r="BY183" s="14">
        <f t="shared" si="337"/>
        <v>0</v>
      </c>
      <c r="BZ183" s="14">
        <f t="shared" si="338"/>
        <v>0</v>
      </c>
      <c r="CA183" s="14">
        <f t="shared" si="339"/>
        <v>0</v>
      </c>
      <c r="CB183" s="14">
        <f t="shared" si="340"/>
        <v>0</v>
      </c>
      <c r="CC183" s="14">
        <f t="shared" si="341"/>
        <v>0</v>
      </c>
      <c r="CD183" s="14">
        <f t="shared" si="342"/>
        <v>0</v>
      </c>
      <c r="CE183" s="14">
        <f t="shared" si="343"/>
        <v>0</v>
      </c>
      <c r="CF183" s="14">
        <f t="shared" si="344"/>
        <v>0</v>
      </c>
      <c r="CG183" s="14">
        <f t="shared" si="345"/>
        <v>0</v>
      </c>
      <c r="CH183" s="14">
        <f t="shared" si="346"/>
        <v>0</v>
      </c>
      <c r="CI183" s="14">
        <f t="shared" si="347"/>
        <v>0</v>
      </c>
      <c r="CJ183" s="14"/>
      <c r="CK183" s="120" t="str">
        <f t="shared" si="348"/>
        <v>as UG Storage Plant (24)</v>
      </c>
      <c r="CL183" s="76">
        <f t="shared" si="312"/>
        <v>0</v>
      </c>
      <c r="CM183" s="2">
        <f t="shared" si="349"/>
        <v>0</v>
      </c>
      <c r="CN183" s="2">
        <f t="shared" si="349"/>
        <v>0</v>
      </c>
      <c r="CO183" s="2">
        <f t="shared" si="349"/>
        <v>0</v>
      </c>
      <c r="CP183" s="2">
        <f t="shared" si="349"/>
        <v>0</v>
      </c>
      <c r="CQ183" s="2">
        <f t="shared" si="349"/>
        <v>0</v>
      </c>
      <c r="CR183" s="2">
        <f t="shared" si="349"/>
        <v>0</v>
      </c>
    </row>
    <row r="184" spans="1:96">
      <c r="A184" s="50">
        <f t="shared" si="260"/>
        <v>184</v>
      </c>
      <c r="B184" t="s">
        <v>302</v>
      </c>
      <c r="C184" s="36" t="s">
        <v>395</v>
      </c>
      <c r="D184" s="28" t="s">
        <v>292</v>
      </c>
      <c r="E184" s="436">
        <f>PROFORMA!AV38</f>
        <v>0</v>
      </c>
      <c r="F184" s="60" t="str">
        <f t="shared" si="350"/>
        <v>as UG Storage Plant (24)</v>
      </c>
      <c r="G184" s="60"/>
      <c r="H184" s="2">
        <f t="shared" ref="H184:H189" si="352">SUM(I184:N184)</f>
        <v>0</v>
      </c>
      <c r="I184" s="2">
        <f t="shared" si="322"/>
        <v>0</v>
      </c>
      <c r="J184" s="2">
        <f t="shared" si="322"/>
        <v>0</v>
      </c>
      <c r="K184" s="2">
        <f t="shared" si="322"/>
        <v>0</v>
      </c>
      <c r="L184" s="2">
        <f t="shared" si="322"/>
        <v>0</v>
      </c>
      <c r="M184" s="2">
        <f t="shared" si="322"/>
        <v>0</v>
      </c>
      <c r="N184" s="2">
        <f t="shared" si="322"/>
        <v>0</v>
      </c>
      <c r="O184" s="2"/>
      <c r="P184" s="61"/>
      <c r="Q184" s="61"/>
      <c r="R184" s="14">
        <f t="shared" si="323"/>
        <v>0</v>
      </c>
      <c r="S184" s="14">
        <f t="shared" si="324"/>
        <v>0</v>
      </c>
      <c r="T184" s="14">
        <f t="shared" si="324"/>
        <v>0.13</v>
      </c>
      <c r="U184" s="14">
        <f t="shared" si="324"/>
        <v>0.87</v>
      </c>
      <c r="V184" s="14">
        <f t="shared" si="324"/>
        <v>0</v>
      </c>
      <c r="W184" s="14">
        <f t="shared" si="324"/>
        <v>0</v>
      </c>
      <c r="X184" s="14">
        <f t="shared" si="324"/>
        <v>0</v>
      </c>
      <c r="Y184" s="14">
        <f t="shared" si="324"/>
        <v>0</v>
      </c>
      <c r="Z184" s="14">
        <f t="shared" si="324"/>
        <v>0</v>
      </c>
      <c r="AA184" s="14">
        <f t="shared" si="324"/>
        <v>0</v>
      </c>
      <c r="AB184" s="14">
        <f t="shared" si="324"/>
        <v>0</v>
      </c>
      <c r="AC184" s="14">
        <f t="shared" si="324"/>
        <v>0</v>
      </c>
      <c r="AD184" s="14">
        <f t="shared" si="324"/>
        <v>0</v>
      </c>
      <c r="AE184" s="14">
        <f t="shared" si="324"/>
        <v>0</v>
      </c>
      <c r="AF184" s="14">
        <f t="shared" si="324"/>
        <v>0</v>
      </c>
      <c r="AG184" s="14">
        <f t="shared" si="324"/>
        <v>0</v>
      </c>
      <c r="AH184" s="14">
        <f t="shared" si="324"/>
        <v>0</v>
      </c>
      <c r="AI184" s="76">
        <f t="shared" si="303"/>
        <v>0</v>
      </c>
      <c r="AK184" s="2">
        <f t="shared" ref="AK184:AK191" si="353">SUM(AL184:AO184)</f>
        <v>0</v>
      </c>
      <c r="AL184" s="2">
        <f t="shared" si="325"/>
        <v>0</v>
      </c>
      <c r="AM184" s="2">
        <f t="shared" si="325"/>
        <v>0</v>
      </c>
      <c r="AN184" s="2">
        <f t="shared" si="325"/>
        <v>0</v>
      </c>
      <c r="AO184" s="2">
        <f t="shared" si="325"/>
        <v>0</v>
      </c>
      <c r="AP184" s="2"/>
      <c r="AQ184" s="61" t="str">
        <f t="shared" si="351"/>
        <v>E184*      "</v>
      </c>
      <c r="AS184" s="2">
        <f t="shared" si="326"/>
        <v>0</v>
      </c>
      <c r="AT184" s="2">
        <f t="shared" si="327"/>
        <v>0</v>
      </c>
      <c r="AU184" s="2">
        <f t="shared" si="327"/>
        <v>0</v>
      </c>
      <c r="AV184" s="2">
        <f t="shared" si="327"/>
        <v>0</v>
      </c>
      <c r="AW184" s="2">
        <f t="shared" si="327"/>
        <v>0</v>
      </c>
      <c r="AX184" s="2">
        <f t="shared" si="327"/>
        <v>0</v>
      </c>
      <c r="AY184" s="2">
        <f t="shared" si="327"/>
        <v>0</v>
      </c>
      <c r="BA184" s="2">
        <f t="shared" ref="BA184:BA191" si="354">SUM(BB184:BG184)</f>
        <v>0</v>
      </c>
      <c r="BB184" s="2">
        <f t="shared" si="328"/>
        <v>0</v>
      </c>
      <c r="BC184" s="2">
        <f t="shared" si="328"/>
        <v>0</v>
      </c>
      <c r="BD184" s="2">
        <f t="shared" si="328"/>
        <v>0</v>
      </c>
      <c r="BE184" s="2">
        <f t="shared" si="328"/>
        <v>0</v>
      </c>
      <c r="BF184" s="2">
        <f t="shared" si="328"/>
        <v>0</v>
      </c>
      <c r="BG184" s="2">
        <f t="shared" si="328"/>
        <v>0</v>
      </c>
      <c r="BI184" s="2">
        <f t="shared" si="329"/>
        <v>0</v>
      </c>
      <c r="BJ184" s="2">
        <f t="shared" si="330"/>
        <v>0</v>
      </c>
      <c r="BK184" s="2">
        <f t="shared" si="330"/>
        <v>0</v>
      </c>
      <c r="BL184" s="2">
        <f t="shared" si="330"/>
        <v>0</v>
      </c>
      <c r="BM184" s="2">
        <f t="shared" si="330"/>
        <v>0</v>
      </c>
      <c r="BN184" s="2">
        <f t="shared" si="330"/>
        <v>0</v>
      </c>
      <c r="BO184" s="2">
        <f t="shared" si="330"/>
        <v>0</v>
      </c>
      <c r="BQ184" s="28" t="s">
        <v>292</v>
      </c>
      <c r="BR184" s="23">
        <v>0</v>
      </c>
      <c r="BS184" s="14">
        <f t="shared" si="331"/>
        <v>0</v>
      </c>
      <c r="BT184" s="14">
        <f t="shared" si="332"/>
        <v>0</v>
      </c>
      <c r="BU184" s="14">
        <f t="shared" si="333"/>
        <v>0.13</v>
      </c>
      <c r="BV184" s="14">
        <f t="shared" si="334"/>
        <v>0.87</v>
      </c>
      <c r="BW184" s="14">
        <f t="shared" si="335"/>
        <v>0</v>
      </c>
      <c r="BX184" s="14">
        <f t="shared" si="336"/>
        <v>0</v>
      </c>
      <c r="BY184" s="14">
        <f t="shared" si="337"/>
        <v>0</v>
      </c>
      <c r="BZ184" s="14">
        <f t="shared" si="338"/>
        <v>0</v>
      </c>
      <c r="CA184" s="14">
        <f t="shared" si="339"/>
        <v>0</v>
      </c>
      <c r="CB184" s="14">
        <f t="shared" si="340"/>
        <v>0</v>
      </c>
      <c r="CC184" s="14">
        <f t="shared" si="341"/>
        <v>0</v>
      </c>
      <c r="CD184" s="14">
        <f t="shared" si="342"/>
        <v>0</v>
      </c>
      <c r="CE184" s="14">
        <f t="shared" si="343"/>
        <v>0</v>
      </c>
      <c r="CF184" s="14">
        <f t="shared" si="344"/>
        <v>0</v>
      </c>
      <c r="CG184" s="14">
        <f t="shared" si="345"/>
        <v>0</v>
      </c>
      <c r="CH184" s="14">
        <f t="shared" si="346"/>
        <v>0</v>
      </c>
      <c r="CI184" s="14">
        <f t="shared" si="347"/>
        <v>0</v>
      </c>
      <c r="CJ184" s="14"/>
      <c r="CK184" s="120" t="str">
        <f t="shared" si="348"/>
        <v>as UG Storage Plant (24)</v>
      </c>
      <c r="CL184" s="76">
        <f t="shared" si="312"/>
        <v>0</v>
      </c>
      <c r="CM184" s="2">
        <f t="shared" si="349"/>
        <v>0</v>
      </c>
      <c r="CN184" s="2">
        <f t="shared" si="349"/>
        <v>0</v>
      </c>
      <c r="CO184" s="2">
        <f t="shared" si="349"/>
        <v>0</v>
      </c>
      <c r="CP184" s="2">
        <f t="shared" si="349"/>
        <v>0</v>
      </c>
      <c r="CQ184" s="2">
        <f t="shared" si="349"/>
        <v>0</v>
      </c>
      <c r="CR184" s="2">
        <f t="shared" si="349"/>
        <v>0</v>
      </c>
    </row>
    <row r="185" spans="1:96">
      <c r="A185" s="50">
        <f t="shared" si="260"/>
        <v>185</v>
      </c>
      <c r="B185" t="s">
        <v>303</v>
      </c>
      <c r="C185" s="36" t="s">
        <v>395</v>
      </c>
      <c r="D185" s="28" t="s">
        <v>293</v>
      </c>
      <c r="E185" s="436">
        <f>PROFORMA!AV39</f>
        <v>0</v>
      </c>
      <c r="F185" s="60" t="str">
        <f t="shared" si="350"/>
        <v>as UG Storage Plant (24)</v>
      </c>
      <c r="G185" s="60"/>
      <c r="H185" s="2">
        <f t="shared" si="352"/>
        <v>0</v>
      </c>
      <c r="I185" s="2">
        <f t="shared" si="322"/>
        <v>0</v>
      </c>
      <c r="J185" s="2">
        <f t="shared" si="322"/>
        <v>0</v>
      </c>
      <c r="K185" s="2">
        <f t="shared" si="322"/>
        <v>0</v>
      </c>
      <c r="L185" s="2">
        <f t="shared" si="322"/>
        <v>0</v>
      </c>
      <c r="M185" s="2">
        <f t="shared" si="322"/>
        <v>0</v>
      </c>
      <c r="N185" s="2">
        <f t="shared" si="322"/>
        <v>0</v>
      </c>
      <c r="O185" s="2"/>
      <c r="P185" s="61"/>
      <c r="Q185" s="61"/>
      <c r="R185" s="14">
        <f t="shared" si="323"/>
        <v>0</v>
      </c>
      <c r="S185" s="14">
        <f t="shared" si="324"/>
        <v>0</v>
      </c>
      <c r="T185" s="14">
        <f t="shared" si="324"/>
        <v>0.13</v>
      </c>
      <c r="U185" s="14">
        <f t="shared" si="324"/>
        <v>0.87</v>
      </c>
      <c r="V185" s="14">
        <f t="shared" si="324"/>
        <v>0</v>
      </c>
      <c r="W185" s="14">
        <f t="shared" si="324"/>
        <v>0</v>
      </c>
      <c r="X185" s="14">
        <f t="shared" si="324"/>
        <v>0</v>
      </c>
      <c r="Y185" s="14">
        <f t="shared" si="324"/>
        <v>0</v>
      </c>
      <c r="Z185" s="14">
        <f t="shared" si="324"/>
        <v>0</v>
      </c>
      <c r="AA185" s="14">
        <f t="shared" si="324"/>
        <v>0</v>
      </c>
      <c r="AB185" s="14">
        <f t="shared" si="324"/>
        <v>0</v>
      </c>
      <c r="AC185" s="14">
        <f t="shared" si="324"/>
        <v>0</v>
      </c>
      <c r="AD185" s="14">
        <f t="shared" si="324"/>
        <v>0</v>
      </c>
      <c r="AE185" s="14">
        <f t="shared" si="324"/>
        <v>0</v>
      </c>
      <c r="AF185" s="14">
        <f t="shared" si="324"/>
        <v>0</v>
      </c>
      <c r="AG185" s="14">
        <f t="shared" si="324"/>
        <v>0</v>
      </c>
      <c r="AH185" s="14">
        <f t="shared" si="324"/>
        <v>0</v>
      </c>
      <c r="AI185" s="76">
        <f t="shared" si="303"/>
        <v>0</v>
      </c>
      <c r="AK185" s="2">
        <f t="shared" si="353"/>
        <v>0</v>
      </c>
      <c r="AL185" s="2">
        <f t="shared" si="325"/>
        <v>0</v>
      </c>
      <c r="AM185" s="2">
        <f t="shared" si="325"/>
        <v>0</v>
      </c>
      <c r="AN185" s="2">
        <f t="shared" si="325"/>
        <v>0</v>
      </c>
      <c r="AO185" s="2">
        <f t="shared" si="325"/>
        <v>0</v>
      </c>
      <c r="AP185" s="2"/>
      <c r="AQ185" s="61" t="str">
        <f t="shared" si="351"/>
        <v>E185*      "</v>
      </c>
      <c r="AS185" s="2">
        <f t="shared" si="326"/>
        <v>0</v>
      </c>
      <c r="AT185" s="2">
        <f t="shared" si="327"/>
        <v>0</v>
      </c>
      <c r="AU185" s="2">
        <f t="shared" si="327"/>
        <v>0</v>
      </c>
      <c r="AV185" s="2">
        <f t="shared" si="327"/>
        <v>0</v>
      </c>
      <c r="AW185" s="2">
        <f t="shared" si="327"/>
        <v>0</v>
      </c>
      <c r="AX185" s="2">
        <f t="shared" si="327"/>
        <v>0</v>
      </c>
      <c r="AY185" s="2">
        <f t="shared" si="327"/>
        <v>0</v>
      </c>
      <c r="BA185" s="2">
        <f t="shared" si="354"/>
        <v>0</v>
      </c>
      <c r="BB185" s="2">
        <f t="shared" si="328"/>
        <v>0</v>
      </c>
      <c r="BC185" s="2">
        <f t="shared" si="328"/>
        <v>0</v>
      </c>
      <c r="BD185" s="2">
        <f t="shared" si="328"/>
        <v>0</v>
      </c>
      <c r="BE185" s="2">
        <f t="shared" si="328"/>
        <v>0</v>
      </c>
      <c r="BF185" s="2">
        <f t="shared" si="328"/>
        <v>0</v>
      </c>
      <c r="BG185" s="2">
        <f t="shared" si="328"/>
        <v>0</v>
      </c>
      <c r="BI185" s="2">
        <f t="shared" si="329"/>
        <v>0</v>
      </c>
      <c r="BJ185" s="2">
        <f t="shared" si="330"/>
        <v>0</v>
      </c>
      <c r="BK185" s="2">
        <f t="shared" si="330"/>
        <v>0</v>
      </c>
      <c r="BL185" s="2">
        <f t="shared" si="330"/>
        <v>0</v>
      </c>
      <c r="BM185" s="2">
        <f t="shared" si="330"/>
        <v>0</v>
      </c>
      <c r="BN185" s="2">
        <f t="shared" si="330"/>
        <v>0</v>
      </c>
      <c r="BO185" s="2">
        <f t="shared" si="330"/>
        <v>0</v>
      </c>
      <c r="BQ185" s="28" t="s">
        <v>293</v>
      </c>
      <c r="BR185" s="23">
        <v>0</v>
      </c>
      <c r="BS185" s="14">
        <f t="shared" si="331"/>
        <v>0</v>
      </c>
      <c r="BT185" s="14">
        <f t="shared" si="332"/>
        <v>0</v>
      </c>
      <c r="BU185" s="14">
        <f t="shared" si="333"/>
        <v>0.13</v>
      </c>
      <c r="BV185" s="14">
        <f t="shared" si="334"/>
        <v>0.87</v>
      </c>
      <c r="BW185" s="14">
        <f t="shared" si="335"/>
        <v>0</v>
      </c>
      <c r="BX185" s="14">
        <f t="shared" si="336"/>
        <v>0</v>
      </c>
      <c r="BY185" s="14">
        <f t="shared" si="337"/>
        <v>0</v>
      </c>
      <c r="BZ185" s="14">
        <f t="shared" si="338"/>
        <v>0</v>
      </c>
      <c r="CA185" s="14">
        <f t="shared" si="339"/>
        <v>0</v>
      </c>
      <c r="CB185" s="14">
        <f t="shared" si="340"/>
        <v>0</v>
      </c>
      <c r="CC185" s="14">
        <f t="shared" si="341"/>
        <v>0</v>
      </c>
      <c r="CD185" s="14">
        <f t="shared" si="342"/>
        <v>0</v>
      </c>
      <c r="CE185" s="14">
        <f t="shared" si="343"/>
        <v>0</v>
      </c>
      <c r="CF185" s="14">
        <f t="shared" si="344"/>
        <v>0</v>
      </c>
      <c r="CG185" s="14">
        <f t="shared" si="345"/>
        <v>0</v>
      </c>
      <c r="CH185" s="14">
        <f t="shared" si="346"/>
        <v>0</v>
      </c>
      <c r="CI185" s="14">
        <f t="shared" si="347"/>
        <v>0</v>
      </c>
      <c r="CJ185" s="14"/>
      <c r="CK185" s="120" t="str">
        <f t="shared" si="348"/>
        <v>as UG Storage Plant (24)</v>
      </c>
      <c r="CL185" s="76">
        <f t="shared" si="312"/>
        <v>0</v>
      </c>
      <c r="CM185" s="2">
        <f t="shared" si="349"/>
        <v>0</v>
      </c>
      <c r="CN185" s="2">
        <f t="shared" si="349"/>
        <v>0</v>
      </c>
      <c r="CO185" s="2">
        <f t="shared" si="349"/>
        <v>0</v>
      </c>
      <c r="CP185" s="2">
        <f t="shared" si="349"/>
        <v>0</v>
      </c>
      <c r="CQ185" s="2">
        <f t="shared" si="349"/>
        <v>0</v>
      </c>
      <c r="CR185" s="2">
        <f t="shared" si="349"/>
        <v>0</v>
      </c>
    </row>
    <row r="186" spans="1:96">
      <c r="A186" s="50">
        <f t="shared" si="260"/>
        <v>186</v>
      </c>
      <c r="B186" t="s">
        <v>304</v>
      </c>
      <c r="C186" s="36" t="s">
        <v>395</v>
      </c>
      <c r="D186" s="28" t="s">
        <v>294</v>
      </c>
      <c r="E186" s="436">
        <f>PROFORMA!AV40</f>
        <v>0</v>
      </c>
      <c r="F186" s="60" t="str">
        <f t="shared" si="350"/>
        <v>as UG Storage Plant (24)</v>
      </c>
      <c r="G186" s="60"/>
      <c r="H186" s="2">
        <f t="shared" si="352"/>
        <v>0</v>
      </c>
      <c r="I186" s="2">
        <f t="shared" si="322"/>
        <v>0</v>
      </c>
      <c r="J186" s="2">
        <f t="shared" si="322"/>
        <v>0</v>
      </c>
      <c r="K186" s="2">
        <f t="shared" si="322"/>
        <v>0</v>
      </c>
      <c r="L186" s="2">
        <f t="shared" si="322"/>
        <v>0</v>
      </c>
      <c r="M186" s="2">
        <f t="shared" si="322"/>
        <v>0</v>
      </c>
      <c r="N186" s="2">
        <f t="shared" si="322"/>
        <v>0</v>
      </c>
      <c r="O186" s="2"/>
      <c r="P186" s="61"/>
      <c r="Q186" s="61"/>
      <c r="R186" s="14">
        <f t="shared" si="323"/>
        <v>0</v>
      </c>
      <c r="S186" s="14">
        <f t="shared" si="324"/>
        <v>0</v>
      </c>
      <c r="T186" s="14">
        <f t="shared" si="324"/>
        <v>0.13</v>
      </c>
      <c r="U186" s="14">
        <f t="shared" si="324"/>
        <v>0.87</v>
      </c>
      <c r="V186" s="14">
        <f t="shared" si="324"/>
        <v>0</v>
      </c>
      <c r="W186" s="14">
        <f t="shared" si="324"/>
        <v>0</v>
      </c>
      <c r="X186" s="14">
        <f t="shared" si="324"/>
        <v>0</v>
      </c>
      <c r="Y186" s="14">
        <f t="shared" si="324"/>
        <v>0</v>
      </c>
      <c r="Z186" s="14">
        <f t="shared" si="324"/>
        <v>0</v>
      </c>
      <c r="AA186" s="14">
        <f t="shared" si="324"/>
        <v>0</v>
      </c>
      <c r="AB186" s="14">
        <f t="shared" si="324"/>
        <v>0</v>
      </c>
      <c r="AC186" s="14">
        <f t="shared" si="324"/>
        <v>0</v>
      </c>
      <c r="AD186" s="14">
        <f t="shared" si="324"/>
        <v>0</v>
      </c>
      <c r="AE186" s="14">
        <f t="shared" si="324"/>
        <v>0</v>
      </c>
      <c r="AF186" s="14">
        <f t="shared" si="324"/>
        <v>0</v>
      </c>
      <c r="AG186" s="14">
        <f t="shared" si="324"/>
        <v>0</v>
      </c>
      <c r="AH186" s="14">
        <f t="shared" si="324"/>
        <v>0</v>
      </c>
      <c r="AI186" s="76">
        <f t="shared" si="303"/>
        <v>0</v>
      </c>
      <c r="AK186" s="2">
        <f t="shared" si="353"/>
        <v>0</v>
      </c>
      <c r="AL186" s="2">
        <f t="shared" si="325"/>
        <v>0</v>
      </c>
      <c r="AM186" s="2">
        <f t="shared" si="325"/>
        <v>0</v>
      </c>
      <c r="AN186" s="2">
        <f t="shared" si="325"/>
        <v>0</v>
      </c>
      <c r="AO186" s="2">
        <f t="shared" si="325"/>
        <v>0</v>
      </c>
      <c r="AP186" s="2"/>
      <c r="AQ186" s="61" t="str">
        <f t="shared" si="351"/>
        <v>E186*      "</v>
      </c>
      <c r="AS186" s="2">
        <f t="shared" si="326"/>
        <v>0</v>
      </c>
      <c r="AT186" s="2">
        <f t="shared" si="327"/>
        <v>0</v>
      </c>
      <c r="AU186" s="2">
        <f t="shared" si="327"/>
        <v>0</v>
      </c>
      <c r="AV186" s="2">
        <f t="shared" si="327"/>
        <v>0</v>
      </c>
      <c r="AW186" s="2">
        <f t="shared" si="327"/>
        <v>0</v>
      </c>
      <c r="AX186" s="2">
        <f t="shared" si="327"/>
        <v>0</v>
      </c>
      <c r="AY186" s="2">
        <f t="shared" si="327"/>
        <v>0</v>
      </c>
      <c r="BA186" s="2">
        <f t="shared" si="354"/>
        <v>0</v>
      </c>
      <c r="BB186" s="2">
        <f t="shared" si="328"/>
        <v>0</v>
      </c>
      <c r="BC186" s="2">
        <f t="shared" si="328"/>
        <v>0</v>
      </c>
      <c r="BD186" s="2">
        <f t="shared" si="328"/>
        <v>0</v>
      </c>
      <c r="BE186" s="2">
        <f t="shared" si="328"/>
        <v>0</v>
      </c>
      <c r="BF186" s="2">
        <f t="shared" si="328"/>
        <v>0</v>
      </c>
      <c r="BG186" s="2">
        <f t="shared" si="328"/>
        <v>0</v>
      </c>
      <c r="BI186" s="2">
        <f t="shared" si="329"/>
        <v>0</v>
      </c>
      <c r="BJ186" s="2">
        <f t="shared" si="330"/>
        <v>0</v>
      </c>
      <c r="BK186" s="2">
        <f t="shared" si="330"/>
        <v>0</v>
      </c>
      <c r="BL186" s="2">
        <f t="shared" si="330"/>
        <v>0</v>
      </c>
      <c r="BM186" s="2">
        <f t="shared" si="330"/>
        <v>0</v>
      </c>
      <c r="BN186" s="2">
        <f t="shared" si="330"/>
        <v>0</v>
      </c>
      <c r="BO186" s="2">
        <f t="shared" si="330"/>
        <v>0</v>
      </c>
      <c r="BQ186" s="28" t="s">
        <v>294</v>
      </c>
      <c r="BR186" s="23">
        <v>0</v>
      </c>
      <c r="BS186" s="14">
        <f t="shared" si="331"/>
        <v>0</v>
      </c>
      <c r="BT186" s="14">
        <f t="shared" si="332"/>
        <v>0</v>
      </c>
      <c r="BU186" s="14">
        <f t="shared" si="333"/>
        <v>0.13</v>
      </c>
      <c r="BV186" s="14">
        <f t="shared" si="334"/>
        <v>0.87</v>
      </c>
      <c r="BW186" s="14">
        <f t="shared" si="335"/>
        <v>0</v>
      </c>
      <c r="BX186" s="14">
        <f t="shared" si="336"/>
        <v>0</v>
      </c>
      <c r="BY186" s="14">
        <f t="shared" si="337"/>
        <v>0</v>
      </c>
      <c r="BZ186" s="14">
        <f t="shared" si="338"/>
        <v>0</v>
      </c>
      <c r="CA186" s="14">
        <f t="shared" si="339"/>
        <v>0</v>
      </c>
      <c r="CB186" s="14">
        <f t="shared" si="340"/>
        <v>0</v>
      </c>
      <c r="CC186" s="14">
        <f t="shared" si="341"/>
        <v>0</v>
      </c>
      <c r="CD186" s="14">
        <f t="shared" si="342"/>
        <v>0</v>
      </c>
      <c r="CE186" s="14">
        <f t="shared" si="343"/>
        <v>0</v>
      </c>
      <c r="CF186" s="14">
        <f t="shared" si="344"/>
        <v>0</v>
      </c>
      <c r="CG186" s="14">
        <f t="shared" si="345"/>
        <v>0</v>
      </c>
      <c r="CH186" s="14">
        <f t="shared" si="346"/>
        <v>0</v>
      </c>
      <c r="CI186" s="14">
        <f t="shared" si="347"/>
        <v>0</v>
      </c>
      <c r="CJ186" s="14"/>
      <c r="CK186" s="120" t="str">
        <f t="shared" si="348"/>
        <v>as UG Storage Plant (24)</v>
      </c>
      <c r="CL186" s="76">
        <f t="shared" si="312"/>
        <v>0</v>
      </c>
      <c r="CM186" s="2">
        <f t="shared" si="349"/>
        <v>0</v>
      </c>
      <c r="CN186" s="2">
        <f t="shared" si="349"/>
        <v>0</v>
      </c>
      <c r="CO186" s="2">
        <f t="shared" si="349"/>
        <v>0</v>
      </c>
      <c r="CP186" s="2">
        <f t="shared" si="349"/>
        <v>0</v>
      </c>
      <c r="CQ186" s="2">
        <f t="shared" si="349"/>
        <v>0</v>
      </c>
      <c r="CR186" s="2">
        <f t="shared" si="349"/>
        <v>0</v>
      </c>
    </row>
    <row r="187" spans="1:96">
      <c r="A187" s="50">
        <f t="shared" si="260"/>
        <v>187</v>
      </c>
      <c r="B187" t="s">
        <v>305</v>
      </c>
      <c r="C187" s="36" t="s">
        <v>395</v>
      </c>
      <c r="D187" s="28" t="s">
        <v>295</v>
      </c>
      <c r="E187" s="436">
        <f>PROFORMA!AV41</f>
        <v>0</v>
      </c>
      <c r="F187" s="60" t="str">
        <f t="shared" si="350"/>
        <v>as UG Storage Plant (24)</v>
      </c>
      <c r="G187" s="60"/>
      <c r="H187" s="2">
        <f t="shared" si="352"/>
        <v>0</v>
      </c>
      <c r="I187" s="2">
        <f t="shared" si="322"/>
        <v>0</v>
      </c>
      <c r="J187" s="2">
        <f t="shared" si="322"/>
        <v>0</v>
      </c>
      <c r="K187" s="2">
        <f t="shared" si="322"/>
        <v>0</v>
      </c>
      <c r="L187" s="2">
        <f t="shared" si="322"/>
        <v>0</v>
      </c>
      <c r="M187" s="2">
        <f t="shared" si="322"/>
        <v>0</v>
      </c>
      <c r="N187" s="2">
        <f t="shared" si="322"/>
        <v>0</v>
      </c>
      <c r="O187" s="2"/>
      <c r="P187" s="61"/>
      <c r="Q187" s="61"/>
      <c r="R187" s="14">
        <f t="shared" si="323"/>
        <v>0</v>
      </c>
      <c r="S187" s="14">
        <f t="shared" si="324"/>
        <v>0</v>
      </c>
      <c r="T187" s="14">
        <f t="shared" si="324"/>
        <v>0.13</v>
      </c>
      <c r="U187" s="14">
        <f t="shared" si="324"/>
        <v>0.87</v>
      </c>
      <c r="V187" s="14">
        <f t="shared" si="324"/>
        <v>0</v>
      </c>
      <c r="W187" s="14">
        <f t="shared" si="324"/>
        <v>0</v>
      </c>
      <c r="X187" s="14">
        <f t="shared" si="324"/>
        <v>0</v>
      </c>
      <c r="Y187" s="14">
        <f t="shared" si="324"/>
        <v>0</v>
      </c>
      <c r="Z187" s="14">
        <f t="shared" si="324"/>
        <v>0</v>
      </c>
      <c r="AA187" s="14">
        <f t="shared" si="324"/>
        <v>0</v>
      </c>
      <c r="AB187" s="14">
        <f t="shared" si="324"/>
        <v>0</v>
      </c>
      <c r="AC187" s="14">
        <f t="shared" si="324"/>
        <v>0</v>
      </c>
      <c r="AD187" s="14">
        <f t="shared" si="324"/>
        <v>0</v>
      </c>
      <c r="AE187" s="14">
        <f t="shared" si="324"/>
        <v>0</v>
      </c>
      <c r="AF187" s="14">
        <f t="shared" si="324"/>
        <v>0</v>
      </c>
      <c r="AG187" s="14">
        <f t="shared" si="324"/>
        <v>0</v>
      </c>
      <c r="AH187" s="14">
        <f t="shared" si="324"/>
        <v>0</v>
      </c>
      <c r="AI187" s="76">
        <f t="shared" si="303"/>
        <v>0</v>
      </c>
      <c r="AK187" s="2">
        <f t="shared" si="353"/>
        <v>0</v>
      </c>
      <c r="AL187" s="2">
        <f t="shared" si="325"/>
        <v>0</v>
      </c>
      <c r="AM187" s="2">
        <f t="shared" si="325"/>
        <v>0</v>
      </c>
      <c r="AN187" s="2">
        <f t="shared" si="325"/>
        <v>0</v>
      </c>
      <c r="AO187" s="2">
        <f t="shared" si="325"/>
        <v>0</v>
      </c>
      <c r="AP187" s="2"/>
      <c r="AQ187" s="61" t="str">
        <f t="shared" si="351"/>
        <v>E187*      "</v>
      </c>
      <c r="AS187" s="2">
        <f t="shared" si="326"/>
        <v>0</v>
      </c>
      <c r="AT187" s="2">
        <f t="shared" si="327"/>
        <v>0</v>
      </c>
      <c r="AU187" s="2">
        <f t="shared" si="327"/>
        <v>0</v>
      </c>
      <c r="AV187" s="2">
        <f t="shared" si="327"/>
        <v>0</v>
      </c>
      <c r="AW187" s="2">
        <f t="shared" si="327"/>
        <v>0</v>
      </c>
      <c r="AX187" s="2">
        <f t="shared" si="327"/>
        <v>0</v>
      </c>
      <c r="AY187" s="2">
        <f t="shared" si="327"/>
        <v>0</v>
      </c>
      <c r="BA187" s="2">
        <f t="shared" si="354"/>
        <v>0</v>
      </c>
      <c r="BB187" s="2">
        <f t="shared" si="328"/>
        <v>0</v>
      </c>
      <c r="BC187" s="2">
        <f t="shared" si="328"/>
        <v>0</v>
      </c>
      <c r="BD187" s="2">
        <f t="shared" si="328"/>
        <v>0</v>
      </c>
      <c r="BE187" s="2">
        <f t="shared" si="328"/>
        <v>0</v>
      </c>
      <c r="BF187" s="2">
        <f t="shared" si="328"/>
        <v>0</v>
      </c>
      <c r="BG187" s="2">
        <f t="shared" si="328"/>
        <v>0</v>
      </c>
      <c r="BI187" s="2">
        <f t="shared" si="329"/>
        <v>0</v>
      </c>
      <c r="BJ187" s="2">
        <f t="shared" si="330"/>
        <v>0</v>
      </c>
      <c r="BK187" s="2">
        <f t="shared" si="330"/>
        <v>0</v>
      </c>
      <c r="BL187" s="2">
        <f t="shared" si="330"/>
        <v>0</v>
      </c>
      <c r="BM187" s="2">
        <f t="shared" si="330"/>
        <v>0</v>
      </c>
      <c r="BN187" s="2">
        <f t="shared" si="330"/>
        <v>0</v>
      </c>
      <c r="BO187" s="2">
        <f t="shared" si="330"/>
        <v>0</v>
      </c>
      <c r="BQ187" s="28" t="s">
        <v>295</v>
      </c>
      <c r="BR187" s="23">
        <v>0</v>
      </c>
      <c r="BS187" s="14">
        <f t="shared" si="331"/>
        <v>0</v>
      </c>
      <c r="BT187" s="14">
        <f t="shared" si="332"/>
        <v>0</v>
      </c>
      <c r="BU187" s="14">
        <f t="shared" si="333"/>
        <v>0.13</v>
      </c>
      <c r="BV187" s="14">
        <f t="shared" si="334"/>
        <v>0.87</v>
      </c>
      <c r="BW187" s="14">
        <f t="shared" si="335"/>
        <v>0</v>
      </c>
      <c r="BX187" s="14">
        <f t="shared" si="336"/>
        <v>0</v>
      </c>
      <c r="BY187" s="14">
        <f t="shared" si="337"/>
        <v>0</v>
      </c>
      <c r="BZ187" s="14">
        <f t="shared" si="338"/>
        <v>0</v>
      </c>
      <c r="CA187" s="14">
        <f t="shared" si="339"/>
        <v>0</v>
      </c>
      <c r="CB187" s="14">
        <f t="shared" si="340"/>
        <v>0</v>
      </c>
      <c r="CC187" s="14">
        <f t="shared" si="341"/>
        <v>0</v>
      </c>
      <c r="CD187" s="14">
        <f t="shared" si="342"/>
        <v>0</v>
      </c>
      <c r="CE187" s="14">
        <f t="shared" si="343"/>
        <v>0</v>
      </c>
      <c r="CF187" s="14">
        <f t="shared" si="344"/>
        <v>0</v>
      </c>
      <c r="CG187" s="14">
        <f t="shared" si="345"/>
        <v>0</v>
      </c>
      <c r="CH187" s="14">
        <f t="shared" si="346"/>
        <v>0</v>
      </c>
      <c r="CI187" s="14">
        <f t="shared" si="347"/>
        <v>0</v>
      </c>
      <c r="CJ187" s="14"/>
      <c r="CK187" s="120" t="str">
        <f t="shared" si="348"/>
        <v>as UG Storage Plant (24)</v>
      </c>
      <c r="CL187" s="76">
        <f t="shared" si="312"/>
        <v>0</v>
      </c>
      <c r="CM187" s="2">
        <f t="shared" si="349"/>
        <v>0</v>
      </c>
      <c r="CN187" s="2">
        <f t="shared" si="349"/>
        <v>0</v>
      </c>
      <c r="CO187" s="2">
        <f t="shared" si="349"/>
        <v>0</v>
      </c>
      <c r="CP187" s="2">
        <f t="shared" si="349"/>
        <v>0</v>
      </c>
      <c r="CQ187" s="2">
        <f t="shared" si="349"/>
        <v>0</v>
      </c>
      <c r="CR187" s="2">
        <f t="shared" si="349"/>
        <v>0</v>
      </c>
    </row>
    <row r="188" spans="1:96">
      <c r="A188" s="50">
        <f t="shared" si="260"/>
        <v>188</v>
      </c>
      <c r="B188" t="s">
        <v>306</v>
      </c>
      <c r="C188" s="36" t="s">
        <v>395</v>
      </c>
      <c r="D188" s="28" t="s">
        <v>296</v>
      </c>
      <c r="E188" s="436">
        <f>PROFORMA!AV42</f>
        <v>0</v>
      </c>
      <c r="F188" s="60" t="str">
        <f t="shared" si="350"/>
        <v>as UG Storage Plant (24)</v>
      </c>
      <c r="G188" s="60"/>
      <c r="H188" s="2">
        <f t="shared" si="352"/>
        <v>0</v>
      </c>
      <c r="I188" s="2">
        <f t="shared" si="322"/>
        <v>0</v>
      </c>
      <c r="J188" s="2">
        <f t="shared" si="322"/>
        <v>0</v>
      </c>
      <c r="K188" s="2">
        <f t="shared" si="322"/>
        <v>0</v>
      </c>
      <c r="L188" s="2">
        <f t="shared" si="322"/>
        <v>0</v>
      </c>
      <c r="M188" s="2">
        <f t="shared" si="322"/>
        <v>0</v>
      </c>
      <c r="N188" s="2">
        <f t="shared" si="322"/>
        <v>0</v>
      </c>
      <c r="O188" s="2"/>
      <c r="P188" s="61"/>
      <c r="Q188" s="61"/>
      <c r="R188" s="14">
        <f t="shared" si="323"/>
        <v>0</v>
      </c>
      <c r="S188" s="14">
        <f t="shared" si="324"/>
        <v>0</v>
      </c>
      <c r="T188" s="14">
        <f t="shared" si="324"/>
        <v>0.13</v>
      </c>
      <c r="U188" s="14">
        <f t="shared" si="324"/>
        <v>0.87</v>
      </c>
      <c r="V188" s="14">
        <f t="shared" si="324"/>
        <v>0</v>
      </c>
      <c r="W188" s="14">
        <f t="shared" si="324"/>
        <v>0</v>
      </c>
      <c r="X188" s="14">
        <f t="shared" si="324"/>
        <v>0</v>
      </c>
      <c r="Y188" s="14">
        <f t="shared" si="324"/>
        <v>0</v>
      </c>
      <c r="Z188" s="14">
        <f t="shared" si="324"/>
        <v>0</v>
      </c>
      <c r="AA188" s="14">
        <f t="shared" si="324"/>
        <v>0</v>
      </c>
      <c r="AB188" s="14">
        <f t="shared" si="324"/>
        <v>0</v>
      </c>
      <c r="AC188" s="14">
        <f t="shared" si="324"/>
        <v>0</v>
      </c>
      <c r="AD188" s="14">
        <f t="shared" si="324"/>
        <v>0</v>
      </c>
      <c r="AE188" s="14">
        <f t="shared" si="324"/>
        <v>0</v>
      </c>
      <c r="AF188" s="14">
        <f t="shared" si="324"/>
        <v>0</v>
      </c>
      <c r="AG188" s="14">
        <f t="shared" si="324"/>
        <v>0</v>
      </c>
      <c r="AH188" s="14">
        <f t="shared" si="324"/>
        <v>0</v>
      </c>
      <c r="AI188" s="76">
        <f t="shared" si="303"/>
        <v>0</v>
      </c>
      <c r="AK188" s="2">
        <f t="shared" si="353"/>
        <v>0</v>
      </c>
      <c r="AL188" s="2">
        <f t="shared" si="325"/>
        <v>0</v>
      </c>
      <c r="AM188" s="2">
        <f t="shared" si="325"/>
        <v>0</v>
      </c>
      <c r="AN188" s="2">
        <f t="shared" si="325"/>
        <v>0</v>
      </c>
      <c r="AO188" s="2">
        <f t="shared" si="325"/>
        <v>0</v>
      </c>
      <c r="AP188" s="2"/>
      <c r="AQ188" s="61" t="str">
        <f t="shared" si="351"/>
        <v>E188*      "</v>
      </c>
      <c r="AS188" s="2">
        <f t="shared" si="326"/>
        <v>0</v>
      </c>
      <c r="AT188" s="2">
        <f t="shared" si="327"/>
        <v>0</v>
      </c>
      <c r="AU188" s="2">
        <f t="shared" si="327"/>
        <v>0</v>
      </c>
      <c r="AV188" s="2">
        <f t="shared" si="327"/>
        <v>0</v>
      </c>
      <c r="AW188" s="2">
        <f t="shared" si="327"/>
        <v>0</v>
      </c>
      <c r="AX188" s="2">
        <f t="shared" si="327"/>
        <v>0</v>
      </c>
      <c r="AY188" s="2">
        <f t="shared" si="327"/>
        <v>0</v>
      </c>
      <c r="BA188" s="2">
        <f t="shared" si="354"/>
        <v>0</v>
      </c>
      <c r="BB188" s="2">
        <f t="shared" si="328"/>
        <v>0</v>
      </c>
      <c r="BC188" s="2">
        <f t="shared" si="328"/>
        <v>0</v>
      </c>
      <c r="BD188" s="2">
        <f t="shared" si="328"/>
        <v>0</v>
      </c>
      <c r="BE188" s="2">
        <f t="shared" si="328"/>
        <v>0</v>
      </c>
      <c r="BF188" s="2">
        <f t="shared" si="328"/>
        <v>0</v>
      </c>
      <c r="BG188" s="2">
        <f t="shared" si="328"/>
        <v>0</v>
      </c>
      <c r="BI188" s="2">
        <f t="shared" si="329"/>
        <v>0</v>
      </c>
      <c r="BJ188" s="2">
        <f t="shared" si="330"/>
        <v>0</v>
      </c>
      <c r="BK188" s="2">
        <f t="shared" si="330"/>
        <v>0</v>
      </c>
      <c r="BL188" s="2">
        <f t="shared" si="330"/>
        <v>0</v>
      </c>
      <c r="BM188" s="2">
        <f t="shared" si="330"/>
        <v>0</v>
      </c>
      <c r="BN188" s="2">
        <f t="shared" si="330"/>
        <v>0</v>
      </c>
      <c r="BO188" s="2">
        <f t="shared" si="330"/>
        <v>0</v>
      </c>
      <c r="BQ188" s="28" t="s">
        <v>296</v>
      </c>
      <c r="BR188" s="23">
        <v>0</v>
      </c>
      <c r="BS188" s="14">
        <f t="shared" si="331"/>
        <v>0</v>
      </c>
      <c r="BT188" s="14">
        <f t="shared" si="332"/>
        <v>0</v>
      </c>
      <c r="BU188" s="14">
        <f t="shared" si="333"/>
        <v>0.13</v>
      </c>
      <c r="BV188" s="14">
        <f t="shared" si="334"/>
        <v>0.87</v>
      </c>
      <c r="BW188" s="14">
        <f t="shared" si="335"/>
        <v>0</v>
      </c>
      <c r="BX188" s="14">
        <f t="shared" si="336"/>
        <v>0</v>
      </c>
      <c r="BY188" s="14">
        <f t="shared" si="337"/>
        <v>0</v>
      </c>
      <c r="BZ188" s="14">
        <f t="shared" si="338"/>
        <v>0</v>
      </c>
      <c r="CA188" s="14">
        <f t="shared" si="339"/>
        <v>0</v>
      </c>
      <c r="CB188" s="14">
        <f t="shared" si="340"/>
        <v>0</v>
      </c>
      <c r="CC188" s="14">
        <f t="shared" si="341"/>
        <v>0</v>
      </c>
      <c r="CD188" s="14">
        <f t="shared" si="342"/>
        <v>0</v>
      </c>
      <c r="CE188" s="14">
        <f t="shared" si="343"/>
        <v>0</v>
      </c>
      <c r="CF188" s="14">
        <f t="shared" si="344"/>
        <v>0</v>
      </c>
      <c r="CG188" s="14">
        <f t="shared" si="345"/>
        <v>0</v>
      </c>
      <c r="CH188" s="14">
        <f t="shared" si="346"/>
        <v>0</v>
      </c>
      <c r="CI188" s="14">
        <f t="shared" si="347"/>
        <v>0</v>
      </c>
      <c r="CJ188" s="14"/>
      <c r="CK188" s="120" t="str">
        <f t="shared" si="348"/>
        <v>as UG Storage Plant (24)</v>
      </c>
      <c r="CL188" s="76">
        <f t="shared" si="312"/>
        <v>0</v>
      </c>
      <c r="CM188" s="2">
        <f t="shared" si="349"/>
        <v>0</v>
      </c>
      <c r="CN188" s="2">
        <f t="shared" si="349"/>
        <v>0</v>
      </c>
      <c r="CO188" s="2">
        <f t="shared" si="349"/>
        <v>0</v>
      </c>
      <c r="CP188" s="2">
        <f t="shared" si="349"/>
        <v>0</v>
      </c>
      <c r="CQ188" s="2">
        <f t="shared" si="349"/>
        <v>0</v>
      </c>
      <c r="CR188" s="2">
        <f t="shared" si="349"/>
        <v>0</v>
      </c>
    </row>
    <row r="189" spans="1:96">
      <c r="A189" s="50">
        <f t="shared" si="260"/>
        <v>189</v>
      </c>
      <c r="B189" t="s">
        <v>307</v>
      </c>
      <c r="C189" s="36" t="s">
        <v>395</v>
      </c>
      <c r="D189" s="28" t="s">
        <v>297</v>
      </c>
      <c r="E189" s="436">
        <f>PROFORMA!AV43</f>
        <v>479000</v>
      </c>
      <c r="F189" s="60" t="str">
        <f t="shared" si="350"/>
        <v>as UG Storage Plant (24)</v>
      </c>
      <c r="G189" s="60"/>
      <c r="H189" s="2">
        <f t="shared" si="352"/>
        <v>479000</v>
      </c>
      <c r="I189" s="2">
        <f t="shared" si="322"/>
        <v>348666.6942188231</v>
      </c>
      <c r="J189" s="2">
        <f t="shared" si="322"/>
        <v>121853.58096006791</v>
      </c>
      <c r="K189" s="2">
        <f t="shared" si="322"/>
        <v>0</v>
      </c>
      <c r="L189" s="2">
        <f t="shared" si="322"/>
        <v>1765.1126909538652</v>
      </c>
      <c r="M189" s="2">
        <f t="shared" si="322"/>
        <v>6714.612130155092</v>
      </c>
      <c r="N189" s="2">
        <f t="shared" si="322"/>
        <v>0</v>
      </c>
      <c r="O189" s="2"/>
      <c r="P189" s="61" t="str">
        <f>E$1&amp;$A189&amp;"*     """</f>
        <v>E189*     "</v>
      </c>
      <c r="Q189" s="61"/>
      <c r="R189" s="14">
        <f t="shared" si="323"/>
        <v>0</v>
      </c>
      <c r="S189" s="14">
        <f t="shared" si="324"/>
        <v>0</v>
      </c>
      <c r="T189" s="14">
        <f t="shared" si="324"/>
        <v>0.13</v>
      </c>
      <c r="U189" s="14">
        <f t="shared" si="324"/>
        <v>0.87</v>
      </c>
      <c r="V189" s="14">
        <f t="shared" si="324"/>
        <v>0</v>
      </c>
      <c r="W189" s="14">
        <f t="shared" si="324"/>
        <v>0</v>
      </c>
      <c r="X189" s="14">
        <f t="shared" si="324"/>
        <v>0</v>
      </c>
      <c r="Y189" s="14">
        <f t="shared" si="324"/>
        <v>0</v>
      </c>
      <c r="Z189" s="14">
        <f t="shared" si="324"/>
        <v>0</v>
      </c>
      <c r="AA189" s="14">
        <f t="shared" si="324"/>
        <v>0</v>
      </c>
      <c r="AB189" s="14">
        <f t="shared" si="324"/>
        <v>0</v>
      </c>
      <c r="AC189" s="14">
        <f t="shared" si="324"/>
        <v>0</v>
      </c>
      <c r="AD189" s="14">
        <f t="shared" si="324"/>
        <v>0</v>
      </c>
      <c r="AE189" s="14">
        <f t="shared" si="324"/>
        <v>0</v>
      </c>
      <c r="AF189" s="14">
        <f t="shared" si="324"/>
        <v>0</v>
      </c>
      <c r="AG189" s="14">
        <f t="shared" si="324"/>
        <v>0</v>
      </c>
      <c r="AH189" s="14">
        <f t="shared" si="324"/>
        <v>0</v>
      </c>
      <c r="AI189" s="76">
        <f t="shared" si="303"/>
        <v>0</v>
      </c>
      <c r="AK189" s="2">
        <f t="shared" si="353"/>
        <v>479000</v>
      </c>
      <c r="AL189" s="2">
        <f t="shared" si="325"/>
        <v>479000</v>
      </c>
      <c r="AM189" s="2">
        <f t="shared" si="325"/>
        <v>0</v>
      </c>
      <c r="AN189" s="2">
        <f t="shared" si="325"/>
        <v>0</v>
      </c>
      <c r="AO189" s="2">
        <f t="shared" si="325"/>
        <v>0</v>
      </c>
      <c r="AP189" s="2"/>
      <c r="AQ189" s="61" t="str">
        <f t="shared" si="351"/>
        <v>E189*      "</v>
      </c>
      <c r="AS189" s="2">
        <f t="shared" si="326"/>
        <v>479000</v>
      </c>
      <c r="AT189" s="2">
        <f t="shared" si="327"/>
        <v>348666.6942188231</v>
      </c>
      <c r="AU189" s="2">
        <f t="shared" si="327"/>
        <v>121853.58096006791</v>
      </c>
      <c r="AV189" s="2">
        <f t="shared" si="327"/>
        <v>0</v>
      </c>
      <c r="AW189" s="2">
        <f t="shared" si="327"/>
        <v>1765.1126909538652</v>
      </c>
      <c r="AX189" s="2">
        <f t="shared" si="327"/>
        <v>6714.612130155092</v>
      </c>
      <c r="AY189" s="2">
        <f t="shared" si="327"/>
        <v>0</v>
      </c>
      <c r="BA189" s="2">
        <f t="shared" si="354"/>
        <v>0</v>
      </c>
      <c r="BB189" s="2">
        <f t="shared" si="328"/>
        <v>0</v>
      </c>
      <c r="BC189" s="2">
        <f t="shared" si="328"/>
        <v>0</v>
      </c>
      <c r="BD189" s="2">
        <f t="shared" si="328"/>
        <v>0</v>
      </c>
      <c r="BE189" s="2">
        <f t="shared" si="328"/>
        <v>0</v>
      </c>
      <c r="BF189" s="2">
        <f t="shared" si="328"/>
        <v>0</v>
      </c>
      <c r="BG189" s="2">
        <f t="shared" si="328"/>
        <v>0</v>
      </c>
      <c r="BI189" s="2">
        <f t="shared" si="329"/>
        <v>0</v>
      </c>
      <c r="BJ189" s="2">
        <f t="shared" si="330"/>
        <v>0</v>
      </c>
      <c r="BK189" s="2">
        <f t="shared" si="330"/>
        <v>0</v>
      </c>
      <c r="BL189" s="2">
        <f t="shared" si="330"/>
        <v>0</v>
      </c>
      <c r="BM189" s="2">
        <f t="shared" si="330"/>
        <v>0</v>
      </c>
      <c r="BN189" s="2">
        <f t="shared" si="330"/>
        <v>0</v>
      </c>
      <c r="BO189" s="2">
        <f t="shared" si="330"/>
        <v>0</v>
      </c>
      <c r="BQ189" s="28" t="s">
        <v>297</v>
      </c>
      <c r="BR189" s="23">
        <v>0</v>
      </c>
      <c r="BS189" s="14">
        <f t="shared" si="331"/>
        <v>0</v>
      </c>
      <c r="BT189" s="14">
        <f t="shared" si="332"/>
        <v>0</v>
      </c>
      <c r="BU189" s="14">
        <f t="shared" si="333"/>
        <v>0.13</v>
      </c>
      <c r="BV189" s="14">
        <f t="shared" si="334"/>
        <v>0.87</v>
      </c>
      <c r="BW189" s="14">
        <f t="shared" si="335"/>
        <v>0</v>
      </c>
      <c r="BX189" s="14">
        <f t="shared" si="336"/>
        <v>0</v>
      </c>
      <c r="BY189" s="14">
        <f t="shared" si="337"/>
        <v>0</v>
      </c>
      <c r="BZ189" s="14">
        <f t="shared" si="338"/>
        <v>0</v>
      </c>
      <c r="CA189" s="14">
        <f t="shared" si="339"/>
        <v>0</v>
      </c>
      <c r="CB189" s="14">
        <f t="shared" si="340"/>
        <v>0</v>
      </c>
      <c r="CC189" s="14">
        <f t="shared" si="341"/>
        <v>0</v>
      </c>
      <c r="CD189" s="14">
        <f t="shared" si="342"/>
        <v>0</v>
      </c>
      <c r="CE189" s="14">
        <f t="shared" si="343"/>
        <v>0</v>
      </c>
      <c r="CF189" s="14">
        <f t="shared" si="344"/>
        <v>0</v>
      </c>
      <c r="CG189" s="14">
        <f t="shared" si="345"/>
        <v>0</v>
      </c>
      <c r="CH189" s="14">
        <f t="shared" si="346"/>
        <v>0</v>
      </c>
      <c r="CI189" s="14">
        <f t="shared" si="347"/>
        <v>0</v>
      </c>
      <c r="CJ189" s="14"/>
      <c r="CK189" s="120" t="str">
        <f t="shared" si="348"/>
        <v>as UG Storage Plant (24)</v>
      </c>
      <c r="CL189" s="76">
        <f t="shared" si="312"/>
        <v>0</v>
      </c>
      <c r="CM189" s="2">
        <f t="shared" si="349"/>
        <v>0</v>
      </c>
      <c r="CN189" s="2">
        <f t="shared" si="349"/>
        <v>0</v>
      </c>
      <c r="CO189" s="2">
        <f t="shared" si="349"/>
        <v>0</v>
      </c>
      <c r="CP189" s="2">
        <f t="shared" si="349"/>
        <v>0</v>
      </c>
      <c r="CQ189" s="2">
        <f t="shared" si="349"/>
        <v>0</v>
      </c>
      <c r="CR189" s="2">
        <f t="shared" si="349"/>
        <v>0</v>
      </c>
    </row>
    <row r="190" spans="1:96">
      <c r="A190" s="50">
        <f t="shared" si="260"/>
        <v>190</v>
      </c>
      <c r="B190" t="s">
        <v>308</v>
      </c>
      <c r="C190" s="36" t="s">
        <v>395</v>
      </c>
      <c r="D190" s="28" t="s">
        <v>298</v>
      </c>
      <c r="E190" s="436">
        <f>PROFORMA!AV44</f>
        <v>0</v>
      </c>
      <c r="F190" s="60" t="str">
        <f t="shared" si="350"/>
        <v>as UG Storage Plant (24)</v>
      </c>
      <c r="G190" s="60"/>
      <c r="H190" s="2">
        <f t="shared" si="321"/>
        <v>0</v>
      </c>
      <c r="I190" s="2">
        <f t="shared" si="322"/>
        <v>0</v>
      </c>
      <c r="J190" s="2">
        <f t="shared" si="322"/>
        <v>0</v>
      </c>
      <c r="K190" s="2">
        <f t="shared" si="322"/>
        <v>0</v>
      </c>
      <c r="L190" s="2">
        <f t="shared" si="322"/>
        <v>0</v>
      </c>
      <c r="M190" s="2">
        <f t="shared" si="322"/>
        <v>0</v>
      </c>
      <c r="N190" s="2">
        <f t="shared" si="322"/>
        <v>0</v>
      </c>
      <c r="O190" s="2"/>
      <c r="P190" s="61" t="str">
        <f>E$1&amp;$A190&amp;"*     """</f>
        <v>E190*     "</v>
      </c>
      <c r="Q190" s="61"/>
      <c r="R190" s="14">
        <f t="shared" si="323"/>
        <v>0</v>
      </c>
      <c r="S190" s="14">
        <f t="shared" si="324"/>
        <v>0</v>
      </c>
      <c r="T190" s="14">
        <f t="shared" si="324"/>
        <v>0.13</v>
      </c>
      <c r="U190" s="14">
        <f t="shared" si="324"/>
        <v>0.87</v>
      </c>
      <c r="V190" s="14">
        <f t="shared" si="324"/>
        <v>0</v>
      </c>
      <c r="W190" s="14">
        <f t="shared" si="324"/>
        <v>0</v>
      </c>
      <c r="X190" s="14">
        <f t="shared" si="324"/>
        <v>0</v>
      </c>
      <c r="Y190" s="14">
        <f t="shared" si="324"/>
        <v>0</v>
      </c>
      <c r="Z190" s="14">
        <f t="shared" si="324"/>
        <v>0</v>
      </c>
      <c r="AA190" s="14">
        <f t="shared" si="324"/>
        <v>0</v>
      </c>
      <c r="AB190" s="14">
        <f t="shared" si="324"/>
        <v>0</v>
      </c>
      <c r="AC190" s="14">
        <f t="shared" si="324"/>
        <v>0</v>
      </c>
      <c r="AD190" s="14">
        <f t="shared" si="324"/>
        <v>0</v>
      </c>
      <c r="AE190" s="14">
        <f t="shared" si="324"/>
        <v>0</v>
      </c>
      <c r="AF190" s="14">
        <f t="shared" si="324"/>
        <v>0</v>
      </c>
      <c r="AG190" s="14">
        <f t="shared" si="324"/>
        <v>0</v>
      </c>
      <c r="AH190" s="14">
        <f t="shared" si="324"/>
        <v>0</v>
      </c>
      <c r="AI190" s="76">
        <f t="shared" si="303"/>
        <v>0</v>
      </c>
      <c r="AK190" s="2">
        <f t="shared" si="353"/>
        <v>0</v>
      </c>
      <c r="AL190" s="2">
        <f t="shared" si="325"/>
        <v>0</v>
      </c>
      <c r="AM190" s="2">
        <f t="shared" si="325"/>
        <v>0</v>
      </c>
      <c r="AN190" s="2">
        <f t="shared" si="325"/>
        <v>0</v>
      </c>
      <c r="AO190" s="2">
        <f t="shared" si="325"/>
        <v>0</v>
      </c>
      <c r="AP190" s="2"/>
      <c r="AQ190" s="61" t="str">
        <f t="shared" si="351"/>
        <v>E190*      "</v>
      </c>
      <c r="AS190" s="2">
        <f t="shared" si="326"/>
        <v>0</v>
      </c>
      <c r="AT190" s="2">
        <f t="shared" si="327"/>
        <v>0</v>
      </c>
      <c r="AU190" s="2">
        <f t="shared" si="327"/>
        <v>0</v>
      </c>
      <c r="AV190" s="2">
        <f t="shared" si="327"/>
        <v>0</v>
      </c>
      <c r="AW190" s="2">
        <f t="shared" si="327"/>
        <v>0</v>
      </c>
      <c r="AX190" s="2">
        <f t="shared" si="327"/>
        <v>0</v>
      </c>
      <c r="AY190" s="2">
        <f t="shared" si="327"/>
        <v>0</v>
      </c>
      <c r="BA190" s="2">
        <f t="shared" si="354"/>
        <v>0</v>
      </c>
      <c r="BB190" s="2">
        <f t="shared" si="328"/>
        <v>0</v>
      </c>
      <c r="BC190" s="2">
        <f t="shared" si="328"/>
        <v>0</v>
      </c>
      <c r="BD190" s="2">
        <f t="shared" si="328"/>
        <v>0</v>
      </c>
      <c r="BE190" s="2">
        <f t="shared" si="328"/>
        <v>0</v>
      </c>
      <c r="BF190" s="2">
        <f t="shared" si="328"/>
        <v>0</v>
      </c>
      <c r="BG190" s="2">
        <f t="shared" si="328"/>
        <v>0</v>
      </c>
      <c r="BI190" s="2">
        <f t="shared" si="329"/>
        <v>0</v>
      </c>
      <c r="BJ190" s="2">
        <f t="shared" si="330"/>
        <v>0</v>
      </c>
      <c r="BK190" s="2">
        <f t="shared" si="330"/>
        <v>0</v>
      </c>
      <c r="BL190" s="2">
        <f t="shared" si="330"/>
        <v>0</v>
      </c>
      <c r="BM190" s="2">
        <f t="shared" si="330"/>
        <v>0</v>
      </c>
      <c r="BN190" s="2">
        <f t="shared" si="330"/>
        <v>0</v>
      </c>
      <c r="BO190" s="2">
        <f t="shared" si="330"/>
        <v>0</v>
      </c>
      <c r="BQ190" s="28" t="s">
        <v>298</v>
      </c>
      <c r="BR190" s="23">
        <v>0</v>
      </c>
      <c r="BS190" s="14">
        <f t="shared" si="331"/>
        <v>0</v>
      </c>
      <c r="BT190" s="14">
        <f t="shared" si="332"/>
        <v>0</v>
      </c>
      <c r="BU190" s="14">
        <f t="shared" si="333"/>
        <v>0.13</v>
      </c>
      <c r="BV190" s="14">
        <f t="shared" si="334"/>
        <v>0.87</v>
      </c>
      <c r="BW190" s="14">
        <f t="shared" si="335"/>
        <v>0</v>
      </c>
      <c r="BX190" s="14">
        <f t="shared" si="336"/>
        <v>0</v>
      </c>
      <c r="BY190" s="14">
        <f t="shared" si="337"/>
        <v>0</v>
      </c>
      <c r="BZ190" s="14">
        <f t="shared" si="338"/>
        <v>0</v>
      </c>
      <c r="CA190" s="14">
        <f t="shared" si="339"/>
        <v>0</v>
      </c>
      <c r="CB190" s="14">
        <f t="shared" si="340"/>
        <v>0</v>
      </c>
      <c r="CC190" s="14">
        <f t="shared" si="341"/>
        <v>0</v>
      </c>
      <c r="CD190" s="14">
        <f t="shared" si="342"/>
        <v>0</v>
      </c>
      <c r="CE190" s="14">
        <f t="shared" si="343"/>
        <v>0</v>
      </c>
      <c r="CF190" s="14">
        <f t="shared" si="344"/>
        <v>0</v>
      </c>
      <c r="CG190" s="14">
        <f t="shared" si="345"/>
        <v>0</v>
      </c>
      <c r="CH190" s="14">
        <f t="shared" si="346"/>
        <v>0</v>
      </c>
      <c r="CI190" s="14">
        <f t="shared" si="347"/>
        <v>0</v>
      </c>
      <c r="CJ190" s="14"/>
      <c r="CK190" s="120" t="str">
        <f t="shared" si="348"/>
        <v>as UG Storage Plant (24)</v>
      </c>
      <c r="CL190" s="76">
        <f t="shared" si="312"/>
        <v>0</v>
      </c>
      <c r="CM190" s="2">
        <f t="shared" si="349"/>
        <v>0</v>
      </c>
      <c r="CN190" s="2">
        <f t="shared" si="349"/>
        <v>0</v>
      </c>
      <c r="CO190" s="2">
        <f t="shared" si="349"/>
        <v>0</v>
      </c>
      <c r="CP190" s="2">
        <f t="shared" si="349"/>
        <v>0</v>
      </c>
      <c r="CQ190" s="2">
        <f t="shared" si="349"/>
        <v>0</v>
      </c>
      <c r="CR190" s="2">
        <f t="shared" si="349"/>
        <v>0</v>
      </c>
    </row>
    <row r="191" spans="1:96">
      <c r="A191" s="50">
        <f t="shared" si="260"/>
        <v>191</v>
      </c>
      <c r="B191" t="s">
        <v>309</v>
      </c>
      <c r="C191" s="36" t="s">
        <v>395</v>
      </c>
      <c r="D191" s="28" t="s">
        <v>2</v>
      </c>
      <c r="E191" s="436">
        <f>PROFORMA!AV45</f>
        <v>0</v>
      </c>
      <c r="F191" s="60" t="str">
        <f t="shared" si="350"/>
        <v>as UG Storage Plant (24)</v>
      </c>
      <c r="G191" s="60"/>
      <c r="H191" s="2">
        <f t="shared" si="321"/>
        <v>0</v>
      </c>
      <c r="I191" s="2">
        <f t="shared" si="322"/>
        <v>0</v>
      </c>
      <c r="J191" s="2">
        <f t="shared" si="322"/>
        <v>0</v>
      </c>
      <c r="K191" s="2">
        <f t="shared" si="322"/>
        <v>0</v>
      </c>
      <c r="L191" s="2">
        <f t="shared" si="322"/>
        <v>0</v>
      </c>
      <c r="M191" s="2">
        <f t="shared" si="322"/>
        <v>0</v>
      </c>
      <c r="N191" s="2">
        <f t="shared" si="322"/>
        <v>0</v>
      </c>
      <c r="O191" s="2"/>
      <c r="P191" s="61" t="str">
        <f>E$1&amp;$A191&amp;"*     """</f>
        <v>E191*     "</v>
      </c>
      <c r="Q191" s="61"/>
      <c r="R191" s="14">
        <f t="shared" si="323"/>
        <v>0</v>
      </c>
      <c r="S191" s="14">
        <f t="shared" si="324"/>
        <v>0</v>
      </c>
      <c r="T191" s="14">
        <f t="shared" si="324"/>
        <v>0.13</v>
      </c>
      <c r="U191" s="14">
        <f t="shared" si="324"/>
        <v>0.87</v>
      </c>
      <c r="V191" s="14">
        <f t="shared" si="324"/>
        <v>0</v>
      </c>
      <c r="W191" s="14">
        <f t="shared" si="324"/>
        <v>0</v>
      </c>
      <c r="X191" s="14">
        <f t="shared" si="324"/>
        <v>0</v>
      </c>
      <c r="Y191" s="14">
        <f t="shared" si="324"/>
        <v>0</v>
      </c>
      <c r="Z191" s="14">
        <f t="shared" si="324"/>
        <v>0</v>
      </c>
      <c r="AA191" s="14">
        <f t="shared" si="324"/>
        <v>0</v>
      </c>
      <c r="AB191" s="14">
        <f t="shared" si="324"/>
        <v>0</v>
      </c>
      <c r="AC191" s="14">
        <f t="shared" si="324"/>
        <v>0</v>
      </c>
      <c r="AD191" s="14">
        <f t="shared" si="324"/>
        <v>0</v>
      </c>
      <c r="AE191" s="14">
        <f t="shared" si="324"/>
        <v>0</v>
      </c>
      <c r="AF191" s="14">
        <f t="shared" si="324"/>
        <v>0</v>
      </c>
      <c r="AG191" s="14">
        <f t="shared" si="324"/>
        <v>0</v>
      </c>
      <c r="AH191" s="14">
        <f t="shared" si="324"/>
        <v>0</v>
      </c>
      <c r="AI191" s="76">
        <f t="shared" si="303"/>
        <v>0</v>
      </c>
      <c r="AK191" s="2">
        <f t="shared" si="353"/>
        <v>0</v>
      </c>
      <c r="AL191" s="2">
        <f t="shared" si="325"/>
        <v>0</v>
      </c>
      <c r="AM191" s="2">
        <f t="shared" si="325"/>
        <v>0</v>
      </c>
      <c r="AN191" s="2">
        <f t="shared" si="325"/>
        <v>0</v>
      </c>
      <c r="AO191" s="2">
        <f t="shared" si="325"/>
        <v>0</v>
      </c>
      <c r="AP191" s="2"/>
      <c r="AQ191" s="61" t="str">
        <f t="shared" si="351"/>
        <v>E191*      "</v>
      </c>
      <c r="AS191" s="2">
        <f t="shared" si="326"/>
        <v>0</v>
      </c>
      <c r="AT191" s="2">
        <f t="shared" si="327"/>
        <v>0</v>
      </c>
      <c r="AU191" s="2">
        <f t="shared" si="327"/>
        <v>0</v>
      </c>
      <c r="AV191" s="2">
        <f t="shared" si="327"/>
        <v>0</v>
      </c>
      <c r="AW191" s="2">
        <f t="shared" si="327"/>
        <v>0</v>
      </c>
      <c r="AX191" s="2">
        <f t="shared" si="327"/>
        <v>0</v>
      </c>
      <c r="AY191" s="2">
        <f t="shared" si="327"/>
        <v>0</v>
      </c>
      <c r="BA191" s="2">
        <f t="shared" si="354"/>
        <v>0</v>
      </c>
      <c r="BB191" s="2">
        <f t="shared" si="328"/>
        <v>0</v>
      </c>
      <c r="BC191" s="2">
        <f t="shared" si="328"/>
        <v>0</v>
      </c>
      <c r="BD191" s="2">
        <f t="shared" si="328"/>
        <v>0</v>
      </c>
      <c r="BE191" s="2">
        <f t="shared" si="328"/>
        <v>0</v>
      </c>
      <c r="BF191" s="2">
        <f t="shared" si="328"/>
        <v>0</v>
      </c>
      <c r="BG191" s="2">
        <f t="shared" si="328"/>
        <v>0</v>
      </c>
      <c r="BI191" s="2">
        <f t="shared" si="329"/>
        <v>0</v>
      </c>
      <c r="BJ191" s="2">
        <f t="shared" si="330"/>
        <v>0</v>
      </c>
      <c r="BK191" s="2">
        <f t="shared" si="330"/>
        <v>0</v>
      </c>
      <c r="BL191" s="2">
        <f t="shared" si="330"/>
        <v>0</v>
      </c>
      <c r="BM191" s="2">
        <f t="shared" si="330"/>
        <v>0</v>
      </c>
      <c r="BN191" s="2">
        <f t="shared" si="330"/>
        <v>0</v>
      </c>
      <c r="BO191" s="2">
        <f t="shared" si="330"/>
        <v>0</v>
      </c>
      <c r="BQ191" s="28" t="s">
        <v>2</v>
      </c>
      <c r="BR191" s="23">
        <v>0</v>
      </c>
      <c r="BS191" s="14">
        <f t="shared" si="331"/>
        <v>0</v>
      </c>
      <c r="BT191" s="14">
        <f t="shared" si="332"/>
        <v>0</v>
      </c>
      <c r="BU191" s="14">
        <f t="shared" si="333"/>
        <v>0.13</v>
      </c>
      <c r="BV191" s="14">
        <f t="shared" si="334"/>
        <v>0.87</v>
      </c>
      <c r="BW191" s="14">
        <f t="shared" si="335"/>
        <v>0</v>
      </c>
      <c r="BX191" s="14">
        <f t="shared" si="336"/>
        <v>0</v>
      </c>
      <c r="BY191" s="14">
        <f t="shared" si="337"/>
        <v>0</v>
      </c>
      <c r="BZ191" s="14">
        <f t="shared" si="338"/>
        <v>0</v>
      </c>
      <c r="CA191" s="14">
        <f t="shared" si="339"/>
        <v>0</v>
      </c>
      <c r="CB191" s="14">
        <f t="shared" si="340"/>
        <v>0</v>
      </c>
      <c r="CC191" s="14">
        <f t="shared" si="341"/>
        <v>0</v>
      </c>
      <c r="CD191" s="14">
        <f t="shared" si="342"/>
        <v>0</v>
      </c>
      <c r="CE191" s="14">
        <f t="shared" si="343"/>
        <v>0</v>
      </c>
      <c r="CF191" s="14">
        <f t="shared" si="344"/>
        <v>0</v>
      </c>
      <c r="CG191" s="14">
        <f t="shared" si="345"/>
        <v>0</v>
      </c>
      <c r="CH191" s="14">
        <f t="shared" si="346"/>
        <v>0</v>
      </c>
      <c r="CI191" s="14">
        <f t="shared" si="347"/>
        <v>0</v>
      </c>
      <c r="CJ191" s="14"/>
      <c r="CK191" s="120" t="str">
        <f t="shared" si="348"/>
        <v>as UG Storage Plant (24)</v>
      </c>
      <c r="CL191" s="76">
        <f t="shared" si="312"/>
        <v>0</v>
      </c>
      <c r="CM191" s="2">
        <f t="shared" si="349"/>
        <v>0</v>
      </c>
      <c r="CN191" s="2">
        <f t="shared" si="349"/>
        <v>0</v>
      </c>
      <c r="CO191" s="2">
        <f t="shared" si="349"/>
        <v>0</v>
      </c>
      <c r="CP191" s="2">
        <f t="shared" si="349"/>
        <v>0</v>
      </c>
      <c r="CQ191" s="2">
        <f t="shared" si="349"/>
        <v>0</v>
      </c>
      <c r="CR191" s="2">
        <f t="shared" si="349"/>
        <v>0</v>
      </c>
    </row>
    <row r="192" spans="1:96">
      <c r="A192" s="50">
        <f t="shared" si="260"/>
        <v>192</v>
      </c>
      <c r="D192" s="52" t="s">
        <v>289</v>
      </c>
      <c r="E192" s="3">
        <f>SUM(E180:E191)</f>
        <v>493000</v>
      </c>
      <c r="F192" s="62"/>
      <c r="G192" s="62"/>
      <c r="H192" s="3">
        <f>IF(ROUND(SUM(H181:H191),3)&lt;&gt;ROUND(SUM(I192:N192),3),#VALUE!,SUM(H181:H191))</f>
        <v>493000</v>
      </c>
      <c r="I192" s="3">
        <f t="shared" ref="I192:N192" si="355">SUM(I181:I191)</f>
        <v>358857.3700415027</v>
      </c>
      <c r="J192" s="3">
        <f t="shared" si="355"/>
        <v>125415.06349334755</v>
      </c>
      <c r="K192" s="3">
        <f t="shared" si="355"/>
        <v>0</v>
      </c>
      <c r="L192" s="3">
        <f t="shared" si="355"/>
        <v>1816.7026234660868</v>
      </c>
      <c r="M192" s="3">
        <f t="shared" si="355"/>
        <v>6910.8638416836329</v>
      </c>
      <c r="N192" s="3">
        <f t="shared" si="355"/>
        <v>0</v>
      </c>
      <c r="O192" s="5"/>
      <c r="P192" s="61" t="str">
        <f>$A181&amp;":"&amp;$A191</f>
        <v>181:191</v>
      </c>
      <c r="Q192" s="61"/>
      <c r="R192" s="22">
        <f t="shared" ref="R192:AH192" si="356">SUMPRODUCT($E$181:$E$191,R$181:R$191)/$E192</f>
        <v>0</v>
      </c>
      <c r="S192" s="22">
        <f t="shared" si="356"/>
        <v>0</v>
      </c>
      <c r="T192" s="22">
        <f t="shared" si="356"/>
        <v>0.13</v>
      </c>
      <c r="U192" s="22">
        <f t="shared" si="356"/>
        <v>0.87</v>
      </c>
      <c r="V192" s="22">
        <f t="shared" si="356"/>
        <v>0</v>
      </c>
      <c r="W192" s="22">
        <f t="shared" si="356"/>
        <v>0</v>
      </c>
      <c r="X192" s="22">
        <f t="shared" si="356"/>
        <v>0</v>
      </c>
      <c r="Y192" s="22">
        <f t="shared" si="356"/>
        <v>0</v>
      </c>
      <c r="Z192" s="22">
        <f t="shared" si="356"/>
        <v>0</v>
      </c>
      <c r="AA192" s="22">
        <f t="shared" si="356"/>
        <v>0</v>
      </c>
      <c r="AB192" s="22">
        <f t="shared" si="356"/>
        <v>0</v>
      </c>
      <c r="AC192" s="22">
        <f t="shared" si="356"/>
        <v>0</v>
      </c>
      <c r="AD192" s="22">
        <f t="shared" si="356"/>
        <v>0</v>
      </c>
      <c r="AE192" s="22">
        <f t="shared" si="356"/>
        <v>0</v>
      </c>
      <c r="AF192" s="22">
        <f t="shared" si="356"/>
        <v>0</v>
      </c>
      <c r="AG192" s="22">
        <f t="shared" si="356"/>
        <v>0</v>
      </c>
      <c r="AH192" s="22">
        <f t="shared" si="356"/>
        <v>0</v>
      </c>
      <c r="AI192" s="76">
        <f t="shared" si="303"/>
        <v>0</v>
      </c>
      <c r="AK192" s="3">
        <f>IF(ROUND(SUM(AK181:AK191),3)&lt;&gt;ROUND(SUM(AL192:AO192),3),#VALUE!,SUM(AK181:AK191))</f>
        <v>493000</v>
      </c>
      <c r="AL192" s="3">
        <f>SUM(AL181:AL191)</f>
        <v>493000</v>
      </c>
      <c r="AM192" s="3">
        <f>SUM(AM181:AM191)</f>
        <v>0</v>
      </c>
      <c r="AN192" s="3">
        <f>SUM(AN181:AN191)</f>
        <v>0</v>
      </c>
      <c r="AO192" s="3">
        <f>SUM(AO181:AO191)</f>
        <v>0</v>
      </c>
      <c r="AP192" s="5"/>
      <c r="AQ192" s="61" t="str">
        <f>$A181&amp;":"&amp;$A191</f>
        <v>181:191</v>
      </c>
      <c r="AS192" s="3">
        <f>IF(ROUND(SUM(AS181:AS191),3)&lt;&gt;ROUND(SUM(AT192:AY192),3),#VALUE!,SUM(AS181:AS191))</f>
        <v>493000</v>
      </c>
      <c r="AT192" s="3">
        <f t="shared" ref="AT192:AY192" si="357">SUM(AT181:AT191)</f>
        <v>358857.3700415027</v>
      </c>
      <c r="AU192" s="3">
        <f t="shared" si="357"/>
        <v>125415.06349334755</v>
      </c>
      <c r="AV192" s="3">
        <f t="shared" si="357"/>
        <v>0</v>
      </c>
      <c r="AW192" s="3">
        <f t="shared" si="357"/>
        <v>1816.7026234660868</v>
      </c>
      <c r="AX192" s="3">
        <f t="shared" si="357"/>
        <v>6910.8638416836329</v>
      </c>
      <c r="AY192" s="3">
        <f t="shared" si="357"/>
        <v>0</v>
      </c>
      <c r="BA192" s="3">
        <f>IF(ROUND(SUM(BA181:BA191),3)&lt;&gt;ROUND(SUM(BB192:BG192),3),#VALUE!,SUM(BA181:BA191))</f>
        <v>0</v>
      </c>
      <c r="BB192" s="3">
        <f t="shared" ref="BB192:BG192" si="358">SUM(BB181:BB191)</f>
        <v>0</v>
      </c>
      <c r="BC192" s="3">
        <f t="shared" si="358"/>
        <v>0</v>
      </c>
      <c r="BD192" s="3">
        <f t="shared" si="358"/>
        <v>0</v>
      </c>
      <c r="BE192" s="3">
        <f t="shared" si="358"/>
        <v>0</v>
      </c>
      <c r="BF192" s="3">
        <f t="shared" si="358"/>
        <v>0</v>
      </c>
      <c r="BG192" s="3">
        <f t="shared" si="358"/>
        <v>0</v>
      </c>
      <c r="BI192" s="3">
        <f>IF(ROUND(SUM(BI181:BI191),3)&lt;&gt;ROUND(SUM(BJ192:BO192),3),#VALUE!,SUM(BI181:BI191))</f>
        <v>0</v>
      </c>
      <c r="BJ192" s="3">
        <f t="shared" ref="BJ192:BO192" si="359">SUM(BJ181:BJ191)</f>
        <v>0</v>
      </c>
      <c r="BK192" s="3">
        <f t="shared" si="359"/>
        <v>0</v>
      </c>
      <c r="BL192" s="3">
        <f t="shared" si="359"/>
        <v>0</v>
      </c>
      <c r="BM192" s="3">
        <f t="shared" si="359"/>
        <v>0</v>
      </c>
      <c r="BN192" s="3">
        <f t="shared" si="359"/>
        <v>0</v>
      </c>
      <c r="BO192" s="3">
        <f t="shared" si="359"/>
        <v>0</v>
      </c>
      <c r="BQ192" s="52" t="s">
        <v>289</v>
      </c>
      <c r="BR192" s="577">
        <f>IF(ROUND(SUM(BR181:BR191),3)&lt;&gt;ROUND(SUM(CM192:CR192),3),#VALUE!,SUM(BR181:BR191))</f>
        <v>8543</v>
      </c>
      <c r="BS192" s="22">
        <f>SUMPRODUCT($BR$181:$BR$191,BS$181:BS$191)/$BR$192</f>
        <v>0</v>
      </c>
      <c r="BT192" s="22">
        <f t="shared" ref="BT192:CI192" si="360">SUMPRODUCT($BR$181:$BR$191,BT$181:BT$191)/$BR$192</f>
        <v>0</v>
      </c>
      <c r="BU192" s="22">
        <f t="shared" si="360"/>
        <v>0.13</v>
      </c>
      <c r="BV192" s="22">
        <f t="shared" si="360"/>
        <v>0.87</v>
      </c>
      <c r="BW192" s="22">
        <f t="shared" si="360"/>
        <v>0</v>
      </c>
      <c r="BX192" s="22">
        <f t="shared" si="360"/>
        <v>0</v>
      </c>
      <c r="BY192" s="22">
        <f t="shared" si="360"/>
        <v>0</v>
      </c>
      <c r="BZ192" s="22">
        <f t="shared" si="360"/>
        <v>0</v>
      </c>
      <c r="CA192" s="22">
        <f t="shared" si="360"/>
        <v>0</v>
      </c>
      <c r="CB192" s="22">
        <f t="shared" si="360"/>
        <v>0</v>
      </c>
      <c r="CC192" s="22">
        <f t="shared" si="360"/>
        <v>0</v>
      </c>
      <c r="CD192" s="22">
        <f t="shared" si="360"/>
        <v>0</v>
      </c>
      <c r="CE192" s="22">
        <f t="shared" si="360"/>
        <v>0</v>
      </c>
      <c r="CF192" s="22">
        <f t="shared" si="360"/>
        <v>0</v>
      </c>
      <c r="CG192" s="22">
        <f t="shared" si="360"/>
        <v>0</v>
      </c>
      <c r="CH192" s="22">
        <f t="shared" si="360"/>
        <v>0</v>
      </c>
      <c r="CI192" s="22">
        <f t="shared" si="360"/>
        <v>0</v>
      </c>
      <c r="CJ192" s="42"/>
      <c r="CK192" s="42"/>
      <c r="CL192" s="76">
        <f t="shared" si="312"/>
        <v>0</v>
      </c>
      <c r="CM192" s="3">
        <f t="shared" ref="CM192:CR192" si="361">SUM(CM181:CM191)</f>
        <v>6218.4959680822676</v>
      </c>
      <c r="CN192" s="3">
        <f t="shared" si="361"/>
        <v>2173.2675201291445</v>
      </c>
      <c r="CO192" s="3">
        <f t="shared" si="361"/>
        <v>0</v>
      </c>
      <c r="CP192" s="3">
        <f t="shared" si="361"/>
        <v>31.480913817993468</v>
      </c>
      <c r="CQ192" s="3">
        <f t="shared" si="361"/>
        <v>119.75559797059489</v>
      </c>
      <c r="CR192" s="3">
        <f t="shared" si="361"/>
        <v>0</v>
      </c>
    </row>
    <row r="193" spans="1:96">
      <c r="A193" s="50">
        <f t="shared" si="260"/>
        <v>193</v>
      </c>
      <c r="B193" t="s">
        <v>310</v>
      </c>
      <c r="C193" s="36" t="s">
        <v>395</v>
      </c>
      <c r="D193" s="28" t="s">
        <v>1</v>
      </c>
      <c r="E193" s="436">
        <f>PROFORMA!AV47</f>
        <v>0</v>
      </c>
      <c r="F193" s="60" t="str">
        <f t="shared" si="350"/>
        <v>as UG Storage Plant (24)</v>
      </c>
      <c r="G193" s="60"/>
      <c r="H193" s="2">
        <f t="shared" ref="H193:H200" si="362">SUM(I193:N193)</f>
        <v>0</v>
      </c>
      <c r="I193" s="2">
        <f t="shared" ref="I193:N200" si="363">$E193*SUMPRODUCT($R193:$AH193,INDEX(AllocFactors,I$4,0))</f>
        <v>0</v>
      </c>
      <c r="J193" s="2">
        <f t="shared" si="363"/>
        <v>0</v>
      </c>
      <c r="K193" s="2">
        <f t="shared" si="363"/>
        <v>0</v>
      </c>
      <c r="L193" s="2">
        <f t="shared" si="363"/>
        <v>0</v>
      </c>
      <c r="M193" s="2">
        <f t="shared" si="363"/>
        <v>0</v>
      </c>
      <c r="N193" s="2">
        <f t="shared" si="363"/>
        <v>0</v>
      </c>
      <c r="O193" s="2"/>
      <c r="P193" s="61" t="str">
        <f>E$1&amp;$A193&amp;"* Sum["&amp;$R$1&amp;$A193&amp;":"&amp;$AH$1&amp;$A193&amp;"* "&amp;Factors!D$1&amp;Factors!$A$58&amp;":"&amp;Factors!S$1&amp;Factors!$A$64&amp;"]"</f>
        <v>E193* Sum[R193:AH193* D1040:S1046]</v>
      </c>
      <c r="Q193" s="61"/>
      <c r="R193" s="14">
        <f>R$24</f>
        <v>0</v>
      </c>
      <c r="S193" s="14">
        <f t="shared" si="324"/>
        <v>0</v>
      </c>
      <c r="T193" s="14">
        <f t="shared" si="324"/>
        <v>0.13</v>
      </c>
      <c r="U193" s="14">
        <f t="shared" si="324"/>
        <v>0.87</v>
      </c>
      <c r="V193" s="14">
        <f t="shared" si="324"/>
        <v>0</v>
      </c>
      <c r="W193" s="14">
        <f t="shared" si="324"/>
        <v>0</v>
      </c>
      <c r="X193" s="14">
        <f t="shared" si="324"/>
        <v>0</v>
      </c>
      <c r="Y193" s="14">
        <f t="shared" si="324"/>
        <v>0</v>
      </c>
      <c r="Z193" s="14">
        <f t="shared" si="324"/>
        <v>0</v>
      </c>
      <c r="AA193" s="14">
        <f t="shared" si="324"/>
        <v>0</v>
      </c>
      <c r="AB193" s="14">
        <f t="shared" si="324"/>
        <v>0</v>
      </c>
      <c r="AC193" s="14">
        <f t="shared" si="324"/>
        <v>0</v>
      </c>
      <c r="AD193" s="14">
        <f t="shared" si="324"/>
        <v>0</v>
      </c>
      <c r="AE193" s="14">
        <f t="shared" si="324"/>
        <v>0</v>
      </c>
      <c r="AF193" s="14">
        <f t="shared" si="324"/>
        <v>0</v>
      </c>
      <c r="AG193" s="14">
        <f t="shared" si="324"/>
        <v>0</v>
      </c>
      <c r="AH193" s="14">
        <f t="shared" si="324"/>
        <v>0</v>
      </c>
      <c r="AI193" s="76">
        <f t="shared" si="303"/>
        <v>0</v>
      </c>
      <c r="AK193" s="2">
        <f>SUM(AL193:AO193)</f>
        <v>0</v>
      </c>
      <c r="AL193" s="2">
        <f t="shared" ref="AL193:AO200" si="364">SUMIF($R$4:$AH$4,AL$5,$R193:$AH193)*$E193</f>
        <v>0</v>
      </c>
      <c r="AM193" s="2">
        <f t="shared" si="364"/>
        <v>0</v>
      </c>
      <c r="AN193" s="2">
        <f t="shared" si="364"/>
        <v>0</v>
      </c>
      <c r="AO193" s="2">
        <f t="shared" si="364"/>
        <v>0</v>
      </c>
      <c r="AP193" s="2"/>
      <c r="AQ193" s="61" t="str">
        <f>E$1&amp;$A193&amp;"*["&amp;R$1&amp;$A193&amp;":"&amp;$AH$1&amp;$A193&amp;" when "&amp;R$1&amp;$A$4&amp;":"&amp;$AH$1&amp;$A$4&amp;" = E,D,C,or R]"</f>
        <v>E193*[R193:AH193 when R4:AH4 = E,D,C,or R]</v>
      </c>
      <c r="AS193" s="2">
        <f>SUM(AT193:AY193)</f>
        <v>0</v>
      </c>
      <c r="AT193" s="2">
        <f t="shared" ref="AT193:AY200" si="365">$E193*SUMPRODUCT($R193:$V193,INDEX(AllocFactors_E,AT$4,0))</f>
        <v>0</v>
      </c>
      <c r="AU193" s="2">
        <f t="shared" si="365"/>
        <v>0</v>
      </c>
      <c r="AV193" s="2">
        <f t="shared" si="365"/>
        <v>0</v>
      </c>
      <c r="AW193" s="2">
        <f t="shared" si="365"/>
        <v>0</v>
      </c>
      <c r="AX193" s="2">
        <f t="shared" si="365"/>
        <v>0</v>
      </c>
      <c r="AY193" s="2">
        <f t="shared" si="365"/>
        <v>0</v>
      </c>
      <c r="BA193" s="2">
        <f>SUM(BB193:BG193)</f>
        <v>0</v>
      </c>
      <c r="BB193" s="2">
        <f t="shared" ref="BB193:BG200" si="366">$E193*SUMPRODUCT($W193:$AA193,INDEX(AllocFactors_D,BB$4,0))</f>
        <v>0</v>
      </c>
      <c r="BC193" s="2">
        <f t="shared" si="366"/>
        <v>0</v>
      </c>
      <c r="BD193" s="2">
        <f t="shared" si="366"/>
        <v>0</v>
      </c>
      <c r="BE193" s="2">
        <f t="shared" si="366"/>
        <v>0</v>
      </c>
      <c r="BF193" s="2">
        <f t="shared" si="366"/>
        <v>0</v>
      </c>
      <c r="BG193" s="2">
        <f t="shared" si="366"/>
        <v>0</v>
      </c>
      <c r="BI193" s="2">
        <f t="shared" ref="BI193:BI200" si="367">SUM(BJ193:BO193)</f>
        <v>0</v>
      </c>
      <c r="BJ193" s="2">
        <f t="shared" ref="BJ193:BO200" si="368">$E193*SUMPRODUCT($AB193:$AG193,INDEX(AllocFactors_C,BJ$4,0))</f>
        <v>0</v>
      </c>
      <c r="BK193" s="2">
        <f t="shared" si="368"/>
        <v>0</v>
      </c>
      <c r="BL193" s="2">
        <f t="shared" si="368"/>
        <v>0</v>
      </c>
      <c r="BM193" s="2">
        <f t="shared" si="368"/>
        <v>0</v>
      </c>
      <c r="BN193" s="2">
        <f t="shared" si="368"/>
        <v>0</v>
      </c>
      <c r="BO193" s="2">
        <f t="shared" si="368"/>
        <v>0</v>
      </c>
      <c r="BQ193" s="28" t="s">
        <v>1</v>
      </c>
      <c r="BR193" s="23">
        <v>0</v>
      </c>
      <c r="BS193" s="14">
        <f t="shared" ref="BS193:BU200" si="369">R193</f>
        <v>0</v>
      </c>
      <c r="BT193" s="14">
        <f t="shared" si="369"/>
        <v>0</v>
      </c>
      <c r="BU193" s="14">
        <f t="shared" si="369"/>
        <v>0.13</v>
      </c>
      <c r="BV193" s="14">
        <f t="shared" ref="BV193:BV200" si="370">U193</f>
        <v>0.87</v>
      </c>
      <c r="BW193" s="14">
        <f t="shared" ref="BW193:BW200" si="371">V193</f>
        <v>0</v>
      </c>
      <c r="BX193" s="14">
        <f t="shared" ref="BX193:BX200" si="372">W193</f>
        <v>0</v>
      </c>
      <c r="BY193" s="14">
        <f t="shared" ref="BY193:BY200" si="373">X193</f>
        <v>0</v>
      </c>
      <c r="BZ193" s="14">
        <f t="shared" ref="BZ193:BZ200" si="374">Y193</f>
        <v>0</v>
      </c>
      <c r="CA193" s="14">
        <f t="shared" ref="CA193:CA200" si="375">Z193</f>
        <v>0</v>
      </c>
      <c r="CB193" s="14">
        <f t="shared" ref="CB193:CB200" si="376">AA193</f>
        <v>0</v>
      </c>
      <c r="CC193" s="14">
        <f t="shared" ref="CC193:CC200" si="377">AB193</f>
        <v>0</v>
      </c>
      <c r="CD193" s="14">
        <f t="shared" ref="CD193:CD200" si="378">AC193</f>
        <v>0</v>
      </c>
      <c r="CE193" s="14">
        <f t="shared" ref="CE193:CE200" si="379">AD193</f>
        <v>0</v>
      </c>
      <c r="CF193" s="14">
        <f t="shared" ref="CF193:CF200" si="380">AE193</f>
        <v>0</v>
      </c>
      <c r="CG193" s="14">
        <f t="shared" ref="CG193:CG200" si="381">AF193</f>
        <v>0</v>
      </c>
      <c r="CH193" s="14">
        <f t="shared" ref="CH193:CH200" si="382">AG193</f>
        <v>0</v>
      </c>
      <c r="CI193" s="14">
        <f t="shared" ref="CI193:CI200" si="383">AH193</f>
        <v>0</v>
      </c>
      <c r="CJ193" s="14"/>
      <c r="CK193" s="120" t="str">
        <f t="shared" ref="CK193:CK200" si="384">F193</f>
        <v>as UG Storage Plant (24)</v>
      </c>
      <c r="CL193" s="76">
        <f t="shared" si="312"/>
        <v>0</v>
      </c>
      <c r="CM193" s="2">
        <f t="shared" ref="CM193:CR200" si="385">$BR193*SUMPRODUCT($BS193:$CI193,INDEX(AllocFactors,CM$170,0))</f>
        <v>0</v>
      </c>
      <c r="CN193" s="2">
        <f t="shared" si="385"/>
        <v>0</v>
      </c>
      <c r="CO193" s="2">
        <f t="shared" si="385"/>
        <v>0</v>
      </c>
      <c r="CP193" s="2">
        <f t="shared" si="385"/>
        <v>0</v>
      </c>
      <c r="CQ193" s="2">
        <f t="shared" si="385"/>
        <v>0</v>
      </c>
      <c r="CR193" s="2">
        <f t="shared" si="385"/>
        <v>0</v>
      </c>
    </row>
    <row r="194" spans="1:96">
      <c r="A194" s="50">
        <f t="shared" si="260"/>
        <v>194</v>
      </c>
      <c r="B194" t="s">
        <v>311</v>
      </c>
      <c r="C194" s="36" t="s">
        <v>395</v>
      </c>
      <c r="D194" s="28" t="s">
        <v>290</v>
      </c>
      <c r="E194" s="436">
        <f>PROFORMA!AV48</f>
        <v>0</v>
      </c>
      <c r="F194" s="60" t="str">
        <f t="shared" si="350"/>
        <v>as UG Storage Plant (24)</v>
      </c>
      <c r="G194" s="60"/>
      <c r="H194" s="2">
        <f t="shared" si="362"/>
        <v>0</v>
      </c>
      <c r="I194" s="2">
        <f t="shared" si="363"/>
        <v>0</v>
      </c>
      <c r="J194" s="2">
        <f t="shared" si="363"/>
        <v>0</v>
      </c>
      <c r="K194" s="2">
        <f t="shared" si="363"/>
        <v>0</v>
      </c>
      <c r="L194" s="2">
        <f t="shared" si="363"/>
        <v>0</v>
      </c>
      <c r="M194" s="2">
        <f t="shared" si="363"/>
        <v>0</v>
      </c>
      <c r="N194" s="2">
        <f t="shared" si="363"/>
        <v>0</v>
      </c>
      <c r="O194" s="2"/>
      <c r="P194" s="61"/>
      <c r="Q194" s="61"/>
      <c r="R194" s="14">
        <f>R$24</f>
        <v>0</v>
      </c>
      <c r="S194" s="14">
        <f t="shared" si="324"/>
        <v>0</v>
      </c>
      <c r="T194" s="14">
        <f t="shared" si="324"/>
        <v>0.13</v>
      </c>
      <c r="U194" s="14">
        <f t="shared" si="324"/>
        <v>0.87</v>
      </c>
      <c r="V194" s="14">
        <f t="shared" si="324"/>
        <v>0</v>
      </c>
      <c r="W194" s="14">
        <f t="shared" si="324"/>
        <v>0</v>
      </c>
      <c r="X194" s="14">
        <f t="shared" si="324"/>
        <v>0</v>
      </c>
      <c r="Y194" s="14">
        <f t="shared" si="324"/>
        <v>0</v>
      </c>
      <c r="Z194" s="14">
        <f t="shared" si="324"/>
        <v>0</v>
      </c>
      <c r="AA194" s="14">
        <f t="shared" si="324"/>
        <v>0</v>
      </c>
      <c r="AB194" s="14">
        <f t="shared" si="324"/>
        <v>0</v>
      </c>
      <c r="AC194" s="14">
        <f t="shared" si="324"/>
        <v>0</v>
      </c>
      <c r="AD194" s="14">
        <f t="shared" si="324"/>
        <v>0</v>
      </c>
      <c r="AE194" s="14">
        <f t="shared" si="324"/>
        <v>0</v>
      </c>
      <c r="AF194" s="14">
        <f t="shared" si="324"/>
        <v>0</v>
      </c>
      <c r="AG194" s="14">
        <f t="shared" si="324"/>
        <v>0</v>
      </c>
      <c r="AH194" s="14">
        <f t="shared" si="324"/>
        <v>0</v>
      </c>
      <c r="AI194" s="76">
        <f t="shared" si="303"/>
        <v>0</v>
      </c>
      <c r="AK194" s="2">
        <f t="shared" ref="AK194:AK200" si="386">SUM(AL194:AO194)</f>
        <v>0</v>
      </c>
      <c r="AL194" s="2">
        <f t="shared" si="364"/>
        <v>0</v>
      </c>
      <c r="AM194" s="2">
        <f t="shared" si="364"/>
        <v>0</v>
      </c>
      <c r="AN194" s="2">
        <f t="shared" si="364"/>
        <v>0</v>
      </c>
      <c r="AO194" s="2">
        <f t="shared" si="364"/>
        <v>0</v>
      </c>
      <c r="AP194" s="2"/>
      <c r="AQ194" s="61" t="str">
        <f t="shared" ref="AQ194:AQ200" si="387">E$1&amp;$A194&amp;"*      """</f>
        <v>E194*      "</v>
      </c>
      <c r="AS194" s="2">
        <f t="shared" ref="AS194:AS200" si="388">SUM(AT194:AY194)</f>
        <v>0</v>
      </c>
      <c r="AT194" s="2">
        <f t="shared" si="365"/>
        <v>0</v>
      </c>
      <c r="AU194" s="2">
        <f t="shared" si="365"/>
        <v>0</v>
      </c>
      <c r="AV194" s="2">
        <f t="shared" si="365"/>
        <v>0</v>
      </c>
      <c r="AW194" s="2">
        <f t="shared" si="365"/>
        <v>0</v>
      </c>
      <c r="AX194" s="2">
        <f t="shared" si="365"/>
        <v>0</v>
      </c>
      <c r="AY194" s="2">
        <f t="shared" si="365"/>
        <v>0</v>
      </c>
      <c r="BA194" s="2">
        <f t="shared" ref="BA194:BA200" si="389">SUM(BB194:BG194)</f>
        <v>0</v>
      </c>
      <c r="BB194" s="2">
        <f t="shared" si="366"/>
        <v>0</v>
      </c>
      <c r="BC194" s="2">
        <f t="shared" si="366"/>
        <v>0</v>
      </c>
      <c r="BD194" s="2">
        <f t="shared" si="366"/>
        <v>0</v>
      </c>
      <c r="BE194" s="2">
        <f t="shared" si="366"/>
        <v>0</v>
      </c>
      <c r="BF194" s="2">
        <f t="shared" si="366"/>
        <v>0</v>
      </c>
      <c r="BG194" s="2">
        <f t="shared" si="366"/>
        <v>0</v>
      </c>
      <c r="BI194" s="2">
        <f t="shared" si="367"/>
        <v>0</v>
      </c>
      <c r="BJ194" s="2">
        <f t="shared" si="368"/>
        <v>0</v>
      </c>
      <c r="BK194" s="2">
        <f t="shared" si="368"/>
        <v>0</v>
      </c>
      <c r="BL194" s="2">
        <f t="shared" si="368"/>
        <v>0</v>
      </c>
      <c r="BM194" s="2">
        <f t="shared" si="368"/>
        <v>0</v>
      </c>
      <c r="BN194" s="2">
        <f t="shared" si="368"/>
        <v>0</v>
      </c>
      <c r="BO194" s="2">
        <f t="shared" si="368"/>
        <v>0</v>
      </c>
      <c r="BQ194" s="28" t="s">
        <v>290</v>
      </c>
      <c r="BR194" s="23">
        <v>0</v>
      </c>
      <c r="BS194" s="14">
        <f t="shared" si="369"/>
        <v>0</v>
      </c>
      <c r="BT194" s="14">
        <f t="shared" si="369"/>
        <v>0</v>
      </c>
      <c r="BU194" s="14">
        <f t="shared" si="369"/>
        <v>0.13</v>
      </c>
      <c r="BV194" s="14">
        <f t="shared" si="370"/>
        <v>0.87</v>
      </c>
      <c r="BW194" s="14">
        <f t="shared" si="371"/>
        <v>0</v>
      </c>
      <c r="BX194" s="14">
        <f t="shared" si="372"/>
        <v>0</v>
      </c>
      <c r="BY194" s="14">
        <f t="shared" si="373"/>
        <v>0</v>
      </c>
      <c r="BZ194" s="14">
        <f t="shared" si="374"/>
        <v>0</v>
      </c>
      <c r="CA194" s="14">
        <f t="shared" si="375"/>
        <v>0</v>
      </c>
      <c r="CB194" s="14">
        <f t="shared" si="376"/>
        <v>0</v>
      </c>
      <c r="CC194" s="14">
        <f t="shared" si="377"/>
        <v>0</v>
      </c>
      <c r="CD194" s="14">
        <f t="shared" si="378"/>
        <v>0</v>
      </c>
      <c r="CE194" s="14">
        <f t="shared" si="379"/>
        <v>0</v>
      </c>
      <c r="CF194" s="14">
        <f t="shared" si="380"/>
        <v>0</v>
      </c>
      <c r="CG194" s="14">
        <f t="shared" si="381"/>
        <v>0</v>
      </c>
      <c r="CH194" s="14">
        <f t="shared" si="382"/>
        <v>0</v>
      </c>
      <c r="CI194" s="14">
        <f t="shared" si="383"/>
        <v>0</v>
      </c>
      <c r="CJ194" s="14"/>
      <c r="CK194" s="120" t="str">
        <f t="shared" si="384"/>
        <v>as UG Storage Plant (24)</v>
      </c>
      <c r="CL194" s="76">
        <f t="shared" si="312"/>
        <v>0</v>
      </c>
      <c r="CM194" s="2">
        <f t="shared" si="385"/>
        <v>0</v>
      </c>
      <c r="CN194" s="2">
        <f t="shared" si="385"/>
        <v>0</v>
      </c>
      <c r="CO194" s="2">
        <f t="shared" si="385"/>
        <v>0</v>
      </c>
      <c r="CP194" s="2">
        <f t="shared" si="385"/>
        <v>0</v>
      </c>
      <c r="CQ194" s="2">
        <f t="shared" si="385"/>
        <v>0</v>
      </c>
      <c r="CR194" s="2">
        <f t="shared" si="385"/>
        <v>0</v>
      </c>
    </row>
    <row r="195" spans="1:96">
      <c r="A195" s="50">
        <f t="shared" si="260"/>
        <v>195</v>
      </c>
      <c r="B195" t="s">
        <v>312</v>
      </c>
      <c r="C195" s="36" t="s">
        <v>395</v>
      </c>
      <c r="D195" s="28" t="s">
        <v>291</v>
      </c>
      <c r="E195" s="436">
        <f>PROFORMA!AV49</f>
        <v>0</v>
      </c>
      <c r="F195" s="60" t="str">
        <f t="shared" si="350"/>
        <v>as UG Storage Plant (24)</v>
      </c>
      <c r="G195" s="60"/>
      <c r="H195" s="2">
        <f t="shared" si="362"/>
        <v>0</v>
      </c>
      <c r="I195" s="2">
        <f t="shared" si="363"/>
        <v>0</v>
      </c>
      <c r="J195" s="2">
        <f t="shared" si="363"/>
        <v>0</v>
      </c>
      <c r="K195" s="2">
        <f t="shared" si="363"/>
        <v>0</v>
      </c>
      <c r="L195" s="2">
        <f t="shared" si="363"/>
        <v>0</v>
      </c>
      <c r="M195" s="2">
        <f t="shared" si="363"/>
        <v>0</v>
      </c>
      <c r="N195" s="2">
        <f t="shared" si="363"/>
        <v>0</v>
      </c>
      <c r="O195" s="2"/>
      <c r="P195" s="61"/>
      <c r="Q195" s="61"/>
      <c r="R195" s="14">
        <f>R$24</f>
        <v>0</v>
      </c>
      <c r="S195" s="14">
        <f t="shared" si="324"/>
        <v>0</v>
      </c>
      <c r="T195" s="14">
        <f t="shared" si="324"/>
        <v>0.13</v>
      </c>
      <c r="U195" s="14">
        <f t="shared" si="324"/>
        <v>0.87</v>
      </c>
      <c r="V195" s="14">
        <f t="shared" si="324"/>
        <v>0</v>
      </c>
      <c r="W195" s="14">
        <f t="shared" si="324"/>
        <v>0</v>
      </c>
      <c r="X195" s="14">
        <f t="shared" si="324"/>
        <v>0</v>
      </c>
      <c r="Y195" s="14">
        <f t="shared" si="324"/>
        <v>0</v>
      </c>
      <c r="Z195" s="14">
        <f t="shared" si="324"/>
        <v>0</v>
      </c>
      <c r="AA195" s="14">
        <f t="shared" si="324"/>
        <v>0</v>
      </c>
      <c r="AB195" s="14">
        <f t="shared" si="324"/>
        <v>0</v>
      </c>
      <c r="AC195" s="14">
        <f t="shared" si="324"/>
        <v>0</v>
      </c>
      <c r="AD195" s="14">
        <f t="shared" si="324"/>
        <v>0</v>
      </c>
      <c r="AE195" s="14">
        <f t="shared" si="324"/>
        <v>0</v>
      </c>
      <c r="AF195" s="14">
        <f t="shared" si="324"/>
        <v>0</v>
      </c>
      <c r="AG195" s="14">
        <f t="shared" si="324"/>
        <v>0</v>
      </c>
      <c r="AH195" s="14">
        <f t="shared" si="324"/>
        <v>0</v>
      </c>
      <c r="AI195" s="76">
        <f t="shared" si="303"/>
        <v>0</v>
      </c>
      <c r="AK195" s="2">
        <f t="shared" si="386"/>
        <v>0</v>
      </c>
      <c r="AL195" s="2">
        <f t="shared" si="364"/>
        <v>0</v>
      </c>
      <c r="AM195" s="2">
        <f t="shared" si="364"/>
        <v>0</v>
      </c>
      <c r="AN195" s="2">
        <f t="shared" si="364"/>
        <v>0</v>
      </c>
      <c r="AO195" s="2">
        <f t="shared" si="364"/>
        <v>0</v>
      </c>
      <c r="AP195" s="2"/>
      <c r="AQ195" s="61" t="str">
        <f t="shared" si="387"/>
        <v>E195*      "</v>
      </c>
      <c r="AS195" s="2">
        <f t="shared" si="388"/>
        <v>0</v>
      </c>
      <c r="AT195" s="2">
        <f t="shared" si="365"/>
        <v>0</v>
      </c>
      <c r="AU195" s="2">
        <f t="shared" si="365"/>
        <v>0</v>
      </c>
      <c r="AV195" s="2">
        <f t="shared" si="365"/>
        <v>0</v>
      </c>
      <c r="AW195" s="2">
        <f t="shared" si="365"/>
        <v>0</v>
      </c>
      <c r="AX195" s="2">
        <f t="shared" si="365"/>
        <v>0</v>
      </c>
      <c r="AY195" s="2">
        <f t="shared" si="365"/>
        <v>0</v>
      </c>
      <c r="BA195" s="2">
        <f t="shared" si="389"/>
        <v>0</v>
      </c>
      <c r="BB195" s="2">
        <f t="shared" si="366"/>
        <v>0</v>
      </c>
      <c r="BC195" s="2">
        <f t="shared" si="366"/>
        <v>0</v>
      </c>
      <c r="BD195" s="2">
        <f t="shared" si="366"/>
        <v>0</v>
      </c>
      <c r="BE195" s="2">
        <f t="shared" si="366"/>
        <v>0</v>
      </c>
      <c r="BF195" s="2">
        <f t="shared" si="366"/>
        <v>0</v>
      </c>
      <c r="BG195" s="2">
        <f t="shared" si="366"/>
        <v>0</v>
      </c>
      <c r="BI195" s="2">
        <f t="shared" si="367"/>
        <v>0</v>
      </c>
      <c r="BJ195" s="2">
        <f t="shared" si="368"/>
        <v>0</v>
      </c>
      <c r="BK195" s="2">
        <f t="shared" si="368"/>
        <v>0</v>
      </c>
      <c r="BL195" s="2">
        <f t="shared" si="368"/>
        <v>0</v>
      </c>
      <c r="BM195" s="2">
        <f t="shared" si="368"/>
        <v>0</v>
      </c>
      <c r="BN195" s="2">
        <f t="shared" si="368"/>
        <v>0</v>
      </c>
      <c r="BO195" s="2">
        <f t="shared" si="368"/>
        <v>0</v>
      </c>
      <c r="BQ195" s="28" t="s">
        <v>291</v>
      </c>
      <c r="BR195" s="23">
        <v>0</v>
      </c>
      <c r="BS195" s="14">
        <f t="shared" si="369"/>
        <v>0</v>
      </c>
      <c r="BT195" s="14">
        <f t="shared" si="369"/>
        <v>0</v>
      </c>
      <c r="BU195" s="14">
        <f t="shared" si="369"/>
        <v>0.13</v>
      </c>
      <c r="BV195" s="14">
        <f t="shared" si="370"/>
        <v>0.87</v>
      </c>
      <c r="BW195" s="14">
        <f t="shared" si="371"/>
        <v>0</v>
      </c>
      <c r="BX195" s="14">
        <f t="shared" si="372"/>
        <v>0</v>
      </c>
      <c r="BY195" s="14">
        <f t="shared" si="373"/>
        <v>0</v>
      </c>
      <c r="BZ195" s="14">
        <f t="shared" si="374"/>
        <v>0</v>
      </c>
      <c r="CA195" s="14">
        <f t="shared" si="375"/>
        <v>0</v>
      </c>
      <c r="CB195" s="14">
        <f t="shared" si="376"/>
        <v>0</v>
      </c>
      <c r="CC195" s="14">
        <f t="shared" si="377"/>
        <v>0</v>
      </c>
      <c r="CD195" s="14">
        <f t="shared" si="378"/>
        <v>0</v>
      </c>
      <c r="CE195" s="14">
        <f t="shared" si="379"/>
        <v>0</v>
      </c>
      <c r="CF195" s="14">
        <f t="shared" si="380"/>
        <v>0</v>
      </c>
      <c r="CG195" s="14">
        <f t="shared" si="381"/>
        <v>0</v>
      </c>
      <c r="CH195" s="14">
        <f t="shared" si="382"/>
        <v>0</v>
      </c>
      <c r="CI195" s="14">
        <f t="shared" si="383"/>
        <v>0</v>
      </c>
      <c r="CJ195" s="14"/>
      <c r="CK195" s="120" t="str">
        <f t="shared" si="384"/>
        <v>as UG Storage Plant (24)</v>
      </c>
      <c r="CL195" s="76">
        <f t="shared" si="312"/>
        <v>0</v>
      </c>
      <c r="CM195" s="2">
        <f t="shared" si="385"/>
        <v>0</v>
      </c>
      <c r="CN195" s="2">
        <f t="shared" si="385"/>
        <v>0</v>
      </c>
      <c r="CO195" s="2">
        <f t="shared" si="385"/>
        <v>0</v>
      </c>
      <c r="CP195" s="2">
        <f t="shared" si="385"/>
        <v>0</v>
      </c>
      <c r="CQ195" s="2">
        <f t="shared" si="385"/>
        <v>0</v>
      </c>
      <c r="CR195" s="2">
        <f t="shared" si="385"/>
        <v>0</v>
      </c>
    </row>
    <row r="196" spans="1:96">
      <c r="A196" s="50">
        <f t="shared" si="260"/>
        <v>196</v>
      </c>
      <c r="B196" t="s">
        <v>313</v>
      </c>
      <c r="C196" s="36" t="s">
        <v>395</v>
      </c>
      <c r="D196" s="28" t="s">
        <v>292</v>
      </c>
      <c r="E196" s="436">
        <f>PROFORMA!AV50</f>
        <v>0</v>
      </c>
      <c r="F196" s="60" t="str">
        <f t="shared" si="350"/>
        <v>as UG Storage Plant (24)</v>
      </c>
      <c r="G196" s="60"/>
      <c r="H196" s="2">
        <f t="shared" si="362"/>
        <v>0</v>
      </c>
      <c r="I196" s="2">
        <f t="shared" si="363"/>
        <v>0</v>
      </c>
      <c r="J196" s="2">
        <f t="shared" si="363"/>
        <v>0</v>
      </c>
      <c r="K196" s="2">
        <f t="shared" si="363"/>
        <v>0</v>
      </c>
      <c r="L196" s="2">
        <f t="shared" si="363"/>
        <v>0</v>
      </c>
      <c r="M196" s="2">
        <f t="shared" si="363"/>
        <v>0</v>
      </c>
      <c r="N196" s="2">
        <f t="shared" si="363"/>
        <v>0</v>
      </c>
      <c r="O196" s="2"/>
      <c r="P196" s="61"/>
      <c r="Q196" s="61"/>
      <c r="R196" s="14">
        <f>R$24</f>
        <v>0</v>
      </c>
      <c r="S196" s="14">
        <f t="shared" si="324"/>
        <v>0</v>
      </c>
      <c r="T196" s="14">
        <f t="shared" si="324"/>
        <v>0.13</v>
      </c>
      <c r="U196" s="14">
        <f t="shared" si="324"/>
        <v>0.87</v>
      </c>
      <c r="V196" s="14">
        <f t="shared" ref="V196:AH197" si="390">V$24</f>
        <v>0</v>
      </c>
      <c r="W196" s="14">
        <f t="shared" si="390"/>
        <v>0</v>
      </c>
      <c r="X196" s="14">
        <f t="shared" si="390"/>
        <v>0</v>
      </c>
      <c r="Y196" s="14">
        <f t="shared" si="390"/>
        <v>0</v>
      </c>
      <c r="Z196" s="14">
        <f t="shared" si="390"/>
        <v>0</v>
      </c>
      <c r="AA196" s="14">
        <f t="shared" si="390"/>
        <v>0</v>
      </c>
      <c r="AB196" s="14">
        <f t="shared" si="390"/>
        <v>0</v>
      </c>
      <c r="AC196" s="14">
        <f t="shared" si="390"/>
        <v>0</v>
      </c>
      <c r="AD196" s="14">
        <f t="shared" si="390"/>
        <v>0</v>
      </c>
      <c r="AE196" s="14">
        <f t="shared" si="390"/>
        <v>0</v>
      </c>
      <c r="AF196" s="14">
        <f t="shared" si="390"/>
        <v>0</v>
      </c>
      <c r="AG196" s="14">
        <f t="shared" si="390"/>
        <v>0</v>
      </c>
      <c r="AH196" s="14">
        <f t="shared" si="390"/>
        <v>0</v>
      </c>
      <c r="AI196" s="76">
        <f t="shared" si="303"/>
        <v>0</v>
      </c>
      <c r="AK196" s="2">
        <f t="shared" si="386"/>
        <v>0</v>
      </c>
      <c r="AL196" s="2">
        <f t="shared" si="364"/>
        <v>0</v>
      </c>
      <c r="AM196" s="2">
        <f t="shared" si="364"/>
        <v>0</v>
      </c>
      <c r="AN196" s="2">
        <f t="shared" si="364"/>
        <v>0</v>
      </c>
      <c r="AO196" s="2">
        <f t="shared" si="364"/>
        <v>0</v>
      </c>
      <c r="AP196" s="2"/>
      <c r="AQ196" s="61" t="str">
        <f t="shared" si="387"/>
        <v>E196*      "</v>
      </c>
      <c r="AS196" s="2">
        <f t="shared" si="388"/>
        <v>0</v>
      </c>
      <c r="AT196" s="2">
        <f t="shared" si="365"/>
        <v>0</v>
      </c>
      <c r="AU196" s="2">
        <f t="shared" si="365"/>
        <v>0</v>
      </c>
      <c r="AV196" s="2">
        <f t="shared" si="365"/>
        <v>0</v>
      </c>
      <c r="AW196" s="2">
        <f t="shared" si="365"/>
        <v>0</v>
      </c>
      <c r="AX196" s="2">
        <f t="shared" si="365"/>
        <v>0</v>
      </c>
      <c r="AY196" s="2">
        <f t="shared" si="365"/>
        <v>0</v>
      </c>
      <c r="BA196" s="2">
        <f t="shared" si="389"/>
        <v>0</v>
      </c>
      <c r="BB196" s="2">
        <f t="shared" si="366"/>
        <v>0</v>
      </c>
      <c r="BC196" s="2">
        <f t="shared" si="366"/>
        <v>0</v>
      </c>
      <c r="BD196" s="2">
        <f t="shared" si="366"/>
        <v>0</v>
      </c>
      <c r="BE196" s="2">
        <f t="shared" si="366"/>
        <v>0</v>
      </c>
      <c r="BF196" s="2">
        <f t="shared" si="366"/>
        <v>0</v>
      </c>
      <c r="BG196" s="2">
        <f t="shared" si="366"/>
        <v>0</v>
      </c>
      <c r="BI196" s="2">
        <f t="shared" si="367"/>
        <v>0</v>
      </c>
      <c r="BJ196" s="2">
        <f t="shared" si="368"/>
        <v>0</v>
      </c>
      <c r="BK196" s="2">
        <f t="shared" si="368"/>
        <v>0</v>
      </c>
      <c r="BL196" s="2">
        <f t="shared" si="368"/>
        <v>0</v>
      </c>
      <c r="BM196" s="2">
        <f t="shared" si="368"/>
        <v>0</v>
      </c>
      <c r="BN196" s="2">
        <f t="shared" si="368"/>
        <v>0</v>
      </c>
      <c r="BO196" s="2">
        <f t="shared" si="368"/>
        <v>0</v>
      </c>
      <c r="BQ196" s="28" t="s">
        <v>292</v>
      </c>
      <c r="BR196" s="23">
        <v>0</v>
      </c>
      <c r="BS196" s="14">
        <f t="shared" si="369"/>
        <v>0</v>
      </c>
      <c r="BT196" s="14">
        <f t="shared" si="369"/>
        <v>0</v>
      </c>
      <c r="BU196" s="14">
        <f t="shared" si="369"/>
        <v>0.13</v>
      </c>
      <c r="BV196" s="14">
        <f t="shared" si="370"/>
        <v>0.87</v>
      </c>
      <c r="BW196" s="14">
        <f t="shared" si="371"/>
        <v>0</v>
      </c>
      <c r="BX196" s="14">
        <f t="shared" si="372"/>
        <v>0</v>
      </c>
      <c r="BY196" s="14">
        <f t="shared" si="373"/>
        <v>0</v>
      </c>
      <c r="BZ196" s="14">
        <f t="shared" si="374"/>
        <v>0</v>
      </c>
      <c r="CA196" s="14">
        <f t="shared" si="375"/>
        <v>0</v>
      </c>
      <c r="CB196" s="14">
        <f t="shared" si="376"/>
        <v>0</v>
      </c>
      <c r="CC196" s="14">
        <f t="shared" si="377"/>
        <v>0</v>
      </c>
      <c r="CD196" s="14">
        <f t="shared" si="378"/>
        <v>0</v>
      </c>
      <c r="CE196" s="14">
        <f t="shared" si="379"/>
        <v>0</v>
      </c>
      <c r="CF196" s="14">
        <f t="shared" si="380"/>
        <v>0</v>
      </c>
      <c r="CG196" s="14">
        <f t="shared" si="381"/>
        <v>0</v>
      </c>
      <c r="CH196" s="14">
        <f t="shared" si="382"/>
        <v>0</v>
      </c>
      <c r="CI196" s="14">
        <f t="shared" si="383"/>
        <v>0</v>
      </c>
      <c r="CJ196" s="14"/>
      <c r="CK196" s="120" t="str">
        <f t="shared" si="384"/>
        <v>as UG Storage Plant (24)</v>
      </c>
      <c r="CL196" s="76">
        <f t="shared" si="312"/>
        <v>0</v>
      </c>
      <c r="CM196" s="2">
        <f t="shared" si="385"/>
        <v>0</v>
      </c>
      <c r="CN196" s="2">
        <f t="shared" si="385"/>
        <v>0</v>
      </c>
      <c r="CO196" s="2">
        <f t="shared" si="385"/>
        <v>0</v>
      </c>
      <c r="CP196" s="2">
        <f t="shared" si="385"/>
        <v>0</v>
      </c>
      <c r="CQ196" s="2">
        <f t="shared" si="385"/>
        <v>0</v>
      </c>
      <c r="CR196" s="2">
        <f t="shared" si="385"/>
        <v>0</v>
      </c>
    </row>
    <row r="197" spans="1:96">
      <c r="A197" s="50">
        <f t="shared" si="260"/>
        <v>197</v>
      </c>
      <c r="B197" t="s">
        <v>314</v>
      </c>
      <c r="C197" s="36" t="s">
        <v>395</v>
      </c>
      <c r="D197" s="28" t="s">
        <v>293</v>
      </c>
      <c r="E197" s="436">
        <f>PROFORMA!AV51</f>
        <v>0</v>
      </c>
      <c r="F197" s="60" t="str">
        <f t="shared" si="350"/>
        <v>as UG Storage Plant (24)</v>
      </c>
      <c r="G197" s="60"/>
      <c r="H197" s="2">
        <f t="shared" si="362"/>
        <v>0</v>
      </c>
      <c r="I197" s="2">
        <f t="shared" si="363"/>
        <v>0</v>
      </c>
      <c r="J197" s="2">
        <f t="shared" si="363"/>
        <v>0</v>
      </c>
      <c r="K197" s="2">
        <f t="shared" si="363"/>
        <v>0</v>
      </c>
      <c r="L197" s="2">
        <f t="shared" si="363"/>
        <v>0</v>
      </c>
      <c r="M197" s="2">
        <f t="shared" si="363"/>
        <v>0</v>
      </c>
      <c r="N197" s="2">
        <f t="shared" si="363"/>
        <v>0</v>
      </c>
      <c r="O197" s="2"/>
      <c r="P197" s="61" t="str">
        <f>E$1&amp;$A197&amp;"*     """</f>
        <v>E197*     "</v>
      </c>
      <c r="Q197" s="61"/>
      <c r="R197" s="14">
        <f>R$24</f>
        <v>0</v>
      </c>
      <c r="S197" s="14">
        <f>S$24</f>
        <v>0</v>
      </c>
      <c r="T197" s="14">
        <f>T$24</f>
        <v>0.13</v>
      </c>
      <c r="U197" s="14">
        <f>U$24</f>
        <v>0.87</v>
      </c>
      <c r="V197" s="14">
        <f t="shared" si="390"/>
        <v>0</v>
      </c>
      <c r="W197" s="14">
        <f t="shared" si="390"/>
        <v>0</v>
      </c>
      <c r="X197" s="14">
        <f t="shared" si="390"/>
        <v>0</v>
      </c>
      <c r="Y197" s="14">
        <f t="shared" si="390"/>
        <v>0</v>
      </c>
      <c r="Z197" s="14">
        <f t="shared" si="390"/>
        <v>0</v>
      </c>
      <c r="AA197" s="14">
        <f t="shared" si="390"/>
        <v>0</v>
      </c>
      <c r="AB197" s="14">
        <f t="shared" si="390"/>
        <v>0</v>
      </c>
      <c r="AC197" s="14">
        <f t="shared" si="390"/>
        <v>0</v>
      </c>
      <c r="AD197" s="14">
        <f t="shared" si="390"/>
        <v>0</v>
      </c>
      <c r="AE197" s="14">
        <f t="shared" si="390"/>
        <v>0</v>
      </c>
      <c r="AF197" s="14">
        <f t="shared" si="390"/>
        <v>0</v>
      </c>
      <c r="AG197" s="14">
        <f t="shared" si="390"/>
        <v>0</v>
      </c>
      <c r="AH197" s="14">
        <f t="shared" si="390"/>
        <v>0</v>
      </c>
      <c r="AI197" s="76">
        <f t="shared" si="303"/>
        <v>0</v>
      </c>
      <c r="AK197" s="2">
        <f t="shared" si="386"/>
        <v>0</v>
      </c>
      <c r="AL197" s="2">
        <f t="shared" si="364"/>
        <v>0</v>
      </c>
      <c r="AM197" s="2">
        <f t="shared" si="364"/>
        <v>0</v>
      </c>
      <c r="AN197" s="2">
        <f t="shared" si="364"/>
        <v>0</v>
      </c>
      <c r="AO197" s="2">
        <f t="shared" si="364"/>
        <v>0</v>
      </c>
      <c r="AP197" s="2"/>
      <c r="AQ197" s="61" t="str">
        <f t="shared" si="387"/>
        <v>E197*      "</v>
      </c>
      <c r="AS197" s="2">
        <f t="shared" si="388"/>
        <v>0</v>
      </c>
      <c r="AT197" s="2">
        <f t="shared" si="365"/>
        <v>0</v>
      </c>
      <c r="AU197" s="2">
        <f t="shared" si="365"/>
        <v>0</v>
      </c>
      <c r="AV197" s="2">
        <f t="shared" si="365"/>
        <v>0</v>
      </c>
      <c r="AW197" s="2">
        <f t="shared" si="365"/>
        <v>0</v>
      </c>
      <c r="AX197" s="2">
        <f t="shared" si="365"/>
        <v>0</v>
      </c>
      <c r="AY197" s="2">
        <f t="shared" si="365"/>
        <v>0</v>
      </c>
      <c r="BA197" s="2">
        <f t="shared" si="389"/>
        <v>0</v>
      </c>
      <c r="BB197" s="2">
        <f t="shared" si="366"/>
        <v>0</v>
      </c>
      <c r="BC197" s="2">
        <f t="shared" si="366"/>
        <v>0</v>
      </c>
      <c r="BD197" s="2">
        <f t="shared" si="366"/>
        <v>0</v>
      </c>
      <c r="BE197" s="2">
        <f t="shared" si="366"/>
        <v>0</v>
      </c>
      <c r="BF197" s="2">
        <f t="shared" si="366"/>
        <v>0</v>
      </c>
      <c r="BG197" s="2">
        <f t="shared" si="366"/>
        <v>0</v>
      </c>
      <c r="BI197" s="2">
        <f t="shared" si="367"/>
        <v>0</v>
      </c>
      <c r="BJ197" s="2">
        <f t="shared" si="368"/>
        <v>0</v>
      </c>
      <c r="BK197" s="2">
        <f t="shared" si="368"/>
        <v>0</v>
      </c>
      <c r="BL197" s="2">
        <f t="shared" si="368"/>
        <v>0</v>
      </c>
      <c r="BM197" s="2">
        <f t="shared" si="368"/>
        <v>0</v>
      </c>
      <c r="BN197" s="2">
        <f t="shared" si="368"/>
        <v>0</v>
      </c>
      <c r="BO197" s="2">
        <f t="shared" si="368"/>
        <v>0</v>
      </c>
      <c r="BQ197" s="28" t="s">
        <v>293</v>
      </c>
      <c r="BR197" s="23">
        <v>0</v>
      </c>
      <c r="BS197" s="14">
        <f t="shared" si="369"/>
        <v>0</v>
      </c>
      <c r="BT197" s="14">
        <f t="shared" si="369"/>
        <v>0</v>
      </c>
      <c r="BU197" s="14">
        <f t="shared" si="369"/>
        <v>0.13</v>
      </c>
      <c r="BV197" s="14">
        <f t="shared" si="370"/>
        <v>0.87</v>
      </c>
      <c r="BW197" s="14">
        <f t="shared" si="371"/>
        <v>0</v>
      </c>
      <c r="BX197" s="14">
        <f t="shared" si="372"/>
        <v>0</v>
      </c>
      <c r="BY197" s="14">
        <f t="shared" si="373"/>
        <v>0</v>
      </c>
      <c r="BZ197" s="14">
        <f t="shared" si="374"/>
        <v>0</v>
      </c>
      <c r="CA197" s="14">
        <f t="shared" si="375"/>
        <v>0</v>
      </c>
      <c r="CB197" s="14">
        <f t="shared" si="376"/>
        <v>0</v>
      </c>
      <c r="CC197" s="14">
        <f t="shared" si="377"/>
        <v>0</v>
      </c>
      <c r="CD197" s="14">
        <f t="shared" si="378"/>
        <v>0</v>
      </c>
      <c r="CE197" s="14">
        <f t="shared" si="379"/>
        <v>0</v>
      </c>
      <c r="CF197" s="14">
        <f t="shared" si="380"/>
        <v>0</v>
      </c>
      <c r="CG197" s="14">
        <f t="shared" si="381"/>
        <v>0</v>
      </c>
      <c r="CH197" s="14">
        <f t="shared" si="382"/>
        <v>0</v>
      </c>
      <c r="CI197" s="14">
        <f t="shared" si="383"/>
        <v>0</v>
      </c>
      <c r="CJ197" s="14"/>
      <c r="CK197" s="120" t="str">
        <f t="shared" si="384"/>
        <v>as UG Storage Plant (24)</v>
      </c>
      <c r="CL197" s="76">
        <f t="shared" si="312"/>
        <v>0</v>
      </c>
      <c r="CM197" s="2">
        <f t="shared" si="385"/>
        <v>0</v>
      </c>
      <c r="CN197" s="2">
        <f t="shared" si="385"/>
        <v>0</v>
      </c>
      <c r="CO197" s="2">
        <f t="shared" si="385"/>
        <v>0</v>
      </c>
      <c r="CP197" s="2">
        <f t="shared" si="385"/>
        <v>0</v>
      </c>
      <c r="CQ197" s="2">
        <f t="shared" si="385"/>
        <v>0</v>
      </c>
      <c r="CR197" s="2">
        <f t="shared" si="385"/>
        <v>0</v>
      </c>
    </row>
    <row r="198" spans="1:96">
      <c r="A198" s="50">
        <f t="shared" si="260"/>
        <v>198</v>
      </c>
      <c r="B198" t="s">
        <v>315</v>
      </c>
      <c r="C198" s="36" t="s">
        <v>395</v>
      </c>
      <c r="D198" s="28" t="s">
        <v>294</v>
      </c>
      <c r="E198" s="436">
        <f>PROFORMA!AV52</f>
        <v>0</v>
      </c>
      <c r="F198" s="60" t="str">
        <f t="shared" si="350"/>
        <v>as UG Storage Plant (24)</v>
      </c>
      <c r="G198" s="60"/>
      <c r="H198" s="2">
        <f t="shared" si="362"/>
        <v>0</v>
      </c>
      <c r="I198" s="2">
        <f t="shared" si="363"/>
        <v>0</v>
      </c>
      <c r="J198" s="2">
        <f t="shared" si="363"/>
        <v>0</v>
      </c>
      <c r="K198" s="2">
        <f t="shared" si="363"/>
        <v>0</v>
      </c>
      <c r="L198" s="2">
        <f t="shared" si="363"/>
        <v>0</v>
      </c>
      <c r="M198" s="2">
        <f t="shared" si="363"/>
        <v>0</v>
      </c>
      <c r="N198" s="2">
        <f t="shared" si="363"/>
        <v>0</v>
      </c>
      <c r="O198" s="2"/>
      <c r="P198" s="61" t="str">
        <f>E$1&amp;$A198&amp;"*     """</f>
        <v>E198*     "</v>
      </c>
      <c r="Q198" s="61"/>
      <c r="R198" s="14">
        <f t="shared" ref="R198:AE200" si="391">R$24</f>
        <v>0</v>
      </c>
      <c r="S198" s="14">
        <f t="shared" si="391"/>
        <v>0</v>
      </c>
      <c r="T198" s="14">
        <f t="shared" si="391"/>
        <v>0.13</v>
      </c>
      <c r="U198" s="14">
        <f t="shared" si="391"/>
        <v>0.87</v>
      </c>
      <c r="V198" s="14">
        <f t="shared" si="391"/>
        <v>0</v>
      </c>
      <c r="W198" s="14">
        <f t="shared" si="391"/>
        <v>0</v>
      </c>
      <c r="X198" s="14">
        <f t="shared" si="391"/>
        <v>0</v>
      </c>
      <c r="Y198" s="14">
        <f t="shared" si="391"/>
        <v>0</v>
      </c>
      <c r="Z198" s="14">
        <f t="shared" si="391"/>
        <v>0</v>
      </c>
      <c r="AA198" s="14">
        <f t="shared" si="391"/>
        <v>0</v>
      </c>
      <c r="AB198" s="14">
        <f t="shared" si="391"/>
        <v>0</v>
      </c>
      <c r="AC198" s="14">
        <f t="shared" si="391"/>
        <v>0</v>
      </c>
      <c r="AD198" s="14">
        <f t="shared" si="391"/>
        <v>0</v>
      </c>
      <c r="AE198" s="14">
        <f t="shared" si="391"/>
        <v>0</v>
      </c>
      <c r="AF198" s="14">
        <f t="shared" ref="AF198:AH200" si="392">AF$24</f>
        <v>0</v>
      </c>
      <c r="AG198" s="14">
        <f t="shared" si="392"/>
        <v>0</v>
      </c>
      <c r="AH198" s="14">
        <f t="shared" si="392"/>
        <v>0</v>
      </c>
      <c r="AI198" s="76">
        <f t="shared" si="303"/>
        <v>0</v>
      </c>
      <c r="AK198" s="2">
        <f t="shared" si="386"/>
        <v>0</v>
      </c>
      <c r="AL198" s="2">
        <f t="shared" si="364"/>
        <v>0</v>
      </c>
      <c r="AM198" s="2">
        <f t="shared" si="364"/>
        <v>0</v>
      </c>
      <c r="AN198" s="2">
        <f t="shared" si="364"/>
        <v>0</v>
      </c>
      <c r="AO198" s="2">
        <f t="shared" si="364"/>
        <v>0</v>
      </c>
      <c r="AP198" s="2"/>
      <c r="AQ198" s="61" t="str">
        <f t="shared" si="387"/>
        <v>E198*      "</v>
      </c>
      <c r="AS198" s="2">
        <f t="shared" si="388"/>
        <v>0</v>
      </c>
      <c r="AT198" s="2">
        <f t="shared" si="365"/>
        <v>0</v>
      </c>
      <c r="AU198" s="2">
        <f t="shared" si="365"/>
        <v>0</v>
      </c>
      <c r="AV198" s="2">
        <f t="shared" si="365"/>
        <v>0</v>
      </c>
      <c r="AW198" s="2">
        <f t="shared" si="365"/>
        <v>0</v>
      </c>
      <c r="AX198" s="2">
        <f t="shared" si="365"/>
        <v>0</v>
      </c>
      <c r="AY198" s="2">
        <f t="shared" si="365"/>
        <v>0</v>
      </c>
      <c r="BA198" s="2">
        <f t="shared" si="389"/>
        <v>0</v>
      </c>
      <c r="BB198" s="2">
        <f t="shared" si="366"/>
        <v>0</v>
      </c>
      <c r="BC198" s="2">
        <f t="shared" si="366"/>
        <v>0</v>
      </c>
      <c r="BD198" s="2">
        <f t="shared" si="366"/>
        <v>0</v>
      </c>
      <c r="BE198" s="2">
        <f t="shared" si="366"/>
        <v>0</v>
      </c>
      <c r="BF198" s="2">
        <f t="shared" si="366"/>
        <v>0</v>
      </c>
      <c r="BG198" s="2">
        <f t="shared" si="366"/>
        <v>0</v>
      </c>
      <c r="BI198" s="2">
        <f t="shared" si="367"/>
        <v>0</v>
      </c>
      <c r="BJ198" s="2">
        <f t="shared" si="368"/>
        <v>0</v>
      </c>
      <c r="BK198" s="2">
        <f t="shared" si="368"/>
        <v>0</v>
      </c>
      <c r="BL198" s="2">
        <f t="shared" si="368"/>
        <v>0</v>
      </c>
      <c r="BM198" s="2">
        <f t="shared" si="368"/>
        <v>0</v>
      </c>
      <c r="BN198" s="2">
        <f t="shared" si="368"/>
        <v>0</v>
      </c>
      <c r="BO198" s="2">
        <f t="shared" si="368"/>
        <v>0</v>
      </c>
      <c r="BQ198" s="28" t="s">
        <v>294</v>
      </c>
      <c r="BR198" s="23">
        <v>0</v>
      </c>
      <c r="BS198" s="14">
        <f t="shared" si="369"/>
        <v>0</v>
      </c>
      <c r="BT198" s="14">
        <f t="shared" si="369"/>
        <v>0</v>
      </c>
      <c r="BU198" s="14">
        <f t="shared" si="369"/>
        <v>0.13</v>
      </c>
      <c r="BV198" s="14">
        <f t="shared" si="370"/>
        <v>0.87</v>
      </c>
      <c r="BW198" s="14">
        <f t="shared" si="371"/>
        <v>0</v>
      </c>
      <c r="BX198" s="14">
        <f t="shared" si="372"/>
        <v>0</v>
      </c>
      <c r="BY198" s="14">
        <f t="shared" si="373"/>
        <v>0</v>
      </c>
      <c r="BZ198" s="14">
        <f t="shared" si="374"/>
        <v>0</v>
      </c>
      <c r="CA198" s="14">
        <f t="shared" si="375"/>
        <v>0</v>
      </c>
      <c r="CB198" s="14">
        <f t="shared" si="376"/>
        <v>0</v>
      </c>
      <c r="CC198" s="14">
        <f t="shared" si="377"/>
        <v>0</v>
      </c>
      <c r="CD198" s="14">
        <f t="shared" si="378"/>
        <v>0</v>
      </c>
      <c r="CE198" s="14">
        <f t="shared" si="379"/>
        <v>0</v>
      </c>
      <c r="CF198" s="14">
        <f t="shared" si="380"/>
        <v>0</v>
      </c>
      <c r="CG198" s="14">
        <f t="shared" si="381"/>
        <v>0</v>
      </c>
      <c r="CH198" s="14">
        <f t="shared" si="382"/>
        <v>0</v>
      </c>
      <c r="CI198" s="14">
        <f t="shared" si="383"/>
        <v>0</v>
      </c>
      <c r="CJ198" s="14"/>
      <c r="CK198" s="120" t="str">
        <f t="shared" si="384"/>
        <v>as UG Storage Plant (24)</v>
      </c>
      <c r="CL198" s="76">
        <f t="shared" si="312"/>
        <v>0</v>
      </c>
      <c r="CM198" s="2">
        <f t="shared" si="385"/>
        <v>0</v>
      </c>
      <c r="CN198" s="2">
        <f t="shared" si="385"/>
        <v>0</v>
      </c>
      <c r="CO198" s="2">
        <f t="shared" si="385"/>
        <v>0</v>
      </c>
      <c r="CP198" s="2">
        <f t="shared" si="385"/>
        <v>0</v>
      </c>
      <c r="CQ198" s="2">
        <f t="shared" si="385"/>
        <v>0</v>
      </c>
      <c r="CR198" s="2">
        <f t="shared" si="385"/>
        <v>0</v>
      </c>
    </row>
    <row r="199" spans="1:96">
      <c r="A199" s="50">
        <f t="shared" si="260"/>
        <v>199</v>
      </c>
      <c r="B199" t="s">
        <v>316</v>
      </c>
      <c r="C199" s="36" t="s">
        <v>395</v>
      </c>
      <c r="D199" s="28" t="s">
        <v>318</v>
      </c>
      <c r="E199" s="436">
        <f>PROFORMA!AV53</f>
        <v>0</v>
      </c>
      <c r="F199" s="60" t="str">
        <f t="shared" si="350"/>
        <v>as UG Storage Plant (24)</v>
      </c>
      <c r="G199" s="60"/>
      <c r="H199" s="2">
        <f t="shared" si="362"/>
        <v>0</v>
      </c>
      <c r="I199" s="2">
        <f t="shared" si="363"/>
        <v>0</v>
      </c>
      <c r="J199" s="2">
        <f t="shared" si="363"/>
        <v>0</v>
      </c>
      <c r="K199" s="2">
        <f t="shared" si="363"/>
        <v>0</v>
      </c>
      <c r="L199" s="2">
        <f t="shared" si="363"/>
        <v>0</v>
      </c>
      <c r="M199" s="2">
        <f t="shared" si="363"/>
        <v>0</v>
      </c>
      <c r="N199" s="2">
        <f t="shared" si="363"/>
        <v>0</v>
      </c>
      <c r="O199" s="2"/>
      <c r="P199" s="61" t="str">
        <f>E$1&amp;$A199&amp;"*     """</f>
        <v>E199*     "</v>
      </c>
      <c r="Q199" s="61"/>
      <c r="R199" s="14">
        <f t="shared" si="391"/>
        <v>0</v>
      </c>
      <c r="S199" s="14">
        <f t="shared" si="391"/>
        <v>0</v>
      </c>
      <c r="T199" s="14">
        <f t="shared" si="391"/>
        <v>0.13</v>
      </c>
      <c r="U199" s="14">
        <f t="shared" si="391"/>
        <v>0.87</v>
      </c>
      <c r="V199" s="14">
        <f t="shared" si="391"/>
        <v>0</v>
      </c>
      <c r="W199" s="14">
        <f t="shared" si="391"/>
        <v>0</v>
      </c>
      <c r="X199" s="14">
        <f t="shared" si="391"/>
        <v>0</v>
      </c>
      <c r="Y199" s="14">
        <f t="shared" si="391"/>
        <v>0</v>
      </c>
      <c r="Z199" s="14">
        <f t="shared" si="391"/>
        <v>0</v>
      </c>
      <c r="AA199" s="14">
        <f t="shared" si="391"/>
        <v>0</v>
      </c>
      <c r="AB199" s="14">
        <f t="shared" si="391"/>
        <v>0</v>
      </c>
      <c r="AC199" s="14">
        <f t="shared" si="391"/>
        <v>0</v>
      </c>
      <c r="AD199" s="14">
        <f t="shared" si="391"/>
        <v>0</v>
      </c>
      <c r="AE199" s="14">
        <f t="shared" si="391"/>
        <v>0</v>
      </c>
      <c r="AF199" s="14">
        <f t="shared" si="392"/>
        <v>0</v>
      </c>
      <c r="AG199" s="14">
        <f t="shared" si="392"/>
        <v>0</v>
      </c>
      <c r="AH199" s="14">
        <f t="shared" si="392"/>
        <v>0</v>
      </c>
      <c r="AI199" s="76">
        <f t="shared" si="303"/>
        <v>0</v>
      </c>
      <c r="AK199" s="2">
        <f t="shared" si="386"/>
        <v>0</v>
      </c>
      <c r="AL199" s="2">
        <f t="shared" si="364"/>
        <v>0</v>
      </c>
      <c r="AM199" s="2">
        <f t="shared" si="364"/>
        <v>0</v>
      </c>
      <c r="AN199" s="2">
        <f t="shared" si="364"/>
        <v>0</v>
      </c>
      <c r="AO199" s="2">
        <f t="shared" si="364"/>
        <v>0</v>
      </c>
      <c r="AP199" s="2"/>
      <c r="AQ199" s="61" t="str">
        <f t="shared" si="387"/>
        <v>E199*      "</v>
      </c>
      <c r="AS199" s="2">
        <f t="shared" si="388"/>
        <v>0</v>
      </c>
      <c r="AT199" s="2">
        <f t="shared" si="365"/>
        <v>0</v>
      </c>
      <c r="AU199" s="2">
        <f t="shared" si="365"/>
        <v>0</v>
      </c>
      <c r="AV199" s="2">
        <f t="shared" si="365"/>
        <v>0</v>
      </c>
      <c r="AW199" s="2">
        <f t="shared" si="365"/>
        <v>0</v>
      </c>
      <c r="AX199" s="2">
        <f t="shared" si="365"/>
        <v>0</v>
      </c>
      <c r="AY199" s="2">
        <f t="shared" si="365"/>
        <v>0</v>
      </c>
      <c r="BA199" s="2">
        <f t="shared" si="389"/>
        <v>0</v>
      </c>
      <c r="BB199" s="2">
        <f t="shared" si="366"/>
        <v>0</v>
      </c>
      <c r="BC199" s="2">
        <f t="shared" si="366"/>
        <v>0</v>
      </c>
      <c r="BD199" s="2">
        <f t="shared" si="366"/>
        <v>0</v>
      </c>
      <c r="BE199" s="2">
        <f t="shared" si="366"/>
        <v>0</v>
      </c>
      <c r="BF199" s="2">
        <f t="shared" si="366"/>
        <v>0</v>
      </c>
      <c r="BG199" s="2">
        <f t="shared" si="366"/>
        <v>0</v>
      </c>
      <c r="BI199" s="2">
        <f t="shared" si="367"/>
        <v>0</v>
      </c>
      <c r="BJ199" s="2">
        <f t="shared" si="368"/>
        <v>0</v>
      </c>
      <c r="BK199" s="2">
        <f t="shared" si="368"/>
        <v>0</v>
      </c>
      <c r="BL199" s="2">
        <f t="shared" si="368"/>
        <v>0</v>
      </c>
      <c r="BM199" s="2">
        <f t="shared" si="368"/>
        <v>0</v>
      </c>
      <c r="BN199" s="2">
        <f t="shared" si="368"/>
        <v>0</v>
      </c>
      <c r="BO199" s="2">
        <f t="shared" si="368"/>
        <v>0</v>
      </c>
      <c r="BQ199" s="28" t="s">
        <v>318</v>
      </c>
      <c r="BR199" s="23">
        <v>0</v>
      </c>
      <c r="BS199" s="14">
        <f t="shared" si="369"/>
        <v>0</v>
      </c>
      <c r="BT199" s="14">
        <f t="shared" si="369"/>
        <v>0</v>
      </c>
      <c r="BU199" s="14">
        <f t="shared" si="369"/>
        <v>0.13</v>
      </c>
      <c r="BV199" s="14">
        <f t="shared" si="370"/>
        <v>0.87</v>
      </c>
      <c r="BW199" s="14">
        <f t="shared" si="371"/>
        <v>0</v>
      </c>
      <c r="BX199" s="14">
        <f t="shared" si="372"/>
        <v>0</v>
      </c>
      <c r="BY199" s="14">
        <f t="shared" si="373"/>
        <v>0</v>
      </c>
      <c r="BZ199" s="14">
        <f t="shared" si="374"/>
        <v>0</v>
      </c>
      <c r="CA199" s="14">
        <f t="shared" si="375"/>
        <v>0</v>
      </c>
      <c r="CB199" s="14">
        <f t="shared" si="376"/>
        <v>0</v>
      </c>
      <c r="CC199" s="14">
        <f t="shared" si="377"/>
        <v>0</v>
      </c>
      <c r="CD199" s="14">
        <f t="shared" si="378"/>
        <v>0</v>
      </c>
      <c r="CE199" s="14">
        <f t="shared" si="379"/>
        <v>0</v>
      </c>
      <c r="CF199" s="14">
        <f t="shared" si="380"/>
        <v>0</v>
      </c>
      <c r="CG199" s="14">
        <f t="shared" si="381"/>
        <v>0</v>
      </c>
      <c r="CH199" s="14">
        <f t="shared" si="382"/>
        <v>0</v>
      </c>
      <c r="CI199" s="14">
        <f t="shared" si="383"/>
        <v>0</v>
      </c>
      <c r="CJ199" s="14"/>
      <c r="CK199" s="120" t="str">
        <f t="shared" si="384"/>
        <v>as UG Storage Plant (24)</v>
      </c>
      <c r="CL199" s="76">
        <f t="shared" si="312"/>
        <v>0</v>
      </c>
      <c r="CM199" s="2">
        <f t="shared" si="385"/>
        <v>0</v>
      </c>
      <c r="CN199" s="2">
        <f t="shared" si="385"/>
        <v>0</v>
      </c>
      <c r="CO199" s="2">
        <f t="shared" si="385"/>
        <v>0</v>
      </c>
      <c r="CP199" s="2">
        <f t="shared" si="385"/>
        <v>0</v>
      </c>
      <c r="CQ199" s="2">
        <f t="shared" si="385"/>
        <v>0</v>
      </c>
      <c r="CR199" s="2">
        <f t="shared" si="385"/>
        <v>0</v>
      </c>
    </row>
    <row r="200" spans="1:96">
      <c r="A200" s="50">
        <f t="shared" si="260"/>
        <v>200</v>
      </c>
      <c r="B200" t="s">
        <v>317</v>
      </c>
      <c r="C200" s="36" t="s">
        <v>395</v>
      </c>
      <c r="D200" s="28" t="s">
        <v>243</v>
      </c>
      <c r="E200" s="436">
        <f>PROFORMA!AV54</f>
        <v>1390000</v>
      </c>
      <c r="F200" s="60" t="str">
        <f t="shared" si="350"/>
        <v>as UG Storage Plant (24)</v>
      </c>
      <c r="G200" s="60"/>
      <c r="H200" s="2">
        <f t="shared" si="362"/>
        <v>1390000</v>
      </c>
      <c r="I200" s="2">
        <f t="shared" si="363"/>
        <v>1011788.5281089022</v>
      </c>
      <c r="J200" s="2">
        <f t="shared" si="363"/>
        <v>353604.33723276493</v>
      </c>
      <c r="K200" s="2">
        <f t="shared" si="363"/>
        <v>0</v>
      </c>
      <c r="L200" s="2">
        <f t="shared" si="363"/>
        <v>5122.1432994277093</v>
      </c>
      <c r="M200" s="2">
        <f t="shared" si="363"/>
        <v>19484.991358905176</v>
      </c>
      <c r="N200" s="2">
        <f t="shared" si="363"/>
        <v>0</v>
      </c>
      <c r="O200" s="2"/>
      <c r="P200" s="61" t="str">
        <f>E$1&amp;$A200&amp;"*     """</f>
        <v>E200*     "</v>
      </c>
      <c r="Q200" s="61"/>
      <c r="R200" s="14">
        <f t="shared" si="391"/>
        <v>0</v>
      </c>
      <c r="S200" s="14">
        <f t="shared" si="391"/>
        <v>0</v>
      </c>
      <c r="T200" s="14">
        <f t="shared" si="391"/>
        <v>0.13</v>
      </c>
      <c r="U200" s="14">
        <f t="shared" si="391"/>
        <v>0.87</v>
      </c>
      <c r="V200" s="14">
        <f t="shared" si="391"/>
        <v>0</v>
      </c>
      <c r="W200" s="14">
        <f t="shared" si="391"/>
        <v>0</v>
      </c>
      <c r="X200" s="14">
        <f t="shared" si="391"/>
        <v>0</v>
      </c>
      <c r="Y200" s="14">
        <f t="shared" si="391"/>
        <v>0</v>
      </c>
      <c r="Z200" s="14">
        <f t="shared" si="391"/>
        <v>0</v>
      </c>
      <c r="AA200" s="14">
        <f t="shared" si="391"/>
        <v>0</v>
      </c>
      <c r="AB200" s="14">
        <f t="shared" si="391"/>
        <v>0</v>
      </c>
      <c r="AC200" s="14">
        <f t="shared" si="391"/>
        <v>0</v>
      </c>
      <c r="AD200" s="14">
        <f t="shared" si="391"/>
        <v>0</v>
      </c>
      <c r="AE200" s="14">
        <f t="shared" si="391"/>
        <v>0</v>
      </c>
      <c r="AF200" s="14">
        <f t="shared" si="392"/>
        <v>0</v>
      </c>
      <c r="AG200" s="14">
        <f t="shared" si="392"/>
        <v>0</v>
      </c>
      <c r="AH200" s="14">
        <f t="shared" si="392"/>
        <v>0</v>
      </c>
      <c r="AI200" s="76">
        <f t="shared" si="303"/>
        <v>0</v>
      </c>
      <c r="AK200" s="2">
        <f t="shared" si="386"/>
        <v>1390000</v>
      </c>
      <c r="AL200" s="2">
        <f t="shared" si="364"/>
        <v>1390000</v>
      </c>
      <c r="AM200" s="2">
        <f t="shared" si="364"/>
        <v>0</v>
      </c>
      <c r="AN200" s="2">
        <f t="shared" si="364"/>
        <v>0</v>
      </c>
      <c r="AO200" s="2">
        <f t="shared" si="364"/>
        <v>0</v>
      </c>
      <c r="AP200" s="2"/>
      <c r="AQ200" s="61" t="str">
        <f t="shared" si="387"/>
        <v>E200*      "</v>
      </c>
      <c r="AS200" s="2">
        <f t="shared" si="388"/>
        <v>1390000</v>
      </c>
      <c r="AT200" s="2">
        <f t="shared" si="365"/>
        <v>1011788.5281089022</v>
      </c>
      <c r="AU200" s="2">
        <f t="shared" si="365"/>
        <v>353604.33723276493</v>
      </c>
      <c r="AV200" s="2">
        <f t="shared" si="365"/>
        <v>0</v>
      </c>
      <c r="AW200" s="2">
        <f t="shared" si="365"/>
        <v>5122.1432994277093</v>
      </c>
      <c r="AX200" s="2">
        <f t="shared" si="365"/>
        <v>19484.991358905176</v>
      </c>
      <c r="AY200" s="2">
        <f t="shared" si="365"/>
        <v>0</v>
      </c>
      <c r="BA200" s="2">
        <f t="shared" si="389"/>
        <v>0</v>
      </c>
      <c r="BB200" s="2">
        <f t="shared" si="366"/>
        <v>0</v>
      </c>
      <c r="BC200" s="2">
        <f t="shared" si="366"/>
        <v>0</v>
      </c>
      <c r="BD200" s="2">
        <f t="shared" si="366"/>
        <v>0</v>
      </c>
      <c r="BE200" s="2">
        <f t="shared" si="366"/>
        <v>0</v>
      </c>
      <c r="BF200" s="2">
        <f t="shared" si="366"/>
        <v>0</v>
      </c>
      <c r="BG200" s="2">
        <f t="shared" si="366"/>
        <v>0</v>
      </c>
      <c r="BI200" s="2">
        <f t="shared" si="367"/>
        <v>0</v>
      </c>
      <c r="BJ200" s="2">
        <f t="shared" si="368"/>
        <v>0</v>
      </c>
      <c r="BK200" s="2">
        <f t="shared" si="368"/>
        <v>0</v>
      </c>
      <c r="BL200" s="2">
        <f t="shared" si="368"/>
        <v>0</v>
      </c>
      <c r="BM200" s="2">
        <f t="shared" si="368"/>
        <v>0</v>
      </c>
      <c r="BN200" s="2">
        <f t="shared" si="368"/>
        <v>0</v>
      </c>
      <c r="BO200" s="2">
        <f t="shared" si="368"/>
        <v>0</v>
      </c>
      <c r="BQ200" s="28" t="s">
        <v>243</v>
      </c>
      <c r="BR200" s="23">
        <v>0</v>
      </c>
      <c r="BS200" s="14">
        <f t="shared" si="369"/>
        <v>0</v>
      </c>
      <c r="BT200" s="14">
        <f t="shared" si="369"/>
        <v>0</v>
      </c>
      <c r="BU200" s="14">
        <f t="shared" si="369"/>
        <v>0.13</v>
      </c>
      <c r="BV200" s="14">
        <f t="shared" si="370"/>
        <v>0.87</v>
      </c>
      <c r="BW200" s="14">
        <f t="shared" si="371"/>
        <v>0</v>
      </c>
      <c r="BX200" s="14">
        <f t="shared" si="372"/>
        <v>0</v>
      </c>
      <c r="BY200" s="14">
        <f t="shared" si="373"/>
        <v>0</v>
      </c>
      <c r="BZ200" s="14">
        <f t="shared" si="374"/>
        <v>0</v>
      </c>
      <c r="CA200" s="14">
        <f t="shared" si="375"/>
        <v>0</v>
      </c>
      <c r="CB200" s="14">
        <f t="shared" si="376"/>
        <v>0</v>
      </c>
      <c r="CC200" s="14">
        <f t="shared" si="377"/>
        <v>0</v>
      </c>
      <c r="CD200" s="14">
        <f t="shared" si="378"/>
        <v>0</v>
      </c>
      <c r="CE200" s="14">
        <f t="shared" si="379"/>
        <v>0</v>
      </c>
      <c r="CF200" s="14">
        <f t="shared" si="380"/>
        <v>0</v>
      </c>
      <c r="CG200" s="14">
        <f t="shared" si="381"/>
        <v>0</v>
      </c>
      <c r="CH200" s="14">
        <f t="shared" si="382"/>
        <v>0</v>
      </c>
      <c r="CI200" s="14">
        <f t="shared" si="383"/>
        <v>0</v>
      </c>
      <c r="CJ200" s="14"/>
      <c r="CK200" s="120" t="str">
        <f t="shared" si="384"/>
        <v>as UG Storage Plant (24)</v>
      </c>
      <c r="CL200" s="76">
        <f t="shared" si="312"/>
        <v>0</v>
      </c>
      <c r="CM200" s="2">
        <f t="shared" si="385"/>
        <v>0</v>
      </c>
      <c r="CN200" s="2">
        <f t="shared" si="385"/>
        <v>0</v>
      </c>
      <c r="CO200" s="2">
        <f t="shared" si="385"/>
        <v>0</v>
      </c>
      <c r="CP200" s="2">
        <f t="shared" si="385"/>
        <v>0</v>
      </c>
      <c r="CQ200" s="2">
        <f t="shared" si="385"/>
        <v>0</v>
      </c>
      <c r="CR200" s="2">
        <f t="shared" si="385"/>
        <v>0</v>
      </c>
    </row>
    <row r="201" spans="1:96">
      <c r="A201" s="50">
        <f t="shared" si="260"/>
        <v>201</v>
      </c>
      <c r="D201" s="52" t="s">
        <v>319</v>
      </c>
      <c r="E201" s="3">
        <f>SUM(E193:E200)</f>
        <v>1390000</v>
      </c>
      <c r="F201" s="62"/>
      <c r="G201" s="62"/>
      <c r="H201" s="3">
        <f>IF(ROUND(SUM(H193:H200),3)&lt;&gt;ROUND(SUM(I201:N201),3),#VALUE!,SUM(H193:H200))</f>
        <v>1390000</v>
      </c>
      <c r="I201" s="3">
        <f t="shared" ref="I201:N201" si="393">SUM(I193:I200)</f>
        <v>1011788.5281089022</v>
      </c>
      <c r="J201" s="3">
        <f t="shared" si="393"/>
        <v>353604.33723276493</v>
      </c>
      <c r="K201" s="3">
        <f t="shared" si="393"/>
        <v>0</v>
      </c>
      <c r="L201" s="3">
        <f t="shared" si="393"/>
        <v>5122.1432994277093</v>
      </c>
      <c r="M201" s="3">
        <f t="shared" si="393"/>
        <v>19484.991358905176</v>
      </c>
      <c r="N201" s="3">
        <f t="shared" si="393"/>
        <v>0</v>
      </c>
      <c r="O201" s="5"/>
      <c r="P201" s="61" t="str">
        <f>$A193&amp;":"&amp;$A200</f>
        <v>193:200</v>
      </c>
      <c r="Q201" s="61"/>
      <c r="R201" s="22">
        <f t="shared" ref="R201:AH201" si="394">SUMPRODUCT($E$193:$E$200,R$193:R$200)/$E201</f>
        <v>0</v>
      </c>
      <c r="S201" s="22">
        <f t="shared" si="394"/>
        <v>0</v>
      </c>
      <c r="T201" s="22">
        <f t="shared" si="394"/>
        <v>0.13</v>
      </c>
      <c r="U201" s="22">
        <f t="shared" si="394"/>
        <v>0.87</v>
      </c>
      <c r="V201" s="22">
        <f t="shared" si="394"/>
        <v>0</v>
      </c>
      <c r="W201" s="22">
        <f t="shared" si="394"/>
        <v>0</v>
      </c>
      <c r="X201" s="22">
        <f t="shared" si="394"/>
        <v>0</v>
      </c>
      <c r="Y201" s="22">
        <f t="shared" si="394"/>
        <v>0</v>
      </c>
      <c r="Z201" s="22">
        <f t="shared" si="394"/>
        <v>0</v>
      </c>
      <c r="AA201" s="22">
        <f t="shared" si="394"/>
        <v>0</v>
      </c>
      <c r="AB201" s="22">
        <f t="shared" si="394"/>
        <v>0</v>
      </c>
      <c r="AC201" s="22">
        <f t="shared" si="394"/>
        <v>0</v>
      </c>
      <c r="AD201" s="22">
        <f t="shared" si="394"/>
        <v>0</v>
      </c>
      <c r="AE201" s="22">
        <f t="shared" si="394"/>
        <v>0</v>
      </c>
      <c r="AF201" s="22">
        <f t="shared" si="394"/>
        <v>0</v>
      </c>
      <c r="AG201" s="22">
        <f t="shared" si="394"/>
        <v>0</v>
      </c>
      <c r="AH201" s="22">
        <f t="shared" si="394"/>
        <v>0</v>
      </c>
      <c r="AI201" s="76">
        <f t="shared" si="303"/>
        <v>0</v>
      </c>
      <c r="AK201" s="3">
        <f>IF(ROUND(SUM(AK193:AK200),3)&lt;&gt;ROUND(SUM(AL201:AO201),3),#VALUE!,SUM(AK193:AK200))</f>
        <v>1390000</v>
      </c>
      <c r="AL201" s="3">
        <f>SUM(AL193:AL200)</f>
        <v>1390000</v>
      </c>
      <c r="AM201" s="3">
        <f>SUM(AM193:AM200)</f>
        <v>0</v>
      </c>
      <c r="AN201" s="3">
        <f>SUM(AN193:AN200)</f>
        <v>0</v>
      </c>
      <c r="AO201" s="3">
        <f>SUM(AO193:AO200)</f>
        <v>0</v>
      </c>
      <c r="AP201" s="5"/>
      <c r="AQ201" s="61" t="str">
        <f>$A193&amp;":"&amp;$A200</f>
        <v>193:200</v>
      </c>
      <c r="AS201" s="3">
        <f>IF(ROUND(SUM(AS193:AS200),3)&lt;&gt;ROUND(SUM(AT201:AY201),3),#VALUE!,SUM(AS193:AS200))</f>
        <v>1390000</v>
      </c>
      <c r="AT201" s="3">
        <f t="shared" ref="AT201:AY201" si="395">SUM(AT193:AT200)</f>
        <v>1011788.5281089022</v>
      </c>
      <c r="AU201" s="3">
        <f t="shared" si="395"/>
        <v>353604.33723276493</v>
      </c>
      <c r="AV201" s="3">
        <f t="shared" si="395"/>
        <v>0</v>
      </c>
      <c r="AW201" s="3">
        <f t="shared" si="395"/>
        <v>5122.1432994277093</v>
      </c>
      <c r="AX201" s="3">
        <f t="shared" si="395"/>
        <v>19484.991358905176</v>
      </c>
      <c r="AY201" s="3">
        <f t="shared" si="395"/>
        <v>0</v>
      </c>
      <c r="BA201" s="3">
        <f>IF(ROUND(SUM(BA193:BA200),3)&lt;&gt;ROUND(SUM(BB201:BG201),3),#VALUE!,SUM(BA193:BA200))</f>
        <v>0</v>
      </c>
      <c r="BB201" s="3">
        <f t="shared" ref="BB201:BG201" si="396">SUM(BB193:BB200)</f>
        <v>0</v>
      </c>
      <c r="BC201" s="3">
        <f t="shared" si="396"/>
        <v>0</v>
      </c>
      <c r="BD201" s="3">
        <f t="shared" si="396"/>
        <v>0</v>
      </c>
      <c r="BE201" s="3">
        <f t="shared" si="396"/>
        <v>0</v>
      </c>
      <c r="BF201" s="3">
        <f t="shared" si="396"/>
        <v>0</v>
      </c>
      <c r="BG201" s="3">
        <f t="shared" si="396"/>
        <v>0</v>
      </c>
      <c r="BI201" s="3">
        <f>IF(ROUND(SUM(BI193:BI200),3)&lt;&gt;ROUND(SUM(BJ201:BO201),3),#VALUE!,SUM(BI193:BI200))</f>
        <v>0</v>
      </c>
      <c r="BJ201" s="3">
        <f t="shared" ref="BJ201:BO201" si="397">SUM(BJ193:BJ200)</f>
        <v>0</v>
      </c>
      <c r="BK201" s="3">
        <f t="shared" si="397"/>
        <v>0</v>
      </c>
      <c r="BL201" s="3">
        <f t="shared" si="397"/>
        <v>0</v>
      </c>
      <c r="BM201" s="3">
        <f t="shared" si="397"/>
        <v>0</v>
      </c>
      <c r="BN201" s="3">
        <f t="shared" si="397"/>
        <v>0</v>
      </c>
      <c r="BO201" s="3">
        <f t="shared" si="397"/>
        <v>0</v>
      </c>
      <c r="BQ201" s="52" t="s">
        <v>319</v>
      </c>
      <c r="BR201" s="577">
        <f>IF(ROUND(SUM(BR193:BR200),3)&lt;&gt;ROUND(SUM(CM201:CR201),3),#VALUE!,SUM(BR193:BR200))</f>
        <v>0</v>
      </c>
      <c r="BS201" s="22">
        <f>IF(SUM($BR$193:$BR$200)=0,0,SUMPRODUCT($BR$193:$BR$200,BS$193:BS$200)/$BR$201)</f>
        <v>0</v>
      </c>
      <c r="BT201" s="22">
        <f t="shared" ref="BT201:CI201" si="398">IF(SUM($BR$193:$BR$200)=0,0,SUMPRODUCT($BR$193:$BR$200,BT$193:BT$200)/$BR$201)</f>
        <v>0</v>
      </c>
      <c r="BU201" s="22">
        <f t="shared" si="398"/>
        <v>0</v>
      </c>
      <c r="BV201" s="22">
        <f t="shared" si="398"/>
        <v>0</v>
      </c>
      <c r="BW201" s="22">
        <f t="shared" si="398"/>
        <v>0</v>
      </c>
      <c r="BX201" s="22">
        <f t="shared" si="398"/>
        <v>0</v>
      </c>
      <c r="BY201" s="22">
        <f t="shared" si="398"/>
        <v>0</v>
      </c>
      <c r="BZ201" s="22">
        <f t="shared" si="398"/>
        <v>0</v>
      </c>
      <c r="CA201" s="22">
        <f t="shared" si="398"/>
        <v>0</v>
      </c>
      <c r="CB201" s="22">
        <f t="shared" si="398"/>
        <v>0</v>
      </c>
      <c r="CC201" s="22">
        <f t="shared" si="398"/>
        <v>0</v>
      </c>
      <c r="CD201" s="22">
        <f t="shared" si="398"/>
        <v>0</v>
      </c>
      <c r="CE201" s="22">
        <f t="shared" si="398"/>
        <v>0</v>
      </c>
      <c r="CF201" s="22">
        <f t="shared" si="398"/>
        <v>0</v>
      </c>
      <c r="CG201" s="22">
        <f t="shared" si="398"/>
        <v>0</v>
      </c>
      <c r="CH201" s="22">
        <f t="shared" si="398"/>
        <v>0</v>
      </c>
      <c r="CI201" s="22">
        <f t="shared" si="398"/>
        <v>0</v>
      </c>
      <c r="CJ201" s="42"/>
      <c r="CK201" s="42"/>
      <c r="CL201" s="76">
        <f t="shared" si="312"/>
        <v>0</v>
      </c>
      <c r="CM201" s="3">
        <f t="shared" ref="CM201:CR201" si="399">SUM(CM193:CM200)</f>
        <v>0</v>
      </c>
      <c r="CN201" s="3">
        <f t="shared" si="399"/>
        <v>0</v>
      </c>
      <c r="CO201" s="3">
        <f t="shared" si="399"/>
        <v>0</v>
      </c>
      <c r="CP201" s="3">
        <f t="shared" si="399"/>
        <v>0</v>
      </c>
      <c r="CQ201" s="3">
        <f t="shared" si="399"/>
        <v>0</v>
      </c>
      <c r="CR201" s="3">
        <f t="shared" si="399"/>
        <v>0</v>
      </c>
    </row>
    <row r="202" spans="1:96">
      <c r="A202" s="50">
        <f t="shared" ref="A202:A266" si="400">RowHdr</f>
        <v>202</v>
      </c>
      <c r="D202" s="53" t="s">
        <v>320</v>
      </c>
      <c r="E202" s="2">
        <f>E192+E201</f>
        <v>1883000</v>
      </c>
      <c r="F202" s="60"/>
      <c r="G202" s="60"/>
      <c r="H202" s="2">
        <f t="shared" ref="H202:N202" si="401">H192+H201</f>
        <v>1883000</v>
      </c>
      <c r="I202" s="2">
        <f t="shared" si="401"/>
        <v>1370645.8981504049</v>
      </c>
      <c r="J202" s="2">
        <f t="shared" si="401"/>
        <v>479019.40072611248</v>
      </c>
      <c r="K202" s="2">
        <f t="shared" si="401"/>
        <v>0</v>
      </c>
      <c r="L202" s="2">
        <f t="shared" si="401"/>
        <v>6938.8459228937963</v>
      </c>
      <c r="M202" s="2">
        <f t="shared" si="401"/>
        <v>26395.855200588809</v>
      </c>
      <c r="N202" s="2">
        <f t="shared" si="401"/>
        <v>0</v>
      </c>
      <c r="O202" s="2"/>
      <c r="P202" s="61" t="str">
        <f>$A192&amp;"+"&amp;$A201</f>
        <v>192+201</v>
      </c>
      <c r="Q202" s="61"/>
      <c r="R202" s="14">
        <f t="shared" ref="R202:AH202" si="402">($E$192*R$192+$E$201*R$201)/SUM($E192,$E201)</f>
        <v>0</v>
      </c>
      <c r="S202" s="14">
        <f t="shared" si="402"/>
        <v>0</v>
      </c>
      <c r="T202" s="14">
        <f t="shared" si="402"/>
        <v>0.13</v>
      </c>
      <c r="U202" s="14">
        <f>($E$192*U$192+$E$201*U$201)/SUM($E192,$E201)</f>
        <v>0.87</v>
      </c>
      <c r="V202" s="14">
        <f>($E$192*V$192+$E$201*V$201)/SUM($E192,$E201)</f>
        <v>0</v>
      </c>
      <c r="W202" s="14">
        <f t="shared" si="402"/>
        <v>0</v>
      </c>
      <c r="X202" s="14">
        <f t="shared" si="402"/>
        <v>0</v>
      </c>
      <c r="Y202" s="14">
        <f>($E$192*Y$192+$E$201*Y$201)/SUM($E192,$E201)</f>
        <v>0</v>
      </c>
      <c r="Z202" s="14">
        <f t="shared" si="402"/>
        <v>0</v>
      </c>
      <c r="AA202" s="14">
        <f t="shared" si="402"/>
        <v>0</v>
      </c>
      <c r="AB202" s="14">
        <f t="shared" si="402"/>
        <v>0</v>
      </c>
      <c r="AC202" s="14">
        <f t="shared" si="402"/>
        <v>0</v>
      </c>
      <c r="AD202" s="14">
        <f t="shared" si="402"/>
        <v>0</v>
      </c>
      <c r="AE202" s="14">
        <f t="shared" si="402"/>
        <v>0</v>
      </c>
      <c r="AF202" s="14">
        <f t="shared" si="402"/>
        <v>0</v>
      </c>
      <c r="AG202" s="14">
        <f>($E$192*AG$192+$E$201*AG$201)/SUM($E192,$E201)</f>
        <v>0</v>
      </c>
      <c r="AH202" s="14">
        <f t="shared" si="402"/>
        <v>0</v>
      </c>
      <c r="AI202" s="76">
        <f t="shared" si="303"/>
        <v>0</v>
      </c>
      <c r="AK202" s="2">
        <f>AK192+AK201</f>
        <v>1883000</v>
      </c>
      <c r="AL202" s="2">
        <f>AL192+AL201</f>
        <v>1883000</v>
      </c>
      <c r="AM202" s="2">
        <f>AM192+AM201</f>
        <v>0</v>
      </c>
      <c r="AN202" s="2">
        <f>AN192+AN201</f>
        <v>0</v>
      </c>
      <c r="AO202" s="2">
        <f>AO192+AO201</f>
        <v>0</v>
      </c>
      <c r="AP202" s="2"/>
      <c r="AQ202" s="61" t="str">
        <f>$A192&amp;"+"&amp;$A201</f>
        <v>192+201</v>
      </c>
      <c r="AS202" s="2">
        <f t="shared" ref="AS202:AY202" si="403">AS192+AS201</f>
        <v>1883000</v>
      </c>
      <c r="AT202" s="2">
        <f t="shared" si="403"/>
        <v>1370645.8981504049</v>
      </c>
      <c r="AU202" s="2">
        <f t="shared" si="403"/>
        <v>479019.40072611248</v>
      </c>
      <c r="AV202" s="2">
        <f t="shared" si="403"/>
        <v>0</v>
      </c>
      <c r="AW202" s="2">
        <f t="shared" si="403"/>
        <v>6938.8459228937963</v>
      </c>
      <c r="AX202" s="2">
        <f t="shared" si="403"/>
        <v>26395.855200588809</v>
      </c>
      <c r="AY202" s="2">
        <f t="shared" si="403"/>
        <v>0</v>
      </c>
      <c r="BA202" s="2">
        <f t="shared" ref="BA202:BG202" si="404">BA192+BA201</f>
        <v>0</v>
      </c>
      <c r="BB202" s="2">
        <f t="shared" si="404"/>
        <v>0</v>
      </c>
      <c r="BC202" s="2">
        <f t="shared" si="404"/>
        <v>0</v>
      </c>
      <c r="BD202" s="2">
        <f t="shared" si="404"/>
        <v>0</v>
      </c>
      <c r="BE202" s="2">
        <f t="shared" si="404"/>
        <v>0</v>
      </c>
      <c r="BF202" s="2">
        <f t="shared" si="404"/>
        <v>0</v>
      </c>
      <c r="BG202" s="2">
        <f t="shared" si="404"/>
        <v>0</v>
      </c>
      <c r="BI202" s="2">
        <f t="shared" ref="BI202:BO202" si="405">BI192+BI201</f>
        <v>0</v>
      </c>
      <c r="BJ202" s="2">
        <f t="shared" si="405"/>
        <v>0</v>
      </c>
      <c r="BK202" s="2">
        <f t="shared" si="405"/>
        <v>0</v>
      </c>
      <c r="BL202" s="2">
        <f t="shared" si="405"/>
        <v>0</v>
      </c>
      <c r="BM202" s="2">
        <f t="shared" si="405"/>
        <v>0</v>
      </c>
      <c r="BN202" s="2">
        <f t="shared" si="405"/>
        <v>0</v>
      </c>
      <c r="BO202" s="2">
        <f t="shared" si="405"/>
        <v>0</v>
      </c>
      <c r="BQ202" s="53" t="s">
        <v>320</v>
      </c>
      <c r="BR202" s="21">
        <f>BR192+BR201</f>
        <v>8543</v>
      </c>
      <c r="BS202" s="14">
        <f>($BR$192*BS$192+$BR$201*BS$201)/($BR$192+$BR$201)</f>
        <v>0</v>
      </c>
      <c r="BT202" s="14">
        <f t="shared" ref="BT202:CI202" si="406">($BR$192*BT$192+$BR$201*BT$201)/($BR$192+$BR$201)</f>
        <v>0</v>
      </c>
      <c r="BU202" s="14">
        <f t="shared" si="406"/>
        <v>0.13</v>
      </c>
      <c r="BV202" s="14">
        <f t="shared" si="406"/>
        <v>0.87</v>
      </c>
      <c r="BW202" s="14">
        <f t="shared" si="406"/>
        <v>0</v>
      </c>
      <c r="BX202" s="14">
        <f t="shared" si="406"/>
        <v>0</v>
      </c>
      <c r="BY202" s="14">
        <f t="shared" si="406"/>
        <v>0</v>
      </c>
      <c r="BZ202" s="14">
        <f t="shared" si="406"/>
        <v>0</v>
      </c>
      <c r="CA202" s="14">
        <f t="shared" si="406"/>
        <v>0</v>
      </c>
      <c r="CB202" s="14">
        <f t="shared" si="406"/>
        <v>0</v>
      </c>
      <c r="CC202" s="14">
        <f t="shared" si="406"/>
        <v>0</v>
      </c>
      <c r="CD202" s="14">
        <f t="shared" si="406"/>
        <v>0</v>
      </c>
      <c r="CE202" s="14">
        <f t="shared" si="406"/>
        <v>0</v>
      </c>
      <c r="CF202" s="14">
        <f t="shared" si="406"/>
        <v>0</v>
      </c>
      <c r="CG202" s="14">
        <f t="shared" si="406"/>
        <v>0</v>
      </c>
      <c r="CH202" s="14">
        <f t="shared" si="406"/>
        <v>0</v>
      </c>
      <c r="CI202" s="14">
        <f t="shared" si="406"/>
        <v>0</v>
      </c>
      <c r="CJ202" s="14"/>
      <c r="CK202" s="14"/>
      <c r="CL202" s="76">
        <f t="shared" si="312"/>
        <v>0</v>
      </c>
      <c r="CM202" s="2">
        <f t="shared" ref="CM202:CR202" si="407">CM192+CM201</f>
        <v>6218.4959680822676</v>
      </c>
      <c r="CN202" s="2">
        <f t="shared" si="407"/>
        <v>2173.2675201291445</v>
      </c>
      <c r="CO202" s="2">
        <f t="shared" si="407"/>
        <v>0</v>
      </c>
      <c r="CP202" s="2">
        <f t="shared" si="407"/>
        <v>31.480913817993468</v>
      </c>
      <c r="CQ202" s="2">
        <f t="shared" si="407"/>
        <v>119.75559797059489</v>
      </c>
      <c r="CR202" s="2">
        <f t="shared" si="407"/>
        <v>0</v>
      </c>
    </row>
    <row r="203" spans="1:96">
      <c r="A203" s="50">
        <f t="shared" si="400"/>
        <v>203</v>
      </c>
      <c r="D203" s="10"/>
      <c r="E203" s="2"/>
      <c r="F203" s="60"/>
      <c r="G203" s="60"/>
      <c r="P203" s="61"/>
      <c r="Q203" s="61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76">
        <f t="shared" si="303"/>
        <v>0</v>
      </c>
      <c r="AQ203" s="61"/>
      <c r="BQ203" s="10"/>
      <c r="BR203" s="49"/>
      <c r="CL203" s="76">
        <f t="shared" si="312"/>
        <v>0</v>
      </c>
    </row>
    <row r="204" spans="1:96">
      <c r="A204" s="50">
        <f t="shared" si="400"/>
        <v>204</v>
      </c>
      <c r="D204" t="s">
        <v>6</v>
      </c>
      <c r="E204" s="2"/>
      <c r="F204" s="60"/>
      <c r="G204" s="60"/>
      <c r="P204" s="61"/>
      <c r="Q204" s="61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76">
        <f t="shared" si="303"/>
        <v>0</v>
      </c>
      <c r="AQ204" s="61"/>
      <c r="BQ204" t="s">
        <v>6</v>
      </c>
      <c r="BR204" s="49"/>
      <c r="CL204" s="76">
        <f t="shared" si="312"/>
        <v>0</v>
      </c>
    </row>
    <row r="205" spans="1:96">
      <c r="A205" s="50">
        <f t="shared" si="400"/>
        <v>205</v>
      </c>
      <c r="B205" t="s">
        <v>321</v>
      </c>
      <c r="C205" s="36" t="s">
        <v>155</v>
      </c>
      <c r="D205" s="28" t="s">
        <v>1</v>
      </c>
      <c r="E205" s="436">
        <f>PROFORMA!AV70</f>
        <v>1797000</v>
      </c>
      <c r="F205" s="60" t="str">
        <f>"as Distrib Plant ("&amp;A$41&amp;")"</f>
        <v>as Distrib Plant (41)</v>
      </c>
      <c r="G205" s="60" t="s">
        <v>436</v>
      </c>
      <c r="H205" s="2">
        <f t="shared" ref="H205:H214" si="408">SUM(I205:N205)</f>
        <v>1796999.9999999998</v>
      </c>
      <c r="I205" s="2">
        <f t="shared" ref="I205:N214" si="409">$E205*SUMPRODUCT($R205:$AH205,INDEX(AllocFactors,I$4,0))</f>
        <v>1424023.0332231298</v>
      </c>
      <c r="J205" s="2">
        <f t="shared" si="409"/>
        <v>263735.55251537001</v>
      </c>
      <c r="K205" s="2">
        <f t="shared" si="409"/>
        <v>0</v>
      </c>
      <c r="L205" s="2">
        <f t="shared" si="409"/>
        <v>3480.3956318765586</v>
      </c>
      <c r="M205" s="2">
        <f t="shared" si="409"/>
        <v>105761.01862962332</v>
      </c>
      <c r="N205" s="2">
        <f t="shared" si="409"/>
        <v>0</v>
      </c>
      <c r="O205" s="2"/>
      <c r="P205" s="61" t="str">
        <f>E$1&amp;$A205&amp;"* Sum["&amp;$R$1&amp;$A205&amp;":"&amp;$AH$1&amp;$A205&amp;"* "&amp;Factors!D$1&amp;Factors!$A$58&amp;":"&amp;Factors!S$1&amp;Factors!$A$64&amp;"]"</f>
        <v>E205* Sum[R205:AH205* D1040:S1046]</v>
      </c>
      <c r="Q205" s="61"/>
      <c r="R205" s="14">
        <f>R$41</f>
        <v>0.18032917602090978</v>
      </c>
      <c r="S205" s="14">
        <f>S$41</f>
        <v>0</v>
      </c>
      <c r="T205" s="14">
        <f t="shared" ref="T205:AH205" si="410">T$41</f>
        <v>0</v>
      </c>
      <c r="U205" s="14">
        <f t="shared" si="410"/>
        <v>0</v>
      </c>
      <c r="V205" s="14">
        <f t="shared" si="410"/>
        <v>0</v>
      </c>
      <c r="W205" s="14">
        <f t="shared" si="410"/>
        <v>0.33248662332325996</v>
      </c>
      <c r="X205" s="14">
        <f t="shared" si="410"/>
        <v>0</v>
      </c>
      <c r="Y205" s="14">
        <f t="shared" si="410"/>
        <v>0</v>
      </c>
      <c r="Z205" s="14">
        <f>Z$41</f>
        <v>0</v>
      </c>
      <c r="AA205" s="14">
        <f t="shared" si="410"/>
        <v>0</v>
      </c>
      <c r="AB205" s="14">
        <f>AB$41</f>
        <v>0</v>
      </c>
      <c r="AC205" s="14">
        <f t="shared" si="410"/>
        <v>0.34784812665025233</v>
      </c>
      <c r="AD205" s="14">
        <f t="shared" si="410"/>
        <v>0.13399956178953271</v>
      </c>
      <c r="AE205" s="14">
        <f>AE$41</f>
        <v>0</v>
      </c>
      <c r="AF205" s="14">
        <f t="shared" si="410"/>
        <v>5.3365122160451877E-3</v>
      </c>
      <c r="AG205" s="14">
        <f t="shared" si="410"/>
        <v>0</v>
      </c>
      <c r="AH205" s="14">
        <f t="shared" si="410"/>
        <v>0</v>
      </c>
      <c r="AI205" s="76">
        <f t="shared" si="303"/>
        <v>0</v>
      </c>
      <c r="AK205" s="2">
        <f t="shared" ref="AK205:AK214" si="411">SUM(AL205:AO205)</f>
        <v>1797000</v>
      </c>
      <c r="AL205" s="2">
        <f t="shared" ref="AL205:AO214" si="412">SUMIF($R$4:$AH$4,AL$5,$R205:$AH205)*$E205</f>
        <v>324051.52930957486</v>
      </c>
      <c r="AM205" s="2">
        <f t="shared" si="412"/>
        <v>597478.46211189812</v>
      </c>
      <c r="AN205" s="2">
        <f t="shared" si="412"/>
        <v>875470.0085785269</v>
      </c>
      <c r="AO205" s="2">
        <f t="shared" si="412"/>
        <v>0</v>
      </c>
      <c r="AP205" s="2"/>
      <c r="AQ205" s="61" t="str">
        <f>E$1&amp;$A205&amp;"*["&amp;R$1&amp;$A205&amp;":"&amp;$AH$1&amp;$A205&amp;" when "&amp;R$1&amp;$A$4&amp;":"&amp;$AH$1&amp;$A$4&amp;" = E,D,C,or R]"</f>
        <v>E205*[R205:AH205 when R4:AH4 = E,D,C,or R]</v>
      </c>
      <c r="AS205" s="2">
        <f t="shared" ref="AS205:AS214" si="413">SUM(AT205:AY205)</f>
        <v>324051.52930957492</v>
      </c>
      <c r="AT205" s="2">
        <f t="shared" ref="AT205:AY214" si="414">$E205*SUMPRODUCT($R205:$V205,INDEX(AllocFactors_E,AT$4,0))</f>
        <v>187802.88446562478</v>
      </c>
      <c r="AU205" s="2">
        <f t="shared" si="414"/>
        <v>84147.592517109864</v>
      </c>
      <c r="AV205" s="2">
        <f t="shared" si="414"/>
        <v>0</v>
      </c>
      <c r="AW205" s="2">
        <f t="shared" si="414"/>
        <v>1355.9257476132273</v>
      </c>
      <c r="AX205" s="2">
        <f t="shared" si="414"/>
        <v>50745.126579227042</v>
      </c>
      <c r="AY205" s="2">
        <f t="shared" si="414"/>
        <v>0</v>
      </c>
      <c r="BA205" s="2">
        <f t="shared" ref="BA205:BA214" si="415">SUM(BB205:BG205)</f>
        <v>597478.46211189812</v>
      </c>
      <c r="BB205" s="2">
        <f t="shared" ref="BB205:BG214" si="416">$E205*SUMPRODUCT($W205:$AA205,INDEX(AllocFactors_D,BB$4,0))</f>
        <v>407963.20872801763</v>
      </c>
      <c r="BC205" s="2">
        <f t="shared" si="416"/>
        <v>138085.2646681593</v>
      </c>
      <c r="BD205" s="2">
        <f t="shared" si="416"/>
        <v>0</v>
      </c>
      <c r="BE205" s="2">
        <f t="shared" si="416"/>
        <v>1734.7352201342082</v>
      </c>
      <c r="BF205" s="2">
        <f t="shared" si="416"/>
        <v>49695.253495586949</v>
      </c>
      <c r="BG205" s="2">
        <f t="shared" si="416"/>
        <v>0</v>
      </c>
      <c r="BI205" s="2">
        <f t="shared" ref="BI205:BI214" si="417">SUM(BJ205:BO205)</f>
        <v>875470.0085785269</v>
      </c>
      <c r="BJ205" s="2">
        <f t="shared" ref="BJ205:BO214" si="418">$E205*SUMPRODUCT($AB205:$AG205,INDEX(AllocFactors_C,BJ$4,0))</f>
        <v>828256.9400294876</v>
      </c>
      <c r="BK205" s="2">
        <f t="shared" si="418"/>
        <v>41502.695330100869</v>
      </c>
      <c r="BL205" s="2">
        <f t="shared" si="418"/>
        <v>0</v>
      </c>
      <c r="BM205" s="2">
        <f t="shared" si="418"/>
        <v>389.73466412912251</v>
      </c>
      <c r="BN205" s="2">
        <f t="shared" si="418"/>
        <v>5320.6385548093267</v>
      </c>
      <c r="BO205" s="2">
        <f t="shared" si="418"/>
        <v>0</v>
      </c>
      <c r="BQ205" s="28" t="s">
        <v>1</v>
      </c>
      <c r="BR205" s="23">
        <v>1026054</v>
      </c>
      <c r="BS205" s="14">
        <f t="shared" ref="BS205:BU212" si="419">R205</f>
        <v>0.18032917602090978</v>
      </c>
      <c r="BT205" s="14">
        <f t="shared" si="419"/>
        <v>0</v>
      </c>
      <c r="BU205" s="14">
        <f t="shared" si="419"/>
        <v>0</v>
      </c>
      <c r="BV205" s="14">
        <f t="shared" ref="BV205:BV212" si="420">U205</f>
        <v>0</v>
      </c>
      <c r="BW205" s="14">
        <f t="shared" ref="BW205:BW212" si="421">V205</f>
        <v>0</v>
      </c>
      <c r="BX205" s="14">
        <f t="shared" ref="BX205:BX212" si="422">W205</f>
        <v>0.33248662332325996</v>
      </c>
      <c r="BY205" s="14">
        <f t="shared" ref="BY205:BY212" si="423">X205</f>
        <v>0</v>
      </c>
      <c r="BZ205" s="14">
        <f t="shared" ref="BZ205:BZ212" si="424">Y205</f>
        <v>0</v>
      </c>
      <c r="CA205" s="14">
        <f t="shared" ref="CA205:CA212" si="425">Z205</f>
        <v>0</v>
      </c>
      <c r="CB205" s="14">
        <f t="shared" ref="CB205:CB212" si="426">AA205</f>
        <v>0</v>
      </c>
      <c r="CC205" s="14">
        <f t="shared" ref="CC205:CC212" si="427">AB205</f>
        <v>0</v>
      </c>
      <c r="CD205" s="14">
        <f t="shared" ref="CD205:CD212" si="428">AC205</f>
        <v>0.34784812665025233</v>
      </c>
      <c r="CE205" s="14">
        <f t="shared" ref="CE205:CE212" si="429">AD205</f>
        <v>0.13399956178953271</v>
      </c>
      <c r="CF205" s="14">
        <f t="shared" ref="CF205:CF212" si="430">AE205</f>
        <v>0</v>
      </c>
      <c r="CG205" s="14">
        <f t="shared" ref="CG205:CG212" si="431">AF205</f>
        <v>5.3365122160451877E-3</v>
      </c>
      <c r="CH205" s="14">
        <f t="shared" ref="CH205:CH212" si="432">AG205</f>
        <v>0</v>
      </c>
      <c r="CI205" s="14">
        <f t="shared" ref="CI205:CI212" si="433">AH205</f>
        <v>0</v>
      </c>
      <c r="CJ205" s="14"/>
      <c r="CK205" s="120" t="str">
        <f t="shared" ref="CK205:CK212" si="434">F205</f>
        <v>as Distrib Plant (41)</v>
      </c>
      <c r="CL205" s="76">
        <f t="shared" si="312"/>
        <v>0</v>
      </c>
      <c r="CM205" s="2">
        <f t="shared" ref="CM205:CR214" si="435">$BR205*SUMPRODUCT($BS205:$CI205,INDEX(AllocFactors,CM$170,0))</f>
        <v>813091.00129700906</v>
      </c>
      <c r="CN205" s="2">
        <f t="shared" si="435"/>
        <v>150588.15726244042</v>
      </c>
      <c r="CO205" s="2">
        <f t="shared" si="435"/>
        <v>0</v>
      </c>
      <c r="CP205" s="2">
        <f t="shared" si="435"/>
        <v>1987.2419920253035</v>
      </c>
      <c r="CQ205" s="2">
        <f t="shared" si="435"/>
        <v>60387.599448525049</v>
      </c>
      <c r="CR205" s="2">
        <f t="shared" si="435"/>
        <v>0</v>
      </c>
    </row>
    <row r="206" spans="1:96">
      <c r="A206" s="50">
        <f t="shared" si="400"/>
        <v>206</v>
      </c>
      <c r="B206" t="s">
        <v>322</v>
      </c>
      <c r="C206" s="36" t="s">
        <v>155</v>
      </c>
      <c r="D206" s="28" t="s">
        <v>331</v>
      </c>
      <c r="E206" s="436">
        <f>PROFORMA!AV71</f>
        <v>0</v>
      </c>
      <c r="F206" s="60" t="s">
        <v>445</v>
      </c>
      <c r="G206" s="60" t="s">
        <v>437</v>
      </c>
      <c r="H206" s="2">
        <f t="shared" si="408"/>
        <v>0</v>
      </c>
      <c r="I206" s="2">
        <f t="shared" si="409"/>
        <v>0</v>
      </c>
      <c r="J206" s="2">
        <f t="shared" si="409"/>
        <v>0</v>
      </c>
      <c r="K206" s="2">
        <f t="shared" si="409"/>
        <v>0</v>
      </c>
      <c r="L206" s="2">
        <f t="shared" si="409"/>
        <v>0</v>
      </c>
      <c r="M206" s="2">
        <f t="shared" si="409"/>
        <v>0</v>
      </c>
      <c r="N206" s="2">
        <f t="shared" si="409"/>
        <v>0</v>
      </c>
      <c r="O206" s="2"/>
      <c r="P206" s="61" t="str">
        <f t="shared" ref="P206:P214" si="436">E$1&amp;$A206&amp;"*     """</f>
        <v>E206*     "</v>
      </c>
      <c r="Q206" s="61"/>
      <c r="R206" s="79">
        <v>1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76">
        <f t="shared" ref="AI206:AI237" si="437">IF(SUM(R206:AH206)&lt;&gt;0,(ROUND(SUM(R206:AH206),8)&lt;&gt;1)+0,0)</f>
        <v>0</v>
      </c>
      <c r="AK206" s="2">
        <f t="shared" si="411"/>
        <v>0</v>
      </c>
      <c r="AL206" s="2">
        <f t="shared" si="412"/>
        <v>0</v>
      </c>
      <c r="AM206" s="2">
        <f t="shared" si="412"/>
        <v>0</v>
      </c>
      <c r="AN206" s="2">
        <f t="shared" si="412"/>
        <v>0</v>
      </c>
      <c r="AO206" s="2">
        <f t="shared" si="412"/>
        <v>0</v>
      </c>
      <c r="AP206" s="2"/>
      <c r="AQ206" s="61" t="str">
        <f t="shared" ref="AQ206:AQ214" si="438">E$1&amp;$A206&amp;"*      """</f>
        <v>E206*      "</v>
      </c>
      <c r="AS206" s="2">
        <f t="shared" si="413"/>
        <v>0</v>
      </c>
      <c r="AT206" s="2">
        <f t="shared" si="414"/>
        <v>0</v>
      </c>
      <c r="AU206" s="2">
        <f t="shared" si="414"/>
        <v>0</v>
      </c>
      <c r="AV206" s="2">
        <f t="shared" si="414"/>
        <v>0</v>
      </c>
      <c r="AW206" s="2">
        <f t="shared" si="414"/>
        <v>0</v>
      </c>
      <c r="AX206" s="2">
        <f t="shared" si="414"/>
        <v>0</v>
      </c>
      <c r="AY206" s="2">
        <f t="shared" si="414"/>
        <v>0</v>
      </c>
      <c r="BA206" s="2">
        <f t="shared" si="415"/>
        <v>0</v>
      </c>
      <c r="BB206" s="2">
        <f t="shared" si="416"/>
        <v>0</v>
      </c>
      <c r="BC206" s="2">
        <f t="shared" si="416"/>
        <v>0</v>
      </c>
      <c r="BD206" s="2">
        <f t="shared" si="416"/>
        <v>0</v>
      </c>
      <c r="BE206" s="2">
        <f t="shared" si="416"/>
        <v>0</v>
      </c>
      <c r="BF206" s="2">
        <f t="shared" si="416"/>
        <v>0</v>
      </c>
      <c r="BG206" s="2">
        <f t="shared" si="416"/>
        <v>0</v>
      </c>
      <c r="BI206" s="2">
        <f t="shared" si="417"/>
        <v>0</v>
      </c>
      <c r="BJ206" s="2">
        <f t="shared" si="418"/>
        <v>0</v>
      </c>
      <c r="BK206" s="2">
        <f t="shared" si="418"/>
        <v>0</v>
      </c>
      <c r="BL206" s="2">
        <f t="shared" si="418"/>
        <v>0</v>
      </c>
      <c r="BM206" s="2">
        <f t="shared" si="418"/>
        <v>0</v>
      </c>
      <c r="BN206" s="2">
        <f t="shared" si="418"/>
        <v>0</v>
      </c>
      <c r="BO206" s="2">
        <f t="shared" si="418"/>
        <v>0</v>
      </c>
      <c r="BQ206" s="28" t="s">
        <v>331</v>
      </c>
      <c r="BR206" s="23">
        <v>0</v>
      </c>
      <c r="BS206" s="14">
        <f t="shared" si="419"/>
        <v>1</v>
      </c>
      <c r="BT206" s="14">
        <f t="shared" si="419"/>
        <v>0</v>
      </c>
      <c r="BU206" s="14">
        <f t="shared" si="419"/>
        <v>0</v>
      </c>
      <c r="BV206" s="14">
        <f t="shared" si="420"/>
        <v>0</v>
      </c>
      <c r="BW206" s="14">
        <f t="shared" si="421"/>
        <v>0</v>
      </c>
      <c r="BX206" s="14">
        <f t="shared" si="422"/>
        <v>0</v>
      </c>
      <c r="BY206" s="14">
        <f t="shared" si="423"/>
        <v>0</v>
      </c>
      <c r="BZ206" s="14">
        <f t="shared" si="424"/>
        <v>0</v>
      </c>
      <c r="CA206" s="14">
        <f t="shared" si="425"/>
        <v>0</v>
      </c>
      <c r="CB206" s="14">
        <f t="shared" si="426"/>
        <v>0</v>
      </c>
      <c r="CC206" s="14">
        <f t="shared" si="427"/>
        <v>0</v>
      </c>
      <c r="CD206" s="14">
        <f t="shared" si="428"/>
        <v>0</v>
      </c>
      <c r="CE206" s="14">
        <f t="shared" si="429"/>
        <v>0</v>
      </c>
      <c r="CF206" s="14">
        <f t="shared" si="430"/>
        <v>0</v>
      </c>
      <c r="CG206" s="14">
        <f t="shared" si="431"/>
        <v>0</v>
      </c>
      <c r="CH206" s="14">
        <f t="shared" si="432"/>
        <v>0</v>
      </c>
      <c r="CI206" s="14">
        <f t="shared" si="433"/>
        <v>0</v>
      </c>
      <c r="CJ206" s="14"/>
      <c r="CK206" s="120" t="str">
        <f t="shared" si="434"/>
        <v>Input - 100% Throughput</v>
      </c>
      <c r="CL206" s="76">
        <f t="shared" si="312"/>
        <v>0</v>
      </c>
      <c r="CM206" s="2">
        <f t="shared" si="435"/>
        <v>0</v>
      </c>
      <c r="CN206" s="2">
        <f t="shared" si="435"/>
        <v>0</v>
      </c>
      <c r="CO206" s="2">
        <f t="shared" si="435"/>
        <v>0</v>
      </c>
      <c r="CP206" s="2">
        <f t="shared" si="435"/>
        <v>0</v>
      </c>
      <c r="CQ206" s="2">
        <f t="shared" si="435"/>
        <v>0</v>
      </c>
      <c r="CR206" s="2">
        <f t="shared" si="435"/>
        <v>0</v>
      </c>
    </row>
    <row r="207" spans="1:96">
      <c r="A207" s="50">
        <f t="shared" si="400"/>
        <v>207</v>
      </c>
      <c r="B207" t="s">
        <v>323</v>
      </c>
      <c r="C207" s="36" t="s">
        <v>155</v>
      </c>
      <c r="D207" s="28" t="s">
        <v>332</v>
      </c>
      <c r="E207" s="436">
        <f>PROFORMA!AV73</f>
        <v>3539000</v>
      </c>
      <c r="F207" s="60" t="str">
        <f>"as 376/380 Mn/Sv Plt ("&amp;A$29&amp;","&amp;A$31&amp;","&amp;A$34&amp;")"</f>
        <v>as 376/380 Mn/Sv Plt (29,31,34)</v>
      </c>
      <c r="G207" s="60" t="s">
        <v>437</v>
      </c>
      <c r="H207" s="2">
        <f>SUM(I207:N207)</f>
        <v>3539000.0000000005</v>
      </c>
      <c r="I207" s="2">
        <f t="shared" si="409"/>
        <v>2768372.8676589439</v>
      </c>
      <c r="J207" s="2">
        <f t="shared" si="409"/>
        <v>530563.7214802223</v>
      </c>
      <c r="K207" s="2">
        <f t="shared" si="409"/>
        <v>0</v>
      </c>
      <c r="L207" s="2">
        <f t="shared" si="409"/>
        <v>7073.2858892383611</v>
      </c>
      <c r="M207" s="2">
        <f t="shared" si="409"/>
        <v>232990.12497159539</v>
      </c>
      <c r="N207" s="2">
        <f t="shared" si="409"/>
        <v>0</v>
      </c>
      <c r="O207" s="2"/>
      <c r="P207" s="61" t="str">
        <f t="shared" si="436"/>
        <v>E207*     "</v>
      </c>
      <c r="Q207" s="61"/>
      <c r="R207" s="14">
        <f>($E29*R$29+$E30*R$30+$E34*R$34)/SUM($E$29,$E$30,$E$34)</f>
        <v>0.20764250311315358</v>
      </c>
      <c r="S207" s="14">
        <f>($E29*S$29+$E30*S$30+$E34*S$34)/SUM($E$29,$E$30,$E$34)</f>
        <v>0</v>
      </c>
      <c r="T207" s="14">
        <f>($E29*T$29+$E30*T$30+$E34*T$34)/SUM($E$29,$E$30,$E$34)</f>
        <v>0</v>
      </c>
      <c r="U207" s="14">
        <f t="shared" ref="U207:AH207" si="439">($E29*U$29+$E30*U$30+$E34*U$34)/SUM($E$29,$E$30,$E$34)</f>
        <v>0</v>
      </c>
      <c r="V207" s="14">
        <f t="shared" si="439"/>
        <v>0</v>
      </c>
      <c r="W207" s="14">
        <f t="shared" si="439"/>
        <v>0.38284628279162491</v>
      </c>
      <c r="X207" s="14">
        <f t="shared" si="439"/>
        <v>0</v>
      </c>
      <c r="Y207" s="14">
        <f t="shared" si="439"/>
        <v>0</v>
      </c>
      <c r="Z207" s="14">
        <f t="shared" si="439"/>
        <v>0</v>
      </c>
      <c r="AA207" s="14">
        <f t="shared" si="439"/>
        <v>0</v>
      </c>
      <c r="AB207" s="14">
        <f t="shared" si="439"/>
        <v>0</v>
      </c>
      <c r="AC207" s="14">
        <f t="shared" si="439"/>
        <v>0.40951121409522145</v>
      </c>
      <c r="AD207" s="14">
        <f t="shared" si="439"/>
        <v>0</v>
      </c>
      <c r="AE207" s="14">
        <f t="shared" si="439"/>
        <v>0</v>
      </c>
      <c r="AF207" s="14">
        <f t="shared" si="439"/>
        <v>0</v>
      </c>
      <c r="AG207" s="14">
        <f t="shared" si="439"/>
        <v>0</v>
      </c>
      <c r="AH207" s="14">
        <f t="shared" si="439"/>
        <v>0</v>
      </c>
      <c r="AI207" s="76">
        <f t="shared" si="437"/>
        <v>0</v>
      </c>
      <c r="AK207" s="2">
        <f>SUM(AL207:AO207)</f>
        <v>3539000</v>
      </c>
      <c r="AL207" s="2">
        <f t="shared" si="412"/>
        <v>734846.81851745048</v>
      </c>
      <c r="AM207" s="2">
        <f t="shared" si="412"/>
        <v>1354892.9947995606</v>
      </c>
      <c r="AN207" s="2">
        <f t="shared" si="412"/>
        <v>1449260.1866829887</v>
      </c>
      <c r="AO207" s="2">
        <f t="shared" si="412"/>
        <v>0</v>
      </c>
      <c r="AP207" s="2"/>
      <c r="AQ207" s="61" t="str">
        <f t="shared" si="438"/>
        <v>E207*      "</v>
      </c>
      <c r="AS207" s="2">
        <f>SUM(AT207:AY207)</f>
        <v>734846.81851745059</v>
      </c>
      <c r="AT207" s="2">
        <f t="shared" si="414"/>
        <v>425877.79928704991</v>
      </c>
      <c r="AU207" s="2">
        <f t="shared" si="414"/>
        <v>190820.24016010077</v>
      </c>
      <c r="AV207" s="2">
        <f t="shared" si="414"/>
        <v>0</v>
      </c>
      <c r="AW207" s="2">
        <f t="shared" si="414"/>
        <v>3074.8125889188159</v>
      </c>
      <c r="AX207" s="2">
        <f t="shared" si="414"/>
        <v>115073.9664813811</v>
      </c>
      <c r="AY207" s="2">
        <f t="shared" si="414"/>
        <v>0</v>
      </c>
      <c r="BA207" s="2">
        <f>SUM(BB207:BG207)</f>
        <v>1354892.9947995606</v>
      </c>
      <c r="BB207" s="2">
        <f t="shared" si="416"/>
        <v>925132.08206327201</v>
      </c>
      <c r="BC207" s="2">
        <f t="shared" si="416"/>
        <v>313133.89460538107</v>
      </c>
      <c r="BD207" s="2">
        <f t="shared" si="416"/>
        <v>0</v>
      </c>
      <c r="BE207" s="2">
        <f t="shared" si="416"/>
        <v>3933.8331783275626</v>
      </c>
      <c r="BF207" s="2">
        <f t="shared" si="416"/>
        <v>112693.1849525799</v>
      </c>
      <c r="BG207" s="2">
        <f t="shared" si="416"/>
        <v>0</v>
      </c>
      <c r="BI207" s="2">
        <f t="shared" si="417"/>
        <v>1449260.1866829887</v>
      </c>
      <c r="BJ207" s="2">
        <f t="shared" si="418"/>
        <v>1417362.9863086219</v>
      </c>
      <c r="BK207" s="2">
        <f t="shared" si="418"/>
        <v>26609.586714740475</v>
      </c>
      <c r="BL207" s="2">
        <f t="shared" si="418"/>
        <v>0</v>
      </c>
      <c r="BM207" s="2">
        <f t="shared" si="418"/>
        <v>64.640121991982923</v>
      </c>
      <c r="BN207" s="2">
        <f t="shared" si="418"/>
        <v>5222.9735376343515</v>
      </c>
      <c r="BO207" s="2">
        <f t="shared" si="418"/>
        <v>0</v>
      </c>
      <c r="BQ207" s="28" t="s">
        <v>332</v>
      </c>
      <c r="BR207" s="23">
        <v>1384415</v>
      </c>
      <c r="BS207" s="14">
        <f t="shared" si="419"/>
        <v>0.20764250311315358</v>
      </c>
      <c r="BT207" s="14">
        <f t="shared" si="419"/>
        <v>0</v>
      </c>
      <c r="BU207" s="14">
        <f t="shared" si="419"/>
        <v>0</v>
      </c>
      <c r="BV207" s="14">
        <f t="shared" si="420"/>
        <v>0</v>
      </c>
      <c r="BW207" s="14">
        <f t="shared" si="421"/>
        <v>0</v>
      </c>
      <c r="BX207" s="14">
        <f t="shared" si="422"/>
        <v>0.38284628279162491</v>
      </c>
      <c r="BY207" s="14">
        <f t="shared" si="423"/>
        <v>0</v>
      </c>
      <c r="BZ207" s="14">
        <f t="shared" si="424"/>
        <v>0</v>
      </c>
      <c r="CA207" s="14">
        <f t="shared" si="425"/>
        <v>0</v>
      </c>
      <c r="CB207" s="14">
        <f t="shared" si="426"/>
        <v>0</v>
      </c>
      <c r="CC207" s="14">
        <f t="shared" si="427"/>
        <v>0</v>
      </c>
      <c r="CD207" s="14">
        <f t="shared" si="428"/>
        <v>0.40951121409522145</v>
      </c>
      <c r="CE207" s="14">
        <f t="shared" si="429"/>
        <v>0</v>
      </c>
      <c r="CF207" s="14">
        <f t="shared" si="430"/>
        <v>0</v>
      </c>
      <c r="CG207" s="14">
        <f t="shared" si="431"/>
        <v>0</v>
      </c>
      <c r="CH207" s="14">
        <f t="shared" si="432"/>
        <v>0</v>
      </c>
      <c r="CI207" s="14">
        <f t="shared" si="433"/>
        <v>0</v>
      </c>
      <c r="CJ207" s="14"/>
      <c r="CK207" s="120" t="str">
        <f t="shared" si="434"/>
        <v>as 376/380 Mn/Sv Plt (29,31,34)</v>
      </c>
      <c r="CL207" s="76">
        <f t="shared" ref="CL207:CL238" si="440">IF(SUM(BS207:CI207)&lt;&gt;0,(ROUND(SUM(BS207:CI207),4)&lt;&gt;1)+0,0)</f>
        <v>0</v>
      </c>
      <c r="CM207" s="2">
        <f t="shared" si="435"/>
        <v>1082954.7678949016</v>
      </c>
      <c r="CN207" s="2">
        <f t="shared" si="435"/>
        <v>207550.26122436902</v>
      </c>
      <c r="CO207" s="2">
        <f t="shared" si="435"/>
        <v>0</v>
      </c>
      <c r="CP207" s="2">
        <f t="shared" si="435"/>
        <v>2766.9858955495692</v>
      </c>
      <c r="CQ207" s="2">
        <f t="shared" si="435"/>
        <v>91142.984985179777</v>
      </c>
      <c r="CR207" s="2">
        <f t="shared" si="435"/>
        <v>0</v>
      </c>
    </row>
    <row r="208" spans="1:96">
      <c r="A208" s="50">
        <f t="shared" si="400"/>
        <v>208</v>
      </c>
      <c r="B208" t="s">
        <v>324</v>
      </c>
      <c r="C208" s="36" t="s">
        <v>155</v>
      </c>
      <c r="D208" s="28" t="s">
        <v>333</v>
      </c>
      <c r="E208" s="436">
        <f>PROFORMA!AV74</f>
        <v>98000</v>
      </c>
      <c r="F208" s="60" t="str">
        <f>"as 378 Meas &amp; Reg St Genl ("&amp;A$32&amp;")"</f>
        <v>as 378 Meas &amp; Reg St Genl (32)</v>
      </c>
      <c r="G208" s="60" t="s">
        <v>437</v>
      </c>
      <c r="H208" s="2">
        <f>SUM(I208:N208)</f>
        <v>97999.999999999985</v>
      </c>
      <c r="I208" s="2">
        <f t="shared" si="409"/>
        <v>63356.676045797649</v>
      </c>
      <c r="J208" s="2">
        <f t="shared" si="409"/>
        <v>23633.327408652473</v>
      </c>
      <c r="K208" s="2">
        <f t="shared" si="409"/>
        <v>0</v>
      </c>
      <c r="L208" s="2">
        <f t="shared" si="409"/>
        <v>328.67598196347859</v>
      </c>
      <c r="M208" s="2">
        <f t="shared" si="409"/>
        <v>10681.320563586391</v>
      </c>
      <c r="N208" s="2">
        <f t="shared" si="409"/>
        <v>0</v>
      </c>
      <c r="O208" s="2"/>
      <c r="P208" s="61" t="str">
        <f t="shared" si="436"/>
        <v>E208*     "</v>
      </c>
      <c r="Q208" s="61"/>
      <c r="R208" s="14">
        <f>R$32</f>
        <v>0.35164512530918368</v>
      </c>
      <c r="S208" s="14">
        <f t="shared" ref="S208:AH208" si="441">S$32</f>
        <v>0</v>
      </c>
      <c r="T208" s="14">
        <f t="shared" si="441"/>
        <v>0</v>
      </c>
      <c r="U208" s="14">
        <f t="shared" si="441"/>
        <v>0</v>
      </c>
      <c r="V208" s="14">
        <f t="shared" si="441"/>
        <v>0</v>
      </c>
      <c r="W208" s="14">
        <f t="shared" si="441"/>
        <v>0.64835487469081621</v>
      </c>
      <c r="X208" s="14">
        <f t="shared" si="441"/>
        <v>0</v>
      </c>
      <c r="Y208" s="14">
        <f t="shared" si="441"/>
        <v>0</v>
      </c>
      <c r="Z208" s="14">
        <f t="shared" si="441"/>
        <v>0</v>
      </c>
      <c r="AA208" s="14">
        <f t="shared" si="441"/>
        <v>0</v>
      </c>
      <c r="AB208" s="14">
        <f t="shared" si="441"/>
        <v>0</v>
      </c>
      <c r="AC208" s="14">
        <f t="shared" si="441"/>
        <v>0</v>
      </c>
      <c r="AD208" s="14">
        <f t="shared" si="441"/>
        <v>0</v>
      </c>
      <c r="AE208" s="14">
        <f t="shared" si="441"/>
        <v>0</v>
      </c>
      <c r="AF208" s="14">
        <f t="shared" si="441"/>
        <v>0</v>
      </c>
      <c r="AG208" s="14">
        <f t="shared" si="441"/>
        <v>0</v>
      </c>
      <c r="AH208" s="14">
        <f t="shared" si="441"/>
        <v>0</v>
      </c>
      <c r="AI208" s="76">
        <f t="shared" si="437"/>
        <v>0</v>
      </c>
      <c r="AK208" s="2">
        <f>SUM(AL208:AO208)</f>
        <v>98000</v>
      </c>
      <c r="AL208" s="2">
        <f t="shared" si="412"/>
        <v>34461.222280300004</v>
      </c>
      <c r="AM208" s="2">
        <f t="shared" si="412"/>
        <v>63538.777719699989</v>
      </c>
      <c r="AN208" s="2">
        <f t="shared" si="412"/>
        <v>0</v>
      </c>
      <c r="AO208" s="2">
        <f t="shared" si="412"/>
        <v>0</v>
      </c>
      <c r="AP208" s="2"/>
      <c r="AQ208" s="61" t="str">
        <f t="shared" si="438"/>
        <v>E208*      "</v>
      </c>
      <c r="AS208" s="2">
        <f>SUM(AT208:AY208)</f>
        <v>34461.222280300004</v>
      </c>
      <c r="AT208" s="2">
        <f t="shared" si="414"/>
        <v>19971.875955162068</v>
      </c>
      <c r="AU208" s="2">
        <f t="shared" si="414"/>
        <v>8948.6659614371092</v>
      </c>
      <c r="AV208" s="2">
        <f t="shared" si="414"/>
        <v>0</v>
      </c>
      <c r="AW208" s="2">
        <f t="shared" si="414"/>
        <v>144.19576628333698</v>
      </c>
      <c r="AX208" s="2">
        <f t="shared" si="414"/>
        <v>5396.4845974174877</v>
      </c>
      <c r="AY208" s="2">
        <f t="shared" si="414"/>
        <v>0</v>
      </c>
      <c r="BA208" s="2">
        <f>SUM(BB208:BG208)</f>
        <v>63538.777719699996</v>
      </c>
      <c r="BB208" s="2">
        <f t="shared" si="416"/>
        <v>43384.800090635581</v>
      </c>
      <c r="BC208" s="2">
        <f t="shared" si="416"/>
        <v>14684.661447215363</v>
      </c>
      <c r="BD208" s="2">
        <f t="shared" si="416"/>
        <v>0</v>
      </c>
      <c r="BE208" s="2">
        <f t="shared" si="416"/>
        <v>184.48021568014161</v>
      </c>
      <c r="BF208" s="2">
        <f t="shared" si="416"/>
        <v>5284.8359661689028</v>
      </c>
      <c r="BG208" s="2">
        <f t="shared" si="416"/>
        <v>0</v>
      </c>
      <c r="BI208" s="2">
        <f t="shared" si="417"/>
        <v>0</v>
      </c>
      <c r="BJ208" s="2">
        <f t="shared" si="418"/>
        <v>0</v>
      </c>
      <c r="BK208" s="2">
        <f t="shared" si="418"/>
        <v>0</v>
      </c>
      <c r="BL208" s="2">
        <f t="shared" si="418"/>
        <v>0</v>
      </c>
      <c r="BM208" s="2">
        <f t="shared" si="418"/>
        <v>0</v>
      </c>
      <c r="BN208" s="2">
        <f t="shared" si="418"/>
        <v>0</v>
      </c>
      <c r="BO208" s="2">
        <f t="shared" si="418"/>
        <v>0</v>
      </c>
      <c r="BQ208" s="28" t="s">
        <v>333</v>
      </c>
      <c r="BR208" s="23">
        <v>50532.469790340518</v>
      </c>
      <c r="BS208" s="14">
        <f t="shared" si="419"/>
        <v>0.35164512530918368</v>
      </c>
      <c r="BT208" s="14">
        <f t="shared" si="419"/>
        <v>0</v>
      </c>
      <c r="BU208" s="14">
        <f t="shared" si="419"/>
        <v>0</v>
      </c>
      <c r="BV208" s="14">
        <f t="shared" si="420"/>
        <v>0</v>
      </c>
      <c r="BW208" s="14">
        <f t="shared" si="421"/>
        <v>0</v>
      </c>
      <c r="BX208" s="14">
        <f t="shared" si="422"/>
        <v>0.64835487469081621</v>
      </c>
      <c r="BY208" s="14">
        <f t="shared" si="423"/>
        <v>0</v>
      </c>
      <c r="BZ208" s="14">
        <f t="shared" si="424"/>
        <v>0</v>
      </c>
      <c r="CA208" s="14">
        <f t="shared" si="425"/>
        <v>0</v>
      </c>
      <c r="CB208" s="14">
        <f t="shared" si="426"/>
        <v>0</v>
      </c>
      <c r="CC208" s="14">
        <f t="shared" si="427"/>
        <v>0</v>
      </c>
      <c r="CD208" s="14">
        <f t="shared" si="428"/>
        <v>0</v>
      </c>
      <c r="CE208" s="14">
        <f t="shared" si="429"/>
        <v>0</v>
      </c>
      <c r="CF208" s="14">
        <f t="shared" si="430"/>
        <v>0</v>
      </c>
      <c r="CG208" s="14">
        <f t="shared" si="431"/>
        <v>0</v>
      </c>
      <c r="CH208" s="14">
        <f t="shared" si="432"/>
        <v>0</v>
      </c>
      <c r="CI208" s="14">
        <f t="shared" si="433"/>
        <v>0</v>
      </c>
      <c r="CJ208" s="14"/>
      <c r="CK208" s="120" t="str">
        <f t="shared" si="434"/>
        <v>as 378 Meas &amp; Reg St Genl (32)</v>
      </c>
      <c r="CL208" s="76">
        <f t="shared" si="440"/>
        <v>0</v>
      </c>
      <c r="CM208" s="2">
        <f t="shared" si="435"/>
        <v>32669.074676537351</v>
      </c>
      <c r="CN208" s="2">
        <f t="shared" si="435"/>
        <v>12186.228605336302</v>
      </c>
      <c r="CO208" s="2">
        <f t="shared" si="435"/>
        <v>0</v>
      </c>
      <c r="CP208" s="2">
        <f t="shared" si="435"/>
        <v>169.4776441773468</v>
      </c>
      <c r="CQ208" s="2">
        <f t="shared" si="435"/>
        <v>5507.6888642895128</v>
      </c>
      <c r="CR208" s="2">
        <f t="shared" si="435"/>
        <v>0</v>
      </c>
    </row>
    <row r="209" spans="1:96">
      <c r="A209" s="50">
        <f t="shared" si="400"/>
        <v>209</v>
      </c>
      <c r="B209" t="s">
        <v>325</v>
      </c>
      <c r="C209" s="36" t="s">
        <v>155</v>
      </c>
      <c r="D209" s="28" t="s">
        <v>334</v>
      </c>
      <c r="E209" s="436">
        <f>PROFORMA!AV75</f>
        <v>8000</v>
      </c>
      <c r="F209" s="60" t="str">
        <f>"as 385 Meas &amp; Reg St Ind ("&amp;A$39&amp;")"</f>
        <v>as 385 Meas &amp; Reg St Ind (39)</v>
      </c>
      <c r="G209" s="60" t="s">
        <v>437</v>
      </c>
      <c r="H209" s="2">
        <f t="shared" si="408"/>
        <v>8000.0000000000009</v>
      </c>
      <c r="I209" s="2">
        <f t="shared" si="409"/>
        <v>0</v>
      </c>
      <c r="J209" s="2">
        <f t="shared" si="409"/>
        <v>6955.0151203581518</v>
      </c>
      <c r="K209" s="2">
        <f t="shared" si="409"/>
        <v>0</v>
      </c>
      <c r="L209" s="2">
        <f t="shared" si="409"/>
        <v>110.35019601512776</v>
      </c>
      <c r="M209" s="2">
        <f t="shared" si="409"/>
        <v>934.6346836267212</v>
      </c>
      <c r="N209" s="2">
        <f t="shared" si="409"/>
        <v>0</v>
      </c>
      <c r="O209" s="2"/>
      <c r="P209" s="61" t="str">
        <f t="shared" si="436"/>
        <v>E209*     "</v>
      </c>
      <c r="Q209" s="61"/>
      <c r="R209" s="14">
        <f>R$39</f>
        <v>0</v>
      </c>
      <c r="S209" s="14">
        <f t="shared" ref="S209:AH209" si="442">S$39</f>
        <v>0</v>
      </c>
      <c r="T209" s="14">
        <f t="shared" si="442"/>
        <v>0</v>
      </c>
      <c r="U209" s="14">
        <f t="shared" si="442"/>
        <v>0</v>
      </c>
      <c r="V209" s="14">
        <f t="shared" si="442"/>
        <v>0</v>
      </c>
      <c r="W209" s="14">
        <f t="shared" si="442"/>
        <v>0</v>
      </c>
      <c r="X209" s="14">
        <f t="shared" si="442"/>
        <v>0</v>
      </c>
      <c r="Y209" s="14">
        <f t="shared" si="442"/>
        <v>0</v>
      </c>
      <c r="Z209" s="14">
        <f t="shared" si="442"/>
        <v>0</v>
      </c>
      <c r="AA209" s="14">
        <f t="shared" si="442"/>
        <v>0</v>
      </c>
      <c r="AB209" s="14">
        <f t="shared" si="442"/>
        <v>0</v>
      </c>
      <c r="AC209" s="14">
        <f t="shared" si="442"/>
        <v>0</v>
      </c>
      <c r="AD209" s="14">
        <f t="shared" si="442"/>
        <v>0</v>
      </c>
      <c r="AE209" s="14">
        <f t="shared" si="442"/>
        <v>0</v>
      </c>
      <c r="AF209" s="14">
        <f t="shared" si="442"/>
        <v>1</v>
      </c>
      <c r="AG209" s="14">
        <f t="shared" si="442"/>
        <v>0</v>
      </c>
      <c r="AH209" s="14">
        <f t="shared" si="442"/>
        <v>0</v>
      </c>
      <c r="AI209" s="76">
        <f t="shared" si="437"/>
        <v>0</v>
      </c>
      <c r="AK209" s="2">
        <f t="shared" si="411"/>
        <v>8000</v>
      </c>
      <c r="AL209" s="2">
        <f t="shared" si="412"/>
        <v>0</v>
      </c>
      <c r="AM209" s="2">
        <f t="shared" si="412"/>
        <v>0</v>
      </c>
      <c r="AN209" s="2">
        <f t="shared" si="412"/>
        <v>8000</v>
      </c>
      <c r="AO209" s="2">
        <f t="shared" si="412"/>
        <v>0</v>
      </c>
      <c r="AP209" s="2"/>
      <c r="AQ209" s="61" t="str">
        <f t="shared" si="438"/>
        <v>E209*      "</v>
      </c>
      <c r="AS209" s="2">
        <f t="shared" si="413"/>
        <v>0</v>
      </c>
      <c r="AT209" s="2">
        <f t="shared" si="414"/>
        <v>0</v>
      </c>
      <c r="AU209" s="2">
        <f t="shared" si="414"/>
        <v>0</v>
      </c>
      <c r="AV209" s="2">
        <f t="shared" si="414"/>
        <v>0</v>
      </c>
      <c r="AW209" s="2">
        <f t="shared" si="414"/>
        <v>0</v>
      </c>
      <c r="AX209" s="2">
        <f t="shared" si="414"/>
        <v>0</v>
      </c>
      <c r="AY209" s="2">
        <f t="shared" si="414"/>
        <v>0</v>
      </c>
      <c r="BA209" s="2">
        <f t="shared" si="415"/>
        <v>0</v>
      </c>
      <c r="BB209" s="2">
        <f t="shared" si="416"/>
        <v>0</v>
      </c>
      <c r="BC209" s="2">
        <f t="shared" si="416"/>
        <v>0</v>
      </c>
      <c r="BD209" s="2">
        <f t="shared" si="416"/>
        <v>0</v>
      </c>
      <c r="BE209" s="2">
        <f t="shared" si="416"/>
        <v>0</v>
      </c>
      <c r="BF209" s="2">
        <f t="shared" si="416"/>
        <v>0</v>
      </c>
      <c r="BG209" s="2">
        <f t="shared" si="416"/>
        <v>0</v>
      </c>
      <c r="BI209" s="2">
        <f t="shared" si="417"/>
        <v>8000.0000000000009</v>
      </c>
      <c r="BJ209" s="2">
        <f t="shared" si="418"/>
        <v>0</v>
      </c>
      <c r="BK209" s="2">
        <f t="shared" si="418"/>
        <v>6955.0151203581518</v>
      </c>
      <c r="BL209" s="2">
        <f t="shared" si="418"/>
        <v>0</v>
      </c>
      <c r="BM209" s="2">
        <f t="shared" si="418"/>
        <v>110.35019601512776</v>
      </c>
      <c r="BN209" s="2">
        <f t="shared" si="418"/>
        <v>934.6346836267212</v>
      </c>
      <c r="BO209" s="2">
        <f t="shared" si="418"/>
        <v>0</v>
      </c>
      <c r="BQ209" s="28" t="s">
        <v>334</v>
      </c>
      <c r="BR209" s="23">
        <v>4736.3458934410601</v>
      </c>
      <c r="BS209" s="14">
        <f t="shared" si="419"/>
        <v>0</v>
      </c>
      <c r="BT209" s="14">
        <f t="shared" si="419"/>
        <v>0</v>
      </c>
      <c r="BU209" s="14">
        <f t="shared" si="419"/>
        <v>0</v>
      </c>
      <c r="BV209" s="14">
        <f t="shared" si="420"/>
        <v>0</v>
      </c>
      <c r="BW209" s="14">
        <f t="shared" si="421"/>
        <v>0</v>
      </c>
      <c r="BX209" s="14">
        <f t="shared" si="422"/>
        <v>0</v>
      </c>
      <c r="BY209" s="14">
        <f t="shared" si="423"/>
        <v>0</v>
      </c>
      <c r="BZ209" s="14">
        <f t="shared" si="424"/>
        <v>0</v>
      </c>
      <c r="CA209" s="14">
        <f t="shared" si="425"/>
        <v>0</v>
      </c>
      <c r="CB209" s="14">
        <f t="shared" si="426"/>
        <v>0</v>
      </c>
      <c r="CC209" s="14">
        <f t="shared" si="427"/>
        <v>0</v>
      </c>
      <c r="CD209" s="14">
        <f t="shared" si="428"/>
        <v>0</v>
      </c>
      <c r="CE209" s="14">
        <f t="shared" si="429"/>
        <v>0</v>
      </c>
      <c r="CF209" s="14">
        <f t="shared" si="430"/>
        <v>0</v>
      </c>
      <c r="CG209" s="14">
        <f t="shared" si="431"/>
        <v>1</v>
      </c>
      <c r="CH209" s="14">
        <f t="shared" si="432"/>
        <v>0</v>
      </c>
      <c r="CI209" s="14">
        <f t="shared" si="433"/>
        <v>0</v>
      </c>
      <c r="CJ209" s="14"/>
      <c r="CK209" s="120" t="str">
        <f t="shared" si="434"/>
        <v>as 385 Meas &amp; Reg St Ind (39)</v>
      </c>
      <c r="CL209" s="76">
        <f t="shared" si="440"/>
        <v>0</v>
      </c>
      <c r="CM209" s="2">
        <f t="shared" si="435"/>
        <v>0</v>
      </c>
      <c r="CN209" s="2">
        <f t="shared" si="435"/>
        <v>4117.6696630161014</v>
      </c>
      <c r="CO209" s="2">
        <f t="shared" si="435"/>
        <v>0</v>
      </c>
      <c r="CP209" s="2">
        <f t="shared" si="435"/>
        <v>65.332087217083298</v>
      </c>
      <c r="CQ209" s="2">
        <f t="shared" si="435"/>
        <v>553.34414320787562</v>
      </c>
      <c r="CR209" s="2">
        <f t="shared" si="435"/>
        <v>0</v>
      </c>
    </row>
    <row r="210" spans="1:96">
      <c r="A210" s="50">
        <f t="shared" si="400"/>
        <v>210</v>
      </c>
      <c r="B210" t="s">
        <v>326</v>
      </c>
      <c r="C210" s="36" t="s">
        <v>155</v>
      </c>
      <c r="D210" s="28" t="s">
        <v>335</v>
      </c>
      <c r="E210" s="436">
        <f>PROFORMA!AV76</f>
        <v>60000</v>
      </c>
      <c r="F210" s="60" t="str">
        <f>"as 379 Meas &amp; Reg St Cty G ("&amp;A$33&amp;")"</f>
        <v>as 379 Meas &amp; Reg St Cty G (33)</v>
      </c>
      <c r="G210" s="60" t="s">
        <v>437</v>
      </c>
      <c r="H210" s="2">
        <f t="shared" si="408"/>
        <v>60000</v>
      </c>
      <c r="I210" s="2">
        <f t="shared" si="409"/>
        <v>38789.801660692443</v>
      </c>
      <c r="J210" s="2">
        <f t="shared" si="409"/>
        <v>14469.384127746411</v>
      </c>
      <c r="K210" s="2">
        <f t="shared" si="409"/>
        <v>0</v>
      </c>
      <c r="L210" s="2">
        <f t="shared" si="409"/>
        <v>201.23019303886446</v>
      </c>
      <c r="M210" s="2">
        <f t="shared" si="409"/>
        <v>6539.5840185222805</v>
      </c>
      <c r="N210" s="2">
        <f t="shared" si="409"/>
        <v>0</v>
      </c>
      <c r="O210" s="2"/>
      <c r="P210" s="61" t="str">
        <f t="shared" si="436"/>
        <v>E210*     "</v>
      </c>
      <c r="Q210" s="61"/>
      <c r="R210" s="14">
        <f>R$33</f>
        <v>0.35164512530918368</v>
      </c>
      <c r="S210" s="14">
        <f t="shared" ref="S210:AH210" si="443">S$33</f>
        <v>0</v>
      </c>
      <c r="T210" s="14">
        <f t="shared" si="443"/>
        <v>0</v>
      </c>
      <c r="U210" s="14">
        <f t="shared" si="443"/>
        <v>0</v>
      </c>
      <c r="V210" s="14">
        <f t="shared" si="443"/>
        <v>0</v>
      </c>
      <c r="W210" s="14">
        <f t="shared" si="443"/>
        <v>0.64835487469081621</v>
      </c>
      <c r="X210" s="14">
        <f t="shared" si="443"/>
        <v>0</v>
      </c>
      <c r="Y210" s="14">
        <f t="shared" si="443"/>
        <v>0</v>
      </c>
      <c r="Z210" s="14">
        <f t="shared" si="443"/>
        <v>0</v>
      </c>
      <c r="AA210" s="14">
        <f t="shared" si="443"/>
        <v>0</v>
      </c>
      <c r="AB210" s="14">
        <f t="shared" si="443"/>
        <v>0</v>
      </c>
      <c r="AC210" s="14">
        <f t="shared" si="443"/>
        <v>0</v>
      </c>
      <c r="AD210" s="14">
        <f t="shared" si="443"/>
        <v>0</v>
      </c>
      <c r="AE210" s="14">
        <f t="shared" si="443"/>
        <v>0</v>
      </c>
      <c r="AF210" s="14">
        <f t="shared" si="443"/>
        <v>0</v>
      </c>
      <c r="AG210" s="14">
        <f t="shared" si="443"/>
        <v>0</v>
      </c>
      <c r="AH210" s="14">
        <f t="shared" si="443"/>
        <v>0</v>
      </c>
      <c r="AI210" s="76">
        <f t="shared" si="437"/>
        <v>0</v>
      </c>
      <c r="AK210" s="2">
        <f t="shared" si="411"/>
        <v>60000</v>
      </c>
      <c r="AL210" s="2">
        <f t="shared" si="412"/>
        <v>21098.707518551022</v>
      </c>
      <c r="AM210" s="2">
        <f t="shared" si="412"/>
        <v>38901.292481448974</v>
      </c>
      <c r="AN210" s="2">
        <f t="shared" si="412"/>
        <v>0</v>
      </c>
      <c r="AO210" s="2">
        <f t="shared" si="412"/>
        <v>0</v>
      </c>
      <c r="AP210" s="2"/>
      <c r="AQ210" s="61" t="str">
        <f t="shared" si="438"/>
        <v>E210*      "</v>
      </c>
      <c r="AS210" s="2">
        <f t="shared" si="413"/>
        <v>21098.707518551022</v>
      </c>
      <c r="AT210" s="2">
        <f t="shared" si="414"/>
        <v>12227.679156221675</v>
      </c>
      <c r="AU210" s="2">
        <f t="shared" si="414"/>
        <v>5478.7750784308828</v>
      </c>
      <c r="AV210" s="2">
        <f t="shared" si="414"/>
        <v>0</v>
      </c>
      <c r="AW210" s="2">
        <f t="shared" si="414"/>
        <v>88.283122214287943</v>
      </c>
      <c r="AX210" s="2">
        <f t="shared" si="414"/>
        <v>3303.9701616841762</v>
      </c>
      <c r="AY210" s="2">
        <f t="shared" si="414"/>
        <v>0</v>
      </c>
      <c r="BA210" s="2">
        <f t="shared" si="415"/>
        <v>38901.292481448974</v>
      </c>
      <c r="BB210" s="2">
        <f t="shared" si="416"/>
        <v>26562.122504470764</v>
      </c>
      <c r="BC210" s="2">
        <f t="shared" si="416"/>
        <v>8990.609049315528</v>
      </c>
      <c r="BD210" s="2">
        <f t="shared" si="416"/>
        <v>0</v>
      </c>
      <c r="BE210" s="2">
        <f t="shared" si="416"/>
        <v>112.9470708245765</v>
      </c>
      <c r="BF210" s="2">
        <f t="shared" si="416"/>
        <v>3235.6138568381039</v>
      </c>
      <c r="BG210" s="2">
        <f t="shared" si="416"/>
        <v>0</v>
      </c>
      <c r="BI210" s="2">
        <f t="shared" si="417"/>
        <v>0</v>
      </c>
      <c r="BJ210" s="2">
        <f t="shared" si="418"/>
        <v>0</v>
      </c>
      <c r="BK210" s="2">
        <f t="shared" si="418"/>
        <v>0</v>
      </c>
      <c r="BL210" s="2">
        <f t="shared" si="418"/>
        <v>0</v>
      </c>
      <c r="BM210" s="2">
        <f t="shared" si="418"/>
        <v>0</v>
      </c>
      <c r="BN210" s="2">
        <f t="shared" si="418"/>
        <v>0</v>
      </c>
      <c r="BO210" s="2">
        <f t="shared" si="418"/>
        <v>0</v>
      </c>
      <c r="BQ210" s="28" t="s">
        <v>335</v>
      </c>
      <c r="BR210" s="23">
        <v>34579.275173551454</v>
      </c>
      <c r="BS210" s="14">
        <f t="shared" si="419"/>
        <v>0.35164512530918368</v>
      </c>
      <c r="BT210" s="14">
        <f t="shared" si="419"/>
        <v>0</v>
      </c>
      <c r="BU210" s="14">
        <f t="shared" si="419"/>
        <v>0</v>
      </c>
      <c r="BV210" s="14">
        <f t="shared" si="420"/>
        <v>0</v>
      </c>
      <c r="BW210" s="14">
        <f t="shared" si="421"/>
        <v>0</v>
      </c>
      <c r="BX210" s="14">
        <f t="shared" si="422"/>
        <v>0.64835487469081621</v>
      </c>
      <c r="BY210" s="14">
        <f t="shared" si="423"/>
        <v>0</v>
      </c>
      <c r="BZ210" s="14">
        <f t="shared" si="424"/>
        <v>0</v>
      </c>
      <c r="CA210" s="14">
        <f t="shared" si="425"/>
        <v>0</v>
      </c>
      <c r="CB210" s="14">
        <f t="shared" si="426"/>
        <v>0</v>
      </c>
      <c r="CC210" s="14">
        <f t="shared" si="427"/>
        <v>0</v>
      </c>
      <c r="CD210" s="14">
        <f t="shared" si="428"/>
        <v>0</v>
      </c>
      <c r="CE210" s="14">
        <f t="shared" si="429"/>
        <v>0</v>
      </c>
      <c r="CF210" s="14">
        <f t="shared" si="430"/>
        <v>0</v>
      </c>
      <c r="CG210" s="14">
        <f t="shared" si="431"/>
        <v>0</v>
      </c>
      <c r="CH210" s="14">
        <f t="shared" si="432"/>
        <v>0</v>
      </c>
      <c r="CI210" s="14">
        <f t="shared" si="433"/>
        <v>0</v>
      </c>
      <c r="CJ210" s="14"/>
      <c r="CK210" s="120" t="str">
        <f t="shared" si="434"/>
        <v>as 379 Meas &amp; Reg St Cty G (33)</v>
      </c>
      <c r="CL210" s="76">
        <f t="shared" si="440"/>
        <v>0</v>
      </c>
      <c r="CM210" s="2">
        <f t="shared" si="435"/>
        <v>22355.387092542784</v>
      </c>
      <c r="CN210" s="2">
        <f t="shared" si="435"/>
        <v>8339.0135890860165</v>
      </c>
      <c r="CO210" s="2">
        <f t="shared" si="435"/>
        <v>0</v>
      </c>
      <c r="CP210" s="2">
        <f t="shared" si="435"/>
        <v>115.97323697196286</v>
      </c>
      <c r="CQ210" s="2">
        <f t="shared" si="435"/>
        <v>3768.9012549506888</v>
      </c>
      <c r="CR210" s="2">
        <f t="shared" si="435"/>
        <v>0</v>
      </c>
    </row>
    <row r="211" spans="1:96">
      <c r="A211" s="50">
        <f t="shared" si="400"/>
        <v>211</v>
      </c>
      <c r="B211" t="s">
        <v>327</v>
      </c>
      <c r="C211" s="36" t="s">
        <v>155</v>
      </c>
      <c r="D211" s="28" t="s">
        <v>336</v>
      </c>
      <c r="E211" s="436">
        <f>PROFORMA!AV77</f>
        <v>-578000</v>
      </c>
      <c r="F211" s="60" t="str">
        <f>"as 381-4 Mtr &amp; Reg ("&amp;A$35&amp;"-"&amp;A$38&amp;")"</f>
        <v>as 381-4 Mtr &amp; Reg (35-38)</v>
      </c>
      <c r="G211" s="60" t="s">
        <v>437</v>
      </c>
      <c r="H211" s="2">
        <f t="shared" si="408"/>
        <v>-578000.00000000012</v>
      </c>
      <c r="I211" s="2">
        <f t="shared" si="409"/>
        <v>-520713.69017131743</v>
      </c>
      <c r="J211" s="2">
        <f t="shared" si="409"/>
        <v>-52060.426621010709</v>
      </c>
      <c r="K211" s="2">
        <f t="shared" si="409"/>
        <v>0</v>
      </c>
      <c r="L211" s="2">
        <f t="shared" si="409"/>
        <v>-551.06572898904767</v>
      </c>
      <c r="M211" s="2">
        <f t="shared" si="409"/>
        <v>-4674.8174786828204</v>
      </c>
      <c r="N211" s="2">
        <f t="shared" si="409"/>
        <v>0</v>
      </c>
      <c r="O211" s="2"/>
      <c r="P211" s="61" t="str">
        <f t="shared" si="436"/>
        <v>E211*     "</v>
      </c>
      <c r="Q211" s="61"/>
      <c r="R211" s="14">
        <f>SUMPRODUCT($E$35:$E$38,R$35:R$38)/SUM($E$35:$E$38)</f>
        <v>0</v>
      </c>
      <c r="S211" s="14">
        <f t="shared" ref="S211:AH211" si="444">SUMPRODUCT($E$35:$E$38,S$35:S$38)/SUM($E$35:$E$38)</f>
        <v>0</v>
      </c>
      <c r="T211" s="14">
        <f t="shared" si="444"/>
        <v>0</v>
      </c>
      <c r="U211" s="14">
        <f t="shared" si="444"/>
        <v>0</v>
      </c>
      <c r="V211" s="14">
        <f t="shared" si="444"/>
        <v>0</v>
      </c>
      <c r="W211" s="14">
        <f t="shared" si="444"/>
        <v>0</v>
      </c>
      <c r="X211" s="14">
        <f t="shared" si="444"/>
        <v>0</v>
      </c>
      <c r="Y211" s="14">
        <f t="shared" si="444"/>
        <v>0</v>
      </c>
      <c r="Z211" s="14">
        <f t="shared" si="444"/>
        <v>0</v>
      </c>
      <c r="AA211" s="14">
        <f t="shared" si="444"/>
        <v>0</v>
      </c>
      <c r="AB211" s="14">
        <f t="shared" si="444"/>
        <v>0</v>
      </c>
      <c r="AC211" s="14">
        <f t="shared" si="444"/>
        <v>0</v>
      </c>
      <c r="AD211" s="14">
        <f t="shared" si="444"/>
        <v>1</v>
      </c>
      <c r="AE211" s="14">
        <f t="shared" si="444"/>
        <v>0</v>
      </c>
      <c r="AF211" s="14">
        <f t="shared" si="444"/>
        <v>0</v>
      </c>
      <c r="AG211" s="14">
        <f t="shared" si="444"/>
        <v>0</v>
      </c>
      <c r="AH211" s="14">
        <f t="shared" si="444"/>
        <v>0</v>
      </c>
      <c r="AI211" s="76">
        <f t="shared" si="437"/>
        <v>0</v>
      </c>
      <c r="AK211" s="2">
        <f t="shared" si="411"/>
        <v>-578000</v>
      </c>
      <c r="AL211" s="2">
        <f t="shared" si="412"/>
        <v>0</v>
      </c>
      <c r="AM211" s="2">
        <f t="shared" si="412"/>
        <v>0</v>
      </c>
      <c r="AN211" s="2">
        <f t="shared" si="412"/>
        <v>-578000</v>
      </c>
      <c r="AO211" s="2">
        <f t="shared" si="412"/>
        <v>0</v>
      </c>
      <c r="AP211" s="2"/>
      <c r="AQ211" s="61" t="str">
        <f t="shared" si="438"/>
        <v>E211*      "</v>
      </c>
      <c r="AS211" s="2">
        <f t="shared" si="413"/>
        <v>0</v>
      </c>
      <c r="AT211" s="2">
        <f t="shared" si="414"/>
        <v>0</v>
      </c>
      <c r="AU211" s="2">
        <f t="shared" si="414"/>
        <v>0</v>
      </c>
      <c r="AV211" s="2">
        <f t="shared" si="414"/>
        <v>0</v>
      </c>
      <c r="AW211" s="2">
        <f t="shared" si="414"/>
        <v>0</v>
      </c>
      <c r="AX211" s="2">
        <f t="shared" si="414"/>
        <v>0</v>
      </c>
      <c r="AY211" s="2">
        <f t="shared" si="414"/>
        <v>0</v>
      </c>
      <c r="BA211" s="2">
        <f t="shared" si="415"/>
        <v>0</v>
      </c>
      <c r="BB211" s="2">
        <f t="shared" si="416"/>
        <v>0</v>
      </c>
      <c r="BC211" s="2">
        <f t="shared" si="416"/>
        <v>0</v>
      </c>
      <c r="BD211" s="2">
        <f t="shared" si="416"/>
        <v>0</v>
      </c>
      <c r="BE211" s="2">
        <f t="shared" si="416"/>
        <v>0</v>
      </c>
      <c r="BF211" s="2">
        <f t="shared" si="416"/>
        <v>0</v>
      </c>
      <c r="BG211" s="2">
        <f t="shared" si="416"/>
        <v>0</v>
      </c>
      <c r="BI211" s="2">
        <f t="shared" si="417"/>
        <v>-578000.00000000012</v>
      </c>
      <c r="BJ211" s="2">
        <f t="shared" si="418"/>
        <v>-520713.69017131743</v>
      </c>
      <c r="BK211" s="2">
        <f t="shared" si="418"/>
        <v>-52060.426621010709</v>
      </c>
      <c r="BL211" s="2">
        <f t="shared" si="418"/>
        <v>0</v>
      </c>
      <c r="BM211" s="2">
        <f t="shared" si="418"/>
        <v>-551.06572898904767</v>
      </c>
      <c r="BN211" s="2">
        <f t="shared" si="418"/>
        <v>-4674.8174786828204</v>
      </c>
      <c r="BO211" s="2">
        <f t="shared" si="418"/>
        <v>0</v>
      </c>
      <c r="BQ211" s="28" t="s">
        <v>336</v>
      </c>
      <c r="BR211" s="23">
        <v>3388.6481314145103</v>
      </c>
      <c r="BS211" s="14">
        <f t="shared" si="419"/>
        <v>0</v>
      </c>
      <c r="BT211" s="14">
        <f t="shared" si="419"/>
        <v>0</v>
      </c>
      <c r="BU211" s="14">
        <f t="shared" si="419"/>
        <v>0</v>
      </c>
      <c r="BV211" s="14">
        <f t="shared" si="420"/>
        <v>0</v>
      </c>
      <c r="BW211" s="14">
        <f t="shared" si="421"/>
        <v>0</v>
      </c>
      <c r="BX211" s="14">
        <f t="shared" si="422"/>
        <v>0</v>
      </c>
      <c r="BY211" s="14">
        <f t="shared" si="423"/>
        <v>0</v>
      </c>
      <c r="BZ211" s="14">
        <f t="shared" si="424"/>
        <v>0</v>
      </c>
      <c r="CA211" s="14">
        <f t="shared" si="425"/>
        <v>0</v>
      </c>
      <c r="CB211" s="14">
        <f t="shared" si="426"/>
        <v>0</v>
      </c>
      <c r="CC211" s="14">
        <f t="shared" si="427"/>
        <v>0</v>
      </c>
      <c r="CD211" s="14">
        <f t="shared" si="428"/>
        <v>0</v>
      </c>
      <c r="CE211" s="14">
        <f t="shared" si="429"/>
        <v>1</v>
      </c>
      <c r="CF211" s="14">
        <f t="shared" si="430"/>
        <v>0</v>
      </c>
      <c r="CG211" s="14">
        <f t="shared" si="431"/>
        <v>0</v>
      </c>
      <c r="CH211" s="14">
        <f t="shared" si="432"/>
        <v>0</v>
      </c>
      <c r="CI211" s="14">
        <f t="shared" si="433"/>
        <v>0</v>
      </c>
      <c r="CJ211" s="14"/>
      <c r="CK211" s="120" t="str">
        <f t="shared" si="434"/>
        <v>as 381-4 Mtr &amp; Reg (35-38)</v>
      </c>
      <c r="CL211" s="76">
        <f t="shared" si="440"/>
        <v>0</v>
      </c>
      <c r="CM211" s="2">
        <f t="shared" si="435"/>
        <v>3052.7949363338912</v>
      </c>
      <c r="CN211" s="2">
        <f t="shared" si="435"/>
        <v>305.21534150506949</v>
      </c>
      <c r="CO211" s="2">
        <f t="shared" si="435"/>
        <v>0</v>
      </c>
      <c r="CP211" s="2">
        <f t="shared" si="435"/>
        <v>3.2307402298015768</v>
      </c>
      <c r="CQ211" s="2">
        <f t="shared" si="435"/>
        <v>27.407113345748151</v>
      </c>
      <c r="CR211" s="2">
        <f t="shared" si="435"/>
        <v>0</v>
      </c>
    </row>
    <row r="212" spans="1:96">
      <c r="A212" s="50">
        <f t="shared" si="400"/>
        <v>212</v>
      </c>
      <c r="B212" t="s">
        <v>328</v>
      </c>
      <c r="C212" s="36" t="s">
        <v>155</v>
      </c>
      <c r="D212" s="28" t="s">
        <v>337</v>
      </c>
      <c r="E212" s="436">
        <f>PROFORMA!AV78</f>
        <v>1549000</v>
      </c>
      <c r="F212" s="60" t="s">
        <v>446</v>
      </c>
      <c r="G212" s="60" t="s">
        <v>437</v>
      </c>
      <c r="H212" s="2">
        <f t="shared" si="408"/>
        <v>1549000.0000000002</v>
      </c>
      <c r="I212" s="2">
        <f t="shared" si="409"/>
        <v>1520094.0376534378</v>
      </c>
      <c r="J212" s="2">
        <f t="shared" si="409"/>
        <v>28538.260488122829</v>
      </c>
      <c r="K212" s="2">
        <f t="shared" si="409"/>
        <v>0</v>
      </c>
      <c r="L212" s="2">
        <f t="shared" si="409"/>
        <v>18.385092921966717</v>
      </c>
      <c r="M212" s="2">
        <f t="shared" si="409"/>
        <v>349.31676551736757</v>
      </c>
      <c r="N212" s="2">
        <f t="shared" si="409"/>
        <v>0</v>
      </c>
      <c r="O212" s="2"/>
      <c r="P212" s="61" t="str">
        <f t="shared" si="436"/>
        <v>E212*     "</v>
      </c>
      <c r="Q212" s="61"/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1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76">
        <f t="shared" si="437"/>
        <v>0</v>
      </c>
      <c r="AK212" s="2">
        <f t="shared" si="411"/>
        <v>1549000</v>
      </c>
      <c r="AL212" s="2">
        <f t="shared" si="412"/>
        <v>0</v>
      </c>
      <c r="AM212" s="2">
        <f t="shared" si="412"/>
        <v>0</v>
      </c>
      <c r="AN212" s="2">
        <f t="shared" si="412"/>
        <v>1549000</v>
      </c>
      <c r="AO212" s="2">
        <f t="shared" si="412"/>
        <v>0</v>
      </c>
      <c r="AP212" s="2"/>
      <c r="AQ212" s="61" t="str">
        <f t="shared" si="438"/>
        <v>E212*      "</v>
      </c>
      <c r="AS212" s="2">
        <f t="shared" si="413"/>
        <v>0</v>
      </c>
      <c r="AT212" s="2">
        <f t="shared" si="414"/>
        <v>0</v>
      </c>
      <c r="AU212" s="2">
        <f t="shared" si="414"/>
        <v>0</v>
      </c>
      <c r="AV212" s="2">
        <f t="shared" si="414"/>
        <v>0</v>
      </c>
      <c r="AW212" s="2">
        <f t="shared" si="414"/>
        <v>0</v>
      </c>
      <c r="AX212" s="2">
        <f t="shared" si="414"/>
        <v>0</v>
      </c>
      <c r="AY212" s="2">
        <f t="shared" si="414"/>
        <v>0</v>
      </c>
      <c r="BA212" s="2">
        <f t="shared" si="415"/>
        <v>0</v>
      </c>
      <c r="BB212" s="2">
        <f t="shared" si="416"/>
        <v>0</v>
      </c>
      <c r="BC212" s="2">
        <f t="shared" si="416"/>
        <v>0</v>
      </c>
      <c r="BD212" s="2">
        <f t="shared" si="416"/>
        <v>0</v>
      </c>
      <c r="BE212" s="2">
        <f t="shared" si="416"/>
        <v>0</v>
      </c>
      <c r="BF212" s="2">
        <f t="shared" si="416"/>
        <v>0</v>
      </c>
      <c r="BG212" s="2">
        <f t="shared" si="416"/>
        <v>0</v>
      </c>
      <c r="BI212" s="2">
        <f t="shared" si="417"/>
        <v>1549000.0000000002</v>
      </c>
      <c r="BJ212" s="2">
        <f t="shared" si="418"/>
        <v>1520094.0376534378</v>
      </c>
      <c r="BK212" s="2">
        <f t="shared" si="418"/>
        <v>28538.260488122829</v>
      </c>
      <c r="BL212" s="2">
        <f t="shared" si="418"/>
        <v>0</v>
      </c>
      <c r="BM212" s="2">
        <f t="shared" si="418"/>
        <v>18.385092921966717</v>
      </c>
      <c r="BN212" s="2">
        <f t="shared" si="418"/>
        <v>349.31676551736757</v>
      </c>
      <c r="BO212" s="2">
        <f t="shared" si="418"/>
        <v>0</v>
      </c>
      <c r="BQ212" s="28" t="s">
        <v>337</v>
      </c>
      <c r="BR212" s="23">
        <v>967708.42428524548</v>
      </c>
      <c r="BS212" s="14">
        <f t="shared" si="419"/>
        <v>0</v>
      </c>
      <c r="BT212" s="14">
        <f t="shared" si="419"/>
        <v>0</v>
      </c>
      <c r="BU212" s="14">
        <f t="shared" si="419"/>
        <v>0</v>
      </c>
      <c r="BV212" s="14">
        <f t="shared" si="420"/>
        <v>0</v>
      </c>
      <c r="BW212" s="14">
        <f t="shared" si="421"/>
        <v>0</v>
      </c>
      <c r="BX212" s="14">
        <f t="shared" si="422"/>
        <v>0</v>
      </c>
      <c r="BY212" s="14">
        <f t="shared" si="423"/>
        <v>0</v>
      </c>
      <c r="BZ212" s="14">
        <f t="shared" si="424"/>
        <v>0</v>
      </c>
      <c r="CA212" s="14">
        <f t="shared" si="425"/>
        <v>0</v>
      </c>
      <c r="CB212" s="14">
        <f t="shared" si="426"/>
        <v>0</v>
      </c>
      <c r="CC212" s="14">
        <f t="shared" si="427"/>
        <v>1</v>
      </c>
      <c r="CD212" s="14">
        <f t="shared" si="428"/>
        <v>0</v>
      </c>
      <c r="CE212" s="14">
        <f t="shared" si="429"/>
        <v>0</v>
      </c>
      <c r="CF212" s="14">
        <f t="shared" si="430"/>
        <v>0</v>
      </c>
      <c r="CG212" s="14">
        <f t="shared" si="431"/>
        <v>0</v>
      </c>
      <c r="CH212" s="14">
        <f t="shared" si="432"/>
        <v>0</v>
      </c>
      <c r="CI212" s="14">
        <f t="shared" si="433"/>
        <v>0</v>
      </c>
      <c r="CJ212" s="14"/>
      <c r="CK212" s="120" t="str">
        <f t="shared" si="434"/>
        <v>Input - 100% Install cost</v>
      </c>
      <c r="CL212" s="76">
        <f t="shared" si="440"/>
        <v>0</v>
      </c>
      <c r="CM212" s="2">
        <f t="shared" si="435"/>
        <v>949649.97155778238</v>
      </c>
      <c r="CN212" s="2">
        <f t="shared" si="435"/>
        <v>17828.737952745789</v>
      </c>
      <c r="CO212" s="2">
        <f t="shared" si="435"/>
        <v>0</v>
      </c>
      <c r="CP212" s="2">
        <f t="shared" si="435"/>
        <v>11.485738735864576</v>
      </c>
      <c r="CQ212" s="2">
        <f t="shared" si="435"/>
        <v>218.22903598142693</v>
      </c>
      <c r="CR212" s="2">
        <f t="shared" si="435"/>
        <v>0</v>
      </c>
    </row>
    <row r="213" spans="1:96">
      <c r="A213" s="50">
        <f t="shared" si="400"/>
        <v>213</v>
      </c>
      <c r="B213" t="s">
        <v>329</v>
      </c>
      <c r="C213" s="36" t="s">
        <v>155</v>
      </c>
      <c r="D213" s="28" t="s">
        <v>338</v>
      </c>
      <c r="E213" s="436">
        <f>PROFORMA!AV79</f>
        <v>2206000</v>
      </c>
      <c r="F213" s="60" t="s">
        <v>124</v>
      </c>
      <c r="G213" s="60"/>
      <c r="H213" s="2">
        <f t="shared" si="408"/>
        <v>2206000</v>
      </c>
      <c r="I213" s="2">
        <f t="shared" si="409"/>
        <v>1833291.509152747</v>
      </c>
      <c r="J213" s="2">
        <f t="shared" si="409"/>
        <v>265907.28033979045</v>
      </c>
      <c r="K213" s="2">
        <f t="shared" si="409"/>
        <v>0</v>
      </c>
      <c r="L213" s="2">
        <f t="shared" si="409"/>
        <v>3400.7847168217404</v>
      </c>
      <c r="M213" s="2">
        <f t="shared" si="409"/>
        <v>103400.42579064087</v>
      </c>
      <c r="N213" s="2">
        <f t="shared" si="409"/>
        <v>0</v>
      </c>
      <c r="O213" s="2"/>
      <c r="P213" s="61" t="str">
        <f t="shared" si="436"/>
        <v>E213*     "</v>
      </c>
      <c r="Q213" s="61"/>
      <c r="R213" s="14">
        <f t="shared" ref="R213:AA214" si="445">(SUMPRODUCT($E$205:$E$212,R$205:R$212)+$E$225*R$225)/SUM($E$205:$E$212,$E$225)</f>
        <v>0.14289079916445172</v>
      </c>
      <c r="S213" s="14">
        <f t="shared" si="445"/>
        <v>0</v>
      </c>
      <c r="T213" s="14">
        <f t="shared" si="445"/>
        <v>0</v>
      </c>
      <c r="U213" s="14">
        <f t="shared" si="445"/>
        <v>0</v>
      </c>
      <c r="V213" s="14">
        <f t="shared" si="445"/>
        <v>0</v>
      </c>
      <c r="W213" s="14">
        <f t="shared" si="445"/>
        <v>0.26345863917573592</v>
      </c>
      <c r="X213" s="14">
        <f t="shared" si="445"/>
        <v>0</v>
      </c>
      <c r="Y213" s="14">
        <f t="shared" si="445"/>
        <v>0</v>
      </c>
      <c r="Z213" s="14">
        <f t="shared" si="445"/>
        <v>0</v>
      </c>
      <c r="AA213" s="14">
        <f t="shared" si="445"/>
        <v>0</v>
      </c>
      <c r="AB213" s="14">
        <f t="shared" ref="AB213:AH214" si="446">(SUMPRODUCT($E$205:$E$212,AB$205:AB$212)+$E$225*AB$225)/SUM($E$205:$E$212,$E$225)</f>
        <v>0.14061365286855482</v>
      </c>
      <c r="AC213" s="14">
        <f t="shared" si="446"/>
        <v>0.3253806188824358</v>
      </c>
      <c r="AD213" s="14">
        <f t="shared" si="446"/>
        <v>0.1244719580859722</v>
      </c>
      <c r="AE213" s="14">
        <f t="shared" si="446"/>
        <v>0</v>
      </c>
      <c r="AF213" s="14">
        <f t="shared" si="446"/>
        <v>3.1843318228494746E-3</v>
      </c>
      <c r="AG213" s="14">
        <f t="shared" si="446"/>
        <v>0</v>
      </c>
      <c r="AH213" s="14">
        <f t="shared" si="446"/>
        <v>0</v>
      </c>
      <c r="AI213" s="76">
        <f t="shared" si="437"/>
        <v>0</v>
      </c>
      <c r="AK213" s="2">
        <f t="shared" si="411"/>
        <v>2206000</v>
      </c>
      <c r="AL213" s="2">
        <f t="shared" si="412"/>
        <v>315217.10295678047</v>
      </c>
      <c r="AM213" s="2">
        <f t="shared" si="412"/>
        <v>581189.75802167342</v>
      </c>
      <c r="AN213" s="2">
        <f t="shared" si="412"/>
        <v>1309593.1390215461</v>
      </c>
      <c r="AO213" s="2">
        <f t="shared" si="412"/>
        <v>0</v>
      </c>
      <c r="AP213" s="2"/>
      <c r="AQ213" s="61" t="str">
        <f t="shared" si="438"/>
        <v>E213*      "</v>
      </c>
      <c r="AS213" s="2">
        <f t="shared" si="413"/>
        <v>315217.10295678052</v>
      </c>
      <c r="AT213" s="2">
        <f t="shared" si="414"/>
        <v>182682.9248246724</v>
      </c>
      <c r="AU213" s="2">
        <f t="shared" si="414"/>
        <v>81853.526167720192</v>
      </c>
      <c r="AV213" s="2">
        <f t="shared" si="414"/>
        <v>0</v>
      </c>
      <c r="AW213" s="2">
        <f t="shared" si="414"/>
        <v>1318.9599410247847</v>
      </c>
      <c r="AX213" s="2">
        <f t="shared" si="414"/>
        <v>49361.692023363132</v>
      </c>
      <c r="AY213" s="2">
        <f t="shared" si="414"/>
        <v>0</v>
      </c>
      <c r="BA213" s="2">
        <f t="shared" si="415"/>
        <v>581189.75802167342</v>
      </c>
      <c r="BB213" s="2">
        <f t="shared" si="416"/>
        <v>396841.14758596313</v>
      </c>
      <c r="BC213" s="2">
        <f t="shared" si="416"/>
        <v>134320.72726969025</v>
      </c>
      <c r="BD213" s="2">
        <f t="shared" si="416"/>
        <v>0</v>
      </c>
      <c r="BE213" s="2">
        <f t="shared" si="416"/>
        <v>1687.4421535761624</v>
      </c>
      <c r="BF213" s="2">
        <f t="shared" si="416"/>
        <v>48340.441012443895</v>
      </c>
      <c r="BG213" s="2">
        <f t="shared" si="416"/>
        <v>0</v>
      </c>
      <c r="BI213" s="2">
        <f t="shared" si="417"/>
        <v>1309593.1390215459</v>
      </c>
      <c r="BJ213" s="2">
        <f t="shared" si="418"/>
        <v>1253767.4367421113</v>
      </c>
      <c r="BK213" s="2">
        <f t="shared" si="418"/>
        <v>49733.026902379992</v>
      </c>
      <c r="BL213" s="2">
        <f t="shared" si="418"/>
        <v>0</v>
      </c>
      <c r="BM213" s="2">
        <f t="shared" si="418"/>
        <v>394.38262222079373</v>
      </c>
      <c r="BN213" s="2">
        <f t="shared" si="418"/>
        <v>5698.2927548338721</v>
      </c>
      <c r="BO213" s="2">
        <f t="shared" si="418"/>
        <v>0</v>
      </c>
      <c r="BQ213" s="28" t="s">
        <v>338</v>
      </c>
      <c r="BR213" s="23">
        <v>1130263.5968731593</v>
      </c>
      <c r="BS213" s="14">
        <f>(SUMPRODUCT($BR$205:$BR$212,BS$205:BS$212)+$BR$225*BS$225)/SUM($BR$205:$BR$212,$BR$225)</f>
        <v>0.13486384414183281</v>
      </c>
      <c r="BT213" s="14">
        <f t="shared" ref="BT213:CI214" si="447">(SUMPRODUCT($BR$205:$BR$212,BT$205:BT$212)+$BR$225*BT$225)/SUM($BR$205:$BR$212,$BR$225)</f>
        <v>0</v>
      </c>
      <c r="BU213" s="14">
        <f t="shared" si="447"/>
        <v>0</v>
      </c>
      <c r="BV213" s="14">
        <f t="shared" si="447"/>
        <v>0</v>
      </c>
      <c r="BW213" s="14">
        <f t="shared" si="447"/>
        <v>0</v>
      </c>
      <c r="BX213" s="14">
        <f t="shared" si="447"/>
        <v>0.24865873141855319</v>
      </c>
      <c r="BY213" s="14">
        <f t="shared" si="447"/>
        <v>0</v>
      </c>
      <c r="BZ213" s="14">
        <f t="shared" si="447"/>
        <v>0</v>
      </c>
      <c r="CA213" s="14">
        <f t="shared" si="447"/>
        <v>0</v>
      </c>
      <c r="CB213" s="14">
        <f t="shared" si="447"/>
        <v>0</v>
      </c>
      <c r="CC213" s="14">
        <f t="shared" si="447"/>
        <v>0.17464810968728492</v>
      </c>
      <c r="CD213" s="14">
        <f t="shared" si="447"/>
        <v>0.28963011752389817</v>
      </c>
      <c r="CE213" s="14">
        <f t="shared" si="447"/>
        <v>0.14862508388422321</v>
      </c>
      <c r="CF213" s="14">
        <f t="shared" si="447"/>
        <v>0</v>
      </c>
      <c r="CG213" s="14">
        <f t="shared" si="447"/>
        <v>3.5741133442077433E-3</v>
      </c>
      <c r="CH213" s="14">
        <f t="shared" si="447"/>
        <v>0</v>
      </c>
      <c r="CI213" s="14">
        <f t="shared" si="447"/>
        <v>0</v>
      </c>
      <c r="CJ213" s="14"/>
      <c r="CK213" s="120" t="s">
        <v>617</v>
      </c>
      <c r="CL213" s="76">
        <f t="shared" si="440"/>
        <v>0</v>
      </c>
      <c r="CM213" s="2">
        <f t="shared" si="435"/>
        <v>945448.87967350904</v>
      </c>
      <c r="CN213" s="2">
        <f t="shared" si="435"/>
        <v>132826.69046526862</v>
      </c>
      <c r="CO213" s="2">
        <f t="shared" si="435"/>
        <v>0</v>
      </c>
      <c r="CP213" s="2">
        <f t="shared" si="435"/>
        <v>1686.6503904273179</v>
      </c>
      <c r="CQ213" s="2">
        <f t="shared" si="435"/>
        <v>50301.376343954405</v>
      </c>
      <c r="CR213" s="2">
        <f t="shared" si="435"/>
        <v>0</v>
      </c>
    </row>
    <row r="214" spans="1:96">
      <c r="A214" s="50">
        <f t="shared" si="400"/>
        <v>214</v>
      </c>
      <c r="B214" t="s">
        <v>330</v>
      </c>
      <c r="C214" s="36" t="s">
        <v>155</v>
      </c>
      <c r="D214" s="28" t="s">
        <v>2</v>
      </c>
      <c r="E214" s="436">
        <f>PROFORMA!AV80</f>
        <v>27000</v>
      </c>
      <c r="F214" s="60" t="s">
        <v>124</v>
      </c>
      <c r="G214" s="60"/>
      <c r="H214" s="2">
        <f t="shared" si="408"/>
        <v>27000</v>
      </c>
      <c r="I214" s="2">
        <f t="shared" si="409"/>
        <v>22438.291363156921</v>
      </c>
      <c r="J214" s="2">
        <f t="shared" si="409"/>
        <v>3254.5315363437635</v>
      </c>
      <c r="K214" s="2">
        <f t="shared" si="409"/>
        <v>0</v>
      </c>
      <c r="L214" s="2">
        <f t="shared" si="409"/>
        <v>41.623385020030369</v>
      </c>
      <c r="M214" s="2">
        <f t="shared" si="409"/>
        <v>1265.5537154792855</v>
      </c>
      <c r="N214" s="2">
        <f t="shared" si="409"/>
        <v>0</v>
      </c>
      <c r="O214" s="2"/>
      <c r="P214" s="61" t="str">
        <f t="shared" si="436"/>
        <v>E214*     "</v>
      </c>
      <c r="Q214" s="61"/>
      <c r="R214" s="14">
        <f t="shared" si="445"/>
        <v>0.14289079916445172</v>
      </c>
      <c r="S214" s="14">
        <f t="shared" si="445"/>
        <v>0</v>
      </c>
      <c r="T214" s="14">
        <f t="shared" si="445"/>
        <v>0</v>
      </c>
      <c r="U214" s="14">
        <f t="shared" si="445"/>
        <v>0</v>
      </c>
      <c r="V214" s="14">
        <f t="shared" si="445"/>
        <v>0</v>
      </c>
      <c r="W214" s="14">
        <f t="shared" si="445"/>
        <v>0.26345863917573592</v>
      </c>
      <c r="X214" s="14">
        <f t="shared" si="445"/>
        <v>0</v>
      </c>
      <c r="Y214" s="14">
        <f t="shared" si="445"/>
        <v>0</v>
      </c>
      <c r="Z214" s="14">
        <f t="shared" si="445"/>
        <v>0</v>
      </c>
      <c r="AA214" s="14">
        <f t="shared" si="445"/>
        <v>0</v>
      </c>
      <c r="AB214" s="14">
        <f t="shared" si="446"/>
        <v>0.14061365286855482</v>
      </c>
      <c r="AC214" s="14">
        <f t="shared" si="446"/>
        <v>0.3253806188824358</v>
      </c>
      <c r="AD214" s="14">
        <f t="shared" si="446"/>
        <v>0.1244719580859722</v>
      </c>
      <c r="AE214" s="14">
        <f t="shared" si="446"/>
        <v>0</v>
      </c>
      <c r="AF214" s="14">
        <f t="shared" si="446"/>
        <v>3.1843318228494746E-3</v>
      </c>
      <c r="AG214" s="14">
        <f t="shared" si="446"/>
        <v>0</v>
      </c>
      <c r="AH214" s="14">
        <f t="shared" si="446"/>
        <v>0</v>
      </c>
      <c r="AI214" s="76">
        <f t="shared" si="437"/>
        <v>0</v>
      </c>
      <c r="AK214" s="2">
        <f t="shared" si="411"/>
        <v>27000</v>
      </c>
      <c r="AL214" s="2">
        <f t="shared" si="412"/>
        <v>3858.0515774401965</v>
      </c>
      <c r="AM214" s="2">
        <f t="shared" si="412"/>
        <v>7113.3832577448702</v>
      </c>
      <c r="AN214" s="2">
        <f t="shared" si="412"/>
        <v>16028.565164814932</v>
      </c>
      <c r="AO214" s="2">
        <f t="shared" si="412"/>
        <v>0</v>
      </c>
      <c r="AP214" s="2"/>
      <c r="AQ214" s="61" t="str">
        <f t="shared" si="438"/>
        <v>E214*      "</v>
      </c>
      <c r="AS214" s="2">
        <f t="shared" si="413"/>
        <v>3858.0515774401965</v>
      </c>
      <c r="AT214" s="2">
        <f t="shared" si="414"/>
        <v>2235.9197508006141</v>
      </c>
      <c r="AU214" s="2">
        <f t="shared" si="414"/>
        <v>1001.8337291606732</v>
      </c>
      <c r="AV214" s="2">
        <f t="shared" si="414"/>
        <v>0</v>
      </c>
      <c r="AW214" s="2">
        <f t="shared" si="414"/>
        <v>16.143208707012324</v>
      </c>
      <c r="AX214" s="2">
        <f t="shared" si="414"/>
        <v>604.15488877189694</v>
      </c>
      <c r="AY214" s="2">
        <f t="shared" si="414"/>
        <v>0</v>
      </c>
      <c r="BA214" s="2">
        <f t="shared" si="415"/>
        <v>7113.3832577448702</v>
      </c>
      <c r="BB214" s="2">
        <f t="shared" si="416"/>
        <v>4857.0766023667293</v>
      </c>
      <c r="BC214" s="2">
        <f t="shared" si="416"/>
        <v>1643.998021886508</v>
      </c>
      <c r="BD214" s="2">
        <f t="shared" si="416"/>
        <v>0</v>
      </c>
      <c r="BE214" s="2">
        <f t="shared" si="416"/>
        <v>20.653190456281223</v>
      </c>
      <c r="BF214" s="2">
        <f t="shared" si="416"/>
        <v>591.65544303535137</v>
      </c>
      <c r="BG214" s="2">
        <f t="shared" si="416"/>
        <v>0</v>
      </c>
      <c r="BI214" s="2">
        <f t="shared" si="417"/>
        <v>16028.565164814932</v>
      </c>
      <c r="BJ214" s="2">
        <f t="shared" si="418"/>
        <v>15345.295009989577</v>
      </c>
      <c r="BK214" s="2">
        <f t="shared" si="418"/>
        <v>608.69978529658204</v>
      </c>
      <c r="BL214" s="2">
        <f t="shared" si="418"/>
        <v>0</v>
      </c>
      <c r="BM214" s="2">
        <f t="shared" si="418"/>
        <v>4.8269858567368225</v>
      </c>
      <c r="BN214" s="2">
        <f t="shared" si="418"/>
        <v>69.743383672037425</v>
      </c>
      <c r="BO214" s="2">
        <f t="shared" si="418"/>
        <v>0</v>
      </c>
      <c r="BQ214" s="28" t="s">
        <v>2</v>
      </c>
      <c r="BR214" s="23">
        <v>3934.7847159294574</v>
      </c>
      <c r="BS214" s="14">
        <f>(SUMPRODUCT($BR$205:$BR$212,BS$205:BS$212)+$BR$225*BS$225)/SUM($BR$205:$BR$212,$BR$225)</f>
        <v>0.13486384414183281</v>
      </c>
      <c r="BT214" s="14">
        <f t="shared" si="447"/>
        <v>0</v>
      </c>
      <c r="BU214" s="14">
        <f t="shared" si="447"/>
        <v>0</v>
      </c>
      <c r="BV214" s="14">
        <f t="shared" si="447"/>
        <v>0</v>
      </c>
      <c r="BW214" s="14">
        <f t="shared" si="447"/>
        <v>0</v>
      </c>
      <c r="BX214" s="14">
        <f t="shared" si="447"/>
        <v>0.24865873141855319</v>
      </c>
      <c r="BY214" s="14">
        <f t="shared" si="447"/>
        <v>0</v>
      </c>
      <c r="BZ214" s="14">
        <f t="shared" si="447"/>
        <v>0</v>
      </c>
      <c r="CA214" s="14">
        <f t="shared" si="447"/>
        <v>0</v>
      </c>
      <c r="CB214" s="14">
        <f t="shared" si="447"/>
        <v>0</v>
      </c>
      <c r="CC214" s="14">
        <f t="shared" si="447"/>
        <v>0.17464810968728492</v>
      </c>
      <c r="CD214" s="14">
        <f t="shared" si="447"/>
        <v>0.28963011752389817</v>
      </c>
      <c r="CE214" s="14">
        <f t="shared" si="447"/>
        <v>0.14862508388422321</v>
      </c>
      <c r="CF214" s="14">
        <f t="shared" si="447"/>
        <v>0</v>
      </c>
      <c r="CG214" s="14">
        <f t="shared" si="447"/>
        <v>3.5741133442077433E-3</v>
      </c>
      <c r="CH214" s="14">
        <f t="shared" si="447"/>
        <v>0</v>
      </c>
      <c r="CI214" s="14">
        <f t="shared" si="447"/>
        <v>0</v>
      </c>
      <c r="CJ214" s="14"/>
      <c r="CK214" s="120" t="s">
        <v>617</v>
      </c>
      <c r="CL214" s="76">
        <f t="shared" si="440"/>
        <v>0</v>
      </c>
      <c r="CM214" s="2">
        <f t="shared" si="435"/>
        <v>3291.3895587928364</v>
      </c>
      <c r="CN214" s="2">
        <f t="shared" si="435"/>
        <v>462.40932907696254</v>
      </c>
      <c r="CO214" s="2">
        <f t="shared" si="435"/>
        <v>0</v>
      </c>
      <c r="CP214" s="2">
        <f t="shared" si="435"/>
        <v>5.8717331034369655</v>
      </c>
      <c r="CQ214" s="2">
        <f t="shared" si="435"/>
        <v>175.11409495622192</v>
      </c>
      <c r="CR214" s="2">
        <f t="shared" si="435"/>
        <v>0</v>
      </c>
    </row>
    <row r="215" spans="1:96">
      <c r="A215" s="50">
        <f t="shared" si="400"/>
        <v>215</v>
      </c>
      <c r="D215" s="52" t="s">
        <v>7</v>
      </c>
      <c r="E215" s="3">
        <f>SUM(E204:E214)</f>
        <v>8706000</v>
      </c>
      <c r="F215" s="62"/>
      <c r="G215" s="62"/>
      <c r="H215" s="3">
        <f>IF(ROUND(SUM(H204:H214),3)&lt;&gt;ROUND(SUM(I215:N215),3),#VALUE!,SUM(H204:H214))</f>
        <v>8706000</v>
      </c>
      <c r="I215" s="3">
        <f t="shared" ref="I215:N215" si="448">SUM(I204:I214)</f>
        <v>7149652.5265865885</v>
      </c>
      <c r="J215" s="3">
        <f t="shared" si="448"/>
        <v>1084996.6463955957</v>
      </c>
      <c r="K215" s="3">
        <f t="shared" si="448"/>
        <v>0</v>
      </c>
      <c r="L215" s="3">
        <f t="shared" si="448"/>
        <v>14103.665357907077</v>
      </c>
      <c r="M215" s="3">
        <f t="shared" si="448"/>
        <v>457247.16165990871</v>
      </c>
      <c r="N215" s="3">
        <f t="shared" si="448"/>
        <v>0</v>
      </c>
      <c r="O215" s="5"/>
      <c r="P215" s="61" t="str">
        <f>$A204&amp;":"&amp;A214</f>
        <v>204:214</v>
      </c>
      <c r="Q215" s="61"/>
      <c r="R215" s="22">
        <f t="shared" ref="R215:AH215" si="449">SUMPRODUCT($E$205:$E$214,R$205:R$214)/$E215</f>
        <v>0.16466039882381081</v>
      </c>
      <c r="S215" s="22">
        <f t="shared" si="449"/>
        <v>0</v>
      </c>
      <c r="T215" s="22">
        <f t="shared" si="449"/>
        <v>0</v>
      </c>
      <c r="U215" s="22">
        <f t="shared" si="449"/>
        <v>0</v>
      </c>
      <c r="V215" s="22">
        <f t="shared" si="449"/>
        <v>0</v>
      </c>
      <c r="W215" s="22">
        <f t="shared" si="449"/>
        <v>0.3035969065462929</v>
      </c>
      <c r="X215" s="22">
        <f t="shared" si="449"/>
        <v>0</v>
      </c>
      <c r="Y215" s="22">
        <f t="shared" si="449"/>
        <v>0</v>
      </c>
      <c r="Z215" s="22">
        <f t="shared" si="449"/>
        <v>0</v>
      </c>
      <c r="AA215" s="22">
        <f t="shared" si="449"/>
        <v>0</v>
      </c>
      <c r="AB215" s="22">
        <f t="shared" si="449"/>
        <v>0.21398923579778117</v>
      </c>
      <c r="AC215" s="22">
        <f t="shared" si="449"/>
        <v>0.32172274204433393</v>
      </c>
      <c r="AD215" s="22">
        <f t="shared" si="449"/>
        <v>-6.8064444128456032E-3</v>
      </c>
      <c r="AE215" s="22">
        <f t="shared" si="449"/>
        <v>0</v>
      </c>
      <c r="AF215" s="22">
        <f t="shared" si="449"/>
        <v>2.8371612006267031E-3</v>
      </c>
      <c r="AG215" s="22">
        <f t="shared" si="449"/>
        <v>0</v>
      </c>
      <c r="AH215" s="22">
        <f t="shared" si="449"/>
        <v>0</v>
      </c>
      <c r="AI215" s="76">
        <f t="shared" si="437"/>
        <v>0</v>
      </c>
      <c r="AK215" s="3">
        <f>IF(ROUND(SUM(AK204:AK214),3)&lt;&gt;ROUND(SUM(AL215:AO215),3),#VALUE!,SUM(AK204:AK214))</f>
        <v>8706000</v>
      </c>
      <c r="AL215" s="3">
        <f>SUM(AL204:AL214)</f>
        <v>1433533.4321600969</v>
      </c>
      <c r="AM215" s="3">
        <f>SUM(AM204:AM214)</f>
        <v>2643114.6683920259</v>
      </c>
      <c r="AN215" s="3">
        <f>SUM(AN204:AN214)</f>
        <v>4629351.899447876</v>
      </c>
      <c r="AO215" s="3">
        <f>SUM(AO204:AO214)</f>
        <v>0</v>
      </c>
      <c r="AP215" s="5"/>
      <c r="AQ215" s="61" t="str">
        <f>$A204&amp;":"&amp;A214</f>
        <v>204:214</v>
      </c>
      <c r="AS215" s="3">
        <f>IF(ROUND(SUM(AS204:AS214),3)&lt;&gt;ROUND(SUM(AT215:AY215),3),#VALUE!,SUM(AS204:AS214))</f>
        <v>1433533.4321600972</v>
      </c>
      <c r="AT215" s="3">
        <f t="shared" ref="AT215:AY215" si="450">SUM(AT204:AT214)</f>
        <v>830799.0834395315</v>
      </c>
      <c r="AU215" s="3">
        <f t="shared" si="450"/>
        <v>372250.63361395948</v>
      </c>
      <c r="AV215" s="3">
        <f t="shared" si="450"/>
        <v>0</v>
      </c>
      <c r="AW215" s="3">
        <f t="shared" si="450"/>
        <v>5998.3203747614643</v>
      </c>
      <c r="AX215" s="3">
        <f t="shared" si="450"/>
        <v>224485.39473184486</v>
      </c>
      <c r="AY215" s="3">
        <f t="shared" si="450"/>
        <v>0</v>
      </c>
      <c r="BA215" s="3">
        <f>IF(ROUND(SUM(BA204:BA214),3)&lt;&gt;ROUND(SUM(BB215:BG215),3),#VALUE!,SUM(BA204:BA214))</f>
        <v>2643114.6683920259</v>
      </c>
      <c r="BB215" s="3">
        <f t="shared" ref="BB215:BG215" si="451">SUM(BB204:BB214)</f>
        <v>1804740.4375747261</v>
      </c>
      <c r="BC215" s="3">
        <f t="shared" si="451"/>
        <v>610859.15506164799</v>
      </c>
      <c r="BD215" s="3">
        <f t="shared" si="451"/>
        <v>0</v>
      </c>
      <c r="BE215" s="3">
        <f t="shared" si="451"/>
        <v>7674.0910289989324</v>
      </c>
      <c r="BF215" s="3">
        <f t="shared" si="451"/>
        <v>219840.98472665311</v>
      </c>
      <c r="BG215" s="3">
        <f t="shared" si="451"/>
        <v>0</v>
      </c>
      <c r="BI215" s="3">
        <f>IF(ROUND(SUM(BI204:BI214),3)&lt;&gt;ROUND(SUM(BJ215:BO215),3),#VALUE!,SUM(BI204:BI214))</f>
        <v>4629351.899447876</v>
      </c>
      <c r="BJ215" s="3">
        <f t="shared" ref="BJ215:BO215" si="452">SUM(BJ204:BJ214)</f>
        <v>4514113.0055723302</v>
      </c>
      <c r="BK215" s="3">
        <f t="shared" si="452"/>
        <v>101886.85771998818</v>
      </c>
      <c r="BL215" s="3">
        <f t="shared" si="452"/>
        <v>0</v>
      </c>
      <c r="BM215" s="3">
        <f t="shared" si="452"/>
        <v>431.25395414668276</v>
      </c>
      <c r="BN215" s="3">
        <f t="shared" si="452"/>
        <v>12920.782201410855</v>
      </c>
      <c r="BO215" s="3">
        <f t="shared" si="452"/>
        <v>0</v>
      </c>
      <c r="BQ215" s="52" t="s">
        <v>7</v>
      </c>
      <c r="BR215" s="577">
        <f>IF(ROUND(SUM(BR204:BR214),3)&lt;&gt;ROUND(SUM(CM215:CR215),3),#VALUE!,SUM(BR204:BR214))</f>
        <v>4605612.5448630815</v>
      </c>
      <c r="BS215" s="22">
        <f>IF(SUM($BR$205:$BR$214)=0,0,SUMPRODUCT($BR$205:$BR$214,BS$205:BS$214)/$BR$215)</f>
        <v>0.14230080058189082</v>
      </c>
      <c r="BT215" s="22">
        <f t="shared" ref="BT215:CI215" si="453">IF(SUM($BR$205:$BR$214)=0,0,SUMPRODUCT($BR$205:$BR$214,BT$205:BT$214)/$BR$215)</f>
        <v>0</v>
      </c>
      <c r="BU215" s="22">
        <f t="shared" si="453"/>
        <v>0</v>
      </c>
      <c r="BV215" s="22">
        <f t="shared" si="453"/>
        <v>0</v>
      </c>
      <c r="BW215" s="22">
        <f t="shared" si="453"/>
        <v>0</v>
      </c>
      <c r="BX215" s="22">
        <f t="shared" si="453"/>
        <v>0.26237081389526984</v>
      </c>
      <c r="BY215" s="22">
        <f t="shared" si="453"/>
        <v>0</v>
      </c>
      <c r="BZ215" s="22">
        <f t="shared" si="453"/>
        <v>0</v>
      </c>
      <c r="CA215" s="22">
        <f t="shared" si="453"/>
        <v>0</v>
      </c>
      <c r="CB215" s="22">
        <f t="shared" si="453"/>
        <v>0</v>
      </c>
      <c r="CC215" s="22">
        <f t="shared" si="453"/>
        <v>0.25312464222385322</v>
      </c>
      <c r="CD215" s="22">
        <f t="shared" si="453"/>
        <v>0.27191658602621932</v>
      </c>
      <c r="CE215" s="22">
        <f t="shared" si="453"/>
        <v>6.7189708446922708E-2</v>
      </c>
      <c r="CF215" s="22">
        <f t="shared" si="453"/>
        <v>0</v>
      </c>
      <c r="CG215" s="22">
        <f t="shared" si="453"/>
        <v>3.0974488258442017E-3</v>
      </c>
      <c r="CH215" s="22">
        <f t="shared" si="453"/>
        <v>0</v>
      </c>
      <c r="CI215" s="22">
        <f t="shared" si="453"/>
        <v>0</v>
      </c>
      <c r="CJ215" s="42"/>
      <c r="CK215" s="42"/>
      <c r="CL215" s="76">
        <f t="shared" si="440"/>
        <v>0</v>
      </c>
      <c r="CM215" s="3">
        <f t="shared" ref="CM215:CR215" si="454">SUM(CM204:CM214)</f>
        <v>3852513.266687409</v>
      </c>
      <c r="CN215" s="3">
        <f t="shared" si="454"/>
        <v>534204.38343284442</v>
      </c>
      <c r="CO215" s="3">
        <f t="shared" si="454"/>
        <v>0</v>
      </c>
      <c r="CP215" s="3">
        <f t="shared" si="454"/>
        <v>6812.2494584376864</v>
      </c>
      <c r="CQ215" s="3">
        <f t="shared" si="454"/>
        <v>212082.64528439075</v>
      </c>
      <c r="CR215" s="3">
        <f t="shared" si="454"/>
        <v>0</v>
      </c>
    </row>
    <row r="216" spans="1:96">
      <c r="A216" s="50">
        <f t="shared" si="400"/>
        <v>216</v>
      </c>
      <c r="B216" t="s">
        <v>340</v>
      </c>
      <c r="C216" s="36" t="s">
        <v>155</v>
      </c>
      <c r="D216" s="28" t="s">
        <v>1</v>
      </c>
      <c r="E216" s="436">
        <f>PROFORMA!AV83</f>
        <v>86000</v>
      </c>
      <c r="F216" s="60" t="str">
        <f>"as Distrib Plant ("&amp;A$41&amp;")"</f>
        <v>as Distrib Plant (41)</v>
      </c>
      <c r="G216" s="60" t="s">
        <v>436</v>
      </c>
      <c r="H216" s="2">
        <f t="shared" ref="H216:H224" si="455">SUM(I216:N216)</f>
        <v>86000</v>
      </c>
      <c r="I216" s="2">
        <f t="shared" ref="I216:N224" si="456">$E216*SUMPRODUCT($R216:$AH216,INDEX(AllocFactors,I$4,0))</f>
        <v>68150.239764712955</v>
      </c>
      <c r="J216" s="2">
        <f t="shared" si="456"/>
        <v>12621.734844920322</v>
      </c>
      <c r="K216" s="2">
        <f t="shared" si="456"/>
        <v>0</v>
      </c>
      <c r="L216" s="2">
        <f t="shared" si="456"/>
        <v>166.56317436916194</v>
      </c>
      <c r="M216" s="2">
        <f t="shared" si="456"/>
        <v>5061.4622159975543</v>
      </c>
      <c r="N216" s="2">
        <f t="shared" si="456"/>
        <v>0</v>
      </c>
      <c r="O216" s="2"/>
      <c r="P216" s="61" t="str">
        <f>E$1&amp;$A216&amp;"* Sum["&amp;$R$1&amp;$A216&amp;":"&amp;$AH$1&amp;$A216&amp;"* "&amp;Factors!D$1&amp;Factors!$A$58&amp;":"&amp;Factors!S$1&amp;Factors!$A$64&amp;"]"</f>
        <v>E216* Sum[R216:AH216* D1040:S1046]</v>
      </c>
      <c r="Q216" s="61"/>
      <c r="R216" s="14">
        <f>R$41</f>
        <v>0.18032917602090978</v>
      </c>
      <c r="S216" s="14">
        <f>S$41</f>
        <v>0</v>
      </c>
      <c r="T216" s="14">
        <f t="shared" ref="T216:AH216" si="457">T$41</f>
        <v>0</v>
      </c>
      <c r="U216" s="14">
        <f t="shared" si="457"/>
        <v>0</v>
      </c>
      <c r="V216" s="14">
        <f t="shared" si="457"/>
        <v>0</v>
      </c>
      <c r="W216" s="14">
        <f t="shared" si="457"/>
        <v>0.33248662332325996</v>
      </c>
      <c r="X216" s="14">
        <f t="shared" si="457"/>
        <v>0</v>
      </c>
      <c r="Y216" s="14">
        <f t="shared" si="457"/>
        <v>0</v>
      </c>
      <c r="Z216" s="14">
        <f>Z$41</f>
        <v>0</v>
      </c>
      <c r="AA216" s="14">
        <f t="shared" si="457"/>
        <v>0</v>
      </c>
      <c r="AB216" s="14">
        <f>AB$41</f>
        <v>0</v>
      </c>
      <c r="AC216" s="14">
        <f t="shared" si="457"/>
        <v>0.34784812665025233</v>
      </c>
      <c r="AD216" s="14">
        <f t="shared" si="457"/>
        <v>0.13399956178953271</v>
      </c>
      <c r="AE216" s="14">
        <f>AE$41</f>
        <v>0</v>
      </c>
      <c r="AF216" s="14">
        <f t="shared" si="457"/>
        <v>5.3365122160451877E-3</v>
      </c>
      <c r="AG216" s="14">
        <f t="shared" si="457"/>
        <v>0</v>
      </c>
      <c r="AH216" s="14">
        <f t="shared" si="457"/>
        <v>0</v>
      </c>
      <c r="AI216" s="76">
        <f t="shared" si="437"/>
        <v>0</v>
      </c>
      <c r="AK216" s="2">
        <f t="shared" ref="AK216:AK224" si="458">SUM(AL216:AO216)</f>
        <v>86000</v>
      </c>
      <c r="AL216" s="2">
        <f t="shared" ref="AL216:AO224" si="459">SUMIF($R$4:$AH$4,AL$5,$R216:$AH216)*$E216</f>
        <v>15508.309137798242</v>
      </c>
      <c r="AM216" s="2">
        <f t="shared" si="459"/>
        <v>28593.849605800355</v>
      </c>
      <c r="AN216" s="2">
        <f t="shared" si="459"/>
        <v>41897.8412564014</v>
      </c>
      <c r="AO216" s="2">
        <f t="shared" si="459"/>
        <v>0</v>
      </c>
      <c r="AP216" s="2"/>
      <c r="AQ216" s="61" t="str">
        <f>E$1&amp;$A216&amp;"*["&amp;R$1&amp;$A216&amp;":"&amp;$AH$1&amp;$A216&amp;" when "&amp;R$1&amp;$A$4&amp;":"&amp;$AH$1&amp;$A$4&amp;" = E,D,C,or R]"</f>
        <v>E216*[R216:AH216 when R4:AH4 = E,D,C,or R]</v>
      </c>
      <c r="AS216" s="2">
        <f t="shared" ref="AS216:AS224" si="460">SUM(AT216:AY216)</f>
        <v>15508.309137798242</v>
      </c>
      <c r="AT216" s="2">
        <f t="shared" ref="AT216:AY224" si="461">$E216*SUMPRODUCT($R216:$V216,INDEX(AllocFactors_E,AT$4,0))</f>
        <v>8987.7841202246691</v>
      </c>
      <c r="AU216" s="2">
        <f t="shared" si="461"/>
        <v>4027.0968038238448</v>
      </c>
      <c r="AV216" s="2">
        <f t="shared" si="461"/>
        <v>0</v>
      </c>
      <c r="AW216" s="2">
        <f t="shared" si="461"/>
        <v>64.891271171250722</v>
      </c>
      <c r="AX216" s="2">
        <f t="shared" si="461"/>
        <v>2428.5369425784784</v>
      </c>
      <c r="AY216" s="2">
        <f t="shared" si="461"/>
        <v>0</v>
      </c>
      <c r="BA216" s="2">
        <f t="shared" ref="BA216:BA224" si="462">SUM(BB216:BG216)</f>
        <v>28593.849605800351</v>
      </c>
      <c r="BB216" s="2">
        <f t="shared" ref="BB216:BG224" si="463">$E216*SUMPRODUCT($W216:$AA216,INDEX(AllocFactors_D,BB$4,0))</f>
        <v>19524.115720984708</v>
      </c>
      <c r="BC216" s="2">
        <f t="shared" si="463"/>
        <v>6608.4211249091259</v>
      </c>
      <c r="BD216" s="2">
        <f t="shared" si="463"/>
        <v>0</v>
      </c>
      <c r="BE216" s="2">
        <f t="shared" si="463"/>
        <v>83.020160785499115</v>
      </c>
      <c r="BF216" s="2">
        <f t="shared" si="463"/>
        <v>2378.2925991210227</v>
      </c>
      <c r="BG216" s="2">
        <f t="shared" si="463"/>
        <v>0</v>
      </c>
      <c r="BI216" s="2">
        <f t="shared" ref="BI216:BI224" si="464">SUM(BJ216:BO216)</f>
        <v>41897.8412564014</v>
      </c>
      <c r="BJ216" s="2">
        <f t="shared" ref="BJ216:BO224" si="465">$E216*SUMPRODUCT($AB216:$AG216,INDEX(AllocFactors_C,BJ$4,0))</f>
        <v>39638.339923503583</v>
      </c>
      <c r="BK216" s="2">
        <f t="shared" si="465"/>
        <v>1986.2169161873539</v>
      </c>
      <c r="BL216" s="2">
        <f t="shared" si="465"/>
        <v>0</v>
      </c>
      <c r="BM216" s="2">
        <f t="shared" si="465"/>
        <v>18.651742412412094</v>
      </c>
      <c r="BN216" s="2">
        <f t="shared" si="465"/>
        <v>254.6326742980535</v>
      </c>
      <c r="BO216" s="2">
        <f t="shared" si="465"/>
        <v>0</v>
      </c>
      <c r="BQ216" s="28" t="s">
        <v>1</v>
      </c>
      <c r="BR216" s="23">
        <v>50855</v>
      </c>
      <c r="BS216" s="14">
        <f t="shared" ref="BS216:BS224" si="466">R216</f>
        <v>0.18032917602090978</v>
      </c>
      <c r="BT216" s="14">
        <f t="shared" ref="BT216:BT224" si="467">S216</f>
        <v>0</v>
      </c>
      <c r="BU216" s="14">
        <f t="shared" ref="BU216:BU224" si="468">T216</f>
        <v>0</v>
      </c>
      <c r="BV216" s="14">
        <f t="shared" ref="BV216:BV224" si="469">U216</f>
        <v>0</v>
      </c>
      <c r="BW216" s="14">
        <f t="shared" ref="BW216:BW224" si="470">V216</f>
        <v>0</v>
      </c>
      <c r="BX216" s="14">
        <f t="shared" ref="BX216:BX224" si="471">W216</f>
        <v>0.33248662332325996</v>
      </c>
      <c r="BY216" s="14">
        <f t="shared" ref="BY216:BY224" si="472">X216</f>
        <v>0</v>
      </c>
      <c r="BZ216" s="14">
        <f t="shared" ref="BZ216:BZ224" si="473">Y216</f>
        <v>0</v>
      </c>
      <c r="CA216" s="14">
        <f t="shared" ref="CA216:CA224" si="474">Z216</f>
        <v>0</v>
      </c>
      <c r="CB216" s="14">
        <f t="shared" ref="CB216:CB224" si="475">AA216</f>
        <v>0</v>
      </c>
      <c r="CC216" s="14">
        <f t="shared" ref="CC216:CC224" si="476">AB216</f>
        <v>0</v>
      </c>
      <c r="CD216" s="14">
        <f t="shared" ref="CD216:CD224" si="477">AC216</f>
        <v>0.34784812665025233</v>
      </c>
      <c r="CE216" s="14">
        <f t="shared" ref="CE216:CE224" si="478">AD216</f>
        <v>0.13399956178953271</v>
      </c>
      <c r="CF216" s="14">
        <f t="shared" ref="CF216:CF224" si="479">AE216</f>
        <v>0</v>
      </c>
      <c r="CG216" s="14">
        <f t="shared" ref="CG216:CG224" si="480">AF216</f>
        <v>5.3365122160451877E-3</v>
      </c>
      <c r="CH216" s="14">
        <f t="shared" ref="CH216:CH224" si="481">AG216</f>
        <v>0</v>
      </c>
      <c r="CI216" s="14">
        <f t="shared" ref="CI216:CI224" si="482">AH216</f>
        <v>0</v>
      </c>
      <c r="CJ216" s="14"/>
      <c r="CK216" s="120" t="str">
        <f t="shared" ref="CK216:CK224" si="483">F216</f>
        <v>as Distrib Plant (41)</v>
      </c>
      <c r="CL216" s="76">
        <f t="shared" si="440"/>
        <v>0</v>
      </c>
      <c r="CM216" s="2">
        <f t="shared" ref="CM216:CR224" si="484">$BR216*SUMPRODUCT($BS216:$CI216,INDEX(AllocFactors,CM$170,0))</f>
        <v>40299.772595749731</v>
      </c>
      <c r="CN216" s="2">
        <f t="shared" si="484"/>
        <v>7463.7014597491043</v>
      </c>
      <c r="CO216" s="2">
        <f t="shared" si="484"/>
        <v>0</v>
      </c>
      <c r="CP216" s="2">
        <f t="shared" si="484"/>
        <v>98.495002703996875</v>
      </c>
      <c r="CQ216" s="2">
        <f t="shared" si="484"/>
        <v>2993.0309417971584</v>
      </c>
      <c r="CR216" s="2">
        <f t="shared" si="484"/>
        <v>0</v>
      </c>
    </row>
    <row r="217" spans="1:96">
      <c r="A217" s="50">
        <f t="shared" si="400"/>
        <v>217</v>
      </c>
      <c r="B217" t="s">
        <v>341</v>
      </c>
      <c r="C217" s="36" t="s">
        <v>155</v>
      </c>
      <c r="D217" s="28" t="s">
        <v>89</v>
      </c>
      <c r="E217" s="436">
        <v>0</v>
      </c>
      <c r="F217" s="60" t="str">
        <f>"as other Dist Plt ("&amp;A$29&amp;"-"&amp;A$39&amp;")"</f>
        <v>as other Dist Plt (29-39)</v>
      </c>
      <c r="G217" s="60" t="s">
        <v>437</v>
      </c>
      <c r="H217" s="2">
        <f t="shared" si="455"/>
        <v>0</v>
      </c>
      <c r="I217" s="2">
        <f t="shared" si="456"/>
        <v>0</v>
      </c>
      <c r="J217" s="2">
        <f t="shared" si="456"/>
        <v>0</v>
      </c>
      <c r="K217" s="2">
        <f t="shared" si="456"/>
        <v>0</v>
      </c>
      <c r="L217" s="2">
        <f t="shared" si="456"/>
        <v>0</v>
      </c>
      <c r="M217" s="2">
        <f t="shared" si="456"/>
        <v>0</v>
      </c>
      <c r="N217" s="2">
        <f t="shared" si="456"/>
        <v>0</v>
      </c>
      <c r="O217" s="2"/>
      <c r="P217" s="61" t="str">
        <f t="shared" ref="P217:P224" si="485">E$1&amp;$A217&amp;"*     """</f>
        <v>E217*     "</v>
      </c>
      <c r="Q217" s="61"/>
      <c r="R217" s="15">
        <f>SUMPRODUCT($E$29:$E$39,R$29:R$39)/SUM($E$29:$E$39)</f>
        <v>0.18032917602090975</v>
      </c>
      <c r="S217" s="15">
        <f t="shared" ref="S217:AH217" si="486">SUMPRODUCT($E$29:$E$39,S$29:S$39)/SUM($E$29:$E$39)</f>
        <v>0</v>
      </c>
      <c r="T217" s="15">
        <f t="shared" si="486"/>
        <v>0</v>
      </c>
      <c r="U217" s="15">
        <f t="shared" si="486"/>
        <v>0</v>
      </c>
      <c r="V217" s="15">
        <f t="shared" si="486"/>
        <v>0</v>
      </c>
      <c r="W217" s="15">
        <f t="shared" si="486"/>
        <v>0.33248662332325996</v>
      </c>
      <c r="X217" s="15">
        <f t="shared" si="486"/>
        <v>0</v>
      </c>
      <c r="Y217" s="15">
        <f t="shared" si="486"/>
        <v>0</v>
      </c>
      <c r="Z217" s="15">
        <f t="shared" si="486"/>
        <v>0</v>
      </c>
      <c r="AA217" s="15">
        <f t="shared" si="486"/>
        <v>0</v>
      </c>
      <c r="AB217" s="15">
        <f t="shared" si="486"/>
        <v>0</v>
      </c>
      <c r="AC217" s="15">
        <f t="shared" si="486"/>
        <v>0.34784812665025233</v>
      </c>
      <c r="AD217" s="15">
        <f t="shared" si="486"/>
        <v>0.13399956178953271</v>
      </c>
      <c r="AE217" s="15">
        <f t="shared" si="486"/>
        <v>0</v>
      </c>
      <c r="AF217" s="15">
        <f t="shared" si="486"/>
        <v>5.3365122160451877E-3</v>
      </c>
      <c r="AG217" s="15">
        <f t="shared" si="486"/>
        <v>0</v>
      </c>
      <c r="AH217" s="15">
        <f t="shared" si="486"/>
        <v>0</v>
      </c>
      <c r="AI217" s="76">
        <f t="shared" si="437"/>
        <v>0</v>
      </c>
      <c r="AK217" s="2">
        <f t="shared" si="458"/>
        <v>0</v>
      </c>
      <c r="AL217" s="2">
        <f t="shared" si="459"/>
        <v>0</v>
      </c>
      <c r="AM217" s="2">
        <f t="shared" si="459"/>
        <v>0</v>
      </c>
      <c r="AN217" s="2">
        <f t="shared" si="459"/>
        <v>0</v>
      </c>
      <c r="AO217" s="2">
        <f t="shared" si="459"/>
        <v>0</v>
      </c>
      <c r="AP217" s="2"/>
      <c r="AQ217" s="61" t="str">
        <f t="shared" ref="AQ217:AQ224" si="487">E$1&amp;$A217&amp;"*      """</f>
        <v>E217*      "</v>
      </c>
      <c r="AS217" s="2">
        <f t="shared" si="460"/>
        <v>0</v>
      </c>
      <c r="AT217" s="2">
        <f t="shared" si="461"/>
        <v>0</v>
      </c>
      <c r="AU217" s="2">
        <f t="shared" si="461"/>
        <v>0</v>
      </c>
      <c r="AV217" s="2">
        <f t="shared" si="461"/>
        <v>0</v>
      </c>
      <c r="AW217" s="2">
        <f t="shared" si="461"/>
        <v>0</v>
      </c>
      <c r="AX217" s="2">
        <f t="shared" si="461"/>
        <v>0</v>
      </c>
      <c r="AY217" s="2">
        <f t="shared" si="461"/>
        <v>0</v>
      </c>
      <c r="BA217" s="2">
        <f t="shared" si="462"/>
        <v>0</v>
      </c>
      <c r="BB217" s="2">
        <f t="shared" si="463"/>
        <v>0</v>
      </c>
      <c r="BC217" s="2">
        <f t="shared" si="463"/>
        <v>0</v>
      </c>
      <c r="BD217" s="2">
        <f t="shared" si="463"/>
        <v>0</v>
      </c>
      <c r="BE217" s="2">
        <f t="shared" si="463"/>
        <v>0</v>
      </c>
      <c r="BF217" s="2">
        <f t="shared" si="463"/>
        <v>0</v>
      </c>
      <c r="BG217" s="2">
        <f t="shared" si="463"/>
        <v>0</v>
      </c>
      <c r="BI217" s="2">
        <f t="shared" si="464"/>
        <v>0</v>
      </c>
      <c r="BJ217" s="2">
        <f t="shared" si="465"/>
        <v>0</v>
      </c>
      <c r="BK217" s="2">
        <f t="shared" si="465"/>
        <v>0</v>
      </c>
      <c r="BL217" s="2">
        <f t="shared" si="465"/>
        <v>0</v>
      </c>
      <c r="BM217" s="2">
        <f t="shared" si="465"/>
        <v>0</v>
      </c>
      <c r="BN217" s="2">
        <f t="shared" si="465"/>
        <v>0</v>
      </c>
      <c r="BO217" s="2">
        <f t="shared" si="465"/>
        <v>0</v>
      </c>
      <c r="BQ217" s="28" t="s">
        <v>89</v>
      </c>
      <c r="BR217" s="23">
        <v>0</v>
      </c>
      <c r="BS217" s="14">
        <f t="shared" si="466"/>
        <v>0.18032917602090975</v>
      </c>
      <c r="BT217" s="14">
        <f t="shared" si="467"/>
        <v>0</v>
      </c>
      <c r="BU217" s="14">
        <f t="shared" si="468"/>
        <v>0</v>
      </c>
      <c r="BV217" s="14">
        <f t="shared" si="469"/>
        <v>0</v>
      </c>
      <c r="BW217" s="14">
        <f t="shared" si="470"/>
        <v>0</v>
      </c>
      <c r="BX217" s="14">
        <f t="shared" si="471"/>
        <v>0.33248662332325996</v>
      </c>
      <c r="BY217" s="14">
        <f t="shared" si="472"/>
        <v>0</v>
      </c>
      <c r="BZ217" s="14">
        <f t="shared" si="473"/>
        <v>0</v>
      </c>
      <c r="CA217" s="14">
        <f t="shared" si="474"/>
        <v>0</v>
      </c>
      <c r="CB217" s="14">
        <f t="shared" si="475"/>
        <v>0</v>
      </c>
      <c r="CC217" s="14">
        <f t="shared" si="476"/>
        <v>0</v>
      </c>
      <c r="CD217" s="14">
        <f t="shared" si="477"/>
        <v>0.34784812665025233</v>
      </c>
      <c r="CE217" s="14">
        <f t="shared" si="478"/>
        <v>0.13399956178953271</v>
      </c>
      <c r="CF217" s="14">
        <f t="shared" si="479"/>
        <v>0</v>
      </c>
      <c r="CG217" s="14">
        <f t="shared" si="480"/>
        <v>5.3365122160451877E-3</v>
      </c>
      <c r="CH217" s="14">
        <f t="shared" si="481"/>
        <v>0</v>
      </c>
      <c r="CI217" s="14">
        <f t="shared" si="482"/>
        <v>0</v>
      </c>
      <c r="CJ217" s="14"/>
      <c r="CK217" s="120" t="str">
        <f t="shared" si="483"/>
        <v>as other Dist Plt (29-39)</v>
      </c>
      <c r="CL217" s="76">
        <f t="shared" si="440"/>
        <v>0</v>
      </c>
      <c r="CM217" s="2">
        <f t="shared" si="484"/>
        <v>0</v>
      </c>
      <c r="CN217" s="2">
        <f t="shared" si="484"/>
        <v>0</v>
      </c>
      <c r="CO217" s="2">
        <f t="shared" si="484"/>
        <v>0</v>
      </c>
      <c r="CP217" s="2">
        <f t="shared" si="484"/>
        <v>0</v>
      </c>
      <c r="CQ217" s="2">
        <f t="shared" si="484"/>
        <v>0</v>
      </c>
      <c r="CR217" s="2">
        <f t="shared" si="484"/>
        <v>0</v>
      </c>
    </row>
    <row r="218" spans="1:96">
      <c r="A218" s="50">
        <f t="shared" si="400"/>
        <v>218</v>
      </c>
      <c r="B218" t="s">
        <v>342</v>
      </c>
      <c r="C218" s="36" t="s">
        <v>155</v>
      </c>
      <c r="D218" s="28" t="s">
        <v>245</v>
      </c>
      <c r="E218" s="436">
        <f>PROFORMA!AV84</f>
        <v>809000</v>
      </c>
      <c r="F218" s="60" t="str">
        <f>"as 376 Mains Plt ("&amp;A$29&amp;","&amp;A$31&amp;")"</f>
        <v>as 376 Mains Plt (29,31)</v>
      </c>
      <c r="G218" s="60" t="s">
        <v>437</v>
      </c>
      <c r="H218" s="2">
        <f>SUM(I218:N218)</f>
        <v>808999.99999999988</v>
      </c>
      <c r="I218" s="2">
        <f t="shared" si="456"/>
        <v>523015.82572500309</v>
      </c>
      <c r="J218" s="2">
        <f t="shared" si="456"/>
        <v>195095.52932244746</v>
      </c>
      <c r="K218" s="2">
        <f t="shared" si="456"/>
        <v>0</v>
      </c>
      <c r="L218" s="2">
        <f t="shared" si="456"/>
        <v>2713.2537694740222</v>
      </c>
      <c r="M218" s="2">
        <f t="shared" si="456"/>
        <v>88175.391183075408</v>
      </c>
      <c r="N218" s="2">
        <f t="shared" si="456"/>
        <v>0</v>
      </c>
      <c r="O218" s="2"/>
      <c r="P218" s="61" t="str">
        <f t="shared" si="485"/>
        <v>E218*     "</v>
      </c>
      <c r="Q218" s="61"/>
      <c r="R218" s="14">
        <f>SUMPRODUCT($E$29:$E$31,R$29:R$31)/SUM($E$29:$E$31)</f>
        <v>0.35164512530918368</v>
      </c>
      <c r="S218" s="14">
        <f t="shared" ref="S218:AH218" si="488">SUMPRODUCT($E$29:$E$31,S$29:S$31)/SUM($E$29:$E$31)</f>
        <v>0</v>
      </c>
      <c r="T218" s="14">
        <f t="shared" si="488"/>
        <v>0</v>
      </c>
      <c r="U218" s="14">
        <f t="shared" si="488"/>
        <v>0</v>
      </c>
      <c r="V218" s="14">
        <f t="shared" si="488"/>
        <v>0</v>
      </c>
      <c r="W218" s="14">
        <f t="shared" si="488"/>
        <v>0.64835487469081621</v>
      </c>
      <c r="X218" s="14">
        <f t="shared" si="488"/>
        <v>0</v>
      </c>
      <c r="Y218" s="14">
        <f t="shared" si="488"/>
        <v>0</v>
      </c>
      <c r="Z218" s="14">
        <f t="shared" si="488"/>
        <v>0</v>
      </c>
      <c r="AA218" s="14">
        <f t="shared" si="488"/>
        <v>0</v>
      </c>
      <c r="AB218" s="14">
        <f t="shared" si="488"/>
        <v>0</v>
      </c>
      <c r="AC218" s="14">
        <f t="shared" si="488"/>
        <v>0</v>
      </c>
      <c r="AD218" s="14">
        <f t="shared" si="488"/>
        <v>0</v>
      </c>
      <c r="AE218" s="14">
        <f t="shared" si="488"/>
        <v>0</v>
      </c>
      <c r="AF218" s="14">
        <f t="shared" si="488"/>
        <v>0</v>
      </c>
      <c r="AG218" s="14">
        <f t="shared" si="488"/>
        <v>0</v>
      </c>
      <c r="AH218" s="14">
        <f t="shared" si="488"/>
        <v>0</v>
      </c>
      <c r="AI218" s="76">
        <f t="shared" si="437"/>
        <v>0</v>
      </c>
      <c r="AK218" s="2">
        <f>SUM(AL218:AO218)</f>
        <v>808999.99999999988</v>
      </c>
      <c r="AL218" s="2">
        <f t="shared" si="459"/>
        <v>284480.90637512959</v>
      </c>
      <c r="AM218" s="2">
        <f t="shared" si="459"/>
        <v>524519.09362487029</v>
      </c>
      <c r="AN218" s="2">
        <f t="shared" si="459"/>
        <v>0</v>
      </c>
      <c r="AO218" s="2">
        <f t="shared" si="459"/>
        <v>0</v>
      </c>
      <c r="AP218" s="2"/>
      <c r="AQ218" s="61" t="str">
        <f t="shared" si="487"/>
        <v>E218*      "</v>
      </c>
      <c r="AS218" s="2">
        <f>SUM(AT218:AY218)</f>
        <v>284480.90637512965</v>
      </c>
      <c r="AT218" s="2">
        <f t="shared" si="461"/>
        <v>164869.87395638891</v>
      </c>
      <c r="AU218" s="2">
        <f t="shared" si="461"/>
        <v>73872.150640843072</v>
      </c>
      <c r="AV218" s="2">
        <f t="shared" si="461"/>
        <v>0</v>
      </c>
      <c r="AW218" s="2">
        <f t="shared" si="461"/>
        <v>1190.3507645226491</v>
      </c>
      <c r="AX218" s="2">
        <f t="shared" si="461"/>
        <v>44548.531013374981</v>
      </c>
      <c r="AY218" s="2">
        <f t="shared" si="461"/>
        <v>0</v>
      </c>
      <c r="BA218" s="2">
        <f>SUM(BB218:BG218)</f>
        <v>524519.09362487029</v>
      </c>
      <c r="BB218" s="2">
        <f t="shared" si="463"/>
        <v>358145.95176861412</v>
      </c>
      <c r="BC218" s="2">
        <f t="shared" si="463"/>
        <v>121223.37868160437</v>
      </c>
      <c r="BD218" s="2">
        <f t="shared" si="463"/>
        <v>0</v>
      </c>
      <c r="BE218" s="2">
        <f t="shared" si="463"/>
        <v>1522.9030049513731</v>
      </c>
      <c r="BF218" s="2">
        <f t="shared" si="463"/>
        <v>43626.860169700434</v>
      </c>
      <c r="BG218" s="2">
        <f t="shared" si="463"/>
        <v>0</v>
      </c>
      <c r="BI218" s="2">
        <f t="shared" si="464"/>
        <v>0</v>
      </c>
      <c r="BJ218" s="2">
        <f t="shared" si="465"/>
        <v>0</v>
      </c>
      <c r="BK218" s="2">
        <f t="shared" si="465"/>
        <v>0</v>
      </c>
      <c r="BL218" s="2">
        <f t="shared" si="465"/>
        <v>0</v>
      </c>
      <c r="BM218" s="2">
        <f t="shared" si="465"/>
        <v>0</v>
      </c>
      <c r="BN218" s="2">
        <f t="shared" si="465"/>
        <v>0</v>
      </c>
      <c r="BO218" s="2">
        <f t="shared" si="465"/>
        <v>0</v>
      </c>
      <c r="BQ218" s="28" t="s">
        <v>245</v>
      </c>
      <c r="BR218" s="23">
        <v>477301.52538215165</v>
      </c>
      <c r="BS218" s="14">
        <f t="shared" si="466"/>
        <v>0.35164512530918368</v>
      </c>
      <c r="BT218" s="14">
        <f t="shared" si="467"/>
        <v>0</v>
      </c>
      <c r="BU218" s="14">
        <f t="shared" si="468"/>
        <v>0</v>
      </c>
      <c r="BV218" s="14">
        <f t="shared" si="469"/>
        <v>0</v>
      </c>
      <c r="BW218" s="14">
        <f t="shared" si="470"/>
        <v>0</v>
      </c>
      <c r="BX218" s="14">
        <f t="shared" si="471"/>
        <v>0.64835487469081621</v>
      </c>
      <c r="BY218" s="14">
        <f t="shared" si="472"/>
        <v>0</v>
      </c>
      <c r="BZ218" s="14">
        <f t="shared" si="473"/>
        <v>0</v>
      </c>
      <c r="CA218" s="14">
        <f t="shared" si="474"/>
        <v>0</v>
      </c>
      <c r="CB218" s="14">
        <f t="shared" si="475"/>
        <v>0</v>
      </c>
      <c r="CC218" s="14">
        <f t="shared" si="476"/>
        <v>0</v>
      </c>
      <c r="CD218" s="14">
        <f t="shared" si="477"/>
        <v>0</v>
      </c>
      <c r="CE218" s="14">
        <f t="shared" si="478"/>
        <v>0</v>
      </c>
      <c r="CF218" s="14">
        <f t="shared" si="479"/>
        <v>0</v>
      </c>
      <c r="CG218" s="14">
        <f t="shared" si="480"/>
        <v>0</v>
      </c>
      <c r="CH218" s="14">
        <f t="shared" si="481"/>
        <v>0</v>
      </c>
      <c r="CI218" s="14">
        <f t="shared" si="482"/>
        <v>0</v>
      </c>
      <c r="CJ218" s="14"/>
      <c r="CK218" s="120" t="str">
        <f t="shared" si="483"/>
        <v>as 376 Mains Plt (29,31)</v>
      </c>
      <c r="CL218" s="76">
        <f t="shared" si="440"/>
        <v>0</v>
      </c>
      <c r="CM218" s="2">
        <f t="shared" si="484"/>
        <v>308573.858365327</v>
      </c>
      <c r="CN218" s="2">
        <f t="shared" si="484"/>
        <v>115104.31859189426</v>
      </c>
      <c r="CO218" s="2">
        <f t="shared" si="484"/>
        <v>0</v>
      </c>
      <c r="CP218" s="2">
        <f t="shared" si="484"/>
        <v>1600.7913015065806</v>
      </c>
      <c r="CQ218" s="2">
        <f t="shared" si="484"/>
        <v>52022.557123423758</v>
      </c>
      <c r="CR218" s="2">
        <f t="shared" si="484"/>
        <v>0</v>
      </c>
    </row>
    <row r="219" spans="1:96">
      <c r="A219" s="50">
        <f t="shared" si="400"/>
        <v>219</v>
      </c>
      <c r="B219" t="s">
        <v>343</v>
      </c>
      <c r="C219" s="36" t="s">
        <v>155</v>
      </c>
      <c r="D219" s="28" t="s">
        <v>333</v>
      </c>
      <c r="E219" s="436">
        <f>PROFORMA!AV86</f>
        <v>286000</v>
      </c>
      <c r="F219" s="60" t="str">
        <f>"as 378 Meas &amp; Reg St Genl ("&amp;A$32&amp;")"</f>
        <v>as 378 Meas &amp; Reg St Genl (32)</v>
      </c>
      <c r="G219" s="60" t="s">
        <v>437</v>
      </c>
      <c r="H219" s="2">
        <f t="shared" si="455"/>
        <v>285999.99999999994</v>
      </c>
      <c r="I219" s="2">
        <f t="shared" si="456"/>
        <v>184898.05458263395</v>
      </c>
      <c r="J219" s="2">
        <f t="shared" si="456"/>
        <v>68970.731008924558</v>
      </c>
      <c r="K219" s="2">
        <f t="shared" si="456"/>
        <v>0</v>
      </c>
      <c r="L219" s="2">
        <f t="shared" si="456"/>
        <v>959.1972534852539</v>
      </c>
      <c r="M219" s="2">
        <f t="shared" si="456"/>
        <v>31172.017154956204</v>
      </c>
      <c r="N219" s="2">
        <f t="shared" si="456"/>
        <v>0</v>
      </c>
      <c r="O219" s="2"/>
      <c r="P219" s="61" t="str">
        <f t="shared" si="485"/>
        <v>E219*     "</v>
      </c>
      <c r="Q219" s="61"/>
      <c r="R219" s="14">
        <f>R$32</f>
        <v>0.35164512530918368</v>
      </c>
      <c r="S219" s="14">
        <f t="shared" ref="S219:AH219" si="489">S$32</f>
        <v>0</v>
      </c>
      <c r="T219" s="14">
        <f t="shared" si="489"/>
        <v>0</v>
      </c>
      <c r="U219" s="14">
        <f t="shared" si="489"/>
        <v>0</v>
      </c>
      <c r="V219" s="14">
        <f t="shared" si="489"/>
        <v>0</v>
      </c>
      <c r="W219" s="14">
        <f t="shared" si="489"/>
        <v>0.64835487469081621</v>
      </c>
      <c r="X219" s="14">
        <f t="shared" si="489"/>
        <v>0</v>
      </c>
      <c r="Y219" s="14">
        <f t="shared" si="489"/>
        <v>0</v>
      </c>
      <c r="Z219" s="14">
        <f t="shared" si="489"/>
        <v>0</v>
      </c>
      <c r="AA219" s="14">
        <f t="shared" si="489"/>
        <v>0</v>
      </c>
      <c r="AB219" s="14">
        <f t="shared" si="489"/>
        <v>0</v>
      </c>
      <c r="AC219" s="14">
        <f t="shared" si="489"/>
        <v>0</v>
      </c>
      <c r="AD219" s="14">
        <f t="shared" si="489"/>
        <v>0</v>
      </c>
      <c r="AE219" s="14">
        <f t="shared" si="489"/>
        <v>0</v>
      </c>
      <c r="AF219" s="14">
        <f t="shared" si="489"/>
        <v>0</v>
      </c>
      <c r="AG219" s="14">
        <f t="shared" si="489"/>
        <v>0</v>
      </c>
      <c r="AH219" s="14">
        <f t="shared" si="489"/>
        <v>0</v>
      </c>
      <c r="AI219" s="76">
        <f t="shared" si="437"/>
        <v>0</v>
      </c>
      <c r="AK219" s="2">
        <f t="shared" si="458"/>
        <v>286000</v>
      </c>
      <c r="AL219" s="2">
        <f t="shared" si="459"/>
        <v>100570.50583842653</v>
      </c>
      <c r="AM219" s="2">
        <f t="shared" si="459"/>
        <v>185429.49416157344</v>
      </c>
      <c r="AN219" s="2">
        <f t="shared" si="459"/>
        <v>0</v>
      </c>
      <c r="AO219" s="2">
        <f t="shared" si="459"/>
        <v>0</v>
      </c>
      <c r="AP219" s="2"/>
      <c r="AQ219" s="61" t="str">
        <f t="shared" si="487"/>
        <v>E219*      "</v>
      </c>
      <c r="AS219" s="2">
        <f t="shared" si="460"/>
        <v>100570.50583842654</v>
      </c>
      <c r="AT219" s="2">
        <f t="shared" si="461"/>
        <v>58285.270644656652</v>
      </c>
      <c r="AU219" s="2">
        <f t="shared" si="461"/>
        <v>26115.494540520544</v>
      </c>
      <c r="AV219" s="2">
        <f t="shared" si="461"/>
        <v>0</v>
      </c>
      <c r="AW219" s="2">
        <f t="shared" si="461"/>
        <v>420.81621588810589</v>
      </c>
      <c r="AX219" s="2">
        <f t="shared" si="461"/>
        <v>15748.924437361242</v>
      </c>
      <c r="AY219" s="2">
        <f t="shared" si="461"/>
        <v>0</v>
      </c>
      <c r="BA219" s="2">
        <f t="shared" si="462"/>
        <v>185429.49416157341</v>
      </c>
      <c r="BB219" s="2">
        <f t="shared" si="463"/>
        <v>126612.78393797731</v>
      </c>
      <c r="BC219" s="2">
        <f t="shared" si="463"/>
        <v>42855.236468404015</v>
      </c>
      <c r="BD219" s="2">
        <f t="shared" si="463"/>
        <v>0</v>
      </c>
      <c r="BE219" s="2">
        <f t="shared" si="463"/>
        <v>538.38103759714795</v>
      </c>
      <c r="BF219" s="2">
        <f t="shared" si="463"/>
        <v>15423.092717594962</v>
      </c>
      <c r="BG219" s="2">
        <f t="shared" si="463"/>
        <v>0</v>
      </c>
      <c r="BI219" s="2">
        <f t="shared" si="464"/>
        <v>0</v>
      </c>
      <c r="BJ219" s="2">
        <f t="shared" si="465"/>
        <v>0</v>
      </c>
      <c r="BK219" s="2">
        <f t="shared" si="465"/>
        <v>0</v>
      </c>
      <c r="BL219" s="2">
        <f t="shared" si="465"/>
        <v>0</v>
      </c>
      <c r="BM219" s="2">
        <f t="shared" si="465"/>
        <v>0</v>
      </c>
      <c r="BN219" s="2">
        <f t="shared" si="465"/>
        <v>0</v>
      </c>
      <c r="BO219" s="2">
        <f t="shared" si="465"/>
        <v>0</v>
      </c>
      <c r="BQ219" s="28" t="s">
        <v>333</v>
      </c>
      <c r="BR219" s="23">
        <v>112302.09092969258</v>
      </c>
      <c r="BS219" s="14">
        <f t="shared" si="466"/>
        <v>0.35164512530918368</v>
      </c>
      <c r="BT219" s="14">
        <f t="shared" si="467"/>
        <v>0</v>
      </c>
      <c r="BU219" s="14">
        <f t="shared" si="468"/>
        <v>0</v>
      </c>
      <c r="BV219" s="14">
        <f t="shared" si="469"/>
        <v>0</v>
      </c>
      <c r="BW219" s="14">
        <f t="shared" si="470"/>
        <v>0</v>
      </c>
      <c r="BX219" s="14">
        <f t="shared" si="471"/>
        <v>0.64835487469081621</v>
      </c>
      <c r="BY219" s="14">
        <f t="shared" si="472"/>
        <v>0</v>
      </c>
      <c r="BZ219" s="14">
        <f t="shared" si="473"/>
        <v>0</v>
      </c>
      <c r="CA219" s="14">
        <f t="shared" si="474"/>
        <v>0</v>
      </c>
      <c r="CB219" s="14">
        <f t="shared" si="475"/>
        <v>0</v>
      </c>
      <c r="CC219" s="14">
        <f t="shared" si="476"/>
        <v>0</v>
      </c>
      <c r="CD219" s="14">
        <f t="shared" si="477"/>
        <v>0</v>
      </c>
      <c r="CE219" s="14">
        <f t="shared" si="478"/>
        <v>0</v>
      </c>
      <c r="CF219" s="14">
        <f t="shared" si="479"/>
        <v>0</v>
      </c>
      <c r="CG219" s="14">
        <f t="shared" si="480"/>
        <v>0</v>
      </c>
      <c r="CH219" s="14">
        <f t="shared" si="481"/>
        <v>0</v>
      </c>
      <c r="CI219" s="14">
        <f t="shared" si="482"/>
        <v>0</v>
      </c>
      <c r="CJ219" s="14"/>
      <c r="CK219" s="120" t="str">
        <f t="shared" si="483"/>
        <v>as 378 Meas &amp; Reg St Genl (32)</v>
      </c>
      <c r="CL219" s="76">
        <f t="shared" si="440"/>
        <v>0</v>
      </c>
      <c r="CM219" s="2">
        <f t="shared" si="484"/>
        <v>72602.930554063714</v>
      </c>
      <c r="CN219" s="2">
        <f t="shared" si="484"/>
        <v>27082.368200180466</v>
      </c>
      <c r="CO219" s="2">
        <f t="shared" si="484"/>
        <v>0</v>
      </c>
      <c r="CP219" s="2">
        <f t="shared" si="484"/>
        <v>376.6428572741691</v>
      </c>
      <c r="CQ219" s="2">
        <f t="shared" si="484"/>
        <v>12240.149318174226</v>
      </c>
      <c r="CR219" s="2">
        <f t="shared" si="484"/>
        <v>0</v>
      </c>
    </row>
    <row r="220" spans="1:96">
      <c r="A220" s="50">
        <f t="shared" si="400"/>
        <v>220</v>
      </c>
      <c r="B220" t="s">
        <v>344</v>
      </c>
      <c r="C220" s="36" t="s">
        <v>155</v>
      </c>
      <c r="D220" s="28" t="s">
        <v>334</v>
      </c>
      <c r="E220" s="436">
        <f>PROFORMA!AV87</f>
        <v>16000</v>
      </c>
      <c r="F220" s="60" t="str">
        <f>"as 385 Meas &amp; Reg St Ind ("&amp;A$39&amp;")"</f>
        <v>as 385 Meas &amp; Reg St Ind (39)</v>
      </c>
      <c r="G220" s="60" t="s">
        <v>437</v>
      </c>
      <c r="H220" s="2">
        <f t="shared" si="455"/>
        <v>16000.000000000002</v>
      </c>
      <c r="I220" s="2">
        <f t="shared" si="456"/>
        <v>0</v>
      </c>
      <c r="J220" s="2">
        <f t="shared" si="456"/>
        <v>13910.030240716304</v>
      </c>
      <c r="K220" s="2">
        <f t="shared" si="456"/>
        <v>0</v>
      </c>
      <c r="L220" s="2">
        <f t="shared" si="456"/>
        <v>220.70039203025553</v>
      </c>
      <c r="M220" s="2">
        <f t="shared" si="456"/>
        <v>1869.2693672534424</v>
      </c>
      <c r="N220" s="2">
        <f t="shared" si="456"/>
        <v>0</v>
      </c>
      <c r="O220" s="2"/>
      <c r="P220" s="61" t="str">
        <f t="shared" si="485"/>
        <v>E220*     "</v>
      </c>
      <c r="Q220" s="61"/>
      <c r="R220" s="14">
        <f>R$39</f>
        <v>0</v>
      </c>
      <c r="S220" s="14">
        <f t="shared" ref="S220:AH220" si="490">S$39</f>
        <v>0</v>
      </c>
      <c r="T220" s="14">
        <f t="shared" si="490"/>
        <v>0</v>
      </c>
      <c r="U220" s="14">
        <f t="shared" si="490"/>
        <v>0</v>
      </c>
      <c r="V220" s="14">
        <f t="shared" si="490"/>
        <v>0</v>
      </c>
      <c r="W220" s="14">
        <f t="shared" si="490"/>
        <v>0</v>
      </c>
      <c r="X220" s="14">
        <f t="shared" si="490"/>
        <v>0</v>
      </c>
      <c r="Y220" s="14">
        <f t="shared" si="490"/>
        <v>0</v>
      </c>
      <c r="Z220" s="14">
        <f t="shared" si="490"/>
        <v>0</v>
      </c>
      <c r="AA220" s="14">
        <f t="shared" si="490"/>
        <v>0</v>
      </c>
      <c r="AB220" s="14">
        <f t="shared" si="490"/>
        <v>0</v>
      </c>
      <c r="AC220" s="14">
        <f t="shared" si="490"/>
        <v>0</v>
      </c>
      <c r="AD220" s="14">
        <f t="shared" si="490"/>
        <v>0</v>
      </c>
      <c r="AE220" s="14">
        <f t="shared" si="490"/>
        <v>0</v>
      </c>
      <c r="AF220" s="14">
        <f t="shared" si="490"/>
        <v>1</v>
      </c>
      <c r="AG220" s="14">
        <f t="shared" si="490"/>
        <v>0</v>
      </c>
      <c r="AH220" s="14">
        <f t="shared" si="490"/>
        <v>0</v>
      </c>
      <c r="AI220" s="76">
        <f t="shared" si="437"/>
        <v>0</v>
      </c>
      <c r="AK220" s="2">
        <f t="shared" si="458"/>
        <v>16000</v>
      </c>
      <c r="AL220" s="2">
        <f t="shared" si="459"/>
        <v>0</v>
      </c>
      <c r="AM220" s="2">
        <f t="shared" si="459"/>
        <v>0</v>
      </c>
      <c r="AN220" s="2">
        <f t="shared" si="459"/>
        <v>16000</v>
      </c>
      <c r="AO220" s="2">
        <f t="shared" si="459"/>
        <v>0</v>
      </c>
      <c r="AP220" s="2"/>
      <c r="AQ220" s="61" t="str">
        <f t="shared" si="487"/>
        <v>E220*      "</v>
      </c>
      <c r="AS220" s="2">
        <f t="shared" si="460"/>
        <v>0</v>
      </c>
      <c r="AT220" s="2">
        <f t="shared" si="461"/>
        <v>0</v>
      </c>
      <c r="AU220" s="2">
        <f t="shared" si="461"/>
        <v>0</v>
      </c>
      <c r="AV220" s="2">
        <f t="shared" si="461"/>
        <v>0</v>
      </c>
      <c r="AW220" s="2">
        <f t="shared" si="461"/>
        <v>0</v>
      </c>
      <c r="AX220" s="2">
        <f t="shared" si="461"/>
        <v>0</v>
      </c>
      <c r="AY220" s="2">
        <f t="shared" si="461"/>
        <v>0</v>
      </c>
      <c r="BA220" s="2">
        <f t="shared" si="462"/>
        <v>0</v>
      </c>
      <c r="BB220" s="2">
        <f t="shared" si="463"/>
        <v>0</v>
      </c>
      <c r="BC220" s="2">
        <f t="shared" si="463"/>
        <v>0</v>
      </c>
      <c r="BD220" s="2">
        <f t="shared" si="463"/>
        <v>0</v>
      </c>
      <c r="BE220" s="2">
        <f t="shared" si="463"/>
        <v>0</v>
      </c>
      <c r="BF220" s="2">
        <f t="shared" si="463"/>
        <v>0</v>
      </c>
      <c r="BG220" s="2">
        <f t="shared" si="463"/>
        <v>0</v>
      </c>
      <c r="BI220" s="2">
        <f t="shared" si="464"/>
        <v>16000.000000000002</v>
      </c>
      <c r="BJ220" s="2">
        <f t="shared" si="465"/>
        <v>0</v>
      </c>
      <c r="BK220" s="2">
        <f t="shared" si="465"/>
        <v>13910.030240716304</v>
      </c>
      <c r="BL220" s="2">
        <f t="shared" si="465"/>
        <v>0</v>
      </c>
      <c r="BM220" s="2">
        <f t="shared" si="465"/>
        <v>220.70039203025553</v>
      </c>
      <c r="BN220" s="2">
        <f t="shared" si="465"/>
        <v>1869.2693672534424</v>
      </c>
      <c r="BO220" s="2">
        <f t="shared" si="465"/>
        <v>0</v>
      </c>
      <c r="BQ220" s="28" t="s">
        <v>334</v>
      </c>
      <c r="BR220" s="23">
        <v>8859.8889453098218</v>
      </c>
      <c r="BS220" s="14">
        <f t="shared" si="466"/>
        <v>0</v>
      </c>
      <c r="BT220" s="14">
        <f t="shared" si="467"/>
        <v>0</v>
      </c>
      <c r="BU220" s="14">
        <f t="shared" si="468"/>
        <v>0</v>
      </c>
      <c r="BV220" s="14">
        <f t="shared" si="469"/>
        <v>0</v>
      </c>
      <c r="BW220" s="14">
        <f t="shared" si="470"/>
        <v>0</v>
      </c>
      <c r="BX220" s="14">
        <f t="shared" si="471"/>
        <v>0</v>
      </c>
      <c r="BY220" s="14">
        <f t="shared" si="472"/>
        <v>0</v>
      </c>
      <c r="BZ220" s="14">
        <f t="shared" si="473"/>
        <v>0</v>
      </c>
      <c r="CA220" s="14">
        <f t="shared" si="474"/>
        <v>0</v>
      </c>
      <c r="CB220" s="14">
        <f t="shared" si="475"/>
        <v>0</v>
      </c>
      <c r="CC220" s="14">
        <f t="shared" si="476"/>
        <v>0</v>
      </c>
      <c r="CD220" s="14">
        <f t="shared" si="477"/>
        <v>0</v>
      </c>
      <c r="CE220" s="14">
        <f t="shared" si="478"/>
        <v>0</v>
      </c>
      <c r="CF220" s="14">
        <f t="shared" si="479"/>
        <v>0</v>
      </c>
      <c r="CG220" s="14">
        <f t="shared" si="480"/>
        <v>1</v>
      </c>
      <c r="CH220" s="14">
        <f t="shared" si="481"/>
        <v>0</v>
      </c>
      <c r="CI220" s="14">
        <f t="shared" si="482"/>
        <v>0</v>
      </c>
      <c r="CJ220" s="14"/>
      <c r="CK220" s="120" t="str">
        <f t="shared" si="483"/>
        <v>as 385 Meas &amp; Reg St Ind (39)</v>
      </c>
      <c r="CL220" s="76">
        <f t="shared" si="440"/>
        <v>0</v>
      </c>
      <c r="CM220" s="2">
        <f t="shared" si="484"/>
        <v>0</v>
      </c>
      <c r="CN220" s="2">
        <f t="shared" si="484"/>
        <v>7702.5826974154807</v>
      </c>
      <c r="CO220" s="2">
        <f t="shared" si="484"/>
        <v>0</v>
      </c>
      <c r="CP220" s="2">
        <f t="shared" si="484"/>
        <v>122.21131022340029</v>
      </c>
      <c r="CQ220" s="2">
        <f t="shared" si="484"/>
        <v>1035.0949376709411</v>
      </c>
      <c r="CR220" s="2">
        <f t="shared" si="484"/>
        <v>0</v>
      </c>
    </row>
    <row r="221" spans="1:96">
      <c r="A221" s="50">
        <f t="shared" si="400"/>
        <v>221</v>
      </c>
      <c r="B221" t="s">
        <v>345</v>
      </c>
      <c r="C221" s="36" t="s">
        <v>155</v>
      </c>
      <c r="D221" s="28" t="s">
        <v>335</v>
      </c>
      <c r="E221" s="436">
        <f>PROFORMA!AV88</f>
        <v>69000</v>
      </c>
      <c r="F221" s="60" t="str">
        <f>"as 379 Meas &amp; Reg St Cty G ("&amp;A$33&amp;")"</f>
        <v>as 379 Meas &amp; Reg St Cty G (33)</v>
      </c>
      <c r="G221" s="60" t="s">
        <v>437</v>
      </c>
      <c r="H221" s="2">
        <f t="shared" si="455"/>
        <v>69000</v>
      </c>
      <c r="I221" s="2">
        <f t="shared" si="456"/>
        <v>44608.271909796305</v>
      </c>
      <c r="J221" s="2">
        <f t="shared" si="456"/>
        <v>16639.791746908373</v>
      </c>
      <c r="K221" s="2">
        <f t="shared" si="456"/>
        <v>0</v>
      </c>
      <c r="L221" s="2">
        <f t="shared" si="456"/>
        <v>231.4147219946941</v>
      </c>
      <c r="M221" s="2">
        <f t="shared" si="456"/>
        <v>7520.5216213006224</v>
      </c>
      <c r="N221" s="2">
        <f t="shared" si="456"/>
        <v>0</v>
      </c>
      <c r="O221" s="2"/>
      <c r="P221" s="61" t="str">
        <f t="shared" si="485"/>
        <v>E221*     "</v>
      </c>
      <c r="Q221" s="61"/>
      <c r="R221" s="14">
        <f>R$33</f>
        <v>0.35164512530918368</v>
      </c>
      <c r="S221" s="14">
        <f t="shared" ref="S221:AH221" si="491">S$33</f>
        <v>0</v>
      </c>
      <c r="T221" s="14">
        <f t="shared" si="491"/>
        <v>0</v>
      </c>
      <c r="U221" s="14">
        <f t="shared" si="491"/>
        <v>0</v>
      </c>
      <c r="V221" s="14">
        <f t="shared" si="491"/>
        <v>0</v>
      </c>
      <c r="W221" s="14">
        <f t="shared" si="491"/>
        <v>0.64835487469081621</v>
      </c>
      <c r="X221" s="14">
        <f t="shared" si="491"/>
        <v>0</v>
      </c>
      <c r="Y221" s="14">
        <f t="shared" si="491"/>
        <v>0</v>
      </c>
      <c r="Z221" s="14">
        <f t="shared" si="491"/>
        <v>0</v>
      </c>
      <c r="AA221" s="14">
        <f t="shared" si="491"/>
        <v>0</v>
      </c>
      <c r="AB221" s="14">
        <f t="shared" si="491"/>
        <v>0</v>
      </c>
      <c r="AC221" s="14">
        <f t="shared" si="491"/>
        <v>0</v>
      </c>
      <c r="AD221" s="14">
        <f t="shared" si="491"/>
        <v>0</v>
      </c>
      <c r="AE221" s="14">
        <f t="shared" si="491"/>
        <v>0</v>
      </c>
      <c r="AF221" s="14">
        <f t="shared" si="491"/>
        <v>0</v>
      </c>
      <c r="AG221" s="14">
        <f t="shared" si="491"/>
        <v>0</v>
      </c>
      <c r="AH221" s="14">
        <f t="shared" si="491"/>
        <v>0</v>
      </c>
      <c r="AI221" s="76">
        <f t="shared" si="437"/>
        <v>0</v>
      </c>
      <c r="AK221" s="2">
        <f t="shared" si="458"/>
        <v>69000</v>
      </c>
      <c r="AL221" s="2">
        <f t="shared" si="459"/>
        <v>24263.513646333675</v>
      </c>
      <c r="AM221" s="2">
        <f t="shared" si="459"/>
        <v>44736.486353666318</v>
      </c>
      <c r="AN221" s="2">
        <f t="shared" si="459"/>
        <v>0</v>
      </c>
      <c r="AO221" s="2">
        <f t="shared" si="459"/>
        <v>0</v>
      </c>
      <c r="AP221" s="2"/>
      <c r="AQ221" s="61" t="str">
        <f t="shared" si="487"/>
        <v>E221*      "</v>
      </c>
      <c r="AS221" s="2">
        <f t="shared" si="460"/>
        <v>24263.513646333678</v>
      </c>
      <c r="AT221" s="2">
        <f t="shared" si="461"/>
        <v>14061.831029654926</v>
      </c>
      <c r="AU221" s="2">
        <f t="shared" si="461"/>
        <v>6300.5913401955158</v>
      </c>
      <c r="AV221" s="2">
        <f t="shared" si="461"/>
        <v>0</v>
      </c>
      <c r="AW221" s="2">
        <f t="shared" si="461"/>
        <v>101.52559054643113</v>
      </c>
      <c r="AX221" s="2">
        <f t="shared" si="461"/>
        <v>3799.5656859368028</v>
      </c>
      <c r="AY221" s="2">
        <f t="shared" si="461"/>
        <v>0</v>
      </c>
      <c r="BA221" s="2">
        <f t="shared" si="462"/>
        <v>44736.486353666318</v>
      </c>
      <c r="BB221" s="2">
        <f t="shared" si="463"/>
        <v>30546.440880141377</v>
      </c>
      <c r="BC221" s="2">
        <f t="shared" si="463"/>
        <v>10339.200406712858</v>
      </c>
      <c r="BD221" s="2">
        <f t="shared" si="463"/>
        <v>0</v>
      </c>
      <c r="BE221" s="2">
        <f t="shared" si="463"/>
        <v>129.88913144826299</v>
      </c>
      <c r="BF221" s="2">
        <f t="shared" si="463"/>
        <v>3720.9559353638197</v>
      </c>
      <c r="BG221" s="2">
        <f t="shared" si="463"/>
        <v>0</v>
      </c>
      <c r="BI221" s="2">
        <f t="shared" si="464"/>
        <v>0</v>
      </c>
      <c r="BJ221" s="2">
        <f t="shared" si="465"/>
        <v>0</v>
      </c>
      <c r="BK221" s="2">
        <f t="shared" si="465"/>
        <v>0</v>
      </c>
      <c r="BL221" s="2">
        <f t="shared" si="465"/>
        <v>0</v>
      </c>
      <c r="BM221" s="2">
        <f t="shared" si="465"/>
        <v>0</v>
      </c>
      <c r="BN221" s="2">
        <f t="shared" si="465"/>
        <v>0</v>
      </c>
      <c r="BO221" s="2">
        <f t="shared" si="465"/>
        <v>0</v>
      </c>
      <c r="BQ221" s="28" t="s">
        <v>335</v>
      </c>
      <c r="BR221" s="23">
        <v>36342.834748493835</v>
      </c>
      <c r="BS221" s="14">
        <f t="shared" si="466"/>
        <v>0.35164512530918368</v>
      </c>
      <c r="BT221" s="14">
        <f t="shared" si="467"/>
        <v>0</v>
      </c>
      <c r="BU221" s="14">
        <f t="shared" si="468"/>
        <v>0</v>
      </c>
      <c r="BV221" s="14">
        <f t="shared" si="469"/>
        <v>0</v>
      </c>
      <c r="BW221" s="14">
        <f t="shared" si="470"/>
        <v>0</v>
      </c>
      <c r="BX221" s="14">
        <f t="shared" si="471"/>
        <v>0.64835487469081621</v>
      </c>
      <c r="BY221" s="14">
        <f t="shared" si="472"/>
        <v>0</v>
      </c>
      <c r="BZ221" s="14">
        <f t="shared" si="473"/>
        <v>0</v>
      </c>
      <c r="CA221" s="14">
        <f t="shared" si="474"/>
        <v>0</v>
      </c>
      <c r="CB221" s="14">
        <f t="shared" si="475"/>
        <v>0</v>
      </c>
      <c r="CC221" s="14">
        <f t="shared" si="476"/>
        <v>0</v>
      </c>
      <c r="CD221" s="14">
        <f t="shared" si="477"/>
        <v>0</v>
      </c>
      <c r="CE221" s="14">
        <f t="shared" si="478"/>
        <v>0</v>
      </c>
      <c r="CF221" s="14">
        <f t="shared" si="479"/>
        <v>0</v>
      </c>
      <c r="CG221" s="14">
        <f t="shared" si="480"/>
        <v>0</v>
      </c>
      <c r="CH221" s="14">
        <f t="shared" si="481"/>
        <v>0</v>
      </c>
      <c r="CI221" s="14">
        <f t="shared" si="482"/>
        <v>0</v>
      </c>
      <c r="CJ221" s="14"/>
      <c r="CK221" s="120" t="str">
        <f t="shared" si="483"/>
        <v>as 379 Meas &amp; Reg St Cty G (33)</v>
      </c>
      <c r="CL221" s="76">
        <f t="shared" si="440"/>
        <v>0</v>
      </c>
      <c r="CM221" s="2">
        <f t="shared" si="484"/>
        <v>23495.522528023284</v>
      </c>
      <c r="CN221" s="2">
        <f t="shared" si="484"/>
        <v>8764.3072711194582</v>
      </c>
      <c r="CO221" s="2">
        <f t="shared" si="484"/>
        <v>0</v>
      </c>
      <c r="CP221" s="2">
        <f t="shared" si="484"/>
        <v>121.88792753364942</v>
      </c>
      <c r="CQ221" s="2">
        <f t="shared" si="484"/>
        <v>3961.1170218174411</v>
      </c>
      <c r="CR221" s="2">
        <f t="shared" si="484"/>
        <v>0</v>
      </c>
    </row>
    <row r="222" spans="1:96">
      <c r="A222" s="50">
        <f t="shared" si="400"/>
        <v>222</v>
      </c>
      <c r="B222" t="s">
        <v>346</v>
      </c>
      <c r="C222" s="36" t="s">
        <v>155</v>
      </c>
      <c r="D222" s="28" t="s">
        <v>91</v>
      </c>
      <c r="E222" s="436">
        <f>PROFORMA!AV89</f>
        <v>1413000</v>
      </c>
      <c r="F222" s="60" t="str">
        <f>"as 380 Svcs Plant ("&amp;A$34&amp;")"</f>
        <v>as 380 Svcs Plant (34)</v>
      </c>
      <c r="G222" s="60" t="s">
        <v>437</v>
      </c>
      <c r="H222" s="2">
        <f t="shared" si="455"/>
        <v>1413000.0000000002</v>
      </c>
      <c r="I222" s="2">
        <f t="shared" si="456"/>
        <v>1381900.8609060487</v>
      </c>
      <c r="J222" s="2">
        <f t="shared" si="456"/>
        <v>25943.820421910736</v>
      </c>
      <c r="K222" s="2">
        <f t="shared" si="456"/>
        <v>0</v>
      </c>
      <c r="L222" s="2">
        <f t="shared" si="456"/>
        <v>63.022839662572494</v>
      </c>
      <c r="M222" s="2">
        <f t="shared" si="456"/>
        <v>5092.2958323781331</v>
      </c>
      <c r="N222" s="2">
        <f t="shared" si="456"/>
        <v>0</v>
      </c>
      <c r="O222" s="2"/>
      <c r="P222" s="61" t="str">
        <f t="shared" si="485"/>
        <v>E222*     "</v>
      </c>
      <c r="Q222" s="61"/>
      <c r="R222" s="14">
        <f>R$34</f>
        <v>0</v>
      </c>
      <c r="S222" s="14">
        <f t="shared" ref="S222:AH222" si="492">S$34</f>
        <v>0</v>
      </c>
      <c r="T222" s="14">
        <f t="shared" si="492"/>
        <v>0</v>
      </c>
      <c r="U222" s="14">
        <f t="shared" si="492"/>
        <v>0</v>
      </c>
      <c r="V222" s="14">
        <f t="shared" si="492"/>
        <v>0</v>
      </c>
      <c r="W222" s="14">
        <f t="shared" si="492"/>
        <v>0</v>
      </c>
      <c r="X222" s="14">
        <f t="shared" si="492"/>
        <v>0</v>
      </c>
      <c r="Y222" s="14">
        <f t="shared" si="492"/>
        <v>0</v>
      </c>
      <c r="Z222" s="14">
        <f t="shared" si="492"/>
        <v>0</v>
      </c>
      <c r="AA222" s="14">
        <f t="shared" si="492"/>
        <v>0</v>
      </c>
      <c r="AB222" s="14">
        <f t="shared" si="492"/>
        <v>0</v>
      </c>
      <c r="AC222" s="14">
        <f t="shared" si="492"/>
        <v>1</v>
      </c>
      <c r="AD222" s="14">
        <f t="shared" si="492"/>
        <v>0</v>
      </c>
      <c r="AE222" s="14">
        <f t="shared" si="492"/>
        <v>0</v>
      </c>
      <c r="AF222" s="14">
        <f t="shared" si="492"/>
        <v>0</v>
      </c>
      <c r="AG222" s="14">
        <f t="shared" si="492"/>
        <v>0</v>
      </c>
      <c r="AH222" s="14">
        <f t="shared" si="492"/>
        <v>0</v>
      </c>
      <c r="AI222" s="76">
        <f t="shared" si="437"/>
        <v>0</v>
      </c>
      <c r="AK222" s="2">
        <f t="shared" si="458"/>
        <v>1413000</v>
      </c>
      <c r="AL222" s="2">
        <f t="shared" si="459"/>
        <v>0</v>
      </c>
      <c r="AM222" s="2">
        <f t="shared" si="459"/>
        <v>0</v>
      </c>
      <c r="AN222" s="2">
        <f t="shared" si="459"/>
        <v>1413000</v>
      </c>
      <c r="AO222" s="2">
        <f t="shared" si="459"/>
        <v>0</v>
      </c>
      <c r="AP222" s="2"/>
      <c r="AQ222" s="61" t="str">
        <f t="shared" si="487"/>
        <v>E222*      "</v>
      </c>
      <c r="AS222" s="2">
        <f t="shared" si="460"/>
        <v>0</v>
      </c>
      <c r="AT222" s="2">
        <f t="shared" si="461"/>
        <v>0</v>
      </c>
      <c r="AU222" s="2">
        <f t="shared" si="461"/>
        <v>0</v>
      </c>
      <c r="AV222" s="2">
        <f t="shared" si="461"/>
        <v>0</v>
      </c>
      <c r="AW222" s="2">
        <f t="shared" si="461"/>
        <v>0</v>
      </c>
      <c r="AX222" s="2">
        <f t="shared" si="461"/>
        <v>0</v>
      </c>
      <c r="AY222" s="2">
        <f t="shared" si="461"/>
        <v>0</v>
      </c>
      <c r="BA222" s="2">
        <f t="shared" si="462"/>
        <v>0</v>
      </c>
      <c r="BB222" s="2">
        <f t="shared" si="463"/>
        <v>0</v>
      </c>
      <c r="BC222" s="2">
        <f t="shared" si="463"/>
        <v>0</v>
      </c>
      <c r="BD222" s="2">
        <f t="shared" si="463"/>
        <v>0</v>
      </c>
      <c r="BE222" s="2">
        <f t="shared" si="463"/>
        <v>0</v>
      </c>
      <c r="BF222" s="2">
        <f t="shared" si="463"/>
        <v>0</v>
      </c>
      <c r="BG222" s="2">
        <f t="shared" si="463"/>
        <v>0</v>
      </c>
      <c r="BI222" s="2">
        <f t="shared" si="464"/>
        <v>1413000.0000000002</v>
      </c>
      <c r="BJ222" s="2">
        <f t="shared" si="465"/>
        <v>1381900.8609060487</v>
      </c>
      <c r="BK222" s="2">
        <f t="shared" si="465"/>
        <v>25943.820421910736</v>
      </c>
      <c r="BL222" s="2">
        <f t="shared" si="465"/>
        <v>0</v>
      </c>
      <c r="BM222" s="2">
        <f t="shared" si="465"/>
        <v>63.022839662572494</v>
      </c>
      <c r="BN222" s="2">
        <f t="shared" si="465"/>
        <v>5092.2958323781331</v>
      </c>
      <c r="BO222" s="2">
        <f t="shared" si="465"/>
        <v>0</v>
      </c>
      <c r="BQ222" s="28" t="s">
        <v>91</v>
      </c>
      <c r="BR222" s="23">
        <v>633252.29514238716</v>
      </c>
      <c r="BS222" s="14">
        <f t="shared" si="466"/>
        <v>0</v>
      </c>
      <c r="BT222" s="14">
        <f t="shared" si="467"/>
        <v>0</v>
      </c>
      <c r="BU222" s="14">
        <f t="shared" si="468"/>
        <v>0</v>
      </c>
      <c r="BV222" s="14">
        <f t="shared" si="469"/>
        <v>0</v>
      </c>
      <c r="BW222" s="14">
        <f t="shared" si="470"/>
        <v>0</v>
      </c>
      <c r="BX222" s="14">
        <f t="shared" si="471"/>
        <v>0</v>
      </c>
      <c r="BY222" s="14">
        <f t="shared" si="472"/>
        <v>0</v>
      </c>
      <c r="BZ222" s="14">
        <f t="shared" si="473"/>
        <v>0</v>
      </c>
      <c r="CA222" s="14">
        <f t="shared" si="474"/>
        <v>0</v>
      </c>
      <c r="CB222" s="14">
        <f t="shared" si="475"/>
        <v>0</v>
      </c>
      <c r="CC222" s="14">
        <f t="shared" si="476"/>
        <v>0</v>
      </c>
      <c r="CD222" s="14">
        <f t="shared" si="477"/>
        <v>1</v>
      </c>
      <c r="CE222" s="14">
        <f t="shared" si="478"/>
        <v>0</v>
      </c>
      <c r="CF222" s="14">
        <f t="shared" si="479"/>
        <v>0</v>
      </c>
      <c r="CG222" s="14">
        <f t="shared" si="480"/>
        <v>0</v>
      </c>
      <c r="CH222" s="14">
        <f t="shared" si="481"/>
        <v>0</v>
      </c>
      <c r="CI222" s="14">
        <f t="shared" si="482"/>
        <v>0</v>
      </c>
      <c r="CJ222" s="14"/>
      <c r="CK222" s="120" t="str">
        <f t="shared" si="483"/>
        <v>as 380 Svcs Plant (34)</v>
      </c>
      <c r="CL222" s="76">
        <f t="shared" si="440"/>
        <v>0</v>
      </c>
      <c r="CM222" s="2">
        <f t="shared" si="484"/>
        <v>619314.85621231142</v>
      </c>
      <c r="CN222" s="2">
        <f t="shared" si="484"/>
        <v>11627.023232085568</v>
      </c>
      <c r="CO222" s="2">
        <f t="shared" si="484"/>
        <v>0</v>
      </c>
      <c r="CP222" s="2">
        <f t="shared" si="484"/>
        <v>28.244414623294197</v>
      </c>
      <c r="CQ222" s="2">
        <f t="shared" si="484"/>
        <v>2282.1712833669253</v>
      </c>
      <c r="CR222" s="2">
        <f t="shared" si="484"/>
        <v>0</v>
      </c>
    </row>
    <row r="223" spans="1:96">
      <c r="A223" s="50">
        <f t="shared" si="400"/>
        <v>223</v>
      </c>
      <c r="B223" t="s">
        <v>347</v>
      </c>
      <c r="C223" s="36" t="s">
        <v>155</v>
      </c>
      <c r="D223" s="28" t="s">
        <v>339</v>
      </c>
      <c r="E223" s="436">
        <f>PROFORMA!AV90</f>
        <v>1671000</v>
      </c>
      <c r="F223" s="60" t="str">
        <f>"as 381-4 Mtr &amp; Reg ("&amp;A$35&amp;"-"&amp;A$38&amp;")"</f>
        <v>as 381-4 Mtr &amp; Reg (35-38)</v>
      </c>
      <c r="G223" s="60" t="s">
        <v>437</v>
      </c>
      <c r="H223" s="2">
        <f t="shared" si="455"/>
        <v>1671000.0000000002</v>
      </c>
      <c r="I223" s="2">
        <f t="shared" si="456"/>
        <v>1505385.0800627533</v>
      </c>
      <c r="J223" s="2">
        <f t="shared" si="456"/>
        <v>150506.87350122645</v>
      </c>
      <c r="K223" s="2">
        <f t="shared" si="456"/>
        <v>0</v>
      </c>
      <c r="L223" s="2">
        <f t="shared" si="456"/>
        <v>1593.1329293091671</v>
      </c>
      <c r="M223" s="2">
        <f t="shared" si="456"/>
        <v>13514.91350671106</v>
      </c>
      <c r="N223" s="2">
        <f t="shared" si="456"/>
        <v>0</v>
      </c>
      <c r="O223" s="2"/>
      <c r="P223" s="61" t="str">
        <f t="shared" si="485"/>
        <v>E223*     "</v>
      </c>
      <c r="Q223" s="61"/>
      <c r="R223" s="14">
        <f>SUMPRODUCT($E$35:$E$38,R$35:R$38)/SUM($E$35:$E$38)</f>
        <v>0</v>
      </c>
      <c r="S223" s="14">
        <f t="shared" ref="S223:AH223" si="493">SUMPRODUCT($E$35:$E$38,S$35:S$38)/SUM($E$35:$E$38)</f>
        <v>0</v>
      </c>
      <c r="T223" s="14">
        <f t="shared" si="493"/>
        <v>0</v>
      </c>
      <c r="U223" s="14">
        <f t="shared" si="493"/>
        <v>0</v>
      </c>
      <c r="V223" s="14">
        <f t="shared" si="493"/>
        <v>0</v>
      </c>
      <c r="W223" s="14">
        <f t="shared" si="493"/>
        <v>0</v>
      </c>
      <c r="X223" s="14">
        <f t="shared" si="493"/>
        <v>0</v>
      </c>
      <c r="Y223" s="14">
        <f t="shared" si="493"/>
        <v>0</v>
      </c>
      <c r="Z223" s="14">
        <f t="shared" si="493"/>
        <v>0</v>
      </c>
      <c r="AA223" s="14">
        <f t="shared" si="493"/>
        <v>0</v>
      </c>
      <c r="AB223" s="14">
        <f t="shared" si="493"/>
        <v>0</v>
      </c>
      <c r="AC223" s="14">
        <f t="shared" si="493"/>
        <v>0</v>
      </c>
      <c r="AD223" s="14">
        <f t="shared" si="493"/>
        <v>1</v>
      </c>
      <c r="AE223" s="14">
        <f t="shared" si="493"/>
        <v>0</v>
      </c>
      <c r="AF223" s="14">
        <f t="shared" si="493"/>
        <v>0</v>
      </c>
      <c r="AG223" s="14">
        <f t="shared" si="493"/>
        <v>0</v>
      </c>
      <c r="AH223" s="14">
        <f t="shared" si="493"/>
        <v>0</v>
      </c>
      <c r="AI223" s="76">
        <f t="shared" si="437"/>
        <v>0</v>
      </c>
      <c r="AK223" s="2">
        <f t="shared" si="458"/>
        <v>1671000</v>
      </c>
      <c r="AL223" s="2">
        <f t="shared" si="459"/>
        <v>0</v>
      </c>
      <c r="AM223" s="2">
        <f t="shared" si="459"/>
        <v>0</v>
      </c>
      <c r="AN223" s="2">
        <f t="shared" si="459"/>
        <v>1671000</v>
      </c>
      <c r="AO223" s="2">
        <f t="shared" si="459"/>
        <v>0</v>
      </c>
      <c r="AP223" s="2"/>
      <c r="AQ223" s="61" t="str">
        <f t="shared" si="487"/>
        <v>E223*      "</v>
      </c>
      <c r="AS223" s="2">
        <f t="shared" si="460"/>
        <v>0</v>
      </c>
      <c r="AT223" s="2">
        <f t="shared" si="461"/>
        <v>0</v>
      </c>
      <c r="AU223" s="2">
        <f t="shared" si="461"/>
        <v>0</v>
      </c>
      <c r="AV223" s="2">
        <f t="shared" si="461"/>
        <v>0</v>
      </c>
      <c r="AW223" s="2">
        <f t="shared" si="461"/>
        <v>0</v>
      </c>
      <c r="AX223" s="2">
        <f t="shared" si="461"/>
        <v>0</v>
      </c>
      <c r="AY223" s="2">
        <f t="shared" si="461"/>
        <v>0</v>
      </c>
      <c r="BA223" s="2">
        <f t="shared" si="462"/>
        <v>0</v>
      </c>
      <c r="BB223" s="2">
        <f t="shared" si="463"/>
        <v>0</v>
      </c>
      <c r="BC223" s="2">
        <f t="shared" si="463"/>
        <v>0</v>
      </c>
      <c r="BD223" s="2">
        <f t="shared" si="463"/>
        <v>0</v>
      </c>
      <c r="BE223" s="2">
        <f t="shared" si="463"/>
        <v>0</v>
      </c>
      <c r="BF223" s="2">
        <f t="shared" si="463"/>
        <v>0</v>
      </c>
      <c r="BG223" s="2">
        <f t="shared" si="463"/>
        <v>0</v>
      </c>
      <c r="BI223" s="2">
        <f t="shared" si="464"/>
        <v>1671000.0000000002</v>
      </c>
      <c r="BJ223" s="2">
        <f t="shared" si="465"/>
        <v>1505385.0800627533</v>
      </c>
      <c r="BK223" s="2">
        <f t="shared" si="465"/>
        <v>150506.87350122645</v>
      </c>
      <c r="BL223" s="2">
        <f t="shared" si="465"/>
        <v>0</v>
      </c>
      <c r="BM223" s="2">
        <f t="shared" si="465"/>
        <v>1593.1329293091671</v>
      </c>
      <c r="BN223" s="2">
        <f t="shared" si="465"/>
        <v>13514.91350671106</v>
      </c>
      <c r="BO223" s="2">
        <f t="shared" si="465"/>
        <v>0</v>
      </c>
      <c r="BQ223" s="28" t="s">
        <v>339</v>
      </c>
      <c r="BR223" s="23">
        <v>664256.54460020713</v>
      </c>
      <c r="BS223" s="14">
        <f t="shared" si="466"/>
        <v>0</v>
      </c>
      <c r="BT223" s="14">
        <f t="shared" si="467"/>
        <v>0</v>
      </c>
      <c r="BU223" s="14">
        <f t="shared" si="468"/>
        <v>0</v>
      </c>
      <c r="BV223" s="14">
        <f t="shared" si="469"/>
        <v>0</v>
      </c>
      <c r="BW223" s="14">
        <f t="shared" si="470"/>
        <v>0</v>
      </c>
      <c r="BX223" s="14">
        <f t="shared" si="471"/>
        <v>0</v>
      </c>
      <c r="BY223" s="14">
        <f t="shared" si="472"/>
        <v>0</v>
      </c>
      <c r="BZ223" s="14">
        <f t="shared" si="473"/>
        <v>0</v>
      </c>
      <c r="CA223" s="14">
        <f t="shared" si="474"/>
        <v>0</v>
      </c>
      <c r="CB223" s="14">
        <f t="shared" si="475"/>
        <v>0</v>
      </c>
      <c r="CC223" s="14">
        <f t="shared" si="476"/>
        <v>0</v>
      </c>
      <c r="CD223" s="14">
        <f t="shared" si="477"/>
        <v>0</v>
      </c>
      <c r="CE223" s="14">
        <f t="shared" si="478"/>
        <v>1</v>
      </c>
      <c r="CF223" s="14">
        <f t="shared" si="479"/>
        <v>0</v>
      </c>
      <c r="CG223" s="14">
        <f t="shared" si="480"/>
        <v>0</v>
      </c>
      <c r="CH223" s="14">
        <f t="shared" si="481"/>
        <v>0</v>
      </c>
      <c r="CI223" s="14">
        <f t="shared" si="482"/>
        <v>0</v>
      </c>
      <c r="CJ223" s="14"/>
      <c r="CK223" s="120" t="str">
        <f t="shared" si="483"/>
        <v>as 381-4 Mtr &amp; Reg (35-38)</v>
      </c>
      <c r="CL223" s="76">
        <f t="shared" si="440"/>
        <v>0</v>
      </c>
      <c r="CM223" s="2">
        <f t="shared" si="484"/>
        <v>598421.23972183757</v>
      </c>
      <c r="CN223" s="2">
        <f t="shared" si="484"/>
        <v>59829.548611912127</v>
      </c>
      <c r="CO223" s="2">
        <f t="shared" si="484"/>
        <v>0</v>
      </c>
      <c r="CP223" s="2">
        <f t="shared" si="484"/>
        <v>633.30279755338927</v>
      </c>
      <c r="CQ223" s="2">
        <f t="shared" si="484"/>
        <v>5372.4534689039838</v>
      </c>
      <c r="CR223" s="2">
        <f t="shared" si="484"/>
        <v>0</v>
      </c>
    </row>
    <row r="224" spans="1:96">
      <c r="A224" s="50">
        <f t="shared" si="400"/>
        <v>224</v>
      </c>
      <c r="B224" t="s">
        <v>348</v>
      </c>
      <c r="C224" s="36" t="s">
        <v>155</v>
      </c>
      <c r="D224" s="28" t="s">
        <v>243</v>
      </c>
      <c r="E224" s="436">
        <f>PROFORMA!AV91</f>
        <v>193000</v>
      </c>
      <c r="F224" s="60" t="str">
        <f>"as Distrib Plant ("&amp;A$41&amp;")"</f>
        <v>as Distrib Plant (41)</v>
      </c>
      <c r="G224" s="60" t="s">
        <v>437</v>
      </c>
      <c r="H224" s="2">
        <f t="shared" si="455"/>
        <v>192999.99999999997</v>
      </c>
      <c r="I224" s="2">
        <f t="shared" si="456"/>
        <v>152941.81714639068</v>
      </c>
      <c r="J224" s="2">
        <f t="shared" si="456"/>
        <v>28325.521221739793</v>
      </c>
      <c r="K224" s="2">
        <f t="shared" si="456"/>
        <v>0</v>
      </c>
      <c r="L224" s="2">
        <f t="shared" si="456"/>
        <v>373.79875178195647</v>
      </c>
      <c r="M224" s="2">
        <f t="shared" si="456"/>
        <v>11358.862880087534</v>
      </c>
      <c r="N224" s="2">
        <f t="shared" si="456"/>
        <v>0</v>
      </c>
      <c r="O224" s="2"/>
      <c r="P224" s="61" t="str">
        <f t="shared" si="485"/>
        <v>E224*     "</v>
      </c>
      <c r="Q224" s="61"/>
      <c r="R224" s="14">
        <f>R$41</f>
        <v>0.18032917602090978</v>
      </c>
      <c r="S224" s="14">
        <f>S$41</f>
        <v>0</v>
      </c>
      <c r="T224" s="14">
        <f t="shared" ref="T224:AH224" si="494">T$41</f>
        <v>0</v>
      </c>
      <c r="U224" s="14">
        <f t="shared" si="494"/>
        <v>0</v>
      </c>
      <c r="V224" s="14">
        <f t="shared" si="494"/>
        <v>0</v>
      </c>
      <c r="W224" s="14">
        <f t="shared" si="494"/>
        <v>0.33248662332325996</v>
      </c>
      <c r="X224" s="14">
        <f t="shared" si="494"/>
        <v>0</v>
      </c>
      <c r="Y224" s="14">
        <f t="shared" si="494"/>
        <v>0</v>
      </c>
      <c r="Z224" s="14">
        <f>Z$41</f>
        <v>0</v>
      </c>
      <c r="AA224" s="14">
        <f t="shared" si="494"/>
        <v>0</v>
      </c>
      <c r="AB224" s="14">
        <f>AB$41</f>
        <v>0</v>
      </c>
      <c r="AC224" s="14">
        <f t="shared" si="494"/>
        <v>0.34784812665025233</v>
      </c>
      <c r="AD224" s="14">
        <f t="shared" si="494"/>
        <v>0.13399956178953271</v>
      </c>
      <c r="AE224" s="14">
        <f>AE$41</f>
        <v>0</v>
      </c>
      <c r="AF224" s="14">
        <f t="shared" si="494"/>
        <v>5.3365122160451877E-3</v>
      </c>
      <c r="AG224" s="14">
        <f t="shared" si="494"/>
        <v>0</v>
      </c>
      <c r="AH224" s="14">
        <f t="shared" si="494"/>
        <v>0</v>
      </c>
      <c r="AI224" s="76">
        <f t="shared" si="437"/>
        <v>0</v>
      </c>
      <c r="AK224" s="2">
        <f t="shared" si="458"/>
        <v>193000</v>
      </c>
      <c r="AL224" s="2">
        <f t="shared" si="459"/>
        <v>34803.530972035587</v>
      </c>
      <c r="AM224" s="2">
        <f t="shared" si="459"/>
        <v>64169.918301389174</v>
      </c>
      <c r="AN224" s="2">
        <f t="shared" si="459"/>
        <v>94026.550726575239</v>
      </c>
      <c r="AO224" s="2">
        <f t="shared" si="459"/>
        <v>0</v>
      </c>
      <c r="AP224" s="2"/>
      <c r="AQ224" s="61" t="str">
        <f t="shared" si="487"/>
        <v>E224*      "</v>
      </c>
      <c r="AS224" s="2">
        <f t="shared" si="460"/>
        <v>34803.530972035587</v>
      </c>
      <c r="AT224" s="2">
        <f t="shared" si="461"/>
        <v>20170.259711666989</v>
      </c>
      <c r="AU224" s="2">
        <f t="shared" si="461"/>
        <v>9037.5544550930463</v>
      </c>
      <c r="AV224" s="2">
        <f t="shared" si="461"/>
        <v>0</v>
      </c>
      <c r="AW224" s="2">
        <f t="shared" si="461"/>
        <v>145.62808530292313</v>
      </c>
      <c r="AX224" s="2">
        <f t="shared" si="461"/>
        <v>5450.0887199726312</v>
      </c>
      <c r="AY224" s="2">
        <f t="shared" si="461"/>
        <v>0</v>
      </c>
      <c r="BA224" s="2">
        <f t="shared" si="462"/>
        <v>64169.918301389174</v>
      </c>
      <c r="BB224" s="2">
        <f t="shared" si="463"/>
        <v>43815.748071512193</v>
      </c>
      <c r="BC224" s="2">
        <f t="shared" si="463"/>
        <v>14830.526477993735</v>
      </c>
      <c r="BD224" s="2">
        <f t="shared" si="463"/>
        <v>0</v>
      </c>
      <c r="BE224" s="2">
        <f t="shared" si="463"/>
        <v>186.31268641396895</v>
      </c>
      <c r="BF224" s="2">
        <f t="shared" si="463"/>
        <v>5337.3310654692723</v>
      </c>
      <c r="BG224" s="2">
        <f t="shared" si="463"/>
        <v>0</v>
      </c>
      <c r="BI224" s="2">
        <f t="shared" si="464"/>
        <v>94026.550726575224</v>
      </c>
      <c r="BJ224" s="2">
        <f t="shared" si="465"/>
        <v>88955.80936321152</v>
      </c>
      <c r="BK224" s="2">
        <f t="shared" si="465"/>
        <v>4457.4402886530152</v>
      </c>
      <c r="BL224" s="2">
        <f t="shared" si="465"/>
        <v>0</v>
      </c>
      <c r="BM224" s="2">
        <f t="shared" si="465"/>
        <v>41.857980065064353</v>
      </c>
      <c r="BN224" s="2">
        <f t="shared" si="465"/>
        <v>571.44309464563162</v>
      </c>
      <c r="BO224" s="2">
        <f t="shared" si="465"/>
        <v>0</v>
      </c>
      <c r="BQ224" s="28" t="s">
        <v>243</v>
      </c>
      <c r="BR224" s="23">
        <v>86319.741298916473</v>
      </c>
      <c r="BS224" s="14">
        <f t="shared" si="466"/>
        <v>0.18032917602090978</v>
      </c>
      <c r="BT224" s="14">
        <f t="shared" si="467"/>
        <v>0</v>
      </c>
      <c r="BU224" s="14">
        <f t="shared" si="468"/>
        <v>0</v>
      </c>
      <c r="BV224" s="14">
        <f t="shared" si="469"/>
        <v>0</v>
      </c>
      <c r="BW224" s="14">
        <f t="shared" si="470"/>
        <v>0</v>
      </c>
      <c r="BX224" s="14">
        <f t="shared" si="471"/>
        <v>0.33248662332325996</v>
      </c>
      <c r="BY224" s="14">
        <f t="shared" si="472"/>
        <v>0</v>
      </c>
      <c r="BZ224" s="14">
        <f t="shared" si="473"/>
        <v>0</v>
      </c>
      <c r="CA224" s="14">
        <f t="shared" si="474"/>
        <v>0</v>
      </c>
      <c r="CB224" s="14">
        <f t="shared" si="475"/>
        <v>0</v>
      </c>
      <c r="CC224" s="14">
        <f t="shared" si="476"/>
        <v>0</v>
      </c>
      <c r="CD224" s="14">
        <f t="shared" si="477"/>
        <v>0.34784812665025233</v>
      </c>
      <c r="CE224" s="14">
        <f t="shared" si="478"/>
        <v>0.13399956178953271</v>
      </c>
      <c r="CF224" s="14">
        <f t="shared" si="479"/>
        <v>0</v>
      </c>
      <c r="CG224" s="14">
        <f t="shared" si="480"/>
        <v>5.3365122160451877E-3</v>
      </c>
      <c r="CH224" s="14">
        <f t="shared" si="481"/>
        <v>0</v>
      </c>
      <c r="CI224" s="14">
        <f t="shared" si="482"/>
        <v>0</v>
      </c>
      <c r="CJ224" s="14"/>
      <c r="CK224" s="120" t="str">
        <f t="shared" si="483"/>
        <v>as Distrib Plant (41)</v>
      </c>
      <c r="CL224" s="76">
        <f t="shared" si="440"/>
        <v>0</v>
      </c>
      <c r="CM224" s="2">
        <f t="shared" si="484"/>
        <v>68403.617045920371</v>
      </c>
      <c r="CN224" s="2">
        <f t="shared" si="484"/>
        <v>12668.66147159351</v>
      </c>
      <c r="CO224" s="2">
        <f t="shared" si="484"/>
        <v>0</v>
      </c>
      <c r="CP224" s="2">
        <f t="shared" si="484"/>
        <v>167.18244327293459</v>
      </c>
      <c r="CQ224" s="2">
        <f t="shared" si="484"/>
        <v>5080.2803381296435</v>
      </c>
      <c r="CR224" s="2">
        <f t="shared" si="484"/>
        <v>0</v>
      </c>
    </row>
    <row r="225" spans="1:97">
      <c r="A225" s="50">
        <f t="shared" si="400"/>
        <v>225</v>
      </c>
      <c r="D225" s="52" t="s">
        <v>9</v>
      </c>
      <c r="E225" s="3">
        <f>SUM(E216:E224)</f>
        <v>4543000</v>
      </c>
      <c r="F225" s="62"/>
      <c r="G225" s="62"/>
      <c r="H225" s="3">
        <f>IF(ROUND(SUM(H216:H224),3)&lt;&gt;ROUND(SUM(I225:N225),3),#VALUE!,SUM(H216:H224))</f>
        <v>4543000</v>
      </c>
      <c r="I225" s="3">
        <f t="shared" ref="I225:N225" si="495">SUM(I216:I224)</f>
        <v>3860900.1500973385</v>
      </c>
      <c r="J225" s="3">
        <f t="shared" si="495"/>
        <v>512014.03230879398</v>
      </c>
      <c r="K225" s="3">
        <f t="shared" si="495"/>
        <v>0</v>
      </c>
      <c r="L225" s="3">
        <f t="shared" si="495"/>
        <v>6321.0838321070842</v>
      </c>
      <c r="M225" s="3">
        <f t="shared" si="495"/>
        <v>163764.73376175994</v>
      </c>
      <c r="N225" s="3">
        <f t="shared" si="495"/>
        <v>0</v>
      </c>
      <c r="O225" s="5"/>
      <c r="P225" s="61" t="str">
        <f>$A216&amp;":"&amp;$A224</f>
        <v>216:224</v>
      </c>
      <c r="Q225" s="61"/>
      <c r="R225" s="22">
        <f t="shared" ref="R225:AH225" si="496">SUMPRODUCT($E$216:$E$224,R$216:R$224)/$E225</f>
        <v>0.10117252167504373</v>
      </c>
      <c r="S225" s="22">
        <f t="shared" si="496"/>
        <v>0</v>
      </c>
      <c r="T225" s="22">
        <f t="shared" si="496"/>
        <v>0</v>
      </c>
      <c r="U225" s="22">
        <f t="shared" si="496"/>
        <v>0</v>
      </c>
      <c r="V225" s="22">
        <f t="shared" si="496"/>
        <v>0</v>
      </c>
      <c r="W225" s="22">
        <f t="shared" si="496"/>
        <v>0.18653947656775249</v>
      </c>
      <c r="X225" s="22">
        <f t="shared" si="496"/>
        <v>0</v>
      </c>
      <c r="Y225" s="22">
        <f t="shared" si="496"/>
        <v>0</v>
      </c>
      <c r="Z225" s="22">
        <f t="shared" si="496"/>
        <v>0</v>
      </c>
      <c r="AA225" s="22">
        <f t="shared" si="496"/>
        <v>0</v>
      </c>
      <c r="AB225" s="22">
        <f t="shared" si="496"/>
        <v>0</v>
      </c>
      <c r="AC225" s="22">
        <f t="shared" si="496"/>
        <v>0.33239040883456317</v>
      </c>
      <c r="AD225" s="22">
        <f t="shared" si="496"/>
        <v>0.37604795900050175</v>
      </c>
      <c r="AE225" s="22">
        <f t="shared" si="496"/>
        <v>0</v>
      </c>
      <c r="AF225" s="22">
        <f t="shared" si="496"/>
        <v>3.8496339221388092E-3</v>
      </c>
      <c r="AG225" s="22">
        <f t="shared" si="496"/>
        <v>0</v>
      </c>
      <c r="AH225" s="22">
        <f t="shared" si="496"/>
        <v>0</v>
      </c>
      <c r="AI225" s="76">
        <f t="shared" si="437"/>
        <v>0</v>
      </c>
      <c r="AK225" s="3">
        <f>IF(ROUND(SUM(AK216:AK224),3)&lt;&gt;ROUND(SUM(AL225:AO225),3),#VALUE!,SUM(AK216:AK224))</f>
        <v>4543000</v>
      </c>
      <c r="AL225" s="3">
        <f>SUM(AL216:AL224)</f>
        <v>459626.76596972364</v>
      </c>
      <c r="AM225" s="3">
        <f>SUM(AM216:AM224)</f>
        <v>847448.84204729961</v>
      </c>
      <c r="AN225" s="3">
        <f>SUM(AN216:AN224)</f>
        <v>3235924.3919829768</v>
      </c>
      <c r="AO225" s="3">
        <f>SUM(AO216:AO224)</f>
        <v>0</v>
      </c>
      <c r="AP225" s="5"/>
      <c r="AQ225" s="61" t="str">
        <f>$A216&amp;":"&amp;$A224</f>
        <v>216:224</v>
      </c>
      <c r="AS225" s="3">
        <f>IF(ROUND(SUM(AS216:AS224),3)&lt;&gt;ROUND(SUM(AT225:AY225),3),#VALUE!,SUM(AS216:AS224))</f>
        <v>459626.7659697237</v>
      </c>
      <c r="AT225" s="3">
        <f t="shared" ref="AT225:AY225" si="497">SUM(AT216:AT224)</f>
        <v>266375.01946259214</v>
      </c>
      <c r="AU225" s="3">
        <f t="shared" si="497"/>
        <v>119352.88778047603</v>
      </c>
      <c r="AV225" s="3">
        <f t="shared" si="497"/>
        <v>0</v>
      </c>
      <c r="AW225" s="3">
        <f t="shared" si="497"/>
        <v>1923.2119274313602</v>
      </c>
      <c r="AX225" s="3">
        <f t="shared" si="497"/>
        <v>71975.646799224138</v>
      </c>
      <c r="AY225" s="3">
        <f t="shared" si="497"/>
        <v>0</v>
      </c>
      <c r="BA225" s="3">
        <f>IF(ROUND(SUM(BA216:BA224),3)&lt;&gt;ROUND(SUM(BB225:BG225),3),#VALUE!,SUM(BA216:BA224))</f>
        <v>847448.84204729961</v>
      </c>
      <c r="BB225" s="3">
        <f t="shared" ref="BB225:BG225" si="498">SUM(BB216:BB224)</f>
        <v>578645.0403792297</v>
      </c>
      <c r="BC225" s="3">
        <f t="shared" si="498"/>
        <v>195856.7631596241</v>
      </c>
      <c r="BD225" s="3">
        <f t="shared" si="498"/>
        <v>0</v>
      </c>
      <c r="BE225" s="3">
        <f t="shared" si="498"/>
        <v>2460.5060211962523</v>
      </c>
      <c r="BF225" s="3">
        <f t="shared" si="498"/>
        <v>70486.532487249511</v>
      </c>
      <c r="BG225" s="3">
        <f t="shared" si="498"/>
        <v>0</v>
      </c>
      <c r="BI225" s="3">
        <f>IF(ROUND(SUM(BI216:BI224),3)&lt;&gt;ROUND(SUM(BJ225:BO225),3),#VALUE!,SUM(BI216:BI224))</f>
        <v>3235924.3919829773</v>
      </c>
      <c r="BJ225" s="3">
        <f t="shared" ref="BJ225:BO225" si="499">SUM(BJ216:BJ224)</f>
        <v>3015880.090255517</v>
      </c>
      <c r="BK225" s="3">
        <f t="shared" si="499"/>
        <v>196804.38136869387</v>
      </c>
      <c r="BL225" s="3">
        <f t="shared" si="499"/>
        <v>0</v>
      </c>
      <c r="BM225" s="3">
        <f t="shared" si="499"/>
        <v>1937.3658834794717</v>
      </c>
      <c r="BN225" s="3">
        <f t="shared" si="499"/>
        <v>21302.554475286321</v>
      </c>
      <c r="BO225" s="3">
        <f t="shared" si="499"/>
        <v>0</v>
      </c>
      <c r="BQ225" s="52" t="s">
        <v>9</v>
      </c>
      <c r="BR225" s="577">
        <f>IF(ROUND(SUM(BR216:BR224),3)&lt;&gt;ROUND(SUM(CM225:CR225),3),#VALUE!,SUM(BR216:BR224))</f>
        <v>2069489.9210471585</v>
      </c>
      <c r="BS225" s="22">
        <f>IF(SUM($BR$216:$BR$224)=0,0,SUMPRODUCT($BR$216:$BR$224,BS$216:BS$224)/$BR$225)</f>
        <v>0.11831303153454062</v>
      </c>
      <c r="BT225" s="22">
        <f t="shared" ref="BT225:CI225" si="500">IF(SUM($BR$216:$BR$224)=0,0,SUMPRODUCT($BR$216:$BR$224,BT$216:BT$224)/$BR$225)</f>
        <v>0</v>
      </c>
      <c r="BU225" s="22">
        <f t="shared" si="500"/>
        <v>0</v>
      </c>
      <c r="BV225" s="22">
        <f t="shared" si="500"/>
        <v>0</v>
      </c>
      <c r="BW225" s="22">
        <f t="shared" si="500"/>
        <v>0</v>
      </c>
      <c r="BX225" s="22">
        <f t="shared" si="500"/>
        <v>0.21814273884053278</v>
      </c>
      <c r="BY225" s="22">
        <f t="shared" si="500"/>
        <v>0</v>
      </c>
      <c r="BZ225" s="22">
        <f t="shared" si="500"/>
        <v>0</v>
      </c>
      <c r="CA225" s="22">
        <f t="shared" si="500"/>
        <v>0</v>
      </c>
      <c r="CB225" s="22">
        <f t="shared" si="500"/>
        <v>0</v>
      </c>
      <c r="CC225" s="22">
        <f t="shared" si="500"/>
        <v>0</v>
      </c>
      <c r="CD225" s="22">
        <f t="shared" si="500"/>
        <v>0.32905126282633906</v>
      </c>
      <c r="CE225" s="22">
        <f t="shared" si="500"/>
        <v>0.32985804515416089</v>
      </c>
      <c r="CF225" s="22">
        <f t="shared" si="500"/>
        <v>0</v>
      </c>
      <c r="CG225" s="22">
        <f t="shared" si="500"/>
        <v>4.6349216444266763E-3</v>
      </c>
      <c r="CH225" s="22">
        <f t="shared" si="500"/>
        <v>0</v>
      </c>
      <c r="CI225" s="22">
        <f t="shared" si="500"/>
        <v>0</v>
      </c>
      <c r="CJ225" s="42"/>
      <c r="CK225" s="42"/>
      <c r="CL225" s="76">
        <f t="shared" si="440"/>
        <v>0</v>
      </c>
      <c r="CM225" s="3">
        <f t="shared" ref="CM225:CR225" si="501">SUM(CM216:CM224)</f>
        <v>1731111.797023233</v>
      </c>
      <c r="CN225" s="3">
        <f t="shared" si="501"/>
        <v>250242.51153595001</v>
      </c>
      <c r="CO225" s="3">
        <f t="shared" si="501"/>
        <v>0</v>
      </c>
      <c r="CP225" s="3">
        <f t="shared" si="501"/>
        <v>3148.7580546914141</v>
      </c>
      <c r="CQ225" s="3">
        <f t="shared" si="501"/>
        <v>84986.854433284083</v>
      </c>
      <c r="CR225" s="3">
        <f t="shared" si="501"/>
        <v>0</v>
      </c>
    </row>
    <row r="226" spans="1:97">
      <c r="A226" s="50">
        <f t="shared" si="400"/>
        <v>226</v>
      </c>
      <c r="D226" s="53" t="s">
        <v>10</v>
      </c>
      <c r="E226" s="2">
        <f>E215+E225</f>
        <v>13249000</v>
      </c>
      <c r="F226" s="60"/>
      <c r="G226" s="60"/>
      <c r="H226" s="2">
        <f t="shared" ref="H226:N226" si="502">H215+H225</f>
        <v>13249000</v>
      </c>
      <c r="I226" s="2">
        <f t="shared" si="502"/>
        <v>11010552.676683927</v>
      </c>
      <c r="J226" s="2">
        <f t="shared" si="502"/>
        <v>1597010.6787043898</v>
      </c>
      <c r="K226" s="2">
        <f t="shared" si="502"/>
        <v>0</v>
      </c>
      <c r="L226" s="2">
        <f t="shared" si="502"/>
        <v>20424.749190014161</v>
      </c>
      <c r="M226" s="2">
        <f t="shared" si="502"/>
        <v>621011.89542166865</v>
      </c>
      <c r="N226" s="2">
        <f t="shared" si="502"/>
        <v>0</v>
      </c>
      <c r="O226" s="2"/>
      <c r="P226" s="61" t="str">
        <f>$A215&amp;"+"&amp;$A225</f>
        <v>215+225</v>
      </c>
      <c r="Q226" s="61"/>
      <c r="R226" s="14">
        <f t="shared" ref="R226:AH226" si="503">($E215*R215+$E225*R225)/($E215+$E225)</f>
        <v>0.14289079916445172</v>
      </c>
      <c r="S226" s="14">
        <f t="shared" si="503"/>
        <v>0</v>
      </c>
      <c r="T226" s="14">
        <f t="shared" si="503"/>
        <v>0</v>
      </c>
      <c r="U226" s="14">
        <f t="shared" si="503"/>
        <v>0</v>
      </c>
      <c r="V226" s="14">
        <f t="shared" si="503"/>
        <v>0</v>
      </c>
      <c r="W226" s="14">
        <f t="shared" si="503"/>
        <v>0.26345863917573598</v>
      </c>
      <c r="X226" s="14">
        <f t="shared" si="503"/>
        <v>0</v>
      </c>
      <c r="Y226" s="14">
        <f t="shared" si="503"/>
        <v>0</v>
      </c>
      <c r="Z226" s="14">
        <f t="shared" si="503"/>
        <v>0</v>
      </c>
      <c r="AA226" s="14">
        <f t="shared" si="503"/>
        <v>0</v>
      </c>
      <c r="AB226" s="14">
        <f t="shared" si="503"/>
        <v>0.14061365286855484</v>
      </c>
      <c r="AC226" s="14">
        <f t="shared" si="503"/>
        <v>0.3253806188824358</v>
      </c>
      <c r="AD226" s="14">
        <f t="shared" si="503"/>
        <v>0.12447195808597221</v>
      </c>
      <c r="AE226" s="14">
        <f t="shared" si="503"/>
        <v>0</v>
      </c>
      <c r="AF226" s="14">
        <f t="shared" si="503"/>
        <v>3.1843318228494746E-3</v>
      </c>
      <c r="AG226" s="14">
        <f t="shared" si="503"/>
        <v>0</v>
      </c>
      <c r="AH226" s="14">
        <f t="shared" si="503"/>
        <v>0</v>
      </c>
      <c r="AI226" s="76">
        <f t="shared" si="437"/>
        <v>0</v>
      </c>
      <c r="AK226" s="2">
        <f>AK215+AK225</f>
        <v>13249000</v>
      </c>
      <c r="AL226" s="2">
        <f>AL215+AL225</f>
        <v>1893160.1981298206</v>
      </c>
      <c r="AM226" s="2">
        <f>AM215+AM225</f>
        <v>3490563.5104393256</v>
      </c>
      <c r="AN226" s="2">
        <f>AN215+AN225</f>
        <v>7865276.2914308533</v>
      </c>
      <c r="AO226" s="2">
        <f>AO215+AO225</f>
        <v>0</v>
      </c>
      <c r="AP226" s="2"/>
      <c r="AQ226" s="61" t="str">
        <f>$A215&amp;"+"&amp;$A225</f>
        <v>215+225</v>
      </c>
      <c r="AS226" s="2">
        <f t="shared" ref="AS226:AY226" si="504">AS215+AS225</f>
        <v>1893160.1981298209</v>
      </c>
      <c r="AT226" s="2">
        <f t="shared" si="504"/>
        <v>1097174.1029021237</v>
      </c>
      <c r="AU226" s="2">
        <f t="shared" si="504"/>
        <v>491603.52139443549</v>
      </c>
      <c r="AV226" s="2">
        <f t="shared" si="504"/>
        <v>0</v>
      </c>
      <c r="AW226" s="2">
        <f t="shared" si="504"/>
        <v>7921.5323021928243</v>
      </c>
      <c r="AX226" s="2">
        <f t="shared" si="504"/>
        <v>296461.04153106897</v>
      </c>
      <c r="AY226" s="2">
        <f t="shared" si="504"/>
        <v>0</v>
      </c>
      <c r="BA226" s="2">
        <f t="shared" ref="BA226:BG226" si="505">BA215+BA225</f>
        <v>3490563.5104393256</v>
      </c>
      <c r="BB226" s="2">
        <f t="shared" si="505"/>
        <v>2383385.4779539555</v>
      </c>
      <c r="BC226" s="2">
        <f t="shared" si="505"/>
        <v>806715.91822127206</v>
      </c>
      <c r="BD226" s="2">
        <f t="shared" si="505"/>
        <v>0</v>
      </c>
      <c r="BE226" s="2">
        <f t="shared" si="505"/>
        <v>10134.597050195185</v>
      </c>
      <c r="BF226" s="2">
        <f t="shared" si="505"/>
        <v>290327.51721390261</v>
      </c>
      <c r="BG226" s="2">
        <f t="shared" si="505"/>
        <v>0</v>
      </c>
      <c r="BI226" s="2">
        <f t="shared" ref="BI226:BO226" si="506">BI215+BI225</f>
        <v>7865276.2914308533</v>
      </c>
      <c r="BJ226" s="2">
        <f t="shared" si="506"/>
        <v>7529993.0958278477</v>
      </c>
      <c r="BK226" s="2">
        <f t="shared" si="506"/>
        <v>298691.23908868205</v>
      </c>
      <c r="BL226" s="2">
        <f t="shared" si="506"/>
        <v>0</v>
      </c>
      <c r="BM226" s="2">
        <f t="shared" si="506"/>
        <v>2368.6198376261545</v>
      </c>
      <c r="BN226" s="2">
        <f t="shared" si="506"/>
        <v>34223.336676697174</v>
      </c>
      <c r="BO226" s="2">
        <f t="shared" si="506"/>
        <v>0</v>
      </c>
      <c r="BQ226" s="53" t="s">
        <v>10</v>
      </c>
      <c r="BR226" s="21">
        <f>BR215+BR225</f>
        <v>6675102.4659102401</v>
      </c>
      <c r="BS226" s="14">
        <f>($BR$215*BS$215+$BR$225*BS$225)/($BR$215+$BR$225)</f>
        <v>0.13486384414183281</v>
      </c>
      <c r="BT226" s="14">
        <f t="shared" ref="BT226:CI226" si="507">($BR$215*BT$215+$BR$225*BT$225)/($BR$215+$BR$225)</f>
        <v>0</v>
      </c>
      <c r="BU226" s="14">
        <f t="shared" si="507"/>
        <v>0</v>
      </c>
      <c r="BV226" s="14">
        <f t="shared" si="507"/>
        <v>0</v>
      </c>
      <c r="BW226" s="14">
        <f t="shared" si="507"/>
        <v>0</v>
      </c>
      <c r="BX226" s="14">
        <f t="shared" si="507"/>
        <v>0.24865873141855321</v>
      </c>
      <c r="BY226" s="14">
        <f t="shared" si="507"/>
        <v>0</v>
      </c>
      <c r="BZ226" s="14">
        <f t="shared" si="507"/>
        <v>0</v>
      </c>
      <c r="CA226" s="14">
        <f t="shared" si="507"/>
        <v>0</v>
      </c>
      <c r="CB226" s="14">
        <f t="shared" si="507"/>
        <v>0</v>
      </c>
      <c r="CC226" s="14">
        <f t="shared" si="507"/>
        <v>0.17464810968728492</v>
      </c>
      <c r="CD226" s="14">
        <f t="shared" si="507"/>
        <v>0.28963011752389817</v>
      </c>
      <c r="CE226" s="14">
        <f t="shared" si="507"/>
        <v>0.14862508388422321</v>
      </c>
      <c r="CF226" s="14">
        <f t="shared" si="507"/>
        <v>0</v>
      </c>
      <c r="CG226" s="14">
        <f t="shared" si="507"/>
        <v>3.5741133442077438E-3</v>
      </c>
      <c r="CH226" s="14">
        <f t="shared" si="507"/>
        <v>0</v>
      </c>
      <c r="CI226" s="14">
        <f t="shared" si="507"/>
        <v>0</v>
      </c>
      <c r="CJ226" s="14"/>
      <c r="CK226" s="14"/>
      <c r="CL226" s="76">
        <f t="shared" si="440"/>
        <v>0</v>
      </c>
      <c r="CM226" s="2">
        <f t="shared" ref="CM226:CR226" si="508">CM215+CM225</f>
        <v>5583625.063710642</v>
      </c>
      <c r="CN226" s="2">
        <f t="shared" si="508"/>
        <v>784446.89496879443</v>
      </c>
      <c r="CO226" s="2">
        <f t="shared" si="508"/>
        <v>0</v>
      </c>
      <c r="CP226" s="2">
        <f t="shared" si="508"/>
        <v>9961.0075131291014</v>
      </c>
      <c r="CQ226" s="2">
        <f t="shared" si="508"/>
        <v>297069.4997176748</v>
      </c>
      <c r="CR226" s="2">
        <f t="shared" si="508"/>
        <v>0</v>
      </c>
    </row>
    <row r="227" spans="1:97">
      <c r="A227" s="50">
        <f t="shared" si="400"/>
        <v>227</v>
      </c>
      <c r="D227" s="10"/>
      <c r="E227" s="2"/>
      <c r="F227" s="60"/>
      <c r="G227" s="60"/>
      <c r="P227" s="61"/>
      <c r="Q227" s="61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76">
        <f t="shared" si="437"/>
        <v>0</v>
      </c>
      <c r="AQ227" s="61"/>
      <c r="BQ227" s="10"/>
      <c r="BR227" s="49"/>
      <c r="CL227" s="76">
        <f t="shared" si="440"/>
        <v>0</v>
      </c>
    </row>
    <row r="228" spans="1:97">
      <c r="A228" s="50">
        <f t="shared" si="400"/>
        <v>228</v>
      </c>
      <c r="D228" t="s">
        <v>11</v>
      </c>
      <c r="E228" s="2"/>
      <c r="F228" s="60"/>
      <c r="G228" s="60"/>
      <c r="P228" s="61"/>
      <c r="Q228" s="61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76">
        <f t="shared" si="437"/>
        <v>0</v>
      </c>
      <c r="AQ228" s="61"/>
      <c r="BQ228" t="s">
        <v>11</v>
      </c>
      <c r="BR228" s="49"/>
      <c r="CL228" s="76">
        <f t="shared" si="440"/>
        <v>0</v>
      </c>
    </row>
    <row r="229" spans="1:97">
      <c r="A229" s="50">
        <f t="shared" si="400"/>
        <v>229</v>
      </c>
      <c r="B229" t="s">
        <v>12</v>
      </c>
      <c r="C229" s="36" t="s">
        <v>157</v>
      </c>
      <c r="D229" s="28" t="s">
        <v>13</v>
      </c>
      <c r="E229" s="436">
        <f>PROFORMA!AV97</f>
        <v>82000</v>
      </c>
      <c r="F229" s="60" t="s">
        <v>451</v>
      </c>
      <c r="G229" s="60"/>
      <c r="H229" s="2">
        <f>SUM(I229:N229)</f>
        <v>82000</v>
      </c>
      <c r="I229" s="2">
        <f t="shared" ref="I229:N233" si="509">$E229*SUMPRODUCT($R229:$AH229,INDEX(AllocFactors,I$4,0))</f>
        <v>80469.794117225247</v>
      </c>
      <c r="J229" s="2">
        <f t="shared" si="509"/>
        <v>1510.7407101524029</v>
      </c>
      <c r="K229" s="2">
        <f t="shared" si="509"/>
        <v>0</v>
      </c>
      <c r="L229" s="2">
        <f t="shared" si="509"/>
        <v>0.97325863111766986</v>
      </c>
      <c r="M229" s="2">
        <f t="shared" si="509"/>
        <v>18.491913991235727</v>
      </c>
      <c r="N229" s="2">
        <f t="shared" si="509"/>
        <v>0</v>
      </c>
      <c r="O229" s="2"/>
      <c r="P229" s="61" t="str">
        <f>E$1&amp;$A229&amp;"* Sum["&amp;$R$1&amp;$A229&amp;":"&amp;$AH$1&amp;$A229&amp;"* "&amp;Factors!D$1&amp;Factors!$A$58&amp;":"&amp;Factors!S$1&amp;Factors!$A$64&amp;"]"</f>
        <v>E229* Sum[R229:AH229* D1040:S1046]</v>
      </c>
      <c r="Q229" s="61"/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1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76">
        <f t="shared" si="437"/>
        <v>0</v>
      </c>
      <c r="AK229" s="2">
        <f>SUM(AL229:AO229)</f>
        <v>82000</v>
      </c>
      <c r="AL229" s="2">
        <f t="shared" ref="AL229:AO233" si="510">SUMIF($R$4:$AH$4,AL$5,$R229:$AH229)*$E229</f>
        <v>0</v>
      </c>
      <c r="AM229" s="2">
        <f t="shared" si="510"/>
        <v>0</v>
      </c>
      <c r="AN229" s="2">
        <f t="shared" si="510"/>
        <v>82000</v>
      </c>
      <c r="AO229" s="2">
        <f t="shared" si="510"/>
        <v>0</v>
      </c>
      <c r="AP229" s="2"/>
      <c r="AQ229" s="61" t="str">
        <f>E$1&amp;$A229&amp;"*["&amp;R$1&amp;$A229&amp;":"&amp;$AH$1&amp;$A229&amp;" when "&amp;R$1&amp;$A$4&amp;":"&amp;$AH$1&amp;$A$4&amp;" = E,D,C,or R]"</f>
        <v>E229*[R229:AH229 when R4:AH4 = E,D,C,or R]</v>
      </c>
      <c r="AS229" s="2">
        <f>SUM(AT229:AY229)</f>
        <v>0</v>
      </c>
      <c r="AT229" s="2">
        <f t="shared" ref="AT229:AY233" si="511">$E229*SUMPRODUCT($R229:$V229,INDEX(AllocFactors_E,AT$4,0))</f>
        <v>0</v>
      </c>
      <c r="AU229" s="2">
        <f t="shared" si="511"/>
        <v>0</v>
      </c>
      <c r="AV229" s="2">
        <f t="shared" si="511"/>
        <v>0</v>
      </c>
      <c r="AW229" s="2">
        <f t="shared" si="511"/>
        <v>0</v>
      </c>
      <c r="AX229" s="2">
        <f t="shared" si="511"/>
        <v>0</v>
      </c>
      <c r="AY229" s="2">
        <f t="shared" si="511"/>
        <v>0</v>
      </c>
      <c r="BA229" s="2">
        <f>SUM(BB229:BG229)</f>
        <v>0</v>
      </c>
      <c r="BB229" s="2">
        <f t="shared" ref="BB229:BG233" si="512">$E229*SUMPRODUCT($W229:$AA229,INDEX(AllocFactors_D,BB$4,0))</f>
        <v>0</v>
      </c>
      <c r="BC229" s="2">
        <f t="shared" si="512"/>
        <v>0</v>
      </c>
      <c r="BD229" s="2">
        <f t="shared" si="512"/>
        <v>0</v>
      </c>
      <c r="BE229" s="2">
        <f t="shared" si="512"/>
        <v>0</v>
      </c>
      <c r="BF229" s="2">
        <f t="shared" si="512"/>
        <v>0</v>
      </c>
      <c r="BG229" s="2">
        <f t="shared" si="512"/>
        <v>0</v>
      </c>
      <c r="BI229" s="2">
        <f>SUM(BJ229:BO229)</f>
        <v>82000</v>
      </c>
      <c r="BJ229" s="2">
        <f t="shared" ref="BJ229:BO233" si="513">$E229*SUMPRODUCT($AB229:$AG229,INDEX(AllocFactors_C,BJ$4,0))</f>
        <v>80469.794117225247</v>
      </c>
      <c r="BK229" s="2">
        <f t="shared" si="513"/>
        <v>1510.7407101524029</v>
      </c>
      <c r="BL229" s="2">
        <f t="shared" si="513"/>
        <v>0</v>
      </c>
      <c r="BM229" s="2">
        <f t="shared" si="513"/>
        <v>0.97325863111766986</v>
      </c>
      <c r="BN229" s="2">
        <f t="shared" si="513"/>
        <v>18.491913991235727</v>
      </c>
      <c r="BO229" s="2">
        <f t="shared" si="513"/>
        <v>0</v>
      </c>
      <c r="BQ229" s="28" t="s">
        <v>13</v>
      </c>
      <c r="BR229" s="23">
        <v>51472.980522276521</v>
      </c>
      <c r="BS229" s="14">
        <f t="shared" ref="BS229:BU233" si="514">R229</f>
        <v>0</v>
      </c>
      <c r="BT229" s="14">
        <f t="shared" si="514"/>
        <v>0</v>
      </c>
      <c r="BU229" s="14">
        <f t="shared" si="514"/>
        <v>0</v>
      </c>
      <c r="BV229" s="14">
        <f t="shared" ref="BV229:CB233" si="515">U229</f>
        <v>0</v>
      </c>
      <c r="BW229" s="14">
        <f t="shared" si="515"/>
        <v>0</v>
      </c>
      <c r="BX229" s="14">
        <f t="shared" si="515"/>
        <v>0</v>
      </c>
      <c r="BY229" s="14">
        <f t="shared" si="515"/>
        <v>0</v>
      </c>
      <c r="BZ229" s="14">
        <f t="shared" si="515"/>
        <v>0</v>
      </c>
      <c r="CA229" s="14">
        <f t="shared" si="515"/>
        <v>0</v>
      </c>
      <c r="CB229" s="14">
        <f t="shared" si="515"/>
        <v>0</v>
      </c>
      <c r="CC229" s="14">
        <f t="shared" ref="CC229:CF233" si="516">AB229</f>
        <v>1</v>
      </c>
      <c r="CD229" s="14">
        <f t="shared" si="516"/>
        <v>0</v>
      </c>
      <c r="CE229" s="14">
        <f t="shared" si="516"/>
        <v>0</v>
      </c>
      <c r="CF229" s="14">
        <f t="shared" si="516"/>
        <v>0</v>
      </c>
      <c r="CG229" s="14">
        <f t="shared" ref="CG229:CI233" si="517">AF229</f>
        <v>0</v>
      </c>
      <c r="CH229" s="14">
        <f t="shared" si="517"/>
        <v>0</v>
      </c>
      <c r="CI229" s="14">
        <f t="shared" si="517"/>
        <v>0</v>
      </c>
      <c r="CJ229" s="14"/>
      <c r="CK229" s="120" t="str">
        <f>F229</f>
        <v>Input - 100% Cust</v>
      </c>
      <c r="CL229" s="76">
        <f t="shared" si="440"/>
        <v>0</v>
      </c>
      <c r="CM229" s="2">
        <f t="shared" ref="CM229:CR233" si="518">$BR229*SUMPRODUCT($BS229:$CI229,INDEX(AllocFactors,CM$170,0))</f>
        <v>50512.440795457762</v>
      </c>
      <c r="CN229" s="2">
        <f t="shared" si="518"/>
        <v>948.32106277908338</v>
      </c>
      <c r="CO229" s="2">
        <f t="shared" si="518"/>
        <v>0</v>
      </c>
      <c r="CP229" s="2">
        <f t="shared" si="518"/>
        <v>0.610933201983626</v>
      </c>
      <c r="CQ229" s="2">
        <f t="shared" si="518"/>
        <v>11.607730837688893</v>
      </c>
      <c r="CR229" s="2">
        <f t="shared" si="518"/>
        <v>0</v>
      </c>
    </row>
    <row r="230" spans="1:97">
      <c r="A230" s="50">
        <f t="shared" si="400"/>
        <v>230</v>
      </c>
      <c r="B230" t="s">
        <v>14</v>
      </c>
      <c r="C230" s="36" t="s">
        <v>157</v>
      </c>
      <c r="D230" s="28" t="s">
        <v>15</v>
      </c>
      <c r="E230" s="436">
        <f>PROFORMA!AV98</f>
        <v>1750000</v>
      </c>
      <c r="F230" s="60" t="s">
        <v>451</v>
      </c>
      <c r="G230" s="60"/>
      <c r="H230" s="2">
        <f>SUM(I230:N230)</f>
        <v>1750000</v>
      </c>
      <c r="I230" s="2">
        <f t="shared" si="509"/>
        <v>1717343.1671359045</v>
      </c>
      <c r="J230" s="2">
        <f t="shared" si="509"/>
        <v>32241.417594715916</v>
      </c>
      <c r="K230" s="2">
        <f t="shared" si="509"/>
        <v>0</v>
      </c>
      <c r="L230" s="2">
        <f t="shared" si="509"/>
        <v>20.770763468974661</v>
      </c>
      <c r="M230" s="2">
        <f t="shared" si="509"/>
        <v>394.64450591051855</v>
      </c>
      <c r="N230" s="2">
        <f t="shared" si="509"/>
        <v>0</v>
      </c>
      <c r="O230" s="2"/>
      <c r="P230" s="61" t="str">
        <f>E$1&amp;$A230&amp;"*     """</f>
        <v>E230*     "</v>
      </c>
      <c r="Q230" s="61"/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1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76">
        <f t="shared" si="437"/>
        <v>0</v>
      </c>
      <c r="AK230" s="2">
        <f>SUM(AL230:AO230)</f>
        <v>1750000</v>
      </c>
      <c r="AL230" s="2">
        <f t="shared" si="510"/>
        <v>0</v>
      </c>
      <c r="AM230" s="2">
        <f t="shared" si="510"/>
        <v>0</v>
      </c>
      <c r="AN230" s="2">
        <f t="shared" si="510"/>
        <v>1750000</v>
      </c>
      <c r="AO230" s="2">
        <f t="shared" si="510"/>
        <v>0</v>
      </c>
      <c r="AP230" s="2"/>
      <c r="AQ230" s="61" t="str">
        <f>E$1&amp;$A230&amp;"*      """</f>
        <v>E230*      "</v>
      </c>
      <c r="AS230" s="2">
        <f>SUM(AT230:AY230)</f>
        <v>0</v>
      </c>
      <c r="AT230" s="2">
        <f t="shared" si="511"/>
        <v>0</v>
      </c>
      <c r="AU230" s="2">
        <f t="shared" si="511"/>
        <v>0</v>
      </c>
      <c r="AV230" s="2">
        <f t="shared" si="511"/>
        <v>0</v>
      </c>
      <c r="AW230" s="2">
        <f t="shared" si="511"/>
        <v>0</v>
      </c>
      <c r="AX230" s="2">
        <f t="shared" si="511"/>
        <v>0</v>
      </c>
      <c r="AY230" s="2">
        <f t="shared" si="511"/>
        <v>0</v>
      </c>
      <c r="BA230" s="2">
        <f>SUM(BB230:BG230)</f>
        <v>0</v>
      </c>
      <c r="BB230" s="2">
        <f t="shared" si="512"/>
        <v>0</v>
      </c>
      <c r="BC230" s="2">
        <f t="shared" si="512"/>
        <v>0</v>
      </c>
      <c r="BD230" s="2">
        <f t="shared" si="512"/>
        <v>0</v>
      </c>
      <c r="BE230" s="2">
        <f t="shared" si="512"/>
        <v>0</v>
      </c>
      <c r="BF230" s="2">
        <f t="shared" si="512"/>
        <v>0</v>
      </c>
      <c r="BG230" s="2">
        <f t="shared" si="512"/>
        <v>0</v>
      </c>
      <c r="BI230" s="2">
        <f>SUM(BJ230:BO230)</f>
        <v>1750000</v>
      </c>
      <c r="BJ230" s="2">
        <f t="shared" si="513"/>
        <v>1717343.1671359045</v>
      </c>
      <c r="BK230" s="2">
        <f t="shared" si="513"/>
        <v>32241.417594715916</v>
      </c>
      <c r="BL230" s="2">
        <f t="shared" si="513"/>
        <v>0</v>
      </c>
      <c r="BM230" s="2">
        <f t="shared" si="513"/>
        <v>20.770763468974661</v>
      </c>
      <c r="BN230" s="2">
        <f t="shared" si="513"/>
        <v>394.64450591051855</v>
      </c>
      <c r="BO230" s="2">
        <f t="shared" si="513"/>
        <v>0</v>
      </c>
      <c r="BQ230" s="28" t="s">
        <v>15</v>
      </c>
      <c r="BR230" s="23">
        <v>975163.97393677221</v>
      </c>
      <c r="BS230" s="14">
        <f t="shared" si="514"/>
        <v>0</v>
      </c>
      <c r="BT230" s="14">
        <f t="shared" si="514"/>
        <v>0</v>
      </c>
      <c r="BU230" s="14">
        <f t="shared" si="514"/>
        <v>0</v>
      </c>
      <c r="BV230" s="14">
        <f t="shared" si="515"/>
        <v>0</v>
      </c>
      <c r="BW230" s="14">
        <f t="shared" si="515"/>
        <v>0</v>
      </c>
      <c r="BX230" s="14">
        <f t="shared" si="515"/>
        <v>0</v>
      </c>
      <c r="BY230" s="14">
        <f t="shared" si="515"/>
        <v>0</v>
      </c>
      <c r="BZ230" s="14">
        <f t="shared" si="515"/>
        <v>0</v>
      </c>
      <c r="CA230" s="14">
        <f t="shared" si="515"/>
        <v>0</v>
      </c>
      <c r="CB230" s="14">
        <f t="shared" si="515"/>
        <v>0</v>
      </c>
      <c r="CC230" s="14">
        <f t="shared" si="516"/>
        <v>1</v>
      </c>
      <c r="CD230" s="14">
        <f t="shared" si="516"/>
        <v>0</v>
      </c>
      <c r="CE230" s="14">
        <f t="shared" si="516"/>
        <v>0</v>
      </c>
      <c r="CF230" s="14">
        <f t="shared" si="516"/>
        <v>0</v>
      </c>
      <c r="CG230" s="14">
        <f t="shared" si="517"/>
        <v>0</v>
      </c>
      <c r="CH230" s="14">
        <f t="shared" si="517"/>
        <v>0</v>
      </c>
      <c r="CI230" s="14">
        <f t="shared" si="517"/>
        <v>0</v>
      </c>
      <c r="CJ230" s="14"/>
      <c r="CK230" s="120" t="str">
        <f>F230</f>
        <v>Input - 100% Cust</v>
      </c>
      <c r="CL230" s="76">
        <f t="shared" si="440"/>
        <v>0</v>
      </c>
      <c r="CM230" s="2">
        <f t="shared" si="518"/>
        <v>956966.39284423494</v>
      </c>
      <c r="CN230" s="2">
        <f t="shared" si="518"/>
        <v>17966.096518296079</v>
      </c>
      <c r="CO230" s="2">
        <f t="shared" si="518"/>
        <v>0</v>
      </c>
      <c r="CP230" s="2">
        <f t="shared" si="518"/>
        <v>11.574228712060609</v>
      </c>
      <c r="CQ230" s="2">
        <f t="shared" si="518"/>
        <v>219.91034552915156</v>
      </c>
      <c r="CR230" s="2">
        <f t="shared" si="518"/>
        <v>0</v>
      </c>
    </row>
    <row r="231" spans="1:97">
      <c r="A231" s="50">
        <f t="shared" si="400"/>
        <v>231</v>
      </c>
      <c r="B231" t="s">
        <v>16</v>
      </c>
      <c r="C231" s="36" t="s">
        <v>157</v>
      </c>
      <c r="D231" s="28" t="s">
        <v>349</v>
      </c>
      <c r="E231" s="436">
        <f>PROFORMA!AV99</f>
        <v>4653000</v>
      </c>
      <c r="F231" s="60" t="s">
        <v>451</v>
      </c>
      <c r="G231" s="60"/>
      <c r="H231" s="2">
        <f>SUM(I231:N231)</f>
        <v>4653000</v>
      </c>
      <c r="I231" s="2">
        <f t="shared" si="509"/>
        <v>4566170.1466762079</v>
      </c>
      <c r="J231" s="2">
        <f t="shared" si="509"/>
        <v>85725.323467550377</v>
      </c>
      <c r="K231" s="2">
        <f t="shared" si="509"/>
        <v>0</v>
      </c>
      <c r="L231" s="2">
        <f t="shared" si="509"/>
        <v>55.226492812079485</v>
      </c>
      <c r="M231" s="2">
        <f t="shared" si="509"/>
        <v>1049.3033634295102</v>
      </c>
      <c r="N231" s="2">
        <f t="shared" si="509"/>
        <v>0</v>
      </c>
      <c r="O231" s="2"/>
      <c r="P231" s="61" t="str">
        <f>E$1&amp;$A231&amp;"*     """</f>
        <v>E231*     "</v>
      </c>
      <c r="Q231" s="61"/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1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76">
        <f t="shared" si="437"/>
        <v>0</v>
      </c>
      <c r="AK231" s="2">
        <f>SUM(AL231:AO231)</f>
        <v>4653000</v>
      </c>
      <c r="AL231" s="2">
        <f t="shared" si="510"/>
        <v>0</v>
      </c>
      <c r="AM231" s="2">
        <f t="shared" si="510"/>
        <v>0</v>
      </c>
      <c r="AN231" s="2">
        <f t="shared" si="510"/>
        <v>4653000</v>
      </c>
      <c r="AO231" s="2">
        <f t="shared" si="510"/>
        <v>0</v>
      </c>
      <c r="AP231" s="2"/>
      <c r="AQ231" s="61" t="str">
        <f>E$1&amp;$A231&amp;"*      """</f>
        <v>E231*      "</v>
      </c>
      <c r="AS231" s="2">
        <f>SUM(AT231:AY231)</f>
        <v>0</v>
      </c>
      <c r="AT231" s="2">
        <f t="shared" si="511"/>
        <v>0</v>
      </c>
      <c r="AU231" s="2">
        <f t="shared" si="511"/>
        <v>0</v>
      </c>
      <c r="AV231" s="2">
        <f t="shared" si="511"/>
        <v>0</v>
      </c>
      <c r="AW231" s="2">
        <f t="shared" si="511"/>
        <v>0</v>
      </c>
      <c r="AX231" s="2">
        <f t="shared" si="511"/>
        <v>0</v>
      </c>
      <c r="AY231" s="2">
        <f t="shared" si="511"/>
        <v>0</v>
      </c>
      <c r="BA231" s="2">
        <f>SUM(BB231:BG231)</f>
        <v>0</v>
      </c>
      <c r="BB231" s="2">
        <f t="shared" si="512"/>
        <v>0</v>
      </c>
      <c r="BC231" s="2">
        <f t="shared" si="512"/>
        <v>0</v>
      </c>
      <c r="BD231" s="2">
        <f t="shared" si="512"/>
        <v>0</v>
      </c>
      <c r="BE231" s="2">
        <f t="shared" si="512"/>
        <v>0</v>
      </c>
      <c r="BF231" s="2">
        <f t="shared" si="512"/>
        <v>0</v>
      </c>
      <c r="BG231" s="2">
        <f t="shared" si="512"/>
        <v>0</v>
      </c>
      <c r="BI231" s="2">
        <f>SUM(BJ231:BO231)</f>
        <v>4653000</v>
      </c>
      <c r="BJ231" s="2">
        <f t="shared" si="513"/>
        <v>4566170.1466762079</v>
      </c>
      <c r="BK231" s="2">
        <f t="shared" si="513"/>
        <v>85725.323467550377</v>
      </c>
      <c r="BL231" s="2">
        <f t="shared" si="513"/>
        <v>0</v>
      </c>
      <c r="BM231" s="2">
        <f t="shared" si="513"/>
        <v>55.226492812079485</v>
      </c>
      <c r="BN231" s="2">
        <f t="shared" si="513"/>
        <v>1049.3033634295102</v>
      </c>
      <c r="BO231" s="2">
        <f t="shared" si="513"/>
        <v>0</v>
      </c>
      <c r="BQ231" s="28" t="s">
        <v>349</v>
      </c>
      <c r="BR231" s="23">
        <v>2158081.6632164018</v>
      </c>
      <c r="BS231" s="14">
        <f t="shared" si="514"/>
        <v>0</v>
      </c>
      <c r="BT231" s="14">
        <f t="shared" si="514"/>
        <v>0</v>
      </c>
      <c r="BU231" s="14">
        <f t="shared" si="514"/>
        <v>0</v>
      </c>
      <c r="BV231" s="14">
        <f t="shared" si="515"/>
        <v>0</v>
      </c>
      <c r="BW231" s="14">
        <f t="shared" si="515"/>
        <v>0</v>
      </c>
      <c r="BX231" s="14">
        <f t="shared" si="515"/>
        <v>0</v>
      </c>
      <c r="BY231" s="14">
        <f t="shared" si="515"/>
        <v>0</v>
      </c>
      <c r="BZ231" s="14">
        <f t="shared" si="515"/>
        <v>0</v>
      </c>
      <c r="CA231" s="14">
        <f t="shared" si="515"/>
        <v>0</v>
      </c>
      <c r="CB231" s="14">
        <f t="shared" si="515"/>
        <v>0</v>
      </c>
      <c r="CC231" s="14">
        <f t="shared" si="516"/>
        <v>1</v>
      </c>
      <c r="CD231" s="14">
        <f t="shared" si="516"/>
        <v>0</v>
      </c>
      <c r="CE231" s="14">
        <f t="shared" si="516"/>
        <v>0</v>
      </c>
      <c r="CF231" s="14">
        <f t="shared" si="516"/>
        <v>0</v>
      </c>
      <c r="CG231" s="14">
        <f t="shared" si="517"/>
        <v>0</v>
      </c>
      <c r="CH231" s="14">
        <f t="shared" si="517"/>
        <v>0</v>
      </c>
      <c r="CI231" s="14">
        <f t="shared" si="517"/>
        <v>0</v>
      </c>
      <c r="CJ231" s="14"/>
      <c r="CK231" s="120" t="str">
        <f>F231</f>
        <v>Input - 100% Cust</v>
      </c>
      <c r="CL231" s="76">
        <f t="shared" si="440"/>
        <v>0</v>
      </c>
      <c r="CM231" s="2">
        <f t="shared" si="518"/>
        <v>2117809.5991119863</v>
      </c>
      <c r="CN231" s="2">
        <f t="shared" si="518"/>
        <v>39759.778347005195</v>
      </c>
      <c r="CO231" s="2">
        <f t="shared" si="518"/>
        <v>0</v>
      </c>
      <c r="CP231" s="2">
        <f t="shared" si="518"/>
        <v>25.614287870513895</v>
      </c>
      <c r="CQ231" s="2">
        <f t="shared" si="518"/>
        <v>486.67146953976396</v>
      </c>
      <c r="CR231" s="2">
        <f t="shared" si="518"/>
        <v>0</v>
      </c>
    </row>
    <row r="232" spans="1:97">
      <c r="A232" s="50">
        <f t="shared" si="400"/>
        <v>232</v>
      </c>
      <c r="B232" t="s">
        <v>17</v>
      </c>
      <c r="C232" s="36" t="s">
        <v>156</v>
      </c>
      <c r="D232" s="28" t="s">
        <v>18</v>
      </c>
      <c r="E232" s="436">
        <f>PROFORMA!AV100</f>
        <v>133000</v>
      </c>
      <c r="F232" s="60" t="s">
        <v>452</v>
      </c>
      <c r="G232" s="60"/>
      <c r="H232" s="2">
        <f>SUM(I232:N232)</f>
        <v>133000.00000000003</v>
      </c>
      <c r="I232" s="2">
        <f t="shared" si="509"/>
        <v>102205.98226365854</v>
      </c>
      <c r="J232" s="2">
        <f t="shared" si="509"/>
        <v>25909.529939286025</v>
      </c>
      <c r="K232" s="2">
        <f t="shared" si="509"/>
        <v>0</v>
      </c>
      <c r="L232" s="2">
        <f t="shared" si="509"/>
        <v>279.06699101477943</v>
      </c>
      <c r="M232" s="2">
        <f t="shared" si="509"/>
        <v>4605.4208060406581</v>
      </c>
      <c r="N232" s="2">
        <f t="shared" si="509"/>
        <v>0</v>
      </c>
      <c r="O232" s="2"/>
      <c r="P232" s="61" t="str">
        <f>E$1&amp;$A232&amp;"*     """</f>
        <v>E232*     "</v>
      </c>
      <c r="Q232" s="61"/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1</v>
      </c>
      <c r="AI232" s="76">
        <f t="shared" si="437"/>
        <v>0</v>
      </c>
      <c r="AK232" s="2">
        <f>SUM(AL232:AO232)</f>
        <v>133000</v>
      </c>
      <c r="AL232" s="2">
        <f t="shared" si="510"/>
        <v>0</v>
      </c>
      <c r="AM232" s="2">
        <f t="shared" si="510"/>
        <v>0</v>
      </c>
      <c r="AN232" s="2">
        <f t="shared" si="510"/>
        <v>0</v>
      </c>
      <c r="AO232" s="2">
        <f t="shared" si="510"/>
        <v>133000</v>
      </c>
      <c r="AP232" s="2"/>
      <c r="AQ232" s="61" t="str">
        <f>E$1&amp;$A232&amp;"*      """</f>
        <v>E232*      "</v>
      </c>
      <c r="AS232" s="2">
        <f>SUM(AT232:AY232)</f>
        <v>0</v>
      </c>
      <c r="AT232" s="2">
        <f t="shared" si="511"/>
        <v>0</v>
      </c>
      <c r="AU232" s="2">
        <f t="shared" si="511"/>
        <v>0</v>
      </c>
      <c r="AV232" s="2">
        <f t="shared" si="511"/>
        <v>0</v>
      </c>
      <c r="AW232" s="2">
        <f t="shared" si="511"/>
        <v>0</v>
      </c>
      <c r="AX232" s="2">
        <f t="shared" si="511"/>
        <v>0</v>
      </c>
      <c r="AY232" s="2">
        <f t="shared" si="511"/>
        <v>0</v>
      </c>
      <c r="BA232" s="2">
        <f>SUM(BB232:BG232)</f>
        <v>0</v>
      </c>
      <c r="BB232" s="2">
        <f t="shared" si="512"/>
        <v>0</v>
      </c>
      <c r="BC232" s="2">
        <f t="shared" si="512"/>
        <v>0</v>
      </c>
      <c r="BD232" s="2">
        <f t="shared" si="512"/>
        <v>0</v>
      </c>
      <c r="BE232" s="2">
        <f t="shared" si="512"/>
        <v>0</v>
      </c>
      <c r="BF232" s="2">
        <f t="shared" si="512"/>
        <v>0</v>
      </c>
      <c r="BG232" s="2">
        <f t="shared" si="512"/>
        <v>0</v>
      </c>
      <c r="BI232" s="2">
        <f>SUM(BJ232:BO232)</f>
        <v>0</v>
      </c>
      <c r="BJ232" s="2">
        <f t="shared" si="513"/>
        <v>0</v>
      </c>
      <c r="BK232" s="2">
        <f t="shared" si="513"/>
        <v>0</v>
      </c>
      <c r="BL232" s="2">
        <f t="shared" si="513"/>
        <v>0</v>
      </c>
      <c r="BM232" s="2">
        <f t="shared" si="513"/>
        <v>0</v>
      </c>
      <c r="BN232" s="2">
        <f t="shared" si="513"/>
        <v>0</v>
      </c>
      <c r="BO232" s="2">
        <f t="shared" si="513"/>
        <v>0</v>
      </c>
      <c r="BQ232" s="28" t="s">
        <v>18</v>
      </c>
      <c r="BR232" s="23">
        <v>0</v>
      </c>
      <c r="BS232" s="14">
        <f t="shared" si="514"/>
        <v>0</v>
      </c>
      <c r="BT232" s="14">
        <f t="shared" si="514"/>
        <v>0</v>
      </c>
      <c r="BU232" s="14">
        <f t="shared" si="514"/>
        <v>0</v>
      </c>
      <c r="BV232" s="14">
        <f t="shared" si="515"/>
        <v>0</v>
      </c>
      <c r="BW232" s="14">
        <f t="shared" si="515"/>
        <v>0</v>
      </c>
      <c r="BX232" s="14">
        <f t="shared" si="515"/>
        <v>0</v>
      </c>
      <c r="BY232" s="14">
        <f t="shared" si="515"/>
        <v>0</v>
      </c>
      <c r="BZ232" s="14">
        <f t="shared" si="515"/>
        <v>0</v>
      </c>
      <c r="CA232" s="14">
        <f t="shared" si="515"/>
        <v>0</v>
      </c>
      <c r="CB232" s="14">
        <f t="shared" si="515"/>
        <v>0</v>
      </c>
      <c r="CC232" s="14">
        <f t="shared" si="516"/>
        <v>0</v>
      </c>
      <c r="CD232" s="14">
        <f t="shared" si="516"/>
        <v>0</v>
      </c>
      <c r="CE232" s="14">
        <f t="shared" si="516"/>
        <v>0</v>
      </c>
      <c r="CF232" s="14">
        <f t="shared" si="516"/>
        <v>0</v>
      </c>
      <c r="CG232" s="14">
        <f t="shared" si="517"/>
        <v>0</v>
      </c>
      <c r="CH232" s="14">
        <f t="shared" si="517"/>
        <v>0</v>
      </c>
      <c r="CI232" s="14">
        <f t="shared" si="517"/>
        <v>1</v>
      </c>
      <c r="CJ232" s="14"/>
      <c r="CK232" s="120" t="str">
        <f>F232</f>
        <v>Input - 100% Rev</v>
      </c>
      <c r="CL232" s="76">
        <f t="shared" si="440"/>
        <v>0</v>
      </c>
      <c r="CM232" s="2">
        <f t="shared" si="518"/>
        <v>0</v>
      </c>
      <c r="CN232" s="2">
        <f t="shared" si="518"/>
        <v>0</v>
      </c>
      <c r="CO232" s="2">
        <f t="shared" si="518"/>
        <v>0</v>
      </c>
      <c r="CP232" s="2">
        <f t="shared" si="518"/>
        <v>0</v>
      </c>
      <c r="CQ232" s="2">
        <f t="shared" si="518"/>
        <v>0</v>
      </c>
      <c r="CR232" s="2">
        <f t="shared" si="518"/>
        <v>0</v>
      </c>
    </row>
    <row r="233" spans="1:97">
      <c r="A233" s="50">
        <f t="shared" si="400"/>
        <v>233</v>
      </c>
      <c r="B233" t="s">
        <v>19</v>
      </c>
      <c r="C233" s="36" t="s">
        <v>157</v>
      </c>
      <c r="D233" s="28" t="s">
        <v>20</v>
      </c>
      <c r="E233" s="436">
        <f>PROFORMA!AV101</f>
        <v>179000</v>
      </c>
      <c r="F233" s="60" t="s">
        <v>451</v>
      </c>
      <c r="G233" s="60"/>
      <c r="H233" s="2">
        <f>SUM(I233:N233)</f>
        <v>178999.99999999997</v>
      </c>
      <c r="I233" s="2">
        <f t="shared" si="509"/>
        <v>175659.67252418681</v>
      </c>
      <c r="J233" s="2">
        <f t="shared" si="509"/>
        <v>3297.8364282595135</v>
      </c>
      <c r="K233" s="2">
        <f t="shared" si="509"/>
        <v>0</v>
      </c>
      <c r="L233" s="2">
        <f t="shared" si="509"/>
        <v>2.1245523776836941</v>
      </c>
      <c r="M233" s="2">
        <f t="shared" si="509"/>
        <v>40.366495175990181</v>
      </c>
      <c r="N233" s="2">
        <f t="shared" si="509"/>
        <v>0</v>
      </c>
      <c r="O233" s="2"/>
      <c r="P233" s="61" t="str">
        <f>E$1&amp;$A233&amp;"*     """</f>
        <v>E233*     "</v>
      </c>
      <c r="Q233" s="61"/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1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76">
        <f t="shared" si="437"/>
        <v>0</v>
      </c>
      <c r="AK233" s="2">
        <f>SUM(AL233:AO233)</f>
        <v>179000</v>
      </c>
      <c r="AL233" s="2">
        <f t="shared" si="510"/>
        <v>0</v>
      </c>
      <c r="AM233" s="2">
        <f t="shared" si="510"/>
        <v>0</v>
      </c>
      <c r="AN233" s="2">
        <f t="shared" si="510"/>
        <v>179000</v>
      </c>
      <c r="AO233" s="2">
        <f t="shared" si="510"/>
        <v>0</v>
      </c>
      <c r="AP233" s="2"/>
      <c r="AQ233" s="61" t="str">
        <f>E$1&amp;$A233&amp;"*      """</f>
        <v>E233*      "</v>
      </c>
      <c r="AS233" s="2">
        <f>SUM(AT233:AY233)</f>
        <v>0</v>
      </c>
      <c r="AT233" s="2">
        <f t="shared" si="511"/>
        <v>0</v>
      </c>
      <c r="AU233" s="2">
        <f t="shared" si="511"/>
        <v>0</v>
      </c>
      <c r="AV233" s="2">
        <f t="shared" si="511"/>
        <v>0</v>
      </c>
      <c r="AW233" s="2">
        <f t="shared" si="511"/>
        <v>0</v>
      </c>
      <c r="AX233" s="2">
        <f t="shared" si="511"/>
        <v>0</v>
      </c>
      <c r="AY233" s="2">
        <f t="shared" si="511"/>
        <v>0</v>
      </c>
      <c r="BA233" s="2">
        <f>SUM(BB233:BG233)</f>
        <v>0</v>
      </c>
      <c r="BB233" s="2">
        <f t="shared" si="512"/>
        <v>0</v>
      </c>
      <c r="BC233" s="2">
        <f t="shared" si="512"/>
        <v>0</v>
      </c>
      <c r="BD233" s="2">
        <f t="shared" si="512"/>
        <v>0</v>
      </c>
      <c r="BE233" s="2">
        <f t="shared" si="512"/>
        <v>0</v>
      </c>
      <c r="BF233" s="2">
        <f t="shared" si="512"/>
        <v>0</v>
      </c>
      <c r="BG233" s="2">
        <f t="shared" si="512"/>
        <v>0</v>
      </c>
      <c r="BI233" s="2">
        <f>SUM(BJ233:BO233)</f>
        <v>178999.99999999997</v>
      </c>
      <c r="BJ233" s="2">
        <f t="shared" si="513"/>
        <v>175659.67252418681</v>
      </c>
      <c r="BK233" s="2">
        <f t="shared" si="513"/>
        <v>3297.8364282595135</v>
      </c>
      <c r="BL233" s="2">
        <f t="shared" si="513"/>
        <v>0</v>
      </c>
      <c r="BM233" s="2">
        <f t="shared" si="513"/>
        <v>2.1245523776836941</v>
      </c>
      <c r="BN233" s="2">
        <f t="shared" si="513"/>
        <v>40.366495175990181</v>
      </c>
      <c r="BO233" s="2">
        <f t="shared" si="513"/>
        <v>0</v>
      </c>
      <c r="BQ233" s="28" t="s">
        <v>20</v>
      </c>
      <c r="BR233" s="23">
        <v>44290</v>
      </c>
      <c r="BS233" s="14">
        <f t="shared" si="514"/>
        <v>0</v>
      </c>
      <c r="BT233" s="14">
        <f t="shared" si="514"/>
        <v>0</v>
      </c>
      <c r="BU233" s="14">
        <f t="shared" si="514"/>
        <v>0</v>
      </c>
      <c r="BV233" s="14">
        <f t="shared" si="515"/>
        <v>0</v>
      </c>
      <c r="BW233" s="14">
        <f t="shared" si="515"/>
        <v>0</v>
      </c>
      <c r="BX233" s="14">
        <f t="shared" si="515"/>
        <v>0</v>
      </c>
      <c r="BY233" s="14">
        <f t="shared" si="515"/>
        <v>0</v>
      </c>
      <c r="BZ233" s="14">
        <f t="shared" si="515"/>
        <v>0</v>
      </c>
      <c r="CA233" s="14">
        <f t="shared" si="515"/>
        <v>0</v>
      </c>
      <c r="CB233" s="14">
        <f t="shared" si="515"/>
        <v>0</v>
      </c>
      <c r="CC233" s="14">
        <f t="shared" si="516"/>
        <v>1</v>
      </c>
      <c r="CD233" s="14">
        <f t="shared" si="516"/>
        <v>0</v>
      </c>
      <c r="CE233" s="14">
        <f t="shared" si="516"/>
        <v>0</v>
      </c>
      <c r="CF233" s="14">
        <f t="shared" si="516"/>
        <v>0</v>
      </c>
      <c r="CG233" s="14">
        <f t="shared" si="517"/>
        <v>0</v>
      </c>
      <c r="CH233" s="14">
        <f t="shared" si="517"/>
        <v>0</v>
      </c>
      <c r="CI233" s="14">
        <f t="shared" si="517"/>
        <v>0</v>
      </c>
      <c r="CJ233" s="14"/>
      <c r="CK233" s="120" t="str">
        <f>F233</f>
        <v>Input - 100% Cust</v>
      </c>
      <c r="CL233" s="76">
        <f t="shared" si="440"/>
        <v>0</v>
      </c>
      <c r="CM233" s="2">
        <f t="shared" si="518"/>
        <v>43463.50221282812</v>
      </c>
      <c r="CN233" s="2">
        <f t="shared" si="518"/>
        <v>815.9842201542674</v>
      </c>
      <c r="CO233" s="2">
        <f t="shared" si="518"/>
        <v>0</v>
      </c>
      <c r="CP233" s="2">
        <f t="shared" si="518"/>
        <v>0.52567835088050729</v>
      </c>
      <c r="CQ233" s="2">
        <f t="shared" si="518"/>
        <v>9.9878886667296385</v>
      </c>
      <c r="CR233" s="2">
        <f t="shared" si="518"/>
        <v>0</v>
      </c>
    </row>
    <row r="234" spans="1:97">
      <c r="A234" s="50">
        <f t="shared" si="400"/>
        <v>234</v>
      </c>
      <c r="D234" s="52" t="s">
        <v>21</v>
      </c>
      <c r="E234" s="4">
        <f>SUM(E229:E233)</f>
        <v>6797000</v>
      </c>
      <c r="F234" s="62"/>
      <c r="G234" s="62"/>
      <c r="H234" s="4">
        <f>IF(ROUND(SUM(H228:H233),3)&lt;&gt;ROUND(SUM(I234:N234),3),#VALUE!,SUM(H228:H233))</f>
        <v>6797000</v>
      </c>
      <c r="I234" s="4">
        <f t="shared" ref="I234:N234" si="519">SUM(I228:I233)</f>
        <v>6641848.7627171827</v>
      </c>
      <c r="J234" s="4">
        <f t="shared" si="519"/>
        <v>148684.84813996422</v>
      </c>
      <c r="K234" s="4">
        <f t="shared" si="519"/>
        <v>0</v>
      </c>
      <c r="L234" s="4">
        <f t="shared" si="519"/>
        <v>358.16205830463491</v>
      </c>
      <c r="M234" s="4">
        <f t="shared" si="519"/>
        <v>6108.2270845479134</v>
      </c>
      <c r="N234" s="4">
        <f t="shared" si="519"/>
        <v>0</v>
      </c>
      <c r="O234" s="5"/>
      <c r="P234" s="61" t="str">
        <f>$A228&amp;":"&amp;$A233</f>
        <v>228:233</v>
      </c>
      <c r="Q234" s="61"/>
      <c r="R234" s="16">
        <f t="shared" ref="R234:AH234" si="520">SUMPRODUCT($E$229:$E$233,R$229:R$233)/$E234</f>
        <v>0</v>
      </c>
      <c r="S234" s="16">
        <f t="shared" si="520"/>
        <v>0</v>
      </c>
      <c r="T234" s="16">
        <f t="shared" si="520"/>
        <v>0</v>
      </c>
      <c r="U234" s="16">
        <f t="shared" si="520"/>
        <v>0</v>
      </c>
      <c r="V234" s="16">
        <f t="shared" si="520"/>
        <v>0</v>
      </c>
      <c r="W234" s="16">
        <f t="shared" si="520"/>
        <v>0</v>
      </c>
      <c r="X234" s="16">
        <f t="shared" si="520"/>
        <v>0</v>
      </c>
      <c r="Y234" s="16">
        <f t="shared" si="520"/>
        <v>0</v>
      </c>
      <c r="Z234" s="16">
        <f t="shared" si="520"/>
        <v>0</v>
      </c>
      <c r="AA234" s="16">
        <f t="shared" si="520"/>
        <v>0</v>
      </c>
      <c r="AB234" s="16">
        <f t="shared" si="520"/>
        <v>0.98043254376930999</v>
      </c>
      <c r="AC234" s="16">
        <f t="shared" si="520"/>
        <v>0</v>
      </c>
      <c r="AD234" s="16">
        <f t="shared" si="520"/>
        <v>0</v>
      </c>
      <c r="AE234" s="16">
        <f t="shared" si="520"/>
        <v>0</v>
      </c>
      <c r="AF234" s="16">
        <f t="shared" si="520"/>
        <v>0</v>
      </c>
      <c r="AG234" s="16">
        <f t="shared" si="520"/>
        <v>0</v>
      </c>
      <c r="AH234" s="16">
        <f t="shared" si="520"/>
        <v>1.9567456230690009E-2</v>
      </c>
      <c r="AI234" s="76">
        <f t="shared" si="437"/>
        <v>0</v>
      </c>
      <c r="AK234" s="4">
        <f>IF(ROUND(SUM(AK228:AK233),3)&lt;&gt;ROUND(SUM(AL234:AO234),3),#VALUE!,SUM(AK228:AK233))</f>
        <v>6797000</v>
      </c>
      <c r="AL234" s="4">
        <f>SUM(AL228:AL233)</f>
        <v>0</v>
      </c>
      <c r="AM234" s="4">
        <f>SUM(AM228:AM233)</f>
        <v>0</v>
      </c>
      <c r="AN234" s="4">
        <f>SUM(AN228:AN233)</f>
        <v>6664000</v>
      </c>
      <c r="AO234" s="4">
        <f>SUM(AO228:AO233)</f>
        <v>133000</v>
      </c>
      <c r="AP234" s="5"/>
      <c r="AQ234" s="61" t="str">
        <f>$A228&amp;":"&amp;$A233</f>
        <v>228:233</v>
      </c>
      <c r="AS234" s="4">
        <f>IF(ROUND(SUM(AS228:AS233),3)&lt;&gt;ROUND(SUM(AT234:AY234),3),#VALUE!,SUM(AS228:AS233))</f>
        <v>0</v>
      </c>
      <c r="AT234" s="4">
        <f t="shared" ref="AT234:AY234" si="521">SUM(AT228:AT233)</f>
        <v>0</v>
      </c>
      <c r="AU234" s="4">
        <f t="shared" si="521"/>
        <v>0</v>
      </c>
      <c r="AV234" s="4">
        <f t="shared" si="521"/>
        <v>0</v>
      </c>
      <c r="AW234" s="4">
        <f t="shared" si="521"/>
        <v>0</v>
      </c>
      <c r="AX234" s="4">
        <f t="shared" si="521"/>
        <v>0</v>
      </c>
      <c r="AY234" s="4">
        <f t="shared" si="521"/>
        <v>0</v>
      </c>
      <c r="BA234" s="4">
        <f>IF(ROUND(SUM(BA228:BA233),3)&lt;&gt;ROUND(SUM(BB234:BG234),3),#VALUE!,SUM(BA228:BA233))</f>
        <v>0</v>
      </c>
      <c r="BB234" s="4">
        <f t="shared" ref="BB234:BG234" si="522">SUM(BB228:BB233)</f>
        <v>0</v>
      </c>
      <c r="BC234" s="4">
        <f t="shared" si="522"/>
        <v>0</v>
      </c>
      <c r="BD234" s="4">
        <f t="shared" si="522"/>
        <v>0</v>
      </c>
      <c r="BE234" s="4">
        <f t="shared" si="522"/>
        <v>0</v>
      </c>
      <c r="BF234" s="4">
        <f t="shared" si="522"/>
        <v>0</v>
      </c>
      <c r="BG234" s="4">
        <f t="shared" si="522"/>
        <v>0</v>
      </c>
      <c r="BI234" s="4">
        <f>IF(ROUND(SUM(BI228:BI233),3)&lt;&gt;ROUND(SUM(BJ234:BO234),3),#VALUE!,SUM(BI228:BI233))</f>
        <v>6664000</v>
      </c>
      <c r="BJ234" s="4">
        <f t="shared" ref="BJ234:BO234" si="523">SUM(BJ228:BJ233)</f>
        <v>6539642.7804535246</v>
      </c>
      <c r="BK234" s="4">
        <f t="shared" si="523"/>
        <v>122775.3182006782</v>
      </c>
      <c r="BL234" s="4">
        <f t="shared" si="523"/>
        <v>0</v>
      </c>
      <c r="BM234" s="4">
        <f t="shared" si="523"/>
        <v>79.095067289855507</v>
      </c>
      <c r="BN234" s="4">
        <f t="shared" si="523"/>
        <v>1502.8062785072548</v>
      </c>
      <c r="BO234" s="4">
        <f t="shared" si="523"/>
        <v>0</v>
      </c>
      <c r="BQ234" s="52" t="s">
        <v>21</v>
      </c>
      <c r="BR234" s="48">
        <f>IF(ROUND(SUM(BR228:BR233),3)&lt;&gt;ROUND(SUM(CM234:CR234),3),#VALUE!,SUM(BR228:BR233))</f>
        <v>3229008.6176754506</v>
      </c>
      <c r="BS234" s="16">
        <f>SUMPRODUCT($BR$229:$BR$233,BS$229:BS$233)/SUM($BR$229:$BR$233)</f>
        <v>0</v>
      </c>
      <c r="BT234" s="16">
        <f t="shared" ref="BT234:CI234" si="524">SUMPRODUCT($BR$229:$BR$233,BT$229:BT$233)/SUM($BR$229:$BR$233)</f>
        <v>0</v>
      </c>
      <c r="BU234" s="16">
        <f t="shared" si="524"/>
        <v>0</v>
      </c>
      <c r="BV234" s="16">
        <f t="shared" si="524"/>
        <v>0</v>
      </c>
      <c r="BW234" s="16">
        <f t="shared" si="524"/>
        <v>0</v>
      </c>
      <c r="BX234" s="16">
        <f t="shared" si="524"/>
        <v>0</v>
      </c>
      <c r="BY234" s="16">
        <f t="shared" si="524"/>
        <v>0</v>
      </c>
      <c r="BZ234" s="16">
        <f t="shared" si="524"/>
        <v>0</v>
      </c>
      <c r="CA234" s="16">
        <f t="shared" si="524"/>
        <v>0</v>
      </c>
      <c r="CB234" s="16">
        <f t="shared" si="524"/>
        <v>0</v>
      </c>
      <c r="CC234" s="16">
        <f t="shared" si="524"/>
        <v>1</v>
      </c>
      <c r="CD234" s="16">
        <f t="shared" si="524"/>
        <v>0</v>
      </c>
      <c r="CE234" s="16">
        <f t="shared" si="524"/>
        <v>0</v>
      </c>
      <c r="CF234" s="16">
        <f t="shared" si="524"/>
        <v>0</v>
      </c>
      <c r="CG234" s="16">
        <f t="shared" si="524"/>
        <v>0</v>
      </c>
      <c r="CH234" s="16">
        <f t="shared" si="524"/>
        <v>0</v>
      </c>
      <c r="CI234" s="16">
        <f t="shared" si="524"/>
        <v>0</v>
      </c>
      <c r="CJ234" s="42"/>
      <c r="CK234" s="42"/>
      <c r="CL234" s="76">
        <f t="shared" si="440"/>
        <v>0</v>
      </c>
      <c r="CM234" s="4">
        <f t="shared" ref="CM234:CR234" si="525">SUM(CM228:CM233)</f>
        <v>3168751.9349645069</v>
      </c>
      <c r="CN234" s="4">
        <f t="shared" si="525"/>
        <v>59490.180148234627</v>
      </c>
      <c r="CO234" s="4">
        <f t="shared" si="525"/>
        <v>0</v>
      </c>
      <c r="CP234" s="4">
        <f t="shared" si="525"/>
        <v>38.325128135438632</v>
      </c>
      <c r="CQ234" s="4">
        <f t="shared" si="525"/>
        <v>728.17743457333404</v>
      </c>
      <c r="CR234" s="4">
        <f t="shared" si="525"/>
        <v>0</v>
      </c>
    </row>
    <row r="235" spans="1:97">
      <c r="A235" s="50">
        <f t="shared" si="400"/>
        <v>235</v>
      </c>
      <c r="E235" s="2"/>
      <c r="F235" s="60"/>
      <c r="G235" s="60"/>
      <c r="P235" s="61"/>
      <c r="Q235" s="61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76">
        <f t="shared" si="437"/>
        <v>0</v>
      </c>
      <c r="AQ235" s="61"/>
      <c r="BR235" s="49"/>
      <c r="CL235" s="76">
        <f t="shared" si="440"/>
        <v>0</v>
      </c>
    </row>
    <row r="236" spans="1:97">
      <c r="A236" s="50">
        <f t="shared" si="400"/>
        <v>236</v>
      </c>
      <c r="D236" t="s">
        <v>22</v>
      </c>
      <c r="E236" s="2"/>
      <c r="F236" s="60"/>
      <c r="G236" s="60"/>
      <c r="P236" s="61"/>
      <c r="Q236" s="61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76">
        <f t="shared" si="437"/>
        <v>0</v>
      </c>
      <c r="AQ236" s="61"/>
      <c r="BQ236" t="s">
        <v>22</v>
      </c>
      <c r="BR236" s="49"/>
      <c r="CL236" s="76">
        <f t="shared" si="440"/>
        <v>0</v>
      </c>
    </row>
    <row r="237" spans="1:97">
      <c r="A237" s="50">
        <f t="shared" si="400"/>
        <v>237</v>
      </c>
      <c r="B237" t="s">
        <v>23</v>
      </c>
      <c r="C237" s="36" t="s">
        <v>157</v>
      </c>
      <c r="D237" s="28" t="s">
        <v>13</v>
      </c>
      <c r="E237" s="436">
        <f>PROFORMA!AV105</f>
        <v>0</v>
      </c>
      <c r="F237" s="60" t="s">
        <v>451</v>
      </c>
      <c r="G237" s="60"/>
      <c r="H237" s="2">
        <f>SUM(I237:N237)</f>
        <v>0</v>
      </c>
      <c r="I237" s="2">
        <f t="shared" ref="I237:N241" si="526">$E237*SUMPRODUCT($R237:$AH237,INDEX(AllocFactors,I$4,0))</f>
        <v>0</v>
      </c>
      <c r="J237" s="2">
        <f t="shared" si="526"/>
        <v>0</v>
      </c>
      <c r="K237" s="2">
        <f t="shared" si="526"/>
        <v>0</v>
      </c>
      <c r="L237" s="2">
        <f t="shared" si="526"/>
        <v>0</v>
      </c>
      <c r="M237" s="2">
        <f t="shared" si="526"/>
        <v>0</v>
      </c>
      <c r="N237" s="2">
        <f t="shared" si="526"/>
        <v>0</v>
      </c>
      <c r="O237" s="2"/>
      <c r="P237" s="61" t="str">
        <f>E$1&amp;$A237&amp;"* Sum["&amp;$R$1&amp;$A237&amp;":"&amp;$AH$1&amp;$A237&amp;"* "&amp;Factors!D$1&amp;Factors!$A$58&amp;":"&amp;Factors!S$1&amp;Factors!$A$64&amp;"]"</f>
        <v>E237* Sum[R237:AH237* D1040:S1046]</v>
      </c>
      <c r="Q237" s="61"/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1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76">
        <f t="shared" si="437"/>
        <v>0</v>
      </c>
      <c r="AK237" s="2">
        <f>SUM(AL237:AO237)</f>
        <v>0</v>
      </c>
      <c r="AL237" s="2">
        <f t="shared" ref="AL237:AO241" si="527">SUMIF($R$4:$AH$4,AL$5,$R237:$AH237)*$E237</f>
        <v>0</v>
      </c>
      <c r="AM237" s="2">
        <f t="shared" si="527"/>
        <v>0</v>
      </c>
      <c r="AN237" s="2">
        <f t="shared" si="527"/>
        <v>0</v>
      </c>
      <c r="AO237" s="2">
        <f t="shared" si="527"/>
        <v>0</v>
      </c>
      <c r="AP237" s="2"/>
      <c r="AQ237" s="61" t="str">
        <f>E$1&amp;$A237&amp;"*["&amp;R$1&amp;$A237&amp;":"&amp;$AH$1&amp;$A237&amp;" when "&amp;R$1&amp;$A$4&amp;":"&amp;$AH$1&amp;$A$4&amp;" = E,D,C,or R]"</f>
        <v>E237*[R237:AH237 when R4:AH4 = E,D,C,or R]</v>
      </c>
      <c r="AS237" s="2">
        <f>SUM(AT237:AY237)</f>
        <v>0</v>
      </c>
      <c r="AT237" s="2">
        <f t="shared" ref="AT237:AY241" si="528">$E237*SUMPRODUCT($R237:$V237,INDEX(AllocFactors_E,AT$4,0))</f>
        <v>0</v>
      </c>
      <c r="AU237" s="2">
        <f t="shared" si="528"/>
        <v>0</v>
      </c>
      <c r="AV237" s="2">
        <f t="shared" si="528"/>
        <v>0</v>
      </c>
      <c r="AW237" s="2">
        <f t="shared" si="528"/>
        <v>0</v>
      </c>
      <c r="AX237" s="2">
        <f t="shared" si="528"/>
        <v>0</v>
      </c>
      <c r="AY237" s="2">
        <f t="shared" si="528"/>
        <v>0</v>
      </c>
      <c r="BA237" s="2">
        <f>SUM(BB237:BG237)</f>
        <v>0</v>
      </c>
      <c r="BB237" s="2">
        <f t="shared" ref="BB237:BG241" si="529">$E237*SUMPRODUCT($W237:$AA237,INDEX(AllocFactors_D,BB$4,0))</f>
        <v>0</v>
      </c>
      <c r="BC237" s="2">
        <f t="shared" si="529"/>
        <v>0</v>
      </c>
      <c r="BD237" s="2">
        <f t="shared" si="529"/>
        <v>0</v>
      </c>
      <c r="BE237" s="2">
        <f t="shared" si="529"/>
        <v>0</v>
      </c>
      <c r="BF237" s="2">
        <f t="shared" si="529"/>
        <v>0</v>
      </c>
      <c r="BG237" s="2">
        <f t="shared" si="529"/>
        <v>0</v>
      </c>
      <c r="BI237" s="2">
        <f>SUM(BJ237:BO237)</f>
        <v>0</v>
      </c>
      <c r="BJ237" s="2">
        <f t="shared" ref="BJ237:BO241" si="530">$E237*SUMPRODUCT($AB237:$AG237,INDEX(AllocFactors_C,BJ$4,0))</f>
        <v>0</v>
      </c>
      <c r="BK237" s="2">
        <f t="shared" si="530"/>
        <v>0</v>
      </c>
      <c r="BL237" s="2">
        <f t="shared" si="530"/>
        <v>0</v>
      </c>
      <c r="BM237" s="2">
        <f t="shared" si="530"/>
        <v>0</v>
      </c>
      <c r="BN237" s="2">
        <f t="shared" si="530"/>
        <v>0</v>
      </c>
      <c r="BO237" s="2">
        <f t="shared" si="530"/>
        <v>0</v>
      </c>
      <c r="BQ237" s="28" t="s">
        <v>13</v>
      </c>
      <c r="BR237" s="23">
        <v>0</v>
      </c>
      <c r="BS237" s="14">
        <f t="shared" ref="BS237:BU241" si="531">R237</f>
        <v>0</v>
      </c>
      <c r="BT237" s="14">
        <f t="shared" si="531"/>
        <v>0</v>
      </c>
      <c r="BU237" s="14">
        <f t="shared" si="531"/>
        <v>0</v>
      </c>
      <c r="BV237" s="14">
        <f t="shared" ref="BV237:CB241" si="532">U237</f>
        <v>0</v>
      </c>
      <c r="BW237" s="14">
        <f t="shared" si="532"/>
        <v>0</v>
      </c>
      <c r="BX237" s="14">
        <f t="shared" si="532"/>
        <v>0</v>
      </c>
      <c r="BY237" s="14">
        <f t="shared" si="532"/>
        <v>0</v>
      </c>
      <c r="BZ237" s="14">
        <f t="shared" si="532"/>
        <v>0</v>
      </c>
      <c r="CA237" s="14">
        <f t="shared" si="532"/>
        <v>0</v>
      </c>
      <c r="CB237" s="14">
        <f t="shared" si="532"/>
        <v>0</v>
      </c>
      <c r="CC237" s="14">
        <f t="shared" ref="CC237:CI241" si="533">AB237</f>
        <v>1</v>
      </c>
      <c r="CD237" s="14">
        <f t="shared" si="533"/>
        <v>0</v>
      </c>
      <c r="CE237" s="14">
        <f t="shared" si="533"/>
        <v>0</v>
      </c>
      <c r="CF237" s="14">
        <f t="shared" si="533"/>
        <v>0</v>
      </c>
      <c r="CG237" s="14">
        <f t="shared" si="533"/>
        <v>0</v>
      </c>
      <c r="CH237" s="14">
        <f t="shared" si="533"/>
        <v>0</v>
      </c>
      <c r="CI237" s="14">
        <f t="shared" si="533"/>
        <v>0</v>
      </c>
      <c r="CJ237" s="14"/>
      <c r="CK237" s="120" t="str">
        <f>F237</f>
        <v>Input - 100% Cust</v>
      </c>
      <c r="CL237" s="76">
        <f t="shared" si="440"/>
        <v>0</v>
      </c>
      <c r="CM237" s="2">
        <f t="shared" ref="CM237:CR241" si="534">$BR237*SUMPRODUCT($BS237:$CI237,INDEX(AllocFactors,CM$170,0))</f>
        <v>0</v>
      </c>
      <c r="CN237" s="2">
        <f t="shared" si="534"/>
        <v>0</v>
      </c>
      <c r="CO237" s="2">
        <f t="shared" si="534"/>
        <v>0</v>
      </c>
      <c r="CP237" s="2">
        <f t="shared" si="534"/>
        <v>0</v>
      </c>
      <c r="CQ237" s="2">
        <f t="shared" si="534"/>
        <v>0</v>
      </c>
      <c r="CR237" s="2">
        <f t="shared" si="534"/>
        <v>0</v>
      </c>
    </row>
    <row r="238" spans="1:97">
      <c r="A238" s="50">
        <f t="shared" si="400"/>
        <v>238</v>
      </c>
      <c r="B238" t="s">
        <v>24</v>
      </c>
      <c r="C238" s="36" t="s">
        <v>157</v>
      </c>
      <c r="D238" s="28" t="s">
        <v>25</v>
      </c>
      <c r="E238" s="436">
        <f>PROFORMA!AV106</f>
        <v>435000</v>
      </c>
      <c r="F238" s="60" t="s">
        <v>451</v>
      </c>
      <c r="G238" s="60"/>
      <c r="H238" s="2">
        <f>SUM(I238:N238)</f>
        <v>435000</v>
      </c>
      <c r="I238" s="2">
        <f t="shared" si="526"/>
        <v>426882.44440235343</v>
      </c>
      <c r="J238" s="2">
        <f t="shared" si="526"/>
        <v>8014.2952306865272</v>
      </c>
      <c r="K238" s="2">
        <f t="shared" si="526"/>
        <v>0</v>
      </c>
      <c r="L238" s="2">
        <f t="shared" si="526"/>
        <v>5.1630183480022733</v>
      </c>
      <c r="M238" s="2">
        <f t="shared" si="526"/>
        <v>98.097348612043177</v>
      </c>
      <c r="N238" s="2">
        <f t="shared" si="526"/>
        <v>0</v>
      </c>
      <c r="O238" s="2"/>
      <c r="P238" s="61" t="str">
        <f>E$1&amp;$A238&amp;"*     """</f>
        <v>E238*     "</v>
      </c>
      <c r="Q238" s="61"/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1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76">
        <f t="shared" ref="AI238:AI252" si="535">IF(SUM(R238:AH238)&lt;&gt;0,(ROUND(SUM(R238:AH238),8)&lt;&gt;1)+0,0)</f>
        <v>0</v>
      </c>
      <c r="AK238" s="2">
        <f>SUM(AL238:AO238)</f>
        <v>435000</v>
      </c>
      <c r="AL238" s="2">
        <f t="shared" si="527"/>
        <v>0</v>
      </c>
      <c r="AM238" s="2">
        <f t="shared" si="527"/>
        <v>0</v>
      </c>
      <c r="AN238" s="2">
        <f t="shared" si="527"/>
        <v>435000</v>
      </c>
      <c r="AO238" s="2">
        <f t="shared" si="527"/>
        <v>0</v>
      </c>
      <c r="AP238" s="2"/>
      <c r="AQ238" s="61" t="str">
        <f>E$1&amp;$A238&amp;"*      """</f>
        <v>E238*      "</v>
      </c>
      <c r="AS238" s="2">
        <f>SUM(AT238:AY238)</f>
        <v>0</v>
      </c>
      <c r="AT238" s="2">
        <f t="shared" si="528"/>
        <v>0</v>
      </c>
      <c r="AU238" s="2">
        <f t="shared" si="528"/>
        <v>0</v>
      </c>
      <c r="AV238" s="2">
        <f t="shared" si="528"/>
        <v>0</v>
      </c>
      <c r="AW238" s="2">
        <f t="shared" si="528"/>
        <v>0</v>
      </c>
      <c r="AX238" s="2">
        <f t="shared" si="528"/>
        <v>0</v>
      </c>
      <c r="AY238" s="2">
        <f t="shared" si="528"/>
        <v>0</v>
      </c>
      <c r="BA238" s="2">
        <f>SUM(BB238:BG238)</f>
        <v>0</v>
      </c>
      <c r="BB238" s="2">
        <f t="shared" si="529"/>
        <v>0</v>
      </c>
      <c r="BC238" s="2">
        <f t="shared" si="529"/>
        <v>0</v>
      </c>
      <c r="BD238" s="2">
        <f t="shared" si="529"/>
        <v>0</v>
      </c>
      <c r="BE238" s="2">
        <f t="shared" si="529"/>
        <v>0</v>
      </c>
      <c r="BF238" s="2">
        <f t="shared" si="529"/>
        <v>0</v>
      </c>
      <c r="BG238" s="2">
        <f t="shared" si="529"/>
        <v>0</v>
      </c>
      <c r="BI238" s="2">
        <f>SUM(BJ238:BO238)</f>
        <v>435000</v>
      </c>
      <c r="BJ238" s="2">
        <f t="shared" si="530"/>
        <v>426882.44440235343</v>
      </c>
      <c r="BK238" s="2">
        <f t="shared" si="530"/>
        <v>8014.2952306865272</v>
      </c>
      <c r="BL238" s="2">
        <f t="shared" si="530"/>
        <v>0</v>
      </c>
      <c r="BM238" s="2">
        <f t="shared" si="530"/>
        <v>5.1630183480022733</v>
      </c>
      <c r="BN238" s="2">
        <f t="shared" si="530"/>
        <v>98.097348612043177</v>
      </c>
      <c r="BO238" s="2">
        <f t="shared" si="530"/>
        <v>0</v>
      </c>
      <c r="BQ238" s="28" t="s">
        <v>25</v>
      </c>
      <c r="BR238" s="23">
        <v>190121</v>
      </c>
      <c r="BS238" s="14">
        <f t="shared" si="531"/>
        <v>0</v>
      </c>
      <c r="BT238" s="14">
        <f t="shared" si="531"/>
        <v>0</v>
      </c>
      <c r="BU238" s="14">
        <f t="shared" si="531"/>
        <v>0</v>
      </c>
      <c r="BV238" s="14">
        <f t="shared" si="532"/>
        <v>0</v>
      </c>
      <c r="BW238" s="14">
        <f t="shared" si="532"/>
        <v>0</v>
      </c>
      <c r="BX238" s="14">
        <f t="shared" si="532"/>
        <v>0</v>
      </c>
      <c r="BY238" s="14">
        <f t="shared" si="532"/>
        <v>0</v>
      </c>
      <c r="BZ238" s="14">
        <f t="shared" si="532"/>
        <v>0</v>
      </c>
      <c r="CA238" s="14">
        <f t="shared" si="532"/>
        <v>0</v>
      </c>
      <c r="CB238" s="14">
        <f t="shared" si="532"/>
        <v>0</v>
      </c>
      <c r="CC238" s="14">
        <f t="shared" si="533"/>
        <v>1</v>
      </c>
      <c r="CD238" s="14">
        <f t="shared" si="533"/>
        <v>0</v>
      </c>
      <c r="CE238" s="14">
        <f t="shared" si="533"/>
        <v>0</v>
      </c>
      <c r="CF238" s="14">
        <f t="shared" si="533"/>
        <v>0</v>
      </c>
      <c r="CG238" s="14">
        <f t="shared" si="533"/>
        <v>0</v>
      </c>
      <c r="CH238" s="14">
        <f t="shared" si="533"/>
        <v>0</v>
      </c>
      <c r="CI238" s="14">
        <f t="shared" si="533"/>
        <v>0</v>
      </c>
      <c r="CJ238" s="12"/>
      <c r="CK238" s="120" t="str">
        <f>F238</f>
        <v>Input - 100% Cust</v>
      </c>
      <c r="CL238" s="76">
        <f t="shared" si="440"/>
        <v>0</v>
      </c>
      <c r="CM238" s="2">
        <f t="shared" si="534"/>
        <v>186573.14301659731</v>
      </c>
      <c r="CN238" s="2">
        <f t="shared" si="534"/>
        <v>3502.726031157134</v>
      </c>
      <c r="CO238" s="2">
        <f t="shared" si="534"/>
        <v>0</v>
      </c>
      <c r="CP238" s="2">
        <f t="shared" si="534"/>
        <v>2.256547612277104</v>
      </c>
      <c r="CQ238" s="2">
        <f t="shared" si="534"/>
        <v>42.874404633264966</v>
      </c>
      <c r="CR238" s="2">
        <f t="shared" si="534"/>
        <v>0</v>
      </c>
      <c r="CS238" s="28" t="s">
        <v>442</v>
      </c>
    </row>
    <row r="239" spans="1:97">
      <c r="A239" s="50">
        <f t="shared" si="400"/>
        <v>239</v>
      </c>
      <c r="C239" s="36" t="s">
        <v>466</v>
      </c>
      <c r="D239" s="28" t="s">
        <v>25</v>
      </c>
      <c r="E239" s="150">
        <v>0</v>
      </c>
      <c r="F239" s="60" t="s">
        <v>549</v>
      </c>
      <c r="G239" s="60"/>
      <c r="H239" s="2">
        <f>SUM(I239:N239)</f>
        <v>0</v>
      </c>
      <c r="I239" s="2">
        <f t="shared" si="526"/>
        <v>0</v>
      </c>
      <c r="J239" s="2">
        <f t="shared" si="526"/>
        <v>0</v>
      </c>
      <c r="K239" s="2">
        <f t="shared" si="526"/>
        <v>0</v>
      </c>
      <c r="L239" s="2">
        <f t="shared" si="526"/>
        <v>0</v>
      </c>
      <c r="M239" s="2">
        <f t="shared" si="526"/>
        <v>0</v>
      </c>
      <c r="N239" s="2">
        <f t="shared" si="526"/>
        <v>0</v>
      </c>
      <c r="O239" s="2"/>
      <c r="P239" s="61" t="str">
        <f>E$1&amp;$A239&amp;"*     """</f>
        <v>E239*     "</v>
      </c>
      <c r="Q239" s="61"/>
      <c r="R239" s="15">
        <f>PkAvg_E</f>
        <v>0.35164512530918368</v>
      </c>
      <c r="S239" s="12">
        <v>0</v>
      </c>
      <c r="T239" s="12">
        <v>0</v>
      </c>
      <c r="U239" s="12">
        <v>0</v>
      </c>
      <c r="V239" s="12">
        <v>0</v>
      </c>
      <c r="W239" s="15">
        <f>PkAvg_D</f>
        <v>0.64835487469081621</v>
      </c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76">
        <f t="shared" si="535"/>
        <v>0</v>
      </c>
      <c r="AK239" s="2">
        <f>SUM(AL239:AO239)</f>
        <v>0</v>
      </c>
      <c r="AL239" s="2">
        <f t="shared" si="527"/>
        <v>0</v>
      </c>
      <c r="AM239" s="2">
        <f t="shared" si="527"/>
        <v>0</v>
      </c>
      <c r="AN239" s="2">
        <f t="shared" si="527"/>
        <v>0</v>
      </c>
      <c r="AO239" s="2">
        <f t="shared" si="527"/>
        <v>0</v>
      </c>
      <c r="AP239" s="2"/>
      <c r="AQ239" s="61" t="str">
        <f>E$1&amp;$A239&amp;"*      """</f>
        <v>E239*      "</v>
      </c>
      <c r="AS239" s="2">
        <f>SUM(AT239:AY239)</f>
        <v>0</v>
      </c>
      <c r="AT239" s="2">
        <f t="shared" si="528"/>
        <v>0</v>
      </c>
      <c r="AU239" s="2">
        <f t="shared" si="528"/>
        <v>0</v>
      </c>
      <c r="AV239" s="2">
        <f t="shared" si="528"/>
        <v>0</v>
      </c>
      <c r="AW239" s="2">
        <f t="shared" si="528"/>
        <v>0</v>
      </c>
      <c r="AX239" s="2">
        <f t="shared" si="528"/>
        <v>0</v>
      </c>
      <c r="AY239" s="2">
        <f t="shared" si="528"/>
        <v>0</v>
      </c>
      <c r="BA239" s="2">
        <f>SUM(BB239:BG239)</f>
        <v>0</v>
      </c>
      <c r="BB239" s="2">
        <f t="shared" si="529"/>
        <v>0</v>
      </c>
      <c r="BC239" s="2">
        <f t="shared" si="529"/>
        <v>0</v>
      </c>
      <c r="BD239" s="2">
        <f t="shared" si="529"/>
        <v>0</v>
      </c>
      <c r="BE239" s="2">
        <f t="shared" si="529"/>
        <v>0</v>
      </c>
      <c r="BF239" s="2">
        <f t="shared" si="529"/>
        <v>0</v>
      </c>
      <c r="BG239" s="2">
        <f t="shared" si="529"/>
        <v>0</v>
      </c>
      <c r="BI239" s="2">
        <f>SUM(BJ239:BO239)</f>
        <v>0</v>
      </c>
      <c r="BJ239" s="2">
        <f t="shared" si="530"/>
        <v>0</v>
      </c>
      <c r="BK239" s="2">
        <f t="shared" si="530"/>
        <v>0</v>
      </c>
      <c r="BL239" s="2">
        <f t="shared" si="530"/>
        <v>0</v>
      </c>
      <c r="BM239" s="2">
        <f t="shared" si="530"/>
        <v>0</v>
      </c>
      <c r="BN239" s="2">
        <f t="shared" si="530"/>
        <v>0</v>
      </c>
      <c r="BO239" s="2">
        <f t="shared" si="530"/>
        <v>0</v>
      </c>
      <c r="BQ239" s="28" t="s">
        <v>25</v>
      </c>
      <c r="BR239" s="23">
        <v>0</v>
      </c>
      <c r="BS239" s="14">
        <f t="shared" si="531"/>
        <v>0.35164512530918368</v>
      </c>
      <c r="BT239" s="14">
        <f t="shared" si="531"/>
        <v>0</v>
      </c>
      <c r="BU239" s="14">
        <f t="shared" si="531"/>
        <v>0</v>
      </c>
      <c r="BV239" s="14">
        <f t="shared" si="532"/>
        <v>0</v>
      </c>
      <c r="BW239" s="14">
        <f t="shared" si="532"/>
        <v>0</v>
      </c>
      <c r="BX239" s="14">
        <f t="shared" si="532"/>
        <v>0.64835487469081621</v>
      </c>
      <c r="BY239" s="14">
        <f t="shared" si="532"/>
        <v>0</v>
      </c>
      <c r="BZ239" s="14">
        <f t="shared" si="532"/>
        <v>0</v>
      </c>
      <c r="CA239" s="14">
        <f t="shared" si="532"/>
        <v>0</v>
      </c>
      <c r="CB239" s="14">
        <f t="shared" si="532"/>
        <v>0</v>
      </c>
      <c r="CC239" s="14">
        <f t="shared" si="533"/>
        <v>0</v>
      </c>
      <c r="CD239" s="14">
        <f t="shared" si="533"/>
        <v>0</v>
      </c>
      <c r="CE239" s="14">
        <f t="shared" si="533"/>
        <v>0</v>
      </c>
      <c r="CF239" s="14">
        <f t="shared" si="533"/>
        <v>0</v>
      </c>
      <c r="CG239" s="14">
        <f t="shared" si="533"/>
        <v>0</v>
      </c>
      <c r="CH239" s="14">
        <f t="shared" si="533"/>
        <v>0</v>
      </c>
      <c r="CI239" s="14">
        <f t="shared" si="533"/>
        <v>0</v>
      </c>
      <c r="CJ239" s="12"/>
      <c r="CK239" s="120" t="str">
        <f>F239</f>
        <v>Input - Peak &amp; Avg Calc</v>
      </c>
      <c r="CL239" s="76">
        <f t="shared" ref="CL239:CL271" si="536">IF(SUM(BS239:CI239)&lt;&gt;0,(ROUND(SUM(BS239:CI239),4)&lt;&gt;1)+0,0)</f>
        <v>0</v>
      </c>
      <c r="CM239" s="2">
        <f t="shared" si="534"/>
        <v>0</v>
      </c>
      <c r="CN239" s="2">
        <f t="shared" si="534"/>
        <v>0</v>
      </c>
      <c r="CO239" s="2">
        <f t="shared" si="534"/>
        <v>0</v>
      </c>
      <c r="CP239" s="2">
        <f t="shared" si="534"/>
        <v>0</v>
      </c>
      <c r="CQ239" s="2">
        <f t="shared" si="534"/>
        <v>0</v>
      </c>
      <c r="CR239" s="2">
        <f t="shared" si="534"/>
        <v>0</v>
      </c>
      <c r="CS239" s="28" t="s">
        <v>442</v>
      </c>
    </row>
    <row r="240" spans="1:97">
      <c r="A240" s="50">
        <f t="shared" si="400"/>
        <v>240</v>
      </c>
      <c r="B240" t="s">
        <v>26</v>
      </c>
      <c r="C240" s="36" t="s">
        <v>157</v>
      </c>
      <c r="D240" s="28" t="s">
        <v>27</v>
      </c>
      <c r="E240" s="436">
        <f>PROFORMA!AV107</f>
        <v>651000</v>
      </c>
      <c r="F240" s="60" t="s">
        <v>451</v>
      </c>
      <c r="G240" s="60"/>
      <c r="H240" s="2">
        <f>SUM(I240:N240)</f>
        <v>650999.99999999988</v>
      </c>
      <c r="I240" s="2">
        <f t="shared" si="526"/>
        <v>638851.65817455645</v>
      </c>
      <c r="J240" s="2">
        <f t="shared" si="526"/>
        <v>11993.807345234321</v>
      </c>
      <c r="K240" s="2">
        <f t="shared" si="526"/>
        <v>0</v>
      </c>
      <c r="L240" s="2">
        <f t="shared" si="526"/>
        <v>7.7267240104585744</v>
      </c>
      <c r="M240" s="2">
        <f t="shared" si="526"/>
        <v>146.80775619871289</v>
      </c>
      <c r="N240" s="2">
        <f t="shared" si="526"/>
        <v>0</v>
      </c>
      <c r="O240" s="2"/>
      <c r="P240" s="61" t="str">
        <f>E$1&amp;$A240&amp;"*     """</f>
        <v>E240*     "</v>
      </c>
      <c r="Q240" s="61"/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1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76">
        <f t="shared" si="535"/>
        <v>0</v>
      </c>
      <c r="AK240" s="2">
        <f>SUM(AL240:AO240)</f>
        <v>651000</v>
      </c>
      <c r="AL240" s="2">
        <f t="shared" si="527"/>
        <v>0</v>
      </c>
      <c r="AM240" s="2">
        <f t="shared" si="527"/>
        <v>0</v>
      </c>
      <c r="AN240" s="2">
        <f t="shared" si="527"/>
        <v>651000</v>
      </c>
      <c r="AO240" s="2">
        <f t="shared" si="527"/>
        <v>0</v>
      </c>
      <c r="AP240" s="2"/>
      <c r="AQ240" s="61" t="str">
        <f>E$1&amp;$A240&amp;"*      """</f>
        <v>E240*      "</v>
      </c>
      <c r="AS240" s="2">
        <f>SUM(AT240:AY240)</f>
        <v>0</v>
      </c>
      <c r="AT240" s="2">
        <f t="shared" si="528"/>
        <v>0</v>
      </c>
      <c r="AU240" s="2">
        <f t="shared" si="528"/>
        <v>0</v>
      </c>
      <c r="AV240" s="2">
        <f t="shared" si="528"/>
        <v>0</v>
      </c>
      <c r="AW240" s="2">
        <f t="shared" si="528"/>
        <v>0</v>
      </c>
      <c r="AX240" s="2">
        <f t="shared" si="528"/>
        <v>0</v>
      </c>
      <c r="AY240" s="2">
        <f t="shared" si="528"/>
        <v>0</v>
      </c>
      <c r="BA240" s="2">
        <f>SUM(BB240:BG240)</f>
        <v>0</v>
      </c>
      <c r="BB240" s="2">
        <f t="shared" si="529"/>
        <v>0</v>
      </c>
      <c r="BC240" s="2">
        <f t="shared" si="529"/>
        <v>0</v>
      </c>
      <c r="BD240" s="2">
        <f t="shared" si="529"/>
        <v>0</v>
      </c>
      <c r="BE240" s="2">
        <f t="shared" si="529"/>
        <v>0</v>
      </c>
      <c r="BF240" s="2">
        <f t="shared" si="529"/>
        <v>0</v>
      </c>
      <c r="BG240" s="2">
        <f t="shared" si="529"/>
        <v>0</v>
      </c>
      <c r="BI240" s="2">
        <f>SUM(BJ240:BO240)</f>
        <v>650999.99999999988</v>
      </c>
      <c r="BJ240" s="2">
        <f t="shared" si="530"/>
        <v>638851.65817455645</v>
      </c>
      <c r="BK240" s="2">
        <f t="shared" si="530"/>
        <v>11993.807345234321</v>
      </c>
      <c r="BL240" s="2">
        <f t="shared" si="530"/>
        <v>0</v>
      </c>
      <c r="BM240" s="2">
        <f t="shared" si="530"/>
        <v>7.7267240104585744</v>
      </c>
      <c r="BN240" s="2">
        <f t="shared" si="530"/>
        <v>146.80775619871289</v>
      </c>
      <c r="BO240" s="2">
        <f t="shared" si="530"/>
        <v>0</v>
      </c>
      <c r="BQ240" s="28" t="s">
        <v>27</v>
      </c>
      <c r="BR240" s="23">
        <v>86418</v>
      </c>
      <c r="BS240" s="14">
        <f t="shared" si="531"/>
        <v>0</v>
      </c>
      <c r="BT240" s="14">
        <f t="shared" si="531"/>
        <v>0</v>
      </c>
      <c r="BU240" s="14">
        <f t="shared" si="531"/>
        <v>0</v>
      </c>
      <c r="BV240" s="14">
        <f t="shared" si="532"/>
        <v>0</v>
      </c>
      <c r="BW240" s="14">
        <f t="shared" si="532"/>
        <v>0</v>
      </c>
      <c r="BX240" s="14">
        <f t="shared" si="532"/>
        <v>0</v>
      </c>
      <c r="BY240" s="14">
        <f t="shared" si="532"/>
        <v>0</v>
      </c>
      <c r="BZ240" s="14">
        <f t="shared" si="532"/>
        <v>0</v>
      </c>
      <c r="CA240" s="14">
        <f t="shared" si="532"/>
        <v>0</v>
      </c>
      <c r="CB240" s="14">
        <f t="shared" si="532"/>
        <v>0</v>
      </c>
      <c r="CC240" s="14">
        <f t="shared" si="533"/>
        <v>1</v>
      </c>
      <c r="CD240" s="14">
        <f t="shared" si="533"/>
        <v>0</v>
      </c>
      <c r="CE240" s="14">
        <f t="shared" si="533"/>
        <v>0</v>
      </c>
      <c r="CF240" s="14">
        <f t="shared" si="533"/>
        <v>0</v>
      </c>
      <c r="CG240" s="14">
        <f t="shared" si="533"/>
        <v>0</v>
      </c>
      <c r="CH240" s="14">
        <f t="shared" si="533"/>
        <v>0</v>
      </c>
      <c r="CI240" s="14">
        <f t="shared" si="533"/>
        <v>0</v>
      </c>
      <c r="CJ240" s="14"/>
      <c r="CK240" s="120" t="str">
        <f>F240</f>
        <v>Input - 100% Cust</v>
      </c>
      <c r="CL240" s="76">
        <f t="shared" si="536"/>
        <v>0</v>
      </c>
      <c r="CM240" s="2">
        <f t="shared" si="534"/>
        <v>84805.349610028919</v>
      </c>
      <c r="CN240" s="2">
        <f t="shared" si="534"/>
        <v>1592.1364718286629</v>
      </c>
      <c r="CO240" s="2">
        <f t="shared" si="534"/>
        <v>0</v>
      </c>
      <c r="CP240" s="2">
        <f t="shared" si="534"/>
        <v>1.0256959071210585</v>
      </c>
      <c r="CQ240" s="2">
        <f t="shared" si="534"/>
        <v>19.48822223530011</v>
      </c>
      <c r="CR240" s="2">
        <f t="shared" si="534"/>
        <v>0</v>
      </c>
    </row>
    <row r="241" spans="1:96">
      <c r="A241" s="50">
        <f t="shared" si="400"/>
        <v>241</v>
      </c>
      <c r="B241" t="s">
        <v>28</v>
      </c>
      <c r="C241" s="36" t="s">
        <v>157</v>
      </c>
      <c r="D241" s="28" t="s">
        <v>350</v>
      </c>
      <c r="E241" s="436">
        <f>PROFORMA!AV108</f>
        <v>119000</v>
      </c>
      <c r="F241" s="60" t="s">
        <v>451</v>
      </c>
      <c r="G241" s="60"/>
      <c r="H241" s="2">
        <f>SUM(I241:N241)</f>
        <v>119000</v>
      </c>
      <c r="I241" s="2">
        <f t="shared" si="526"/>
        <v>116779.33536524151</v>
      </c>
      <c r="J241" s="2">
        <f t="shared" si="526"/>
        <v>2192.4163964406821</v>
      </c>
      <c r="K241" s="2">
        <f t="shared" si="526"/>
        <v>0</v>
      </c>
      <c r="L241" s="2">
        <f t="shared" si="526"/>
        <v>1.412411915890277</v>
      </c>
      <c r="M241" s="2">
        <f t="shared" si="526"/>
        <v>26.835826401915259</v>
      </c>
      <c r="N241" s="2">
        <f t="shared" si="526"/>
        <v>0</v>
      </c>
      <c r="O241" s="2"/>
      <c r="P241" s="61" t="str">
        <f>E$1&amp;$A241&amp;"*     """</f>
        <v>E241*     "</v>
      </c>
      <c r="Q241" s="61"/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1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76">
        <f t="shared" si="535"/>
        <v>0</v>
      </c>
      <c r="AK241" s="2">
        <f>SUM(AL241:AO241)</f>
        <v>119000</v>
      </c>
      <c r="AL241" s="2">
        <f t="shared" si="527"/>
        <v>0</v>
      </c>
      <c r="AM241" s="2">
        <f t="shared" si="527"/>
        <v>0</v>
      </c>
      <c r="AN241" s="2">
        <f t="shared" si="527"/>
        <v>119000</v>
      </c>
      <c r="AO241" s="2">
        <f t="shared" si="527"/>
        <v>0</v>
      </c>
      <c r="AP241" s="2"/>
      <c r="AQ241" s="61" t="str">
        <f>E$1&amp;$A241&amp;"*      """</f>
        <v>E241*      "</v>
      </c>
      <c r="AS241" s="2">
        <f>SUM(AT241:AY241)</f>
        <v>0</v>
      </c>
      <c r="AT241" s="2">
        <f t="shared" si="528"/>
        <v>0</v>
      </c>
      <c r="AU241" s="2">
        <f t="shared" si="528"/>
        <v>0</v>
      </c>
      <c r="AV241" s="2">
        <f t="shared" si="528"/>
        <v>0</v>
      </c>
      <c r="AW241" s="2">
        <f t="shared" si="528"/>
        <v>0</v>
      </c>
      <c r="AX241" s="2">
        <f t="shared" si="528"/>
        <v>0</v>
      </c>
      <c r="AY241" s="2">
        <f t="shared" si="528"/>
        <v>0</v>
      </c>
      <c r="BA241" s="2">
        <f>SUM(BB241:BG241)</f>
        <v>0</v>
      </c>
      <c r="BB241" s="2">
        <f t="shared" si="529"/>
        <v>0</v>
      </c>
      <c r="BC241" s="2">
        <f t="shared" si="529"/>
        <v>0</v>
      </c>
      <c r="BD241" s="2">
        <f t="shared" si="529"/>
        <v>0</v>
      </c>
      <c r="BE241" s="2">
        <f t="shared" si="529"/>
        <v>0</v>
      </c>
      <c r="BF241" s="2">
        <f t="shared" si="529"/>
        <v>0</v>
      </c>
      <c r="BG241" s="2">
        <f t="shared" si="529"/>
        <v>0</v>
      </c>
      <c r="BI241" s="2">
        <f>SUM(BJ241:BO241)</f>
        <v>119000</v>
      </c>
      <c r="BJ241" s="2">
        <f t="shared" si="530"/>
        <v>116779.33536524151</v>
      </c>
      <c r="BK241" s="2">
        <f t="shared" si="530"/>
        <v>2192.4163964406821</v>
      </c>
      <c r="BL241" s="2">
        <f t="shared" si="530"/>
        <v>0</v>
      </c>
      <c r="BM241" s="2">
        <f t="shared" si="530"/>
        <v>1.412411915890277</v>
      </c>
      <c r="BN241" s="2">
        <f t="shared" si="530"/>
        <v>26.835826401915259</v>
      </c>
      <c r="BO241" s="2">
        <f t="shared" si="530"/>
        <v>0</v>
      </c>
      <c r="BQ241" s="28" t="s">
        <v>350</v>
      </c>
      <c r="BR241" s="23">
        <v>19216</v>
      </c>
      <c r="BS241" s="14">
        <f t="shared" si="531"/>
        <v>0</v>
      </c>
      <c r="BT241" s="14">
        <f t="shared" si="531"/>
        <v>0</v>
      </c>
      <c r="BU241" s="14">
        <f t="shared" si="531"/>
        <v>0</v>
      </c>
      <c r="BV241" s="14">
        <f t="shared" si="532"/>
        <v>0</v>
      </c>
      <c r="BW241" s="14">
        <f t="shared" si="532"/>
        <v>0</v>
      </c>
      <c r="BX241" s="14">
        <f t="shared" si="532"/>
        <v>0</v>
      </c>
      <c r="BY241" s="14">
        <f t="shared" si="532"/>
        <v>0</v>
      </c>
      <c r="BZ241" s="14">
        <f t="shared" si="532"/>
        <v>0</v>
      </c>
      <c r="CA241" s="14">
        <f t="shared" si="532"/>
        <v>0</v>
      </c>
      <c r="CB241" s="14">
        <f t="shared" si="532"/>
        <v>0</v>
      </c>
      <c r="CC241" s="14">
        <f t="shared" si="533"/>
        <v>1</v>
      </c>
      <c r="CD241" s="14">
        <f t="shared" si="533"/>
        <v>0</v>
      </c>
      <c r="CE241" s="14">
        <f t="shared" si="533"/>
        <v>0</v>
      </c>
      <c r="CF241" s="14">
        <f t="shared" si="533"/>
        <v>0</v>
      </c>
      <c r="CG241" s="14">
        <f t="shared" si="533"/>
        <v>0</v>
      </c>
      <c r="CH241" s="14">
        <f t="shared" si="533"/>
        <v>0</v>
      </c>
      <c r="CI241" s="14">
        <f t="shared" si="533"/>
        <v>0</v>
      </c>
      <c r="CJ241" s="14"/>
      <c r="CK241" s="120" t="str">
        <f>F241</f>
        <v>Input - 100% Cust</v>
      </c>
      <c r="CL241" s="76">
        <f t="shared" si="536"/>
        <v>0</v>
      </c>
      <c r="CM241" s="2">
        <f t="shared" si="534"/>
        <v>18857.40931410488</v>
      </c>
      <c r="CN241" s="2">
        <f t="shared" si="534"/>
        <v>354.02918885717776</v>
      </c>
      <c r="CO241" s="2">
        <f t="shared" si="534"/>
        <v>0</v>
      </c>
      <c r="CP241" s="2">
        <f t="shared" si="534"/>
        <v>0.22807485189703836</v>
      </c>
      <c r="CQ241" s="2">
        <f t="shared" si="534"/>
        <v>4.3334221860437285</v>
      </c>
      <c r="CR241" s="2">
        <f t="shared" si="534"/>
        <v>0</v>
      </c>
    </row>
    <row r="242" spans="1:96">
      <c r="A242" s="50">
        <f t="shared" si="400"/>
        <v>242</v>
      </c>
      <c r="D242" s="52" t="s">
        <v>29</v>
      </c>
      <c r="E242" s="4">
        <f>SUM(E236:E241)</f>
        <v>1205000</v>
      </c>
      <c r="F242" s="62"/>
      <c r="G242" s="62"/>
      <c r="H242" s="4">
        <f>IF(ROUND(SUM(H236:H241),3)&lt;&gt;ROUND(SUM(I242:N242),3),#VALUE!,SUM(H236:H241))</f>
        <v>1205000</v>
      </c>
      <c r="I242" s="4">
        <f t="shared" ref="I242:N242" si="537">SUM(I236:I241)</f>
        <v>1182513.4379421514</v>
      </c>
      <c r="J242" s="4">
        <f t="shared" si="537"/>
        <v>22200.518972361533</v>
      </c>
      <c r="K242" s="4">
        <f t="shared" si="537"/>
        <v>0</v>
      </c>
      <c r="L242" s="4">
        <f t="shared" si="537"/>
        <v>14.302154274351125</v>
      </c>
      <c r="M242" s="4">
        <f t="shared" si="537"/>
        <v>271.74093121267134</v>
      </c>
      <c r="N242" s="4">
        <f t="shared" si="537"/>
        <v>0</v>
      </c>
      <c r="O242" s="5"/>
      <c r="P242" s="61" t="str">
        <f>$A236&amp;":"&amp;$A241</f>
        <v>236:241</v>
      </c>
      <c r="Q242" s="61"/>
      <c r="R242" s="16">
        <f t="shared" ref="R242:AH242" si="538">SUMPRODUCT($E$237:$E$241,R$237:R$241)/$E242</f>
        <v>0</v>
      </c>
      <c r="S242" s="16">
        <f t="shared" si="538"/>
        <v>0</v>
      </c>
      <c r="T242" s="16">
        <f t="shared" si="538"/>
        <v>0</v>
      </c>
      <c r="U242" s="16">
        <f t="shared" si="538"/>
        <v>0</v>
      </c>
      <c r="V242" s="16">
        <f t="shared" si="538"/>
        <v>0</v>
      </c>
      <c r="W242" s="16">
        <f t="shared" si="538"/>
        <v>0</v>
      </c>
      <c r="X242" s="16">
        <f t="shared" si="538"/>
        <v>0</v>
      </c>
      <c r="Y242" s="16">
        <f t="shared" si="538"/>
        <v>0</v>
      </c>
      <c r="Z242" s="16">
        <f t="shared" si="538"/>
        <v>0</v>
      </c>
      <c r="AA242" s="16">
        <f t="shared" si="538"/>
        <v>0</v>
      </c>
      <c r="AB242" s="16">
        <f t="shared" si="538"/>
        <v>1</v>
      </c>
      <c r="AC242" s="16">
        <f t="shared" si="538"/>
        <v>0</v>
      </c>
      <c r="AD242" s="16">
        <f t="shared" si="538"/>
        <v>0</v>
      </c>
      <c r="AE242" s="16">
        <f t="shared" si="538"/>
        <v>0</v>
      </c>
      <c r="AF242" s="16">
        <f t="shared" si="538"/>
        <v>0</v>
      </c>
      <c r="AG242" s="16">
        <f t="shared" si="538"/>
        <v>0</v>
      </c>
      <c r="AH242" s="16">
        <f t="shared" si="538"/>
        <v>0</v>
      </c>
      <c r="AI242" s="76">
        <f t="shared" si="535"/>
        <v>0</v>
      </c>
      <c r="AK242" s="4">
        <f>IF(ROUND(SUM(AK236:AK241),3)&lt;&gt;ROUND(SUM(AL242:AO242),3),#VALUE!,SUM(AK236:AK241))</f>
        <v>1205000</v>
      </c>
      <c r="AL242" s="4">
        <f>SUM(AL236:AL241)</f>
        <v>0</v>
      </c>
      <c r="AM242" s="4">
        <f>SUM(AM236:AM241)</f>
        <v>0</v>
      </c>
      <c r="AN242" s="4">
        <f>SUM(AN236:AN241)</f>
        <v>1205000</v>
      </c>
      <c r="AO242" s="4">
        <f>SUM(AO236:AO241)</f>
        <v>0</v>
      </c>
      <c r="AP242" s="5"/>
      <c r="AQ242" s="61" t="str">
        <f>$A236&amp;":"&amp;$A241</f>
        <v>236:241</v>
      </c>
      <c r="AS242" s="4">
        <f>IF(ROUND(SUM(AS236:AS241),3)&lt;&gt;ROUND(SUM(AT242:AY242),3),#VALUE!,SUM(AS236:AS241))</f>
        <v>0</v>
      </c>
      <c r="AT242" s="4">
        <f t="shared" ref="AT242:AY242" si="539">SUM(AT236:AT241)</f>
        <v>0</v>
      </c>
      <c r="AU242" s="4">
        <f t="shared" si="539"/>
        <v>0</v>
      </c>
      <c r="AV242" s="4">
        <f t="shared" si="539"/>
        <v>0</v>
      </c>
      <c r="AW242" s="4">
        <f t="shared" si="539"/>
        <v>0</v>
      </c>
      <c r="AX242" s="4">
        <f t="shared" si="539"/>
        <v>0</v>
      </c>
      <c r="AY242" s="4">
        <f t="shared" si="539"/>
        <v>0</v>
      </c>
      <c r="BA242" s="4">
        <f>IF(ROUND(SUM(BA236:BA241),3)&lt;&gt;ROUND(SUM(BB242:BG242),3),#VALUE!,SUM(BA236:BA241))</f>
        <v>0</v>
      </c>
      <c r="BB242" s="4">
        <f t="shared" ref="BB242:BG242" si="540">SUM(BB236:BB241)</f>
        <v>0</v>
      </c>
      <c r="BC242" s="4">
        <f t="shared" si="540"/>
        <v>0</v>
      </c>
      <c r="BD242" s="4">
        <f t="shared" si="540"/>
        <v>0</v>
      </c>
      <c r="BE242" s="4">
        <f t="shared" si="540"/>
        <v>0</v>
      </c>
      <c r="BF242" s="4">
        <f t="shared" si="540"/>
        <v>0</v>
      </c>
      <c r="BG242" s="4">
        <f t="shared" si="540"/>
        <v>0</v>
      </c>
      <c r="BI242" s="4">
        <f>IF(ROUND(SUM(BI236:BI241),3)&lt;&gt;ROUND(SUM(BJ242:BO242),3),#VALUE!,SUM(BI236:BI241))</f>
        <v>1205000</v>
      </c>
      <c r="BJ242" s="4">
        <f t="shared" ref="BJ242:BO242" si="541">SUM(BJ236:BJ241)</f>
        <v>1182513.4379421514</v>
      </c>
      <c r="BK242" s="4">
        <f t="shared" si="541"/>
        <v>22200.518972361533</v>
      </c>
      <c r="BL242" s="4">
        <f t="shared" si="541"/>
        <v>0</v>
      </c>
      <c r="BM242" s="4">
        <f t="shared" si="541"/>
        <v>14.302154274351125</v>
      </c>
      <c r="BN242" s="4">
        <f t="shared" si="541"/>
        <v>271.74093121267134</v>
      </c>
      <c r="BO242" s="4">
        <f t="shared" si="541"/>
        <v>0</v>
      </c>
      <c r="BQ242" s="52" t="s">
        <v>29</v>
      </c>
      <c r="BR242" s="48">
        <f>IF(ROUND(SUM(BR236:BR241),3)&lt;&gt;ROUND(SUM(CM242:CR242),3),#VALUE!,SUM(BR236:BR241))</f>
        <v>295755</v>
      </c>
      <c r="BS242" s="16">
        <f>SUMPRODUCT($BR$237:$BR$241,BS$237:BS$241)/SUM($BR$237:$BR$241)</f>
        <v>0</v>
      </c>
      <c r="BT242" s="16">
        <f t="shared" ref="BT242:CI242" si="542">SUMPRODUCT($BR$237:$BR$241,BT$237:BT$241)/SUM($BR$237:$BR$241)</f>
        <v>0</v>
      </c>
      <c r="BU242" s="16">
        <f t="shared" si="542"/>
        <v>0</v>
      </c>
      <c r="BV242" s="16">
        <f t="shared" si="542"/>
        <v>0</v>
      </c>
      <c r="BW242" s="16">
        <f t="shared" si="542"/>
        <v>0</v>
      </c>
      <c r="BX242" s="16">
        <f t="shared" si="542"/>
        <v>0</v>
      </c>
      <c r="BY242" s="16">
        <f t="shared" si="542"/>
        <v>0</v>
      </c>
      <c r="BZ242" s="16">
        <f t="shared" si="542"/>
        <v>0</v>
      </c>
      <c r="CA242" s="16">
        <f t="shared" si="542"/>
        <v>0</v>
      </c>
      <c r="CB242" s="16">
        <f t="shared" si="542"/>
        <v>0</v>
      </c>
      <c r="CC242" s="16">
        <f t="shared" si="542"/>
        <v>1</v>
      </c>
      <c r="CD242" s="16">
        <f t="shared" si="542"/>
        <v>0</v>
      </c>
      <c r="CE242" s="16">
        <f t="shared" si="542"/>
        <v>0</v>
      </c>
      <c r="CF242" s="16">
        <f t="shared" si="542"/>
        <v>0</v>
      </c>
      <c r="CG242" s="16">
        <f t="shared" si="542"/>
        <v>0</v>
      </c>
      <c r="CH242" s="16">
        <f t="shared" si="542"/>
        <v>0</v>
      </c>
      <c r="CI242" s="16">
        <f t="shared" si="542"/>
        <v>0</v>
      </c>
      <c r="CJ242" s="42"/>
      <c r="CK242" s="42"/>
      <c r="CL242" s="76">
        <f t="shared" si="536"/>
        <v>0</v>
      </c>
      <c r="CM242" s="4">
        <f t="shared" ref="CM242:CR242" si="543">SUM(CM236:CM241)</f>
        <v>290235.9019407311</v>
      </c>
      <c r="CN242" s="4">
        <f t="shared" si="543"/>
        <v>5448.8916918429741</v>
      </c>
      <c r="CO242" s="4">
        <f t="shared" si="543"/>
        <v>0</v>
      </c>
      <c r="CP242" s="4">
        <f t="shared" si="543"/>
        <v>3.5103183712952006</v>
      </c>
      <c r="CQ242" s="4">
        <f t="shared" si="543"/>
        <v>66.696049054608807</v>
      </c>
      <c r="CR242" s="4">
        <f t="shared" si="543"/>
        <v>0</v>
      </c>
    </row>
    <row r="243" spans="1:96">
      <c r="A243" s="50">
        <f t="shared" si="400"/>
        <v>243</v>
      </c>
      <c r="D243" s="10"/>
      <c r="E243" s="2"/>
      <c r="F243" s="60"/>
      <c r="G243" s="60"/>
      <c r="P243" s="61"/>
      <c r="Q243" s="61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76">
        <f t="shared" si="535"/>
        <v>0</v>
      </c>
      <c r="AQ243" s="61"/>
      <c r="BQ243" s="10"/>
      <c r="BR243" s="49"/>
      <c r="CL243" s="76">
        <f t="shared" si="536"/>
        <v>0</v>
      </c>
    </row>
    <row r="244" spans="1:96">
      <c r="A244" s="50">
        <f t="shared" si="400"/>
        <v>244</v>
      </c>
      <c r="D244" t="s">
        <v>30</v>
      </c>
      <c r="E244" s="2"/>
      <c r="F244" s="60"/>
      <c r="G244" s="60"/>
      <c r="P244" s="61"/>
      <c r="Q244" s="61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76">
        <f t="shared" si="535"/>
        <v>0</v>
      </c>
      <c r="AQ244" s="61"/>
      <c r="BQ244" t="s">
        <v>30</v>
      </c>
      <c r="BR244" s="49"/>
      <c r="CL244" s="76">
        <f t="shared" si="536"/>
        <v>0</v>
      </c>
    </row>
    <row r="245" spans="1:96">
      <c r="A245" s="50">
        <f t="shared" si="400"/>
        <v>245</v>
      </c>
      <c r="B245" t="s">
        <v>31</v>
      </c>
      <c r="C245" s="36" t="s">
        <v>157</v>
      </c>
      <c r="D245" s="28" t="s">
        <v>13</v>
      </c>
      <c r="E245" s="436">
        <f>PROFORMA!AV112</f>
        <v>1000</v>
      </c>
      <c r="F245" s="60" t="s">
        <v>451</v>
      </c>
      <c r="G245" s="60"/>
      <c r="H245" s="2">
        <f>SUM(I245:N245)</f>
        <v>1000</v>
      </c>
      <c r="I245" s="2">
        <f t="shared" ref="I245:N248" si="544">$E245*SUMPRODUCT($R245:$AH245,INDEX(AllocFactors,I$4,0))</f>
        <v>981.33895264908836</v>
      </c>
      <c r="J245" s="2">
        <f t="shared" si="544"/>
        <v>18.423667196980524</v>
      </c>
      <c r="K245" s="2">
        <f t="shared" si="544"/>
        <v>0</v>
      </c>
      <c r="L245" s="2">
        <f t="shared" si="544"/>
        <v>1.186900769655695E-2</v>
      </c>
      <c r="M245" s="2">
        <f t="shared" si="544"/>
        <v>0.22551114623458202</v>
      </c>
      <c r="N245" s="2">
        <f t="shared" si="544"/>
        <v>0</v>
      </c>
      <c r="O245" s="2"/>
      <c r="P245" s="61" t="str">
        <f>E$1&amp;$A245&amp;"* Sum["&amp;$R$1&amp;$A245&amp;":"&amp;$AH$1&amp;$A245&amp;"* "&amp;Factors!D$1&amp;Factors!$A$58&amp;":"&amp;Factors!S$1&amp;Factors!$A$64&amp;"]"</f>
        <v>E245* Sum[R245:AH245* D1040:S1046]</v>
      </c>
      <c r="Q245" s="61"/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1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76">
        <f t="shared" si="535"/>
        <v>0</v>
      </c>
      <c r="AK245" s="2">
        <f>SUM(AL245:AO245)</f>
        <v>1000</v>
      </c>
      <c r="AL245" s="2">
        <f t="shared" ref="AL245:AO248" si="545">SUMIF($R$4:$AH$4,AL$5,$R245:$AH245)*$E245</f>
        <v>0</v>
      </c>
      <c r="AM245" s="2">
        <f t="shared" si="545"/>
        <v>0</v>
      </c>
      <c r="AN245" s="2">
        <f t="shared" si="545"/>
        <v>1000</v>
      </c>
      <c r="AO245" s="2">
        <f t="shared" si="545"/>
        <v>0</v>
      </c>
      <c r="AP245" s="2"/>
      <c r="AQ245" s="61" t="str">
        <f>E$1&amp;$A245&amp;"*["&amp;R$1&amp;$A245&amp;":"&amp;$AH$1&amp;$A245&amp;" when "&amp;R$1&amp;$A$4&amp;":"&amp;$AH$1&amp;$A$4&amp;" = E,D,C,or R]"</f>
        <v>E245*[R245:AH245 when R4:AH4 = E,D,C,or R]</v>
      </c>
      <c r="AS245" s="2">
        <f>SUM(AT245:AY245)</f>
        <v>0</v>
      </c>
      <c r="AT245" s="2">
        <f t="shared" ref="AT245:AY248" si="546">$E245*SUMPRODUCT($R245:$V245,INDEX(AllocFactors_E,AT$4,0))</f>
        <v>0</v>
      </c>
      <c r="AU245" s="2">
        <f t="shared" si="546"/>
        <v>0</v>
      </c>
      <c r="AV245" s="2">
        <f t="shared" si="546"/>
        <v>0</v>
      </c>
      <c r="AW245" s="2">
        <f t="shared" si="546"/>
        <v>0</v>
      </c>
      <c r="AX245" s="2">
        <f t="shared" si="546"/>
        <v>0</v>
      </c>
      <c r="AY245" s="2">
        <f t="shared" si="546"/>
        <v>0</v>
      </c>
      <c r="BA245" s="2">
        <f>SUM(BB245:BG245)</f>
        <v>0</v>
      </c>
      <c r="BB245" s="2">
        <f t="shared" ref="BB245:BG248" si="547">$E245*SUMPRODUCT($W245:$AA245,INDEX(AllocFactors_D,BB$4,0))</f>
        <v>0</v>
      </c>
      <c r="BC245" s="2">
        <f t="shared" si="547"/>
        <v>0</v>
      </c>
      <c r="BD245" s="2">
        <f t="shared" si="547"/>
        <v>0</v>
      </c>
      <c r="BE245" s="2">
        <f t="shared" si="547"/>
        <v>0</v>
      </c>
      <c r="BF245" s="2">
        <f t="shared" si="547"/>
        <v>0</v>
      </c>
      <c r="BG245" s="2">
        <f t="shared" si="547"/>
        <v>0</v>
      </c>
      <c r="BI245" s="2">
        <f>SUM(BJ245:BO245)</f>
        <v>1000</v>
      </c>
      <c r="BJ245" s="2">
        <f t="shared" ref="BJ245:BO248" si="548">$E245*SUMPRODUCT($AB245:$AG245,INDEX(AllocFactors_C,BJ$4,0))</f>
        <v>981.33895264908836</v>
      </c>
      <c r="BK245" s="2">
        <f t="shared" si="548"/>
        <v>18.423667196980524</v>
      </c>
      <c r="BL245" s="2">
        <f t="shared" si="548"/>
        <v>0</v>
      </c>
      <c r="BM245" s="2">
        <f t="shared" si="548"/>
        <v>1.186900769655695E-2</v>
      </c>
      <c r="BN245" s="2">
        <f t="shared" si="548"/>
        <v>0.22551114623458202</v>
      </c>
      <c r="BO245" s="2">
        <f t="shared" si="548"/>
        <v>0</v>
      </c>
      <c r="BQ245" s="28" t="s">
        <v>13</v>
      </c>
      <c r="BR245" s="23">
        <v>0</v>
      </c>
      <c r="BS245" s="14">
        <f t="shared" ref="BS245:BU248" si="549">R245</f>
        <v>0</v>
      </c>
      <c r="BT245" s="14">
        <f t="shared" si="549"/>
        <v>0</v>
      </c>
      <c r="BU245" s="14">
        <f t="shared" si="549"/>
        <v>0</v>
      </c>
      <c r="BV245" s="14">
        <f t="shared" ref="BV245:CB248" si="550">U245</f>
        <v>0</v>
      </c>
      <c r="BW245" s="14">
        <f t="shared" si="550"/>
        <v>0</v>
      </c>
      <c r="BX245" s="14">
        <f t="shared" si="550"/>
        <v>0</v>
      </c>
      <c r="BY245" s="14">
        <f t="shared" si="550"/>
        <v>0</v>
      </c>
      <c r="BZ245" s="14">
        <f t="shared" si="550"/>
        <v>0</v>
      </c>
      <c r="CA245" s="14">
        <f t="shared" si="550"/>
        <v>0</v>
      </c>
      <c r="CB245" s="14">
        <f t="shared" si="550"/>
        <v>0</v>
      </c>
      <c r="CC245" s="14">
        <f t="shared" ref="CC245:CF248" si="551">AB245</f>
        <v>1</v>
      </c>
      <c r="CD245" s="14">
        <f t="shared" si="551"/>
        <v>0</v>
      </c>
      <c r="CE245" s="14">
        <f t="shared" si="551"/>
        <v>0</v>
      </c>
      <c r="CF245" s="14">
        <f t="shared" si="551"/>
        <v>0</v>
      </c>
      <c r="CG245" s="14">
        <f t="shared" ref="CG245:CI248" si="552">AF245</f>
        <v>0</v>
      </c>
      <c r="CH245" s="14">
        <f t="shared" si="552"/>
        <v>0</v>
      </c>
      <c r="CI245" s="14">
        <f t="shared" si="552"/>
        <v>0</v>
      </c>
      <c r="CJ245" s="14"/>
      <c r="CK245" s="120" t="str">
        <f>F245</f>
        <v>Input - 100% Cust</v>
      </c>
      <c r="CL245" s="76">
        <f t="shared" si="536"/>
        <v>0</v>
      </c>
      <c r="CM245" s="2">
        <f t="shared" ref="CM245:CR248" si="553">$BR245*SUMPRODUCT($BS245:$CI245,INDEX(AllocFactors,CM$170,0))</f>
        <v>0</v>
      </c>
      <c r="CN245" s="2">
        <f t="shared" si="553"/>
        <v>0</v>
      </c>
      <c r="CO245" s="2">
        <f t="shared" si="553"/>
        <v>0</v>
      </c>
      <c r="CP245" s="2">
        <f t="shared" si="553"/>
        <v>0</v>
      </c>
      <c r="CQ245" s="2">
        <f t="shared" si="553"/>
        <v>0</v>
      </c>
      <c r="CR245" s="2">
        <f t="shared" si="553"/>
        <v>0</v>
      </c>
    </row>
    <row r="246" spans="1:96">
      <c r="A246" s="50">
        <f t="shared" si="400"/>
        <v>246</v>
      </c>
      <c r="B246" t="s">
        <v>32</v>
      </c>
      <c r="C246" s="38" t="s">
        <v>157</v>
      </c>
      <c r="D246" s="28" t="s">
        <v>33</v>
      </c>
      <c r="E246" s="436">
        <f>PROFORMA!AV113</f>
        <v>0</v>
      </c>
      <c r="F246" s="60" t="s">
        <v>451</v>
      </c>
      <c r="G246" s="60"/>
      <c r="H246" s="2">
        <f>SUM(I246:N246)</f>
        <v>0</v>
      </c>
      <c r="I246" s="2">
        <f t="shared" si="544"/>
        <v>0</v>
      </c>
      <c r="J246" s="2">
        <f t="shared" si="544"/>
        <v>0</v>
      </c>
      <c r="K246" s="2">
        <f t="shared" si="544"/>
        <v>0</v>
      </c>
      <c r="L246" s="2">
        <f t="shared" si="544"/>
        <v>0</v>
      </c>
      <c r="M246" s="2">
        <f t="shared" si="544"/>
        <v>0</v>
      </c>
      <c r="N246" s="2">
        <f t="shared" si="544"/>
        <v>0</v>
      </c>
      <c r="O246" s="2"/>
      <c r="P246" s="61" t="str">
        <f>E$1&amp;$A246&amp;"*     """</f>
        <v>E246*     "</v>
      </c>
      <c r="Q246" s="61"/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1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76">
        <f t="shared" si="535"/>
        <v>0</v>
      </c>
      <c r="AK246" s="2">
        <f>SUM(AL246:AO246)</f>
        <v>0</v>
      </c>
      <c r="AL246" s="2">
        <f t="shared" si="545"/>
        <v>0</v>
      </c>
      <c r="AM246" s="2">
        <f t="shared" si="545"/>
        <v>0</v>
      </c>
      <c r="AN246" s="2">
        <f t="shared" si="545"/>
        <v>0</v>
      </c>
      <c r="AO246" s="2">
        <f t="shared" si="545"/>
        <v>0</v>
      </c>
      <c r="AP246" s="2"/>
      <c r="AQ246" s="61" t="str">
        <f>E$1&amp;$A246&amp;"*      """</f>
        <v>E246*      "</v>
      </c>
      <c r="AS246" s="2">
        <f>SUM(AT246:AY246)</f>
        <v>0</v>
      </c>
      <c r="AT246" s="2">
        <f t="shared" si="546"/>
        <v>0</v>
      </c>
      <c r="AU246" s="2">
        <f t="shared" si="546"/>
        <v>0</v>
      </c>
      <c r="AV246" s="2">
        <f t="shared" si="546"/>
        <v>0</v>
      </c>
      <c r="AW246" s="2">
        <f t="shared" si="546"/>
        <v>0</v>
      </c>
      <c r="AX246" s="2">
        <f t="shared" si="546"/>
        <v>0</v>
      </c>
      <c r="AY246" s="2">
        <f t="shared" si="546"/>
        <v>0</v>
      </c>
      <c r="BA246" s="2">
        <f>SUM(BB246:BG246)</f>
        <v>0</v>
      </c>
      <c r="BB246" s="2">
        <f t="shared" si="547"/>
        <v>0</v>
      </c>
      <c r="BC246" s="2">
        <f t="shared" si="547"/>
        <v>0</v>
      </c>
      <c r="BD246" s="2">
        <f t="shared" si="547"/>
        <v>0</v>
      </c>
      <c r="BE246" s="2">
        <f t="shared" si="547"/>
        <v>0</v>
      </c>
      <c r="BF246" s="2">
        <f t="shared" si="547"/>
        <v>0</v>
      </c>
      <c r="BG246" s="2">
        <f t="shared" si="547"/>
        <v>0</v>
      </c>
      <c r="BI246" s="2">
        <f>SUM(BJ246:BO246)</f>
        <v>0</v>
      </c>
      <c r="BJ246" s="2">
        <f t="shared" si="548"/>
        <v>0</v>
      </c>
      <c r="BK246" s="2">
        <f t="shared" si="548"/>
        <v>0</v>
      </c>
      <c r="BL246" s="2">
        <f t="shared" si="548"/>
        <v>0</v>
      </c>
      <c r="BM246" s="2">
        <f t="shared" si="548"/>
        <v>0</v>
      </c>
      <c r="BN246" s="2">
        <f t="shared" si="548"/>
        <v>0</v>
      </c>
      <c r="BO246" s="2">
        <f t="shared" si="548"/>
        <v>0</v>
      </c>
      <c r="BQ246" s="28" t="s">
        <v>33</v>
      </c>
      <c r="BR246" s="23">
        <v>0.4</v>
      </c>
      <c r="BS246" s="14">
        <f t="shared" si="549"/>
        <v>0</v>
      </c>
      <c r="BT246" s="14">
        <f t="shared" si="549"/>
        <v>0</v>
      </c>
      <c r="BU246" s="14">
        <f t="shared" si="549"/>
        <v>0</v>
      </c>
      <c r="BV246" s="14">
        <f t="shared" si="550"/>
        <v>0</v>
      </c>
      <c r="BW246" s="14">
        <f t="shared" si="550"/>
        <v>0</v>
      </c>
      <c r="BX246" s="14">
        <f t="shared" si="550"/>
        <v>0</v>
      </c>
      <c r="BY246" s="14">
        <f t="shared" si="550"/>
        <v>0</v>
      </c>
      <c r="BZ246" s="14">
        <f t="shared" si="550"/>
        <v>0</v>
      </c>
      <c r="CA246" s="14">
        <f t="shared" si="550"/>
        <v>0</v>
      </c>
      <c r="CB246" s="14">
        <f t="shared" si="550"/>
        <v>0</v>
      </c>
      <c r="CC246" s="14">
        <f t="shared" si="551"/>
        <v>1</v>
      </c>
      <c r="CD246" s="14">
        <f t="shared" si="551"/>
        <v>0</v>
      </c>
      <c r="CE246" s="14">
        <f t="shared" si="551"/>
        <v>0</v>
      </c>
      <c r="CF246" s="14">
        <f t="shared" si="551"/>
        <v>0</v>
      </c>
      <c r="CG246" s="14">
        <f t="shared" si="552"/>
        <v>0</v>
      </c>
      <c r="CH246" s="14">
        <f t="shared" si="552"/>
        <v>0</v>
      </c>
      <c r="CI246" s="14">
        <f t="shared" si="552"/>
        <v>0</v>
      </c>
      <c r="CJ246" s="14"/>
      <c r="CK246" s="120" t="str">
        <f>F246</f>
        <v>Input - 100% Cust</v>
      </c>
      <c r="CL246" s="76">
        <f t="shared" si="536"/>
        <v>0</v>
      </c>
      <c r="CM246" s="2">
        <f>$BR246*SUMPRODUCT($BS246:$CI246,INDEX(AllocFactors,CM$170,0))</f>
        <v>0.39253558105963537</v>
      </c>
      <c r="CN246" s="2">
        <f t="shared" si="553"/>
        <v>7.3694668787922099E-3</v>
      </c>
      <c r="CO246" s="2">
        <f t="shared" si="553"/>
        <v>0</v>
      </c>
      <c r="CP246" s="2">
        <f t="shared" si="553"/>
        <v>4.7476030786227806E-6</v>
      </c>
      <c r="CQ246" s="2">
        <f t="shared" si="553"/>
        <v>9.0204458493832817E-5</v>
      </c>
      <c r="CR246" s="2">
        <f t="shared" si="553"/>
        <v>0</v>
      </c>
    </row>
    <row r="247" spans="1:96">
      <c r="A247" s="50">
        <f t="shared" si="400"/>
        <v>247</v>
      </c>
      <c r="B247" t="s">
        <v>34</v>
      </c>
      <c r="C247" s="36" t="s">
        <v>157</v>
      </c>
      <c r="D247" s="28" t="s">
        <v>35</v>
      </c>
      <c r="E247" s="436">
        <f>PROFORMA!AV114</f>
        <v>0</v>
      </c>
      <c r="F247" s="60" t="s">
        <v>451</v>
      </c>
      <c r="G247" s="60"/>
      <c r="H247" s="2">
        <f>SUM(I247:N247)</f>
        <v>0</v>
      </c>
      <c r="I247" s="2">
        <f t="shared" si="544"/>
        <v>0</v>
      </c>
      <c r="J247" s="2">
        <f t="shared" si="544"/>
        <v>0</v>
      </c>
      <c r="K247" s="2">
        <f t="shared" si="544"/>
        <v>0</v>
      </c>
      <c r="L247" s="2">
        <f t="shared" si="544"/>
        <v>0</v>
      </c>
      <c r="M247" s="2">
        <f t="shared" si="544"/>
        <v>0</v>
      </c>
      <c r="N247" s="2">
        <f t="shared" si="544"/>
        <v>0</v>
      </c>
      <c r="O247" s="2"/>
      <c r="P247" s="61" t="str">
        <f>E$1&amp;$A247&amp;"*     """</f>
        <v>E247*     "</v>
      </c>
      <c r="Q247" s="61"/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1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76">
        <f t="shared" si="535"/>
        <v>0</v>
      </c>
      <c r="AK247" s="2">
        <f>SUM(AL247:AO247)</f>
        <v>0</v>
      </c>
      <c r="AL247" s="2">
        <f t="shared" si="545"/>
        <v>0</v>
      </c>
      <c r="AM247" s="2">
        <f t="shared" si="545"/>
        <v>0</v>
      </c>
      <c r="AN247" s="2">
        <f t="shared" si="545"/>
        <v>0</v>
      </c>
      <c r="AO247" s="2">
        <f t="shared" si="545"/>
        <v>0</v>
      </c>
      <c r="AP247" s="2"/>
      <c r="AQ247" s="61" t="str">
        <f>E$1&amp;$A247&amp;"*      """</f>
        <v>E247*      "</v>
      </c>
      <c r="AS247" s="2">
        <f>SUM(AT247:AY247)</f>
        <v>0</v>
      </c>
      <c r="AT247" s="2">
        <f t="shared" si="546"/>
        <v>0</v>
      </c>
      <c r="AU247" s="2">
        <f t="shared" si="546"/>
        <v>0</v>
      </c>
      <c r="AV247" s="2">
        <f t="shared" si="546"/>
        <v>0</v>
      </c>
      <c r="AW247" s="2">
        <f t="shared" si="546"/>
        <v>0</v>
      </c>
      <c r="AX247" s="2">
        <f t="shared" si="546"/>
        <v>0</v>
      </c>
      <c r="AY247" s="2">
        <f t="shared" si="546"/>
        <v>0</v>
      </c>
      <c r="BA247" s="2">
        <f>SUM(BB247:BG247)</f>
        <v>0</v>
      </c>
      <c r="BB247" s="2">
        <f t="shared" si="547"/>
        <v>0</v>
      </c>
      <c r="BC247" s="2">
        <f t="shared" si="547"/>
        <v>0</v>
      </c>
      <c r="BD247" s="2">
        <f t="shared" si="547"/>
        <v>0</v>
      </c>
      <c r="BE247" s="2">
        <f t="shared" si="547"/>
        <v>0</v>
      </c>
      <c r="BF247" s="2">
        <f t="shared" si="547"/>
        <v>0</v>
      </c>
      <c r="BG247" s="2">
        <f t="shared" si="547"/>
        <v>0</v>
      </c>
      <c r="BI247" s="2">
        <f>SUM(BJ247:BO247)</f>
        <v>0</v>
      </c>
      <c r="BJ247" s="2">
        <f t="shared" si="548"/>
        <v>0</v>
      </c>
      <c r="BK247" s="2">
        <f t="shared" si="548"/>
        <v>0</v>
      </c>
      <c r="BL247" s="2">
        <f t="shared" si="548"/>
        <v>0</v>
      </c>
      <c r="BM247" s="2">
        <f t="shared" si="548"/>
        <v>0</v>
      </c>
      <c r="BN247" s="2">
        <f t="shared" si="548"/>
        <v>0</v>
      </c>
      <c r="BO247" s="2">
        <f t="shared" si="548"/>
        <v>0</v>
      </c>
      <c r="BQ247" s="28" t="s">
        <v>35</v>
      </c>
      <c r="BR247" s="23">
        <v>0</v>
      </c>
      <c r="BS247" s="14">
        <f t="shared" si="549"/>
        <v>0</v>
      </c>
      <c r="BT247" s="14">
        <f t="shared" si="549"/>
        <v>0</v>
      </c>
      <c r="BU247" s="14">
        <f t="shared" si="549"/>
        <v>0</v>
      </c>
      <c r="BV247" s="14">
        <f t="shared" si="550"/>
        <v>0</v>
      </c>
      <c r="BW247" s="14">
        <f t="shared" si="550"/>
        <v>0</v>
      </c>
      <c r="BX247" s="14">
        <f t="shared" si="550"/>
        <v>0</v>
      </c>
      <c r="BY247" s="14">
        <f t="shared" si="550"/>
        <v>0</v>
      </c>
      <c r="BZ247" s="14">
        <f t="shared" si="550"/>
        <v>0</v>
      </c>
      <c r="CA247" s="14">
        <f t="shared" si="550"/>
        <v>0</v>
      </c>
      <c r="CB247" s="14">
        <f t="shared" si="550"/>
        <v>0</v>
      </c>
      <c r="CC247" s="14">
        <f t="shared" si="551"/>
        <v>1</v>
      </c>
      <c r="CD247" s="14">
        <f t="shared" si="551"/>
        <v>0</v>
      </c>
      <c r="CE247" s="14">
        <f t="shared" si="551"/>
        <v>0</v>
      </c>
      <c r="CF247" s="14">
        <f t="shared" si="551"/>
        <v>0</v>
      </c>
      <c r="CG247" s="14">
        <f t="shared" si="552"/>
        <v>0</v>
      </c>
      <c r="CH247" s="14">
        <f t="shared" si="552"/>
        <v>0</v>
      </c>
      <c r="CI247" s="14">
        <f t="shared" si="552"/>
        <v>0</v>
      </c>
      <c r="CJ247" s="14"/>
      <c r="CK247" s="120" t="str">
        <f>F247</f>
        <v>Input - 100% Cust</v>
      </c>
      <c r="CL247" s="76">
        <f t="shared" si="536"/>
        <v>0</v>
      </c>
      <c r="CM247" s="2">
        <f t="shared" si="553"/>
        <v>0</v>
      </c>
      <c r="CN247" s="2">
        <f t="shared" si="553"/>
        <v>0</v>
      </c>
      <c r="CO247" s="2">
        <f t="shared" si="553"/>
        <v>0</v>
      </c>
      <c r="CP247" s="2">
        <f t="shared" si="553"/>
        <v>0</v>
      </c>
      <c r="CQ247" s="2">
        <f t="shared" si="553"/>
        <v>0</v>
      </c>
      <c r="CR247" s="2">
        <f t="shared" si="553"/>
        <v>0</v>
      </c>
    </row>
    <row r="248" spans="1:96">
      <c r="A248" s="50">
        <f t="shared" si="400"/>
        <v>248</v>
      </c>
      <c r="B248" t="s">
        <v>36</v>
      </c>
      <c r="C248" s="36" t="s">
        <v>157</v>
      </c>
      <c r="D248" s="28" t="s">
        <v>37</v>
      </c>
      <c r="E248" s="436">
        <f>PROFORMA!AV115</f>
        <v>0</v>
      </c>
      <c r="F248" s="60" t="s">
        <v>451</v>
      </c>
      <c r="G248" s="60"/>
      <c r="H248" s="2">
        <f>SUM(I248:N248)</f>
        <v>0</v>
      </c>
      <c r="I248" s="2">
        <f t="shared" si="544"/>
        <v>0</v>
      </c>
      <c r="J248" s="2">
        <f t="shared" si="544"/>
        <v>0</v>
      </c>
      <c r="K248" s="2">
        <f t="shared" si="544"/>
        <v>0</v>
      </c>
      <c r="L248" s="2">
        <f t="shared" si="544"/>
        <v>0</v>
      </c>
      <c r="M248" s="2">
        <f t="shared" si="544"/>
        <v>0</v>
      </c>
      <c r="N248" s="2">
        <f t="shared" si="544"/>
        <v>0</v>
      </c>
      <c r="O248" s="2"/>
      <c r="P248" s="61" t="str">
        <f>E$1&amp;$A248&amp;"*     """</f>
        <v>E248*     "</v>
      </c>
      <c r="Q248" s="61"/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1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76">
        <f t="shared" si="535"/>
        <v>0</v>
      </c>
      <c r="AK248" s="2">
        <f>SUM(AL248:AO248)</f>
        <v>0</v>
      </c>
      <c r="AL248" s="2">
        <f t="shared" si="545"/>
        <v>0</v>
      </c>
      <c r="AM248" s="2">
        <f t="shared" si="545"/>
        <v>0</v>
      </c>
      <c r="AN248" s="2">
        <f t="shared" si="545"/>
        <v>0</v>
      </c>
      <c r="AO248" s="2">
        <f t="shared" si="545"/>
        <v>0</v>
      </c>
      <c r="AP248" s="2"/>
      <c r="AQ248" s="61" t="str">
        <f>E$1&amp;$A248&amp;"*      """</f>
        <v>E248*      "</v>
      </c>
      <c r="AS248" s="2">
        <f>SUM(AT248:AY248)</f>
        <v>0</v>
      </c>
      <c r="AT248" s="2">
        <f t="shared" si="546"/>
        <v>0</v>
      </c>
      <c r="AU248" s="2">
        <f t="shared" si="546"/>
        <v>0</v>
      </c>
      <c r="AV248" s="2">
        <f t="shared" si="546"/>
        <v>0</v>
      </c>
      <c r="AW248" s="2">
        <f t="shared" si="546"/>
        <v>0</v>
      </c>
      <c r="AX248" s="2">
        <f t="shared" si="546"/>
        <v>0</v>
      </c>
      <c r="AY248" s="2">
        <f t="shared" si="546"/>
        <v>0</v>
      </c>
      <c r="BA248" s="2">
        <f>SUM(BB248:BG248)</f>
        <v>0</v>
      </c>
      <c r="BB248" s="2">
        <f t="shared" si="547"/>
        <v>0</v>
      </c>
      <c r="BC248" s="2">
        <f t="shared" si="547"/>
        <v>0</v>
      </c>
      <c r="BD248" s="2">
        <f t="shared" si="547"/>
        <v>0</v>
      </c>
      <c r="BE248" s="2">
        <f t="shared" si="547"/>
        <v>0</v>
      </c>
      <c r="BF248" s="2">
        <f t="shared" si="547"/>
        <v>0</v>
      </c>
      <c r="BG248" s="2">
        <f t="shared" si="547"/>
        <v>0</v>
      </c>
      <c r="BI248" s="2">
        <f>SUM(BJ248:BO248)</f>
        <v>0</v>
      </c>
      <c r="BJ248" s="2">
        <f t="shared" si="548"/>
        <v>0</v>
      </c>
      <c r="BK248" s="2">
        <f t="shared" si="548"/>
        <v>0</v>
      </c>
      <c r="BL248" s="2">
        <f t="shared" si="548"/>
        <v>0</v>
      </c>
      <c r="BM248" s="2">
        <f t="shared" si="548"/>
        <v>0</v>
      </c>
      <c r="BN248" s="2">
        <f t="shared" si="548"/>
        <v>0</v>
      </c>
      <c r="BO248" s="2">
        <f t="shared" si="548"/>
        <v>0</v>
      </c>
      <c r="BQ248" s="28" t="s">
        <v>37</v>
      </c>
      <c r="BR248" s="23">
        <v>0</v>
      </c>
      <c r="BS248" s="14">
        <f t="shared" si="549"/>
        <v>0</v>
      </c>
      <c r="BT248" s="14">
        <f t="shared" si="549"/>
        <v>0</v>
      </c>
      <c r="BU248" s="14">
        <f t="shared" si="549"/>
        <v>0</v>
      </c>
      <c r="BV248" s="14">
        <f t="shared" si="550"/>
        <v>0</v>
      </c>
      <c r="BW248" s="14">
        <f t="shared" si="550"/>
        <v>0</v>
      </c>
      <c r="BX248" s="14">
        <f t="shared" si="550"/>
        <v>0</v>
      </c>
      <c r="BY248" s="14">
        <f t="shared" si="550"/>
        <v>0</v>
      </c>
      <c r="BZ248" s="14">
        <f t="shared" si="550"/>
        <v>0</v>
      </c>
      <c r="CA248" s="14">
        <f t="shared" si="550"/>
        <v>0</v>
      </c>
      <c r="CB248" s="14">
        <f t="shared" si="550"/>
        <v>0</v>
      </c>
      <c r="CC248" s="14">
        <f t="shared" si="551"/>
        <v>1</v>
      </c>
      <c r="CD248" s="14">
        <f t="shared" si="551"/>
        <v>0</v>
      </c>
      <c r="CE248" s="14">
        <f t="shared" si="551"/>
        <v>0</v>
      </c>
      <c r="CF248" s="14">
        <f t="shared" si="551"/>
        <v>0</v>
      </c>
      <c r="CG248" s="14">
        <f t="shared" si="552"/>
        <v>0</v>
      </c>
      <c r="CH248" s="14">
        <f t="shared" si="552"/>
        <v>0</v>
      </c>
      <c r="CI248" s="14">
        <f t="shared" si="552"/>
        <v>0</v>
      </c>
      <c r="CJ248" s="14"/>
      <c r="CK248" s="120" t="str">
        <f>F248</f>
        <v>Input - 100% Cust</v>
      </c>
      <c r="CL248" s="76">
        <f t="shared" si="536"/>
        <v>0</v>
      </c>
      <c r="CM248" s="2">
        <f t="shared" si="553"/>
        <v>0</v>
      </c>
      <c r="CN248" s="2">
        <f t="shared" si="553"/>
        <v>0</v>
      </c>
      <c r="CO248" s="2">
        <f t="shared" si="553"/>
        <v>0</v>
      </c>
      <c r="CP248" s="2">
        <f t="shared" si="553"/>
        <v>0</v>
      </c>
      <c r="CQ248" s="2">
        <f t="shared" si="553"/>
        <v>0</v>
      </c>
      <c r="CR248" s="2">
        <f t="shared" si="553"/>
        <v>0</v>
      </c>
    </row>
    <row r="249" spans="1:96">
      <c r="A249" s="50">
        <f t="shared" si="400"/>
        <v>249</v>
      </c>
      <c r="D249" s="52" t="s">
        <v>38</v>
      </c>
      <c r="E249" s="4">
        <f>SUM(E244:E248)</f>
        <v>1000</v>
      </c>
      <c r="F249" s="62"/>
      <c r="G249" s="62"/>
      <c r="H249" s="4">
        <f>IF(ROUND(SUM(H244:H248),3)&lt;&gt;ROUND(SUM(I249:N249),3),#VALUE!,SUM(H244:H248))</f>
        <v>1000</v>
      </c>
      <c r="I249" s="4">
        <f t="shared" ref="I249:N249" si="554">SUM(I244:I248)</f>
        <v>981.33895264908836</v>
      </c>
      <c r="J249" s="4">
        <f t="shared" si="554"/>
        <v>18.423667196980524</v>
      </c>
      <c r="K249" s="4">
        <f t="shared" si="554"/>
        <v>0</v>
      </c>
      <c r="L249" s="4">
        <f t="shared" si="554"/>
        <v>1.186900769655695E-2</v>
      </c>
      <c r="M249" s="4">
        <f t="shared" si="554"/>
        <v>0.22551114623458202</v>
      </c>
      <c r="N249" s="4">
        <f t="shared" si="554"/>
        <v>0</v>
      </c>
      <c r="O249" s="5"/>
      <c r="P249" s="61" t="str">
        <f>$A244&amp;":"&amp;$A248</f>
        <v>244:248</v>
      </c>
      <c r="Q249" s="61"/>
      <c r="R249" s="16">
        <f t="shared" ref="R249:AH249" si="555">SUMPRODUCT($E$245:$E$248,R$245:R$248)/$E249</f>
        <v>0</v>
      </c>
      <c r="S249" s="16">
        <f>SUMPRODUCT($E$245:$E$248,S$245:S$248)/$E249</f>
        <v>0</v>
      </c>
      <c r="T249" s="16">
        <f t="shared" si="555"/>
        <v>0</v>
      </c>
      <c r="U249" s="16">
        <f t="shared" si="555"/>
        <v>0</v>
      </c>
      <c r="V249" s="16">
        <f t="shared" si="555"/>
        <v>0</v>
      </c>
      <c r="W249" s="16">
        <f t="shared" si="555"/>
        <v>0</v>
      </c>
      <c r="X249" s="16">
        <f t="shared" si="555"/>
        <v>0</v>
      </c>
      <c r="Y249" s="16">
        <f t="shared" si="555"/>
        <v>0</v>
      </c>
      <c r="Z249" s="16">
        <f t="shared" si="555"/>
        <v>0</v>
      </c>
      <c r="AA249" s="16">
        <f t="shared" si="555"/>
        <v>0</v>
      </c>
      <c r="AB249" s="16">
        <f t="shared" si="555"/>
        <v>1</v>
      </c>
      <c r="AC249" s="16">
        <f t="shared" si="555"/>
        <v>0</v>
      </c>
      <c r="AD249" s="16">
        <f t="shared" si="555"/>
        <v>0</v>
      </c>
      <c r="AE249" s="16">
        <f t="shared" si="555"/>
        <v>0</v>
      </c>
      <c r="AF249" s="16">
        <f t="shared" si="555"/>
        <v>0</v>
      </c>
      <c r="AG249" s="16">
        <f t="shared" si="555"/>
        <v>0</v>
      </c>
      <c r="AH249" s="16">
        <f t="shared" si="555"/>
        <v>0</v>
      </c>
      <c r="AI249" s="76">
        <f t="shared" si="535"/>
        <v>0</v>
      </c>
      <c r="AK249" s="4">
        <f>IF(ROUND(SUM(AK244:AK248),3)&lt;&gt;ROUND(SUM(AL249:AO249),3),#VALUE!,SUM(AK244:AK248))</f>
        <v>1000</v>
      </c>
      <c r="AL249" s="4">
        <f>SUM(AL244:AL248)</f>
        <v>0</v>
      </c>
      <c r="AM249" s="4">
        <f>SUM(AM244:AM248)</f>
        <v>0</v>
      </c>
      <c r="AN249" s="4">
        <f>SUM(AN244:AN248)</f>
        <v>1000</v>
      </c>
      <c r="AO249" s="4">
        <f>SUM(AO244:AO248)</f>
        <v>0</v>
      </c>
      <c r="AP249" s="5"/>
      <c r="AQ249" s="61" t="str">
        <f>$A244&amp;":"&amp;$A248</f>
        <v>244:248</v>
      </c>
      <c r="AS249" s="4">
        <f>IF(ROUND(SUM(AS244:AS248),3)&lt;&gt;ROUND(SUM(AT249:AY249),3),#VALUE!,SUM(AS244:AS248))</f>
        <v>0</v>
      </c>
      <c r="AT249" s="4">
        <f t="shared" ref="AT249:AY249" si="556">SUM(AT244:AT248)</f>
        <v>0</v>
      </c>
      <c r="AU249" s="4">
        <f t="shared" si="556"/>
        <v>0</v>
      </c>
      <c r="AV249" s="4">
        <f t="shared" si="556"/>
        <v>0</v>
      </c>
      <c r="AW249" s="4">
        <f t="shared" si="556"/>
        <v>0</v>
      </c>
      <c r="AX249" s="4">
        <f t="shared" si="556"/>
        <v>0</v>
      </c>
      <c r="AY249" s="4">
        <f t="shared" si="556"/>
        <v>0</v>
      </c>
      <c r="BA249" s="4">
        <f>IF(ROUND(SUM(BA244:BA248),3)&lt;&gt;ROUND(SUM(BB249:BG249),3),#VALUE!,SUM(BA244:BA248))</f>
        <v>0</v>
      </c>
      <c r="BB249" s="4">
        <f t="shared" ref="BB249:BG249" si="557">SUM(BB244:BB248)</f>
        <v>0</v>
      </c>
      <c r="BC249" s="4">
        <f t="shared" si="557"/>
        <v>0</v>
      </c>
      <c r="BD249" s="4">
        <f t="shared" si="557"/>
        <v>0</v>
      </c>
      <c r="BE249" s="4">
        <f t="shared" si="557"/>
        <v>0</v>
      </c>
      <c r="BF249" s="4">
        <f t="shared" si="557"/>
        <v>0</v>
      </c>
      <c r="BG249" s="4">
        <f t="shared" si="557"/>
        <v>0</v>
      </c>
      <c r="BI249" s="4">
        <f>IF(ROUND(SUM(BI244:BI248),3)&lt;&gt;ROUND(SUM(BJ249:BO249),3),#VALUE!,SUM(BI244:BI248))</f>
        <v>1000</v>
      </c>
      <c r="BJ249" s="4">
        <f t="shared" ref="BJ249:BO249" si="558">SUM(BJ244:BJ248)</f>
        <v>981.33895264908836</v>
      </c>
      <c r="BK249" s="4">
        <f t="shared" si="558"/>
        <v>18.423667196980524</v>
      </c>
      <c r="BL249" s="4">
        <f t="shared" si="558"/>
        <v>0</v>
      </c>
      <c r="BM249" s="4">
        <f t="shared" si="558"/>
        <v>1.186900769655695E-2</v>
      </c>
      <c r="BN249" s="4">
        <f t="shared" si="558"/>
        <v>0.22551114623458202</v>
      </c>
      <c r="BO249" s="4">
        <f t="shared" si="558"/>
        <v>0</v>
      </c>
      <c r="BQ249" s="52" t="s">
        <v>38</v>
      </c>
      <c r="BR249" s="48">
        <f>IF(ROUND(SUM(BR244:BR248),3)&lt;&gt;ROUND(SUM(CM249:CR249),3),#VALUE!,SUM(BR244:BR248))</f>
        <v>0.4</v>
      </c>
      <c r="BS249" s="16">
        <f>SUMPRODUCT($BR$245:$BR$248,BS$245:BS$248)/SUM($BR$245:$BR$248)</f>
        <v>0</v>
      </c>
      <c r="BT249" s="16">
        <f t="shared" ref="BT249:CI249" si="559">SUMPRODUCT($BR$245:$BR$248,BT$245:BT$248)/SUM($BR$245:$BR$248)</f>
        <v>0</v>
      </c>
      <c r="BU249" s="16">
        <f t="shared" si="559"/>
        <v>0</v>
      </c>
      <c r="BV249" s="16">
        <f t="shared" si="559"/>
        <v>0</v>
      </c>
      <c r="BW249" s="16">
        <f t="shared" si="559"/>
        <v>0</v>
      </c>
      <c r="BX249" s="16">
        <f t="shared" si="559"/>
        <v>0</v>
      </c>
      <c r="BY249" s="16">
        <f t="shared" si="559"/>
        <v>0</v>
      </c>
      <c r="BZ249" s="16">
        <f t="shared" si="559"/>
        <v>0</v>
      </c>
      <c r="CA249" s="16">
        <f t="shared" si="559"/>
        <v>0</v>
      </c>
      <c r="CB249" s="16">
        <f t="shared" si="559"/>
        <v>0</v>
      </c>
      <c r="CC249" s="16">
        <f t="shared" si="559"/>
        <v>1</v>
      </c>
      <c r="CD249" s="16">
        <f t="shared" si="559"/>
        <v>0</v>
      </c>
      <c r="CE249" s="16">
        <f t="shared" si="559"/>
        <v>0</v>
      </c>
      <c r="CF249" s="16">
        <f t="shared" si="559"/>
        <v>0</v>
      </c>
      <c r="CG249" s="16">
        <f t="shared" si="559"/>
        <v>0</v>
      </c>
      <c r="CH249" s="16">
        <f t="shared" si="559"/>
        <v>0</v>
      </c>
      <c r="CI249" s="16">
        <f t="shared" si="559"/>
        <v>0</v>
      </c>
      <c r="CJ249" s="42"/>
      <c r="CK249" s="42"/>
      <c r="CL249" s="76">
        <f t="shared" si="536"/>
        <v>0</v>
      </c>
      <c r="CM249" s="4">
        <f t="shared" ref="CM249:CR249" si="560">SUM(CM244:CM248)</f>
        <v>0.39253558105963537</v>
      </c>
      <c r="CN249" s="4">
        <f t="shared" si="560"/>
        <v>7.3694668787922099E-3</v>
      </c>
      <c r="CO249" s="4">
        <f t="shared" si="560"/>
        <v>0</v>
      </c>
      <c r="CP249" s="4">
        <f t="shared" si="560"/>
        <v>4.7476030786227806E-6</v>
      </c>
      <c r="CQ249" s="4">
        <f t="shared" si="560"/>
        <v>9.0204458493832817E-5</v>
      </c>
      <c r="CR249" s="4">
        <f t="shared" si="560"/>
        <v>0</v>
      </c>
    </row>
    <row r="250" spans="1:96">
      <c r="A250" s="50">
        <f t="shared" si="400"/>
        <v>250</v>
      </c>
      <c r="E250" s="2"/>
      <c r="F250" s="60"/>
      <c r="G250" s="60"/>
      <c r="P250" s="61"/>
      <c r="Q250" s="61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76">
        <f t="shared" si="535"/>
        <v>0</v>
      </c>
      <c r="AQ250" s="61"/>
      <c r="BR250" s="49"/>
      <c r="CL250" s="76">
        <f t="shared" si="536"/>
        <v>0</v>
      </c>
    </row>
    <row r="251" spans="1:96" ht="13.8">
      <c r="A251" s="50">
        <f t="shared" si="400"/>
        <v>251</v>
      </c>
      <c r="D251" t="s">
        <v>39</v>
      </c>
      <c r="E251" s="21">
        <f>E178+E202+E226+E234+E242+E249</f>
        <v>24131000</v>
      </c>
      <c r="F251" s="63" t="str">
        <f>"("&amp;A$178&amp;"+"&amp;A$202&amp;"+"&amp;A$226&amp;"+"&amp;A$234&amp;"+"&amp;A$242&amp;"+"&amp;A$249&amp;")"</f>
        <v>(178+202+226+234+242+249)</v>
      </c>
      <c r="G251" s="60"/>
      <c r="H251" s="21">
        <f t="shared" ref="H251:N251" si="561">H178+H202+H226+H234+H242+H249</f>
        <v>24131000</v>
      </c>
      <c r="I251" s="21">
        <f t="shared" si="561"/>
        <v>20871770.259516712</v>
      </c>
      <c r="J251" s="21">
        <f t="shared" si="561"/>
        <v>2539644.6898351051</v>
      </c>
      <c r="K251" s="21">
        <f t="shared" si="561"/>
        <v>0</v>
      </c>
      <c r="L251" s="21">
        <f t="shared" si="561"/>
        <v>32357.877989239059</v>
      </c>
      <c r="M251" s="21">
        <f t="shared" si="561"/>
        <v>687227.17265894136</v>
      </c>
      <c r="N251" s="21">
        <f t="shared" si="561"/>
        <v>0</v>
      </c>
      <c r="O251" s="21"/>
      <c r="P251" s="61" t="str">
        <f>"Sum("&amp;$A178&amp;","&amp;$A202&amp;","&amp;$A226&amp;","&amp;$A234&amp;","&amp;$A242&amp;","&amp;$A249&amp;")"</f>
        <v>Sum(178,202,226,234,242,249)</v>
      </c>
      <c r="Q251" s="61"/>
      <c r="R251" s="14">
        <f>($E$178*R$178+$E$202*R$202+$E$226*R$226+$E$234*R$234+$E$242*R$242+$E$249*R$249)/SUM($E$178,$E$202,$E$226,$E$234,$E$242,$E$249)</f>
        <v>8.7302581663827483E-2</v>
      </c>
      <c r="S251" s="14">
        <f>($E$178*S$178+$E$202*S$202+$E$226*S$226+$E$234*S$234+$E$242*S$242+$E$249*S$249)/SUM($E$178,$E$202,$E$226,$E$234,$E$242,$E$249)</f>
        <v>2.8903137043636815E-2</v>
      </c>
      <c r="T251" s="14">
        <f t="shared" ref="T251:AH251" si="562">($E$178*T$178+$E$202*T$202+$E$226*T$226+$E$234*T$234+$E$242*T$242+$E$249*T$249)/SUM($E$178,$E$202,$E$226,$E$234,$E$242,$E$249)</f>
        <v>1.0144212838257843E-2</v>
      </c>
      <c r="U251" s="14">
        <f t="shared" si="562"/>
        <v>6.7929634080643161E-2</v>
      </c>
      <c r="V251" s="14">
        <f t="shared" si="562"/>
        <v>3.4809995441548217E-3</v>
      </c>
      <c r="W251" s="14">
        <f t="shared" si="562"/>
        <v>0.14465059510336606</v>
      </c>
      <c r="X251" s="14">
        <f t="shared" si="562"/>
        <v>0</v>
      </c>
      <c r="Y251" s="14">
        <f t="shared" si="562"/>
        <v>0</v>
      </c>
      <c r="Z251" s="14">
        <f t="shared" si="562"/>
        <v>0</v>
      </c>
      <c r="AA251" s="14">
        <f t="shared" si="562"/>
        <v>0</v>
      </c>
      <c r="AB251" s="14">
        <f t="shared" si="562"/>
        <v>0.40333969942627673</v>
      </c>
      <c r="AC251" s="14">
        <f t="shared" si="562"/>
        <v>0.1786485358904891</v>
      </c>
      <c r="AD251" s="14">
        <f t="shared" si="562"/>
        <v>6.8340680978038443E-2</v>
      </c>
      <c r="AE251" s="14">
        <f t="shared" si="562"/>
        <v>0</v>
      </c>
      <c r="AF251" s="14">
        <f t="shared" si="562"/>
        <v>1.7483408197311629E-3</v>
      </c>
      <c r="AG251" s="14">
        <f t="shared" si="562"/>
        <v>0</v>
      </c>
      <c r="AH251" s="14">
        <f t="shared" si="562"/>
        <v>5.5115826115784677E-3</v>
      </c>
      <c r="AI251" s="76">
        <f t="shared" si="535"/>
        <v>0</v>
      </c>
      <c r="AK251" s="21">
        <f>AK178+AK202+AK226+AK234+AK242+AK249</f>
        <v>24131000</v>
      </c>
      <c r="AL251" s="21">
        <f>AL178+AL202+AL226+AL234+AL242+AL249</f>
        <v>4772160.1981298206</v>
      </c>
      <c r="AM251" s="21">
        <f>AM178+AM202+AM226+AM234+AM242+AM249</f>
        <v>3490563.5104393256</v>
      </c>
      <c r="AN251" s="21">
        <f>AN178+AN202+AN226+AN234+AN242+AN249</f>
        <v>15735276.291430853</v>
      </c>
      <c r="AO251" s="21">
        <f>AO178+AO202+AO226+AO234+AO242+AO249</f>
        <v>133000</v>
      </c>
      <c r="AP251" s="21"/>
      <c r="AQ251" s="61" t="str">
        <f>"Sum("&amp;$A178&amp;","&amp;$A202&amp;","&amp;$A226&amp;","&amp;$A234&amp;","&amp;$A242&amp;","&amp;$A249&amp;")"</f>
        <v>Sum(178,202,226,234,242,249)</v>
      </c>
      <c r="AS251" s="21">
        <f t="shared" ref="AS251:AY251" si="563">AS178+AS202+AS226+AS234+AS242+AS249</f>
        <v>4772160.1981298206</v>
      </c>
      <c r="AT251" s="21">
        <f t="shared" si="563"/>
        <v>3133048.1461229268</v>
      </c>
      <c r="AU251" s="21">
        <f t="shared" si="563"/>
        <v>1263333.7417456282</v>
      </c>
      <c r="AV251" s="21">
        <f t="shared" si="563"/>
        <v>0</v>
      </c>
      <c r="AW251" s="21">
        <f t="shared" si="563"/>
        <v>19482.185019831039</v>
      </c>
      <c r="AX251" s="21">
        <f t="shared" si="563"/>
        <v>356296.1252414349</v>
      </c>
      <c r="AY251" s="21">
        <f t="shared" si="563"/>
        <v>0</v>
      </c>
      <c r="BA251" s="21">
        <f t="shared" ref="BA251:BG251" si="564">BA178+BA202+BA226+BA234+BA242+BA249</f>
        <v>3490563.5104393256</v>
      </c>
      <c r="BB251" s="21">
        <f t="shared" si="564"/>
        <v>2383385.4779539555</v>
      </c>
      <c r="BC251" s="21">
        <f t="shared" si="564"/>
        <v>806715.91822127206</v>
      </c>
      <c r="BD251" s="21">
        <f t="shared" si="564"/>
        <v>0</v>
      </c>
      <c r="BE251" s="21">
        <f t="shared" si="564"/>
        <v>10134.597050195185</v>
      </c>
      <c r="BF251" s="21">
        <f t="shared" si="564"/>
        <v>290327.51721390261</v>
      </c>
      <c r="BG251" s="21">
        <f t="shared" si="564"/>
        <v>0</v>
      </c>
      <c r="BI251" s="21">
        <f>BI178+BI202+BI226+BI234+BI242+BI249</f>
        <v>15735276.291430853</v>
      </c>
      <c r="BJ251" s="21">
        <f t="shared" ref="BJ251:BO251" si="565">BJ178+BJ202+BJ226+BJ234+BJ242+BJ249</f>
        <v>15253130.653176174</v>
      </c>
      <c r="BK251" s="21">
        <f t="shared" si="565"/>
        <v>443685.49992891878</v>
      </c>
      <c r="BL251" s="21">
        <f t="shared" si="565"/>
        <v>0</v>
      </c>
      <c r="BM251" s="21">
        <f t="shared" si="565"/>
        <v>2462.0289281980581</v>
      </c>
      <c r="BN251" s="21">
        <f t="shared" si="565"/>
        <v>35998.109397563334</v>
      </c>
      <c r="BO251" s="21">
        <f t="shared" si="565"/>
        <v>0</v>
      </c>
      <c r="BQ251" t="s">
        <v>39</v>
      </c>
      <c r="BR251" s="21">
        <f>BR178+BR202+BR226+BR234+BR242+BR249</f>
        <v>10681647.483585691</v>
      </c>
      <c r="BS251" s="14">
        <f>($BR$178*BS$178+$BR$202*BS$202+$BR$226*BS$226+$BR$234*BS$234+$BR$242*BS$242+$BR$249*BS$249)/SUM($BR$178,$BR$202,$BR$226,$BR$234,$BR$242,$BR$249)</f>
        <v>9.4663015920260468E-2</v>
      </c>
      <c r="BT251" s="14">
        <f t="shared" ref="BT251:CI251" si="566">($BR$178*BT$178+$BR$202*BT$202+$BR$226*BT$226+$BR$234*BT$234+$BR$242*BT$242+$BR$249*BT$249)/SUM($BR$178,$BR$202,$BR$226,$BR$234,$BR$242,$BR$249)</f>
        <v>3.3919019828800495E-2</v>
      </c>
      <c r="BU251" s="14">
        <f t="shared" si="566"/>
        <v>1.0397178915580441E-4</v>
      </c>
      <c r="BV251" s="14">
        <f t="shared" si="566"/>
        <v>6.9581120435038325E-4</v>
      </c>
      <c r="BW251" s="14">
        <f t="shared" si="566"/>
        <v>0</v>
      </c>
      <c r="BX251" s="14">
        <f t="shared" si="566"/>
        <v>0.15539012252676548</v>
      </c>
      <c r="BY251" s="14">
        <f t="shared" si="566"/>
        <v>0</v>
      </c>
      <c r="BZ251" s="14">
        <f t="shared" si="566"/>
        <v>0</v>
      </c>
      <c r="CA251" s="14">
        <f t="shared" si="566"/>
        <v>0</v>
      </c>
      <c r="CB251" s="14">
        <f t="shared" si="566"/>
        <v>0</v>
      </c>
      <c r="CC251" s="14">
        <f t="shared" si="566"/>
        <v>0.43912308962859059</v>
      </c>
      <c r="CD251" s="14">
        <f t="shared" si="566"/>
        <v>0.18099368235625934</v>
      </c>
      <c r="CE251" s="14">
        <f t="shared" si="566"/>
        <v>9.2877776153558633E-2</v>
      </c>
      <c r="CF251" s="14">
        <f t="shared" si="566"/>
        <v>0</v>
      </c>
      <c r="CG251" s="14">
        <f t="shared" si="566"/>
        <v>2.2335105922588572E-3</v>
      </c>
      <c r="CH251" s="14">
        <f t="shared" si="566"/>
        <v>0</v>
      </c>
      <c r="CI251" s="14">
        <f t="shared" si="566"/>
        <v>0</v>
      </c>
      <c r="CJ251" s="14"/>
      <c r="CK251" s="14"/>
      <c r="CL251" s="76">
        <f>SUM(CM251:CR251)</f>
        <v>10681647.483585691</v>
      </c>
      <c r="CM251" s="21">
        <f t="shared" ref="CM251:CR251" si="567">CM178+CM202+CM226+CM234+CM242+CM249</f>
        <v>9362081.6500725038</v>
      </c>
      <c r="CN251" s="21">
        <f t="shared" si="567"/>
        <v>991915.0287275851</v>
      </c>
      <c r="CO251" s="21">
        <f t="shared" si="567"/>
        <v>0</v>
      </c>
      <c r="CP251" s="21">
        <f t="shared" si="567"/>
        <v>12295.969396112143</v>
      </c>
      <c r="CQ251" s="21">
        <f t="shared" si="567"/>
        <v>315354.83538948873</v>
      </c>
      <c r="CR251" s="21">
        <f t="shared" si="567"/>
        <v>0</v>
      </c>
    </row>
    <row r="252" spans="1:96" ht="13.8">
      <c r="A252" s="50">
        <f t="shared" si="400"/>
        <v>252</v>
      </c>
      <c r="D252" t="s">
        <v>440</v>
      </c>
      <c r="E252" s="2">
        <f>E251-E175-E176-E232</f>
        <v>23913000</v>
      </c>
      <c r="F252" s="63" t="str">
        <f>"("&amp;A$251&amp;"-"&amp;A$175&amp;"-"&amp;A$176&amp;"-"&amp;A$232&amp;")"</f>
        <v>(251-175-176-232)</v>
      </c>
      <c r="G252" s="60" t="s">
        <v>441</v>
      </c>
      <c r="H252" s="2">
        <f>H251-H175-H176-H232</f>
        <v>23913000</v>
      </c>
      <c r="I252" s="2">
        <f t="shared" ref="I252:N252" si="568">I251-I175-I176-I232</f>
        <v>20707353.268017367</v>
      </c>
      <c r="J252" s="2">
        <f t="shared" si="568"/>
        <v>2491214.2277766569</v>
      </c>
      <c r="K252" s="2">
        <f t="shared" si="568"/>
        <v>0</v>
      </c>
      <c r="L252" s="2">
        <f t="shared" si="568"/>
        <v>31810.752353071941</v>
      </c>
      <c r="M252" s="2">
        <f t="shared" si="568"/>
        <v>682621.75185290072</v>
      </c>
      <c r="N252" s="2">
        <f t="shared" si="568"/>
        <v>0</v>
      </c>
      <c r="O252" s="2"/>
      <c r="P252" s="61" t="str">
        <f>$A251&amp;"-Sum("&amp;A$175&amp;","&amp;A$176&amp;","&amp;A$232&amp;")"</f>
        <v>251-Sum(175,176,232)</v>
      </c>
      <c r="Q252" s="61"/>
      <c r="R252" s="14">
        <f>($E251*R$251-($E$175*R$175+$E$176*R$176+$E$232*R$232))/$E$252</f>
        <v>8.8098465191729231E-2</v>
      </c>
      <c r="S252" s="14">
        <f t="shared" ref="S252:AH252" si="569">($E251*S$251-($E$175*S$175+$E$176*S$176+$E$232*S$232))/$E$252</f>
        <v>2.9166629030234599E-2</v>
      </c>
      <c r="T252" s="14">
        <f t="shared" si="569"/>
        <v>1.0236691339438799E-2</v>
      </c>
      <c r="U252" s="14">
        <f t="shared" si="569"/>
        <v>6.8507088194705815E-2</v>
      </c>
      <c r="V252" s="14">
        <f t="shared" si="569"/>
        <v>0</v>
      </c>
      <c r="W252" s="14">
        <f t="shared" si="569"/>
        <v>0.14596928492616262</v>
      </c>
      <c r="X252" s="14">
        <f t="shared" si="569"/>
        <v>0</v>
      </c>
      <c r="Y252" s="14">
        <f t="shared" si="569"/>
        <v>0</v>
      </c>
      <c r="Z252" s="14">
        <f t="shared" si="569"/>
        <v>0</v>
      </c>
      <c r="AA252" s="14">
        <f t="shared" si="569"/>
        <v>0</v>
      </c>
      <c r="AB252" s="14">
        <f t="shared" si="569"/>
        <v>0.40701669748067926</v>
      </c>
      <c r="AC252" s="14">
        <f t="shared" si="569"/>
        <v>0.18027716386791251</v>
      </c>
      <c r="AD252" s="14">
        <f t="shared" si="569"/>
        <v>6.8963700609753931E-2</v>
      </c>
      <c r="AE252" s="14">
        <f t="shared" si="569"/>
        <v>0</v>
      </c>
      <c r="AF252" s="14">
        <f t="shared" si="569"/>
        <v>1.7642793593832932E-3</v>
      </c>
      <c r="AG252" s="14">
        <f t="shared" si="569"/>
        <v>0</v>
      </c>
      <c r="AH252" s="14">
        <f t="shared" si="569"/>
        <v>0</v>
      </c>
      <c r="AI252" s="76">
        <f t="shared" si="535"/>
        <v>0</v>
      </c>
      <c r="AP252" s="2"/>
      <c r="AQ252" s="61"/>
      <c r="AS252" s="2"/>
      <c r="AT252" s="2"/>
      <c r="AU252" s="2"/>
      <c r="AV252" s="2"/>
      <c r="AW252" s="2"/>
      <c r="AX252" s="2"/>
      <c r="AY252" s="2"/>
      <c r="BA252" s="2"/>
      <c r="BB252" s="2"/>
      <c r="BC252" s="2"/>
      <c r="BD252" s="2"/>
      <c r="BE252" s="2"/>
      <c r="BF252" s="2"/>
      <c r="BG252" s="2"/>
      <c r="BI252" s="2"/>
      <c r="BJ252" s="2"/>
      <c r="BK252" s="2"/>
      <c r="BL252" s="2"/>
      <c r="BM252" s="2"/>
      <c r="BN252" s="2"/>
      <c r="BO252" s="2"/>
      <c r="BQ252" t="s">
        <v>440</v>
      </c>
      <c r="BR252" s="21">
        <f>BR251-BR175-BR176-BR232</f>
        <v>10681647.483585691</v>
      </c>
      <c r="BS252" s="14">
        <f>($BR251*BS$251-($BR$175*BS$175+$BR$176*BS$176+$BR$232*BS$232))/$BR$252</f>
        <v>9.4663015920260468E-2</v>
      </c>
      <c r="BT252" s="14">
        <f t="shared" ref="BT252:CI252" si="570">($BR251*BT$251-($BR$175*BT$175+$BR$176*BT$176+$BR$232*BT$232))/$BR$252</f>
        <v>3.3919019828800495E-2</v>
      </c>
      <c r="BU252" s="14">
        <f t="shared" si="570"/>
        <v>1.0397178915580441E-4</v>
      </c>
      <c r="BV252" s="14">
        <f t="shared" si="570"/>
        <v>6.9581120435038325E-4</v>
      </c>
      <c r="BW252" s="14">
        <f t="shared" si="570"/>
        <v>0</v>
      </c>
      <c r="BX252" s="14">
        <f t="shared" si="570"/>
        <v>0.15539012252676548</v>
      </c>
      <c r="BY252" s="14">
        <f t="shared" si="570"/>
        <v>0</v>
      </c>
      <c r="BZ252" s="14">
        <f t="shared" si="570"/>
        <v>0</v>
      </c>
      <c r="CA252" s="14">
        <f t="shared" si="570"/>
        <v>0</v>
      </c>
      <c r="CB252" s="14">
        <f t="shared" si="570"/>
        <v>0</v>
      </c>
      <c r="CC252" s="14">
        <f t="shared" si="570"/>
        <v>0.43912308962859059</v>
      </c>
      <c r="CD252" s="14">
        <f t="shared" si="570"/>
        <v>0.18099368235625934</v>
      </c>
      <c r="CE252" s="14">
        <f t="shared" si="570"/>
        <v>9.2877776153558633E-2</v>
      </c>
      <c r="CF252" s="14">
        <f t="shared" si="570"/>
        <v>0</v>
      </c>
      <c r="CG252" s="14">
        <f t="shared" si="570"/>
        <v>2.2335105922588572E-3</v>
      </c>
      <c r="CH252" s="14">
        <f t="shared" si="570"/>
        <v>0</v>
      </c>
      <c r="CI252" s="14">
        <f t="shared" si="570"/>
        <v>0</v>
      </c>
      <c r="CJ252" s="14"/>
      <c r="CK252" s="14"/>
      <c r="CL252" s="76">
        <f>SUM(CM252:CR252)</f>
        <v>10681647.483585691</v>
      </c>
      <c r="CM252" s="2">
        <f t="shared" ref="CM252:CR252" si="571">CM251-CM175-CM176-CM232</f>
        <v>9362081.6500725038</v>
      </c>
      <c r="CN252" s="2">
        <f t="shared" si="571"/>
        <v>991915.0287275851</v>
      </c>
      <c r="CO252" s="2">
        <f t="shared" si="571"/>
        <v>0</v>
      </c>
      <c r="CP252" s="2">
        <f t="shared" si="571"/>
        <v>12295.969396112143</v>
      </c>
      <c r="CQ252" s="2">
        <f t="shared" si="571"/>
        <v>315354.83538948873</v>
      </c>
      <c r="CR252" s="2">
        <f t="shared" si="571"/>
        <v>0</v>
      </c>
    </row>
    <row r="253" spans="1:96" ht="13.8">
      <c r="D253" t="s">
        <v>1155</v>
      </c>
      <c r="E253" s="2">
        <f>BR252</f>
        <v>10681647.483585691</v>
      </c>
      <c r="F253" s="63"/>
      <c r="G253" s="60"/>
      <c r="H253" s="2"/>
      <c r="I253" s="2"/>
      <c r="J253" s="2"/>
      <c r="K253" s="2"/>
      <c r="L253" s="2"/>
      <c r="M253" s="2"/>
      <c r="N253" s="2"/>
      <c r="O253" s="2"/>
      <c r="P253" s="491" t="s">
        <v>1154</v>
      </c>
      <c r="Q253" s="61"/>
      <c r="R253" s="14">
        <f>($E251*R$251-($E$175*R$175+$E$176*R$176+$E$232*R$232+$E$253*BS$252))/($E$252-$E$253)</f>
        <v>8.2798914999615614E-2</v>
      </c>
      <c r="S253" s="14">
        <f>($E251*S$251-($E$175*S$175+$E$176*S$176+$E$232*S$232+$E$253*BT$252))/($E$252-$E$253)</f>
        <v>2.5330032344329505E-2</v>
      </c>
      <c r="T253" s="14">
        <f t="shared" ref="T253:AH253" si="572">($E251*T$251-($E$175*T$175+$E$176*T$176+$E$232*T$232+$E$253*BU$252))/($E$252-$E$253)</f>
        <v>1.8416817910164564E-2</v>
      </c>
      <c r="U253" s="14">
        <f t="shared" si="572"/>
        <v>0.12325101216802441</v>
      </c>
      <c r="V253" s="14">
        <f t="shared" si="572"/>
        <v>0</v>
      </c>
      <c r="W253" s="14">
        <f t="shared" si="572"/>
        <v>0.13836385939427454</v>
      </c>
      <c r="X253" s="14">
        <f t="shared" si="572"/>
        <v>0</v>
      </c>
      <c r="Y253" s="14">
        <f t="shared" si="572"/>
        <v>0</v>
      </c>
      <c r="Z253" s="14">
        <f t="shared" si="572"/>
        <v>0</v>
      </c>
      <c r="AA253" s="14">
        <f t="shared" si="572"/>
        <v>0</v>
      </c>
      <c r="AB253" s="14">
        <f t="shared" si="572"/>
        <v>0.3810972638877565</v>
      </c>
      <c r="AC253" s="14">
        <f t="shared" si="572"/>
        <v>0.1796987197596101</v>
      </c>
      <c r="AD253" s="14">
        <f t="shared" si="572"/>
        <v>4.9657909721190698E-2</v>
      </c>
      <c r="AE253" s="14">
        <f t="shared" si="572"/>
        <v>0</v>
      </c>
      <c r="AF253" s="14">
        <f t="shared" si="572"/>
        <v>1.3854698150342038E-3</v>
      </c>
      <c r="AG253" s="14">
        <f t="shared" si="572"/>
        <v>0</v>
      </c>
      <c r="AH253" s="14">
        <f t="shared" si="572"/>
        <v>0</v>
      </c>
      <c r="AI253" s="76"/>
      <c r="AP253" s="2"/>
      <c r="AQ253" s="61"/>
      <c r="AS253" s="2"/>
      <c r="AT253" s="2"/>
      <c r="AU253" s="2"/>
      <c r="AV253" s="2"/>
      <c r="AW253" s="2"/>
      <c r="AX253" s="2"/>
      <c r="AY253" s="2"/>
      <c r="BA253" s="2"/>
      <c r="BB253" s="2"/>
      <c r="BC253" s="2"/>
      <c r="BD253" s="2"/>
      <c r="BE253" s="2"/>
      <c r="BF253" s="2"/>
      <c r="BG253" s="2"/>
      <c r="BI253" s="2"/>
      <c r="BJ253" s="2"/>
      <c r="BK253" s="2"/>
      <c r="BL253" s="2"/>
      <c r="BM253" s="2"/>
      <c r="BN253" s="2"/>
      <c r="BO253" s="2"/>
      <c r="BR253" s="21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76"/>
      <c r="CM253" s="2"/>
      <c r="CN253" s="2"/>
      <c r="CO253" s="2"/>
      <c r="CP253" s="2"/>
      <c r="CQ253" s="2"/>
      <c r="CR253" s="2"/>
    </row>
    <row r="254" spans="1:96">
      <c r="A254" s="50">
        <f t="shared" si="400"/>
        <v>254</v>
      </c>
      <c r="D254" s="10"/>
      <c r="E254" s="2"/>
      <c r="F254" s="60"/>
      <c r="G254" s="60"/>
      <c r="H254" s="21"/>
      <c r="I254" s="21"/>
      <c r="J254" s="21"/>
      <c r="K254" s="21"/>
      <c r="L254" s="21"/>
      <c r="M254" s="21"/>
      <c r="N254" s="21"/>
      <c r="P254" s="61"/>
      <c r="Q254" s="61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76">
        <f t="shared" ref="AI254:AI285" si="573">IF(SUM(R254:AH254)&lt;&gt;0,(ROUND(SUM(R254:AH254),8)&lt;&gt;1)+0,0)</f>
        <v>0</v>
      </c>
      <c r="AQ254" s="61"/>
      <c r="BQ254" s="10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76">
        <f t="shared" si="536"/>
        <v>0</v>
      </c>
      <c r="CM254" s="21">
        <f>CM252/$BR252</f>
        <v>0.87646420315396645</v>
      </c>
      <c r="CN254" s="21"/>
      <c r="CO254" s="21"/>
      <c r="CP254" s="21"/>
      <c r="CQ254" s="21"/>
      <c r="CR254" s="21"/>
    </row>
    <row r="255" spans="1:96">
      <c r="A255" s="50">
        <f t="shared" si="400"/>
        <v>255</v>
      </c>
      <c r="D255" t="s">
        <v>40</v>
      </c>
      <c r="E255" s="9"/>
      <c r="F255" s="60"/>
      <c r="G255" s="60"/>
      <c r="H255" s="21"/>
      <c r="I255" s="21"/>
      <c r="J255" s="21"/>
      <c r="K255" s="21"/>
      <c r="L255" s="21"/>
      <c r="M255" s="21"/>
      <c r="N255" s="21"/>
      <c r="P255" s="61"/>
      <c r="Q255" s="61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76">
        <f t="shared" si="573"/>
        <v>0</v>
      </c>
      <c r="AQ255" s="61"/>
      <c r="BQ255" t="s">
        <v>40</v>
      </c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76">
        <f t="shared" si="536"/>
        <v>0</v>
      </c>
      <c r="CM255" s="21"/>
      <c r="CN255" s="21"/>
      <c r="CO255" s="21"/>
      <c r="CP255" s="21"/>
      <c r="CQ255" s="21"/>
      <c r="CR255" s="21"/>
    </row>
    <row r="256" spans="1:96">
      <c r="A256" s="50">
        <f t="shared" si="400"/>
        <v>256</v>
      </c>
      <c r="B256" t="s">
        <v>41</v>
      </c>
      <c r="D256" t="s">
        <v>42</v>
      </c>
      <c r="E256" s="2"/>
      <c r="F256" s="60"/>
      <c r="G256" s="60"/>
      <c r="H256" s="80"/>
      <c r="I256" s="80"/>
      <c r="J256" s="80"/>
      <c r="K256" s="80"/>
      <c r="L256" s="80"/>
      <c r="M256" s="80"/>
      <c r="N256" s="80"/>
      <c r="P256" s="61"/>
      <c r="Q256" s="61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76">
        <f t="shared" si="573"/>
        <v>0</v>
      </c>
      <c r="AQ256" s="61"/>
      <c r="BQ256" t="s">
        <v>42</v>
      </c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76">
        <f t="shared" si="536"/>
        <v>0</v>
      </c>
      <c r="CM256" s="80"/>
      <c r="CN256" s="80"/>
      <c r="CO256" s="80"/>
      <c r="CP256" s="80"/>
      <c r="CQ256" s="80"/>
      <c r="CR256" s="80"/>
    </row>
    <row r="257" spans="1:96">
      <c r="A257" s="50">
        <f t="shared" si="400"/>
        <v>257</v>
      </c>
      <c r="C257" s="36" t="s">
        <v>152</v>
      </c>
      <c r="D257" s="56" t="s">
        <v>148</v>
      </c>
      <c r="E257" s="436">
        <f>PROFORMA!AV128</f>
        <v>8197000</v>
      </c>
      <c r="F257" s="61" t="s">
        <v>1159</v>
      </c>
      <c r="G257" s="60"/>
      <c r="H257" s="2">
        <f t="shared" ref="H257:H262" si="574">SUM(I257:N257)</f>
        <v>8197000.0000000009</v>
      </c>
      <c r="I257" s="2">
        <f t="shared" ref="I257:N261" si="575">$E257*SUMPRODUCT($R257:$AH257,INDEX(AllocFactors,I$4,0))</f>
        <v>7174217.4179621711</v>
      </c>
      <c r="J257" s="2">
        <f t="shared" si="575"/>
        <v>777080.41718888178</v>
      </c>
      <c r="K257" s="2">
        <f t="shared" si="575"/>
        <v>0</v>
      </c>
      <c r="L257" s="2">
        <f t="shared" si="575"/>
        <v>9621.3800198258177</v>
      </c>
      <c r="M257" s="2">
        <f t="shared" si="575"/>
        <v>236080.78482912219</v>
      </c>
      <c r="N257" s="2">
        <f t="shared" si="575"/>
        <v>0</v>
      </c>
      <c r="O257" s="2"/>
      <c r="P257" s="61" t="s">
        <v>1160</v>
      </c>
      <c r="Q257" s="61"/>
      <c r="R257" s="14">
        <f>(R$116*0.25)+(R$253*0.25)+(BS$252*0.25)</f>
        <v>8.8133437743971782E-2</v>
      </c>
      <c r="S257" s="14">
        <f>(S$116*0.25)+(S$253*0.25)+(BT$252*0.25)</f>
        <v>1.48122630432825E-2</v>
      </c>
      <c r="T257" s="14">
        <f t="shared" ref="T257:AH258" si="576">(T$116*0.25)+(T$253*0.25)+(BU$252*0.25)</f>
        <v>6.2152272453224224E-3</v>
      </c>
      <c r="U257" s="14">
        <f t="shared" si="576"/>
        <v>4.15942131033116E-2</v>
      </c>
      <c r="V257" s="14">
        <f t="shared" si="576"/>
        <v>0</v>
      </c>
      <c r="W257" s="14">
        <f t="shared" si="576"/>
        <v>0.15413680450310352</v>
      </c>
      <c r="X257" s="14">
        <f t="shared" si="576"/>
        <v>0</v>
      </c>
      <c r="Y257" s="14">
        <f t="shared" si="576"/>
        <v>0</v>
      </c>
      <c r="Z257" s="14">
        <f t="shared" si="576"/>
        <v>0</v>
      </c>
      <c r="AA257" s="14">
        <f t="shared" si="576"/>
        <v>0</v>
      </c>
      <c r="AB257" s="14">
        <f>(AB$116*0.25)+(AB$253*0.25)+(CC$252*0.25)+0.25</f>
        <v>0.45505508837908676</v>
      </c>
      <c r="AC257" s="14">
        <f t="shared" si="576"/>
        <v>0.16681683403029823</v>
      </c>
      <c r="AD257" s="14">
        <f t="shared" si="576"/>
        <v>7.1278348815059178E-2</v>
      </c>
      <c r="AE257" s="14">
        <f t="shared" si="576"/>
        <v>0</v>
      </c>
      <c r="AF257" s="14">
        <f t="shared" si="576"/>
        <v>1.9577831365640468E-3</v>
      </c>
      <c r="AG257" s="14">
        <f t="shared" si="576"/>
        <v>0</v>
      </c>
      <c r="AH257" s="14">
        <f t="shared" si="576"/>
        <v>0</v>
      </c>
      <c r="AI257" s="76">
        <f t="shared" si="573"/>
        <v>0</v>
      </c>
      <c r="AK257" s="2">
        <f t="shared" ref="AK257:AK262" si="577">SUM(AL257:AO257)</f>
        <v>8197000</v>
      </c>
      <c r="AL257" s="2">
        <f t="shared" ref="AL257:AO262" si="578">SUMIF($R$4:$AH$4,AL$5,$R257:$AH257)*$E257</f>
        <v>1235739.8918908762</v>
      </c>
      <c r="AM257" s="2">
        <f t="shared" si="578"/>
        <v>1263459.3865119396</v>
      </c>
      <c r="AN257" s="2">
        <f t="shared" si="578"/>
        <v>5697800.7215971844</v>
      </c>
      <c r="AO257" s="2">
        <f t="shared" si="578"/>
        <v>0</v>
      </c>
      <c r="AP257" s="2"/>
      <c r="AQ257" s="61" t="str">
        <f>E$1&amp;$A257&amp;"*["&amp;R$1&amp;$A257&amp;":"&amp;$AH$1&amp;$A257&amp;" when "&amp;R$1&amp;$A$4&amp;":"&amp;$AH$1&amp;$A$4&amp;" = E,D,C,or R]"</f>
        <v>E257*[R257:AH257 when R4:AH4 = E,D,C,or R]</v>
      </c>
      <c r="AS257" s="2">
        <f t="shared" ref="AS257:AS262" si="579">SUM(AT257:AY257)</f>
        <v>1235739.8918908765</v>
      </c>
      <c r="AT257" s="2">
        <f t="shared" ref="AT257:AY262" si="580">$E257*SUMPRODUCT($R257:$V257,INDEX(AllocFactors_E,AT$4,0))</f>
        <v>787374.56763241906</v>
      </c>
      <c r="AU257" s="2">
        <f t="shared" si="580"/>
        <v>324672.89899631613</v>
      </c>
      <c r="AV257" s="2">
        <f t="shared" si="580"/>
        <v>0</v>
      </c>
      <c r="AW257" s="2">
        <f t="shared" si="580"/>
        <v>5069.3523439131004</v>
      </c>
      <c r="AX257" s="2">
        <f t="shared" si="580"/>
        <v>118623.07291822815</v>
      </c>
      <c r="AY257" s="2">
        <f t="shared" si="580"/>
        <v>0</v>
      </c>
      <c r="BA257" s="2">
        <f t="shared" ref="BA257:BA262" si="581">SUM(BB257:BG257)</f>
        <v>1263459.3865119393</v>
      </c>
      <c r="BB257" s="2">
        <f t="shared" ref="BB257:BG262" si="582">$E257*SUMPRODUCT($W257:$AA257,INDEX(AllocFactors_D,BB$4,0))</f>
        <v>862700.46220077632</v>
      </c>
      <c r="BC257" s="2">
        <f t="shared" si="582"/>
        <v>292002.36468322569</v>
      </c>
      <c r="BD257" s="2">
        <f t="shared" si="582"/>
        <v>0</v>
      </c>
      <c r="BE257" s="2">
        <f t="shared" si="582"/>
        <v>3668.3623527519526</v>
      </c>
      <c r="BF257" s="2">
        <f t="shared" si="582"/>
        <v>105088.19727518552</v>
      </c>
      <c r="BG257" s="2">
        <f t="shared" si="582"/>
        <v>0</v>
      </c>
      <c r="BI257" s="2">
        <f t="shared" ref="BI257:BI262" si="583">SUM(BJ257:BO257)</f>
        <v>5697800.7215971844</v>
      </c>
      <c r="BJ257" s="2">
        <f t="shared" ref="BJ257:BO262" si="584">$E257*SUMPRODUCT($AB257:$AG257,INDEX(AllocFactors_C,BJ$4,0))</f>
        <v>5524142.3881289754</v>
      </c>
      <c r="BK257" s="2">
        <f t="shared" si="584"/>
        <v>160405.15350933984</v>
      </c>
      <c r="BL257" s="2">
        <f t="shared" si="584"/>
        <v>0</v>
      </c>
      <c r="BM257" s="2">
        <f t="shared" si="584"/>
        <v>883.66532316076643</v>
      </c>
      <c r="BN257" s="2">
        <f t="shared" si="584"/>
        <v>12369.514635708501</v>
      </c>
      <c r="BO257" s="2">
        <f t="shared" si="584"/>
        <v>0</v>
      </c>
      <c r="BQ257" s="28" t="s">
        <v>352</v>
      </c>
      <c r="BR257" s="23">
        <v>4003073</v>
      </c>
      <c r="BS257" s="14">
        <f t="shared" ref="BS257:BU258" si="585">R257</f>
        <v>8.8133437743971782E-2</v>
      </c>
      <c r="BT257" s="14">
        <f t="shared" si="585"/>
        <v>1.48122630432825E-2</v>
      </c>
      <c r="BU257" s="14">
        <f t="shared" si="585"/>
        <v>6.2152272453224224E-3</v>
      </c>
      <c r="BV257" s="14">
        <f t="shared" ref="BV257:CE258" si="586">U257</f>
        <v>4.15942131033116E-2</v>
      </c>
      <c r="BW257" s="14">
        <f t="shared" si="586"/>
        <v>0</v>
      </c>
      <c r="BX257" s="14">
        <f t="shared" si="586"/>
        <v>0.15413680450310352</v>
      </c>
      <c r="BY257" s="14">
        <f t="shared" si="586"/>
        <v>0</v>
      </c>
      <c r="BZ257" s="14">
        <f t="shared" si="586"/>
        <v>0</v>
      </c>
      <c r="CA257" s="14">
        <f t="shared" si="586"/>
        <v>0</v>
      </c>
      <c r="CB257" s="14">
        <f t="shared" si="586"/>
        <v>0</v>
      </c>
      <c r="CC257" s="14">
        <f t="shared" si="586"/>
        <v>0.45505508837908676</v>
      </c>
      <c r="CD257" s="14">
        <f t="shared" si="586"/>
        <v>0.16681683403029823</v>
      </c>
      <c r="CE257" s="14">
        <f t="shared" si="586"/>
        <v>7.1278348815059178E-2</v>
      </c>
      <c r="CF257" s="14">
        <f>AE257</f>
        <v>0</v>
      </c>
      <c r="CG257" s="14">
        <f t="shared" ref="CG257:CI258" si="587">AF257</f>
        <v>1.9577831365640468E-3</v>
      </c>
      <c r="CH257" s="14">
        <f t="shared" si="587"/>
        <v>0</v>
      </c>
      <c r="CI257" s="14">
        <f t="shared" si="587"/>
        <v>0</v>
      </c>
      <c r="CJ257" s="14"/>
      <c r="CK257" s="120" t="str">
        <f t="shared" ref="CK257:CK262" si="588">F257</f>
        <v>4-Factor</v>
      </c>
      <c r="CL257" s="76">
        <f t="shared" si="536"/>
        <v>0</v>
      </c>
      <c r="CM257" s="2">
        <f t="shared" ref="CM257:CR261" si="589">$BR257*SUMPRODUCT($BS257:$CI257,INDEX(AllocFactors,CM$170,0))</f>
        <v>3503588.6351072444</v>
      </c>
      <c r="CN257" s="2">
        <f t="shared" si="589"/>
        <v>379493.67291418184</v>
      </c>
      <c r="CO257" s="2">
        <f t="shared" si="589"/>
        <v>0</v>
      </c>
      <c r="CP257" s="2">
        <f t="shared" si="589"/>
        <v>4698.6808076252528</v>
      </c>
      <c r="CQ257" s="2">
        <f t="shared" si="589"/>
        <v>115292.01117094896</v>
      </c>
      <c r="CR257" s="2">
        <f t="shared" si="589"/>
        <v>0</v>
      </c>
    </row>
    <row r="258" spans="1:96">
      <c r="A258" s="50">
        <f t="shared" si="400"/>
        <v>258</v>
      </c>
      <c r="C258" s="36" t="s">
        <v>152</v>
      </c>
      <c r="D258" s="56" t="s">
        <v>353</v>
      </c>
      <c r="E258" s="150">
        <v>0</v>
      </c>
      <c r="F258" s="524" t="s">
        <v>445</v>
      </c>
      <c r="G258" s="60"/>
      <c r="H258" s="2">
        <f t="shared" si="574"/>
        <v>0</v>
      </c>
      <c r="I258" s="2">
        <f t="shared" si="575"/>
        <v>0</v>
      </c>
      <c r="J258" s="2">
        <f t="shared" si="575"/>
        <v>0</v>
      </c>
      <c r="K258" s="2">
        <f t="shared" si="575"/>
        <v>0</v>
      </c>
      <c r="L258" s="2">
        <f t="shared" si="575"/>
        <v>0</v>
      </c>
      <c r="M258" s="2">
        <f t="shared" si="575"/>
        <v>0</v>
      </c>
      <c r="N258" s="2">
        <f t="shared" si="575"/>
        <v>0</v>
      </c>
      <c r="O258" s="2"/>
      <c r="P258" s="61" t="str">
        <f>E$1&amp;$A258&amp;"*     """</f>
        <v>E258*     "</v>
      </c>
      <c r="Q258" s="61"/>
      <c r="R258" s="523">
        <v>1</v>
      </c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>
        <f t="shared" si="576"/>
        <v>0</v>
      </c>
      <c r="AI258" s="76">
        <f t="shared" si="573"/>
        <v>0</v>
      </c>
      <c r="AK258" s="2">
        <f t="shared" si="577"/>
        <v>0</v>
      </c>
      <c r="AL258" s="2">
        <f t="shared" si="578"/>
        <v>0</v>
      </c>
      <c r="AM258" s="2">
        <f t="shared" si="578"/>
        <v>0</v>
      </c>
      <c r="AN258" s="2">
        <f t="shared" si="578"/>
        <v>0</v>
      </c>
      <c r="AO258" s="2">
        <f t="shared" si="578"/>
        <v>0</v>
      </c>
      <c r="AP258" s="2"/>
      <c r="AQ258" s="61" t="str">
        <f>E$1&amp;$A258&amp;"*      """</f>
        <v>E258*      "</v>
      </c>
      <c r="AS258" s="2">
        <f t="shared" si="579"/>
        <v>0</v>
      </c>
      <c r="AT258" s="2">
        <f t="shared" si="580"/>
        <v>0</v>
      </c>
      <c r="AU258" s="2">
        <f t="shared" si="580"/>
        <v>0</v>
      </c>
      <c r="AV258" s="2">
        <f t="shared" si="580"/>
        <v>0</v>
      </c>
      <c r="AW258" s="2">
        <f t="shared" si="580"/>
        <v>0</v>
      </c>
      <c r="AX258" s="2">
        <f t="shared" si="580"/>
        <v>0</v>
      </c>
      <c r="AY258" s="2">
        <f t="shared" si="580"/>
        <v>0</v>
      </c>
      <c r="BA258" s="2">
        <f t="shared" si="581"/>
        <v>0</v>
      </c>
      <c r="BB258" s="2">
        <f t="shared" si="582"/>
        <v>0</v>
      </c>
      <c r="BC258" s="2">
        <f t="shared" si="582"/>
        <v>0</v>
      </c>
      <c r="BD258" s="2">
        <f t="shared" si="582"/>
        <v>0</v>
      </c>
      <c r="BE258" s="2">
        <f t="shared" si="582"/>
        <v>0</v>
      </c>
      <c r="BF258" s="2">
        <f t="shared" si="582"/>
        <v>0</v>
      </c>
      <c r="BG258" s="2">
        <f t="shared" si="582"/>
        <v>0</v>
      </c>
      <c r="BI258" s="2">
        <f t="shared" si="583"/>
        <v>0</v>
      </c>
      <c r="BJ258" s="2">
        <f t="shared" si="584"/>
        <v>0</v>
      </c>
      <c r="BK258" s="2">
        <f t="shared" si="584"/>
        <v>0</v>
      </c>
      <c r="BL258" s="2">
        <f t="shared" si="584"/>
        <v>0</v>
      </c>
      <c r="BM258" s="2">
        <f t="shared" si="584"/>
        <v>0</v>
      </c>
      <c r="BN258" s="2">
        <f t="shared" si="584"/>
        <v>0</v>
      </c>
      <c r="BO258" s="2">
        <f t="shared" si="584"/>
        <v>0</v>
      </c>
      <c r="BQ258" s="28" t="s">
        <v>353</v>
      </c>
      <c r="BR258" s="23">
        <v>0</v>
      </c>
      <c r="BS258" s="14">
        <f t="shared" si="585"/>
        <v>1</v>
      </c>
      <c r="BT258" s="14">
        <f t="shared" si="585"/>
        <v>0</v>
      </c>
      <c r="BU258" s="14">
        <f t="shared" si="585"/>
        <v>0</v>
      </c>
      <c r="BV258" s="14">
        <f t="shared" si="586"/>
        <v>0</v>
      </c>
      <c r="BW258" s="14">
        <f t="shared" si="586"/>
        <v>0</v>
      </c>
      <c r="BX258" s="14">
        <f t="shared" si="586"/>
        <v>0</v>
      </c>
      <c r="BY258" s="14">
        <f t="shared" si="586"/>
        <v>0</v>
      </c>
      <c r="BZ258" s="14">
        <f t="shared" si="586"/>
        <v>0</v>
      </c>
      <c r="CA258" s="14">
        <f t="shared" si="586"/>
        <v>0</v>
      </c>
      <c r="CB258" s="14">
        <f t="shared" si="586"/>
        <v>0</v>
      </c>
      <c r="CC258" s="14">
        <f t="shared" si="586"/>
        <v>0</v>
      </c>
      <c r="CD258" s="14">
        <f t="shared" si="586"/>
        <v>0</v>
      </c>
      <c r="CE258" s="14">
        <f t="shared" si="586"/>
        <v>0</v>
      </c>
      <c r="CF258" s="14">
        <f>AE258</f>
        <v>0</v>
      </c>
      <c r="CG258" s="14">
        <f t="shared" si="587"/>
        <v>0</v>
      </c>
      <c r="CH258" s="14">
        <f t="shared" si="587"/>
        <v>0</v>
      </c>
      <c r="CI258" s="14">
        <f t="shared" si="587"/>
        <v>0</v>
      </c>
      <c r="CJ258" s="14"/>
      <c r="CK258" s="120" t="str">
        <f t="shared" si="588"/>
        <v>Input - 100% Throughput</v>
      </c>
      <c r="CL258" s="76">
        <f t="shared" si="536"/>
        <v>0</v>
      </c>
      <c r="CM258" s="2">
        <f t="shared" si="589"/>
        <v>0</v>
      </c>
      <c r="CN258" s="2">
        <f t="shared" si="589"/>
        <v>0</v>
      </c>
      <c r="CO258" s="2">
        <f t="shared" si="589"/>
        <v>0</v>
      </c>
      <c r="CP258" s="2">
        <f t="shared" si="589"/>
        <v>0</v>
      </c>
      <c r="CQ258" s="2">
        <f t="shared" si="589"/>
        <v>0</v>
      </c>
      <c r="CR258" s="2">
        <f t="shared" si="589"/>
        <v>0</v>
      </c>
    </row>
    <row r="259" spans="1:96">
      <c r="A259" s="50">
        <f t="shared" si="400"/>
        <v>259</v>
      </c>
      <c r="C259" s="36" t="s">
        <v>152</v>
      </c>
      <c r="D259" s="28" t="s">
        <v>354</v>
      </c>
      <c r="E259" s="23">
        <v>0</v>
      </c>
      <c r="F259" s="60" t="str">
        <f>"as Plant in Service ("&amp;A$58&amp;")"</f>
        <v>as Plant in Service (58)</v>
      </c>
      <c r="G259" s="60"/>
      <c r="H259" s="2">
        <f t="shared" si="574"/>
        <v>0</v>
      </c>
      <c r="I259" s="2">
        <f t="shared" si="575"/>
        <v>0</v>
      </c>
      <c r="J259" s="2">
        <f t="shared" si="575"/>
        <v>0</v>
      </c>
      <c r="K259" s="2">
        <f t="shared" si="575"/>
        <v>0</v>
      </c>
      <c r="L259" s="2">
        <f t="shared" si="575"/>
        <v>0</v>
      </c>
      <c r="M259" s="2">
        <f t="shared" si="575"/>
        <v>0</v>
      </c>
      <c r="N259" s="2">
        <f t="shared" si="575"/>
        <v>0</v>
      </c>
      <c r="O259" s="2"/>
      <c r="P259" s="61" t="str">
        <f>E$1&amp;$A259&amp;"*     """</f>
        <v>E259*     "</v>
      </c>
      <c r="Q259" s="61"/>
      <c r="R259" s="14">
        <f>R$58</f>
        <v>0.15278530527507739</v>
      </c>
      <c r="S259" s="14">
        <f t="shared" ref="S259:AH259" si="590">S$58</f>
        <v>3.164969422787912E-3</v>
      </c>
      <c r="T259" s="14">
        <f t="shared" si="590"/>
        <v>6.9829362297418388E-3</v>
      </c>
      <c r="U259" s="14">
        <f t="shared" si="590"/>
        <v>4.673195784519539E-2</v>
      </c>
      <c r="V259" s="14">
        <f t="shared" si="590"/>
        <v>0</v>
      </c>
      <c r="W259" s="14">
        <f t="shared" si="590"/>
        <v>0.27991526808724082</v>
      </c>
      <c r="X259" s="14">
        <f t="shared" si="590"/>
        <v>0</v>
      </c>
      <c r="Y259" s="14">
        <f t="shared" si="590"/>
        <v>0</v>
      </c>
      <c r="Z259" s="14">
        <f t="shared" si="590"/>
        <v>0</v>
      </c>
      <c r="AA259" s="14">
        <f t="shared" si="590"/>
        <v>0</v>
      </c>
      <c r="AB259" s="14">
        <f t="shared" si="590"/>
        <v>9.7232640022350991E-2</v>
      </c>
      <c r="AC259" s="14">
        <f t="shared" si="590"/>
        <v>0.29403559958561315</v>
      </c>
      <c r="AD259" s="14">
        <f t="shared" si="590"/>
        <v>0.1147688867063851</v>
      </c>
      <c r="AE259" s="14">
        <f t="shared" si="590"/>
        <v>0</v>
      </c>
      <c r="AF259" s="14">
        <f t="shared" si="590"/>
        <v>4.3824368256074331E-3</v>
      </c>
      <c r="AG259" s="14">
        <f t="shared" si="590"/>
        <v>0</v>
      </c>
      <c r="AH259" s="14">
        <f t="shared" si="590"/>
        <v>0</v>
      </c>
      <c r="AI259" s="76">
        <f t="shared" si="573"/>
        <v>0</v>
      </c>
      <c r="AK259" s="2">
        <f t="shared" si="577"/>
        <v>0</v>
      </c>
      <c r="AL259" s="2">
        <f t="shared" si="578"/>
        <v>0</v>
      </c>
      <c r="AM259" s="2">
        <f t="shared" si="578"/>
        <v>0</v>
      </c>
      <c r="AN259" s="2">
        <f t="shared" si="578"/>
        <v>0</v>
      </c>
      <c r="AO259" s="2">
        <f t="shared" si="578"/>
        <v>0</v>
      </c>
      <c r="AP259" s="2"/>
      <c r="AQ259" s="61" t="str">
        <f>E$1&amp;$A259&amp;"*      """</f>
        <v>E259*      "</v>
      </c>
      <c r="AS259" s="2">
        <f t="shared" si="579"/>
        <v>0</v>
      </c>
      <c r="AT259" s="2">
        <f t="shared" si="580"/>
        <v>0</v>
      </c>
      <c r="AU259" s="2">
        <f t="shared" si="580"/>
        <v>0</v>
      </c>
      <c r="AV259" s="2">
        <f t="shared" si="580"/>
        <v>0</v>
      </c>
      <c r="AW259" s="2">
        <f t="shared" si="580"/>
        <v>0</v>
      </c>
      <c r="AX259" s="2">
        <f t="shared" si="580"/>
        <v>0</v>
      </c>
      <c r="AY259" s="2">
        <f t="shared" si="580"/>
        <v>0</v>
      </c>
      <c r="BA259" s="2">
        <f t="shared" si="581"/>
        <v>0</v>
      </c>
      <c r="BB259" s="2">
        <f t="shared" si="582"/>
        <v>0</v>
      </c>
      <c r="BC259" s="2">
        <f t="shared" si="582"/>
        <v>0</v>
      </c>
      <c r="BD259" s="2">
        <f t="shared" si="582"/>
        <v>0</v>
      </c>
      <c r="BE259" s="2">
        <f t="shared" si="582"/>
        <v>0</v>
      </c>
      <c r="BF259" s="2">
        <f t="shared" si="582"/>
        <v>0</v>
      </c>
      <c r="BG259" s="2">
        <f t="shared" si="582"/>
        <v>0</v>
      </c>
      <c r="BI259" s="2">
        <f t="shared" si="583"/>
        <v>0</v>
      </c>
      <c r="BJ259" s="2">
        <f t="shared" si="584"/>
        <v>0</v>
      </c>
      <c r="BK259" s="2">
        <f t="shared" si="584"/>
        <v>0</v>
      </c>
      <c r="BL259" s="2">
        <f t="shared" si="584"/>
        <v>0</v>
      </c>
      <c r="BM259" s="2">
        <f t="shared" si="584"/>
        <v>0</v>
      </c>
      <c r="BN259" s="2">
        <f t="shared" si="584"/>
        <v>0</v>
      </c>
      <c r="BO259" s="2">
        <f t="shared" si="584"/>
        <v>0</v>
      </c>
      <c r="BQ259" s="28" t="s">
        <v>354</v>
      </c>
      <c r="BR259" s="23">
        <v>0</v>
      </c>
      <c r="BS259" s="14">
        <f>R$58</f>
        <v>0.15278530527507739</v>
      </c>
      <c r="BT259" s="14">
        <f>S$58</f>
        <v>3.164969422787912E-3</v>
      </c>
      <c r="BU259" s="14">
        <f>T$58</f>
        <v>6.9829362297418388E-3</v>
      </c>
      <c r="BV259" s="14">
        <f t="shared" ref="BV259:CI259" si="591">U$58</f>
        <v>4.673195784519539E-2</v>
      </c>
      <c r="BW259" s="14">
        <f t="shared" si="591"/>
        <v>0</v>
      </c>
      <c r="BX259" s="14">
        <f t="shared" si="591"/>
        <v>0.27991526808724082</v>
      </c>
      <c r="BY259" s="14">
        <f t="shared" si="591"/>
        <v>0</v>
      </c>
      <c r="BZ259" s="14">
        <f t="shared" si="591"/>
        <v>0</v>
      </c>
      <c r="CA259" s="14">
        <f t="shared" si="591"/>
        <v>0</v>
      </c>
      <c r="CB259" s="14">
        <f t="shared" si="591"/>
        <v>0</v>
      </c>
      <c r="CC259" s="14">
        <f t="shared" si="591"/>
        <v>9.7232640022350991E-2</v>
      </c>
      <c r="CD259" s="14">
        <f t="shared" si="591"/>
        <v>0.29403559958561315</v>
      </c>
      <c r="CE259" s="14">
        <f t="shared" si="591"/>
        <v>0.1147688867063851</v>
      </c>
      <c r="CF259" s="14">
        <f>AE$58</f>
        <v>0</v>
      </c>
      <c r="CG259" s="14">
        <f t="shared" si="591"/>
        <v>4.3824368256074331E-3</v>
      </c>
      <c r="CH259" s="14">
        <f t="shared" si="591"/>
        <v>0</v>
      </c>
      <c r="CI259" s="14">
        <f t="shared" si="591"/>
        <v>0</v>
      </c>
      <c r="CJ259" s="14"/>
      <c r="CK259" s="120" t="str">
        <f t="shared" si="588"/>
        <v>as Plant in Service (58)</v>
      </c>
      <c r="CL259" s="76">
        <f t="shared" si="536"/>
        <v>0</v>
      </c>
      <c r="CM259" s="2">
        <f t="shared" si="589"/>
        <v>0</v>
      </c>
      <c r="CN259" s="2">
        <f t="shared" si="589"/>
        <v>0</v>
      </c>
      <c r="CO259" s="2">
        <f t="shared" si="589"/>
        <v>0</v>
      </c>
      <c r="CP259" s="2">
        <f t="shared" si="589"/>
        <v>0</v>
      </c>
      <c r="CQ259" s="2">
        <f t="shared" si="589"/>
        <v>0</v>
      </c>
      <c r="CR259" s="2">
        <f t="shared" si="589"/>
        <v>0</v>
      </c>
    </row>
    <row r="260" spans="1:96">
      <c r="A260" s="50">
        <f t="shared" si="400"/>
        <v>260</v>
      </c>
      <c r="C260" s="36" t="s">
        <v>157</v>
      </c>
      <c r="D260" s="28" t="s">
        <v>355</v>
      </c>
      <c r="E260" s="23">
        <v>0</v>
      </c>
      <c r="F260" s="60" t="s">
        <v>451</v>
      </c>
      <c r="G260" s="60"/>
      <c r="H260" s="2">
        <f t="shared" si="574"/>
        <v>0</v>
      </c>
      <c r="I260" s="2">
        <f t="shared" si="575"/>
        <v>0</v>
      </c>
      <c r="J260" s="2">
        <f t="shared" si="575"/>
        <v>0</v>
      </c>
      <c r="K260" s="2">
        <f t="shared" si="575"/>
        <v>0</v>
      </c>
      <c r="L260" s="2">
        <f t="shared" si="575"/>
        <v>0</v>
      </c>
      <c r="M260" s="2">
        <f t="shared" si="575"/>
        <v>0</v>
      </c>
      <c r="N260" s="2">
        <f t="shared" si="575"/>
        <v>0</v>
      </c>
      <c r="O260" s="2"/>
      <c r="P260" s="61" t="str">
        <f>E$1&amp;$A260&amp;"*     """</f>
        <v>E260*     "</v>
      </c>
      <c r="Q260" s="61"/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1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76">
        <f t="shared" si="573"/>
        <v>0</v>
      </c>
      <c r="AK260" s="2">
        <f t="shared" si="577"/>
        <v>0</v>
      </c>
      <c r="AL260" s="2">
        <f t="shared" si="578"/>
        <v>0</v>
      </c>
      <c r="AM260" s="2">
        <f t="shared" si="578"/>
        <v>0</v>
      </c>
      <c r="AN260" s="2">
        <f t="shared" si="578"/>
        <v>0</v>
      </c>
      <c r="AO260" s="2">
        <f t="shared" si="578"/>
        <v>0</v>
      </c>
      <c r="AP260" s="2"/>
      <c r="AQ260" s="61" t="str">
        <f>E$1&amp;$A260&amp;"*      """</f>
        <v>E260*      "</v>
      </c>
      <c r="AS260" s="2">
        <f t="shared" si="579"/>
        <v>0</v>
      </c>
      <c r="AT260" s="2">
        <f t="shared" si="580"/>
        <v>0</v>
      </c>
      <c r="AU260" s="2">
        <f t="shared" si="580"/>
        <v>0</v>
      </c>
      <c r="AV260" s="2">
        <f t="shared" si="580"/>
        <v>0</v>
      </c>
      <c r="AW260" s="2">
        <f t="shared" si="580"/>
        <v>0</v>
      </c>
      <c r="AX260" s="2">
        <f t="shared" si="580"/>
        <v>0</v>
      </c>
      <c r="AY260" s="2">
        <f t="shared" si="580"/>
        <v>0</v>
      </c>
      <c r="BA260" s="2">
        <f t="shared" si="581"/>
        <v>0</v>
      </c>
      <c r="BB260" s="2">
        <f t="shared" si="582"/>
        <v>0</v>
      </c>
      <c r="BC260" s="2">
        <f t="shared" si="582"/>
        <v>0</v>
      </c>
      <c r="BD260" s="2">
        <f t="shared" si="582"/>
        <v>0</v>
      </c>
      <c r="BE260" s="2">
        <f t="shared" si="582"/>
        <v>0</v>
      </c>
      <c r="BF260" s="2">
        <f t="shared" si="582"/>
        <v>0</v>
      </c>
      <c r="BG260" s="2">
        <f t="shared" si="582"/>
        <v>0</v>
      </c>
      <c r="BI260" s="2">
        <f t="shared" si="583"/>
        <v>0</v>
      </c>
      <c r="BJ260" s="2">
        <f t="shared" si="584"/>
        <v>0</v>
      </c>
      <c r="BK260" s="2">
        <f t="shared" si="584"/>
        <v>0</v>
      </c>
      <c r="BL260" s="2">
        <f t="shared" si="584"/>
        <v>0</v>
      </c>
      <c r="BM260" s="2">
        <f t="shared" si="584"/>
        <v>0</v>
      </c>
      <c r="BN260" s="2">
        <f t="shared" si="584"/>
        <v>0</v>
      </c>
      <c r="BO260" s="2">
        <f t="shared" si="584"/>
        <v>0</v>
      </c>
      <c r="BQ260" s="28" t="s">
        <v>355</v>
      </c>
      <c r="BR260" s="23">
        <v>0</v>
      </c>
      <c r="BS260" s="14">
        <f t="shared" ref="BS260:BU261" si="592">R260</f>
        <v>0</v>
      </c>
      <c r="BT260" s="14">
        <f t="shared" si="592"/>
        <v>0</v>
      </c>
      <c r="BU260" s="14">
        <f t="shared" si="592"/>
        <v>0</v>
      </c>
      <c r="BV260" s="14">
        <f t="shared" ref="BV260:CB261" si="593">U260</f>
        <v>0</v>
      </c>
      <c r="BW260" s="14">
        <f t="shared" si="593"/>
        <v>0</v>
      </c>
      <c r="BX260" s="14">
        <f t="shared" si="593"/>
        <v>0</v>
      </c>
      <c r="BY260" s="14">
        <f t="shared" si="593"/>
        <v>0</v>
      </c>
      <c r="BZ260" s="14">
        <f t="shared" si="593"/>
        <v>0</v>
      </c>
      <c r="CA260" s="14">
        <f t="shared" si="593"/>
        <v>0</v>
      </c>
      <c r="CB260" s="14">
        <f t="shared" si="593"/>
        <v>0</v>
      </c>
      <c r="CC260" s="14">
        <f t="shared" ref="CC260:CF261" si="594">AB260</f>
        <v>1</v>
      </c>
      <c r="CD260" s="14">
        <f t="shared" si="594"/>
        <v>0</v>
      </c>
      <c r="CE260" s="14">
        <f t="shared" si="594"/>
        <v>0</v>
      </c>
      <c r="CF260" s="14">
        <f t="shared" si="594"/>
        <v>0</v>
      </c>
      <c r="CG260" s="14">
        <f t="shared" ref="CG260:CI261" si="595">AF260</f>
        <v>0</v>
      </c>
      <c r="CH260" s="14">
        <f t="shared" si="595"/>
        <v>0</v>
      </c>
      <c r="CI260" s="14">
        <f t="shared" si="595"/>
        <v>0</v>
      </c>
      <c r="CJ260" s="14"/>
      <c r="CK260" s="120" t="str">
        <f t="shared" si="588"/>
        <v>Input - 100% Cust</v>
      </c>
      <c r="CL260" s="76">
        <f t="shared" si="536"/>
        <v>0</v>
      </c>
      <c r="CM260" s="2">
        <f t="shared" si="589"/>
        <v>0</v>
      </c>
      <c r="CN260" s="2">
        <f t="shared" si="589"/>
        <v>0</v>
      </c>
      <c r="CO260" s="2">
        <f t="shared" si="589"/>
        <v>0</v>
      </c>
      <c r="CP260" s="2">
        <f t="shared" si="589"/>
        <v>0</v>
      </c>
      <c r="CQ260" s="2">
        <f t="shared" si="589"/>
        <v>0</v>
      </c>
      <c r="CR260" s="2">
        <f t="shared" si="589"/>
        <v>0</v>
      </c>
    </row>
    <row r="261" spans="1:96">
      <c r="A261" s="50">
        <f t="shared" si="400"/>
        <v>261</v>
      </c>
      <c r="C261" s="36" t="s">
        <v>156</v>
      </c>
      <c r="D261" s="28" t="s">
        <v>351</v>
      </c>
      <c r="E261" s="23">
        <v>0</v>
      </c>
      <c r="F261" s="60" t="s">
        <v>452</v>
      </c>
      <c r="G261" s="60"/>
      <c r="H261" s="2">
        <f t="shared" si="574"/>
        <v>0</v>
      </c>
      <c r="I261" s="2">
        <f t="shared" si="575"/>
        <v>0</v>
      </c>
      <c r="J261" s="2">
        <f t="shared" si="575"/>
        <v>0</v>
      </c>
      <c r="K261" s="2">
        <f t="shared" si="575"/>
        <v>0</v>
      </c>
      <c r="L261" s="2">
        <f t="shared" si="575"/>
        <v>0</v>
      </c>
      <c r="M261" s="2">
        <f t="shared" si="575"/>
        <v>0</v>
      </c>
      <c r="N261" s="2">
        <f t="shared" si="575"/>
        <v>0</v>
      </c>
      <c r="O261" s="2"/>
      <c r="P261" s="61" t="str">
        <f>E$1&amp;$A261&amp;"*     """</f>
        <v>E261*     "</v>
      </c>
      <c r="Q261" s="61"/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1</v>
      </c>
      <c r="AI261" s="76">
        <f t="shared" si="573"/>
        <v>0</v>
      </c>
      <c r="AK261" s="2">
        <f t="shared" si="577"/>
        <v>0</v>
      </c>
      <c r="AL261" s="2">
        <f t="shared" si="578"/>
        <v>0</v>
      </c>
      <c r="AM261" s="2">
        <f t="shared" si="578"/>
        <v>0</v>
      </c>
      <c r="AN261" s="2">
        <f t="shared" si="578"/>
        <v>0</v>
      </c>
      <c r="AO261" s="2">
        <f t="shared" si="578"/>
        <v>0</v>
      </c>
      <c r="AP261" s="2"/>
      <c r="AQ261" s="61" t="str">
        <f>E$1&amp;$A261&amp;"*      """</f>
        <v>E261*      "</v>
      </c>
      <c r="AS261" s="2">
        <f t="shared" si="579"/>
        <v>0</v>
      </c>
      <c r="AT261" s="2">
        <f t="shared" si="580"/>
        <v>0</v>
      </c>
      <c r="AU261" s="2">
        <f t="shared" si="580"/>
        <v>0</v>
      </c>
      <c r="AV261" s="2">
        <f t="shared" si="580"/>
        <v>0</v>
      </c>
      <c r="AW261" s="2">
        <f t="shared" si="580"/>
        <v>0</v>
      </c>
      <c r="AX261" s="2">
        <f t="shared" si="580"/>
        <v>0</v>
      </c>
      <c r="AY261" s="2">
        <f t="shared" si="580"/>
        <v>0</v>
      </c>
      <c r="BA261" s="2">
        <f t="shared" si="581"/>
        <v>0</v>
      </c>
      <c r="BB261" s="2">
        <f t="shared" si="582"/>
        <v>0</v>
      </c>
      <c r="BC261" s="2">
        <f t="shared" si="582"/>
        <v>0</v>
      </c>
      <c r="BD261" s="2">
        <f t="shared" si="582"/>
        <v>0</v>
      </c>
      <c r="BE261" s="2">
        <f t="shared" si="582"/>
        <v>0</v>
      </c>
      <c r="BF261" s="2">
        <f t="shared" si="582"/>
        <v>0</v>
      </c>
      <c r="BG261" s="2">
        <f t="shared" si="582"/>
        <v>0</v>
      </c>
      <c r="BI261" s="2">
        <f t="shared" si="583"/>
        <v>0</v>
      </c>
      <c r="BJ261" s="2">
        <f t="shared" si="584"/>
        <v>0</v>
      </c>
      <c r="BK261" s="2">
        <f t="shared" si="584"/>
        <v>0</v>
      </c>
      <c r="BL261" s="2">
        <f t="shared" si="584"/>
        <v>0</v>
      </c>
      <c r="BM261" s="2">
        <f t="shared" si="584"/>
        <v>0</v>
      </c>
      <c r="BN261" s="2">
        <f t="shared" si="584"/>
        <v>0</v>
      </c>
      <c r="BO261" s="2">
        <f t="shared" si="584"/>
        <v>0</v>
      </c>
      <c r="BQ261" s="28" t="s">
        <v>351</v>
      </c>
      <c r="BR261" s="23">
        <v>0</v>
      </c>
      <c r="BS261" s="14">
        <f t="shared" si="592"/>
        <v>0</v>
      </c>
      <c r="BT261" s="14">
        <f t="shared" si="592"/>
        <v>0</v>
      </c>
      <c r="BU261" s="14">
        <f t="shared" si="592"/>
        <v>0</v>
      </c>
      <c r="BV261" s="14">
        <f t="shared" si="593"/>
        <v>0</v>
      </c>
      <c r="BW261" s="14">
        <f t="shared" si="593"/>
        <v>0</v>
      </c>
      <c r="BX261" s="14">
        <f t="shared" si="593"/>
        <v>0</v>
      </c>
      <c r="BY261" s="14">
        <f t="shared" si="593"/>
        <v>0</v>
      </c>
      <c r="BZ261" s="14">
        <f t="shared" si="593"/>
        <v>0</v>
      </c>
      <c r="CA261" s="14">
        <f t="shared" si="593"/>
        <v>0</v>
      </c>
      <c r="CB261" s="14">
        <f t="shared" si="593"/>
        <v>0</v>
      </c>
      <c r="CC261" s="14">
        <f t="shared" si="594"/>
        <v>0</v>
      </c>
      <c r="CD261" s="14">
        <f t="shared" si="594"/>
        <v>0</v>
      </c>
      <c r="CE261" s="14">
        <f t="shared" si="594"/>
        <v>0</v>
      </c>
      <c r="CF261" s="14">
        <f t="shared" si="594"/>
        <v>0</v>
      </c>
      <c r="CG261" s="14">
        <f t="shared" si="595"/>
        <v>0</v>
      </c>
      <c r="CH261" s="14">
        <f t="shared" si="595"/>
        <v>0</v>
      </c>
      <c r="CI261" s="14">
        <f t="shared" si="595"/>
        <v>1</v>
      </c>
      <c r="CJ261" s="14"/>
      <c r="CK261" s="120" t="str">
        <f t="shared" si="588"/>
        <v>Input - 100% Rev</v>
      </c>
      <c r="CL261" s="76">
        <f t="shared" si="536"/>
        <v>0</v>
      </c>
      <c r="CM261" s="2">
        <f t="shared" si="589"/>
        <v>0</v>
      </c>
      <c r="CN261" s="2">
        <f t="shared" si="589"/>
        <v>0</v>
      </c>
      <c r="CO261" s="2">
        <f t="shared" si="589"/>
        <v>0</v>
      </c>
      <c r="CP261" s="2">
        <f t="shared" si="589"/>
        <v>0</v>
      </c>
      <c r="CQ261" s="2">
        <f t="shared" si="589"/>
        <v>0</v>
      </c>
      <c r="CR261" s="2">
        <f t="shared" si="589"/>
        <v>0</v>
      </c>
    </row>
    <row r="262" spans="1:96">
      <c r="A262" s="50">
        <f t="shared" si="400"/>
        <v>262</v>
      </c>
      <c r="C262" s="36" t="s">
        <v>152</v>
      </c>
      <c r="D262" s="28" t="s">
        <v>356</v>
      </c>
      <c r="E262" s="23">
        <v>0</v>
      </c>
      <c r="F262" s="60" t="str">
        <f>"as Labor O&amp;M Exp. ("&amp;BS$1&amp;A$342&amp;")"</f>
        <v>as Labor O&amp;M Exp. (BS342)</v>
      </c>
      <c r="G262" s="60"/>
      <c r="H262" s="2">
        <f t="shared" si="574"/>
        <v>0</v>
      </c>
      <c r="I262" s="21">
        <f t="shared" ref="I262:N262" si="596">$E262*CM$342/$BR$342</f>
        <v>0</v>
      </c>
      <c r="J262" s="21">
        <f t="shared" si="596"/>
        <v>0</v>
      </c>
      <c r="K262" s="21">
        <f t="shared" si="596"/>
        <v>0</v>
      </c>
      <c r="L262" s="21">
        <f t="shared" si="596"/>
        <v>0</v>
      </c>
      <c r="M262" s="21">
        <f t="shared" si="596"/>
        <v>0</v>
      </c>
      <c r="N262" s="21">
        <f t="shared" si="596"/>
        <v>0</v>
      </c>
      <c r="O262" s="2"/>
      <c r="P262" s="61" t="str">
        <f>E$1&amp;$A262&amp;"* "&amp;CM$1&amp;A$342&amp;" / "&amp;BR$1&amp;A$342</f>
        <v>E262* CM342 / BR342</v>
      </c>
      <c r="Q262" s="61"/>
      <c r="R262" s="14">
        <f>BS$342</f>
        <v>9.4011197840194252E-2</v>
      </c>
      <c r="S262" s="14">
        <f>BT$342</f>
        <v>2.771484723001123E-2</v>
      </c>
      <c r="T262" s="14">
        <f t="shared" ref="T262:AH262" si="597">BU$342</f>
        <v>2.025083303615954E-3</v>
      </c>
      <c r="U262" s="14">
        <f t="shared" si="597"/>
        <v>1.3552480570352927E-2</v>
      </c>
      <c r="V262" s="14">
        <f t="shared" si="597"/>
        <v>0</v>
      </c>
      <c r="W262" s="14">
        <f t="shared" si="597"/>
        <v>0.1576905706846389</v>
      </c>
      <c r="X262" s="14">
        <f t="shared" si="597"/>
        <v>0</v>
      </c>
      <c r="Y262" s="14">
        <f t="shared" si="597"/>
        <v>0</v>
      </c>
      <c r="Z262" s="14">
        <f t="shared" si="597"/>
        <v>0</v>
      </c>
      <c r="AA262" s="14">
        <f t="shared" si="597"/>
        <v>0</v>
      </c>
      <c r="AB262" s="14">
        <f t="shared" si="597"/>
        <v>0.43643287397616143</v>
      </c>
      <c r="AC262" s="14">
        <f t="shared" si="597"/>
        <v>0.1792970882068218</v>
      </c>
      <c r="AD262" s="14">
        <f t="shared" si="597"/>
        <v>8.7076406980020227E-2</v>
      </c>
      <c r="AE262" s="14">
        <f t="shared" si="597"/>
        <v>0</v>
      </c>
      <c r="AF262" s="14">
        <f t="shared" si="597"/>
        <v>2.1994512081833085E-3</v>
      </c>
      <c r="AG262" s="14">
        <f t="shared" si="597"/>
        <v>0</v>
      </c>
      <c r="AH262" s="14">
        <f t="shared" si="597"/>
        <v>0</v>
      </c>
      <c r="AI262" s="76">
        <f t="shared" si="573"/>
        <v>0</v>
      </c>
      <c r="AK262" s="2">
        <f t="shared" si="577"/>
        <v>0</v>
      </c>
      <c r="AL262" s="2">
        <f t="shared" si="578"/>
        <v>0</v>
      </c>
      <c r="AM262" s="2">
        <f t="shared" si="578"/>
        <v>0</v>
      </c>
      <c r="AN262" s="2">
        <f t="shared" si="578"/>
        <v>0</v>
      </c>
      <c r="AO262" s="2">
        <f t="shared" si="578"/>
        <v>0</v>
      </c>
      <c r="AP262" s="2"/>
      <c r="AQ262" s="61" t="str">
        <f>E$1&amp;$A262&amp;"*      """</f>
        <v>E262*      "</v>
      </c>
      <c r="AS262" s="2">
        <f t="shared" si="579"/>
        <v>0</v>
      </c>
      <c r="AT262" s="2">
        <f t="shared" si="580"/>
        <v>0</v>
      </c>
      <c r="AU262" s="2">
        <f t="shared" si="580"/>
        <v>0</v>
      </c>
      <c r="AV262" s="2">
        <f t="shared" si="580"/>
        <v>0</v>
      </c>
      <c r="AW262" s="2">
        <f t="shared" si="580"/>
        <v>0</v>
      </c>
      <c r="AX262" s="2">
        <f t="shared" si="580"/>
        <v>0</v>
      </c>
      <c r="AY262" s="2">
        <f t="shared" si="580"/>
        <v>0</v>
      </c>
      <c r="BA262" s="2">
        <f t="shared" si="581"/>
        <v>0</v>
      </c>
      <c r="BB262" s="2">
        <f t="shared" si="582"/>
        <v>0</v>
      </c>
      <c r="BC262" s="2">
        <f t="shared" si="582"/>
        <v>0</v>
      </c>
      <c r="BD262" s="2">
        <f t="shared" si="582"/>
        <v>0</v>
      </c>
      <c r="BE262" s="2">
        <f t="shared" si="582"/>
        <v>0</v>
      </c>
      <c r="BF262" s="2">
        <f t="shared" si="582"/>
        <v>0</v>
      </c>
      <c r="BG262" s="2">
        <f t="shared" si="582"/>
        <v>0</v>
      </c>
      <c r="BI262" s="2">
        <f t="shared" si="583"/>
        <v>0</v>
      </c>
      <c r="BJ262" s="2">
        <f t="shared" si="584"/>
        <v>0</v>
      </c>
      <c r="BK262" s="2">
        <f t="shared" si="584"/>
        <v>0</v>
      </c>
      <c r="BL262" s="2">
        <f t="shared" si="584"/>
        <v>0</v>
      </c>
      <c r="BM262" s="2">
        <f t="shared" si="584"/>
        <v>0</v>
      </c>
      <c r="BN262" s="2">
        <f t="shared" si="584"/>
        <v>0</v>
      </c>
      <c r="BO262" s="2">
        <f t="shared" si="584"/>
        <v>0</v>
      </c>
      <c r="BQ262" s="28" t="s">
        <v>356</v>
      </c>
      <c r="BR262" s="23">
        <v>0</v>
      </c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120" t="str">
        <f t="shared" si="588"/>
        <v>as Labor O&amp;M Exp. (BS342)</v>
      </c>
      <c r="CL262" s="76">
        <f t="shared" si="536"/>
        <v>0</v>
      </c>
      <c r="CM262" s="2"/>
      <c r="CN262" s="2"/>
      <c r="CO262" s="2"/>
      <c r="CP262" s="2"/>
      <c r="CQ262" s="2"/>
      <c r="CR262" s="2"/>
    </row>
    <row r="263" spans="1:96">
      <c r="A263" s="50">
        <f t="shared" si="400"/>
        <v>263</v>
      </c>
      <c r="B263" t="s">
        <v>43</v>
      </c>
      <c r="D263" t="s">
        <v>44</v>
      </c>
      <c r="E263" s="2"/>
      <c r="F263" s="60"/>
      <c r="G263" s="60"/>
      <c r="P263" s="61"/>
      <c r="Q263" s="61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76">
        <f t="shared" si="573"/>
        <v>0</v>
      </c>
      <c r="AQ263" s="61"/>
      <c r="BQ263" t="s">
        <v>44</v>
      </c>
      <c r="BR263" s="49"/>
      <c r="CK263" s="120"/>
      <c r="CL263" s="76">
        <f t="shared" si="536"/>
        <v>0</v>
      </c>
    </row>
    <row r="264" spans="1:96">
      <c r="A264" s="50">
        <f t="shared" si="400"/>
        <v>264</v>
      </c>
      <c r="C264" s="36" t="s">
        <v>152</v>
      </c>
      <c r="D264" s="56" t="s">
        <v>148</v>
      </c>
      <c r="E264" s="436">
        <f>PROFORMA!AV129</f>
        <v>960000</v>
      </c>
      <c r="F264" s="61" t="s">
        <v>1159</v>
      </c>
      <c r="G264" s="60"/>
      <c r="H264" s="2">
        <f t="shared" ref="H264:H269" si="598">SUM(I264:N264)</f>
        <v>960000.00000000012</v>
      </c>
      <c r="I264" s="2">
        <f t="shared" ref="I264:N268" si="599">$E264*SUMPRODUCT($R264:$AH264,INDEX(AllocFactors,I$4,0))</f>
        <v>840215.77665532322</v>
      </c>
      <c r="J264" s="2">
        <f t="shared" si="599"/>
        <v>91008.564169980047</v>
      </c>
      <c r="K264" s="2">
        <f t="shared" si="599"/>
        <v>0</v>
      </c>
      <c r="L264" s="2">
        <f t="shared" si="599"/>
        <v>1126.8177161196518</v>
      </c>
      <c r="M264" s="2">
        <f t="shared" si="599"/>
        <v>27648.841458577201</v>
      </c>
      <c r="N264" s="2">
        <f t="shared" si="599"/>
        <v>0</v>
      </c>
      <c r="O264" s="2"/>
      <c r="P264" s="61" t="s">
        <v>1160</v>
      </c>
      <c r="Q264" s="61"/>
      <c r="R264" s="14">
        <f>R$257</f>
        <v>8.8133437743971782E-2</v>
      </c>
      <c r="S264" s="14">
        <f t="shared" ref="S264:AH264" si="600">S$257</f>
        <v>1.48122630432825E-2</v>
      </c>
      <c r="T264" s="14">
        <f t="shared" si="600"/>
        <v>6.2152272453224224E-3</v>
      </c>
      <c r="U264" s="14">
        <f t="shared" si="600"/>
        <v>4.15942131033116E-2</v>
      </c>
      <c r="V264" s="14">
        <f t="shared" si="600"/>
        <v>0</v>
      </c>
      <c r="W264" s="14">
        <f t="shared" si="600"/>
        <v>0.15413680450310352</v>
      </c>
      <c r="X264" s="14">
        <f t="shared" si="600"/>
        <v>0</v>
      </c>
      <c r="Y264" s="14">
        <f t="shared" si="600"/>
        <v>0</v>
      </c>
      <c r="Z264" s="14">
        <f t="shared" si="600"/>
        <v>0</v>
      </c>
      <c r="AA264" s="14">
        <f t="shared" si="600"/>
        <v>0</v>
      </c>
      <c r="AB264" s="14">
        <f t="shared" si="600"/>
        <v>0.45505508837908676</v>
      </c>
      <c r="AC264" s="14">
        <f t="shared" si="600"/>
        <v>0.16681683403029823</v>
      </c>
      <c r="AD264" s="14">
        <f t="shared" si="600"/>
        <v>7.1278348815059178E-2</v>
      </c>
      <c r="AE264" s="14">
        <f t="shared" si="600"/>
        <v>0</v>
      </c>
      <c r="AF264" s="14">
        <f t="shared" si="600"/>
        <v>1.9577831365640468E-3</v>
      </c>
      <c r="AG264" s="14">
        <f t="shared" si="600"/>
        <v>0</v>
      </c>
      <c r="AH264" s="14">
        <f t="shared" si="600"/>
        <v>0</v>
      </c>
      <c r="AI264" s="76">
        <f t="shared" si="573"/>
        <v>0</v>
      </c>
      <c r="AK264" s="2">
        <f t="shared" ref="AK264:AK269" si="601">SUM(AL264:AO264)</f>
        <v>960000</v>
      </c>
      <c r="AL264" s="2">
        <f t="shared" ref="AL264:AO269" si="602">SUMIF($R$4:$AH$4,AL$5,$R264:$AH264)*$E264</f>
        <v>144724.93549045274</v>
      </c>
      <c r="AM264" s="2">
        <f t="shared" si="602"/>
        <v>147971.33232297938</v>
      </c>
      <c r="AN264" s="2">
        <f t="shared" si="602"/>
        <v>667303.73218656785</v>
      </c>
      <c r="AO264" s="2">
        <f t="shared" si="602"/>
        <v>0</v>
      </c>
      <c r="AP264" s="2"/>
      <c r="AQ264" s="61" t="str">
        <f>E$1&amp;$A264&amp;"*["&amp;R$1&amp;$A264&amp;":"&amp;$AH$1&amp;$A264&amp;" when "&amp;R$1&amp;$A$4&amp;":"&amp;$AH$1&amp;$A$4&amp;" = E,D,C,or R]"</f>
        <v>E264*[R264:AH264 when R4:AH4 = E,D,C,or R]</v>
      </c>
      <c r="AS264" s="2">
        <f t="shared" ref="AS264:AS269" si="603">SUM(AT264:AY264)</f>
        <v>144724.93549045277</v>
      </c>
      <c r="AT264" s="2">
        <f t="shared" ref="AT264:AY269" si="604">$E264*SUMPRODUCT($R264:$V264,INDEX(AllocFactors_E,AT$4,0))</f>
        <v>92214.174079190227</v>
      </c>
      <c r="AU264" s="2">
        <f t="shared" si="604"/>
        <v>38024.397100947113</v>
      </c>
      <c r="AV264" s="2">
        <f t="shared" si="604"/>
        <v>0</v>
      </c>
      <c r="AW264" s="2">
        <f t="shared" si="604"/>
        <v>593.70236063884056</v>
      </c>
      <c r="AX264" s="2">
        <f t="shared" si="604"/>
        <v>13892.661949676591</v>
      </c>
      <c r="AY264" s="2">
        <f t="shared" si="604"/>
        <v>0</v>
      </c>
      <c r="BA264" s="2">
        <f t="shared" ref="BA264:BA269" si="605">SUM(BB264:BG264)</f>
        <v>147971.33232297938</v>
      </c>
      <c r="BB264" s="2">
        <f t="shared" ref="BB264:BG269" si="606">$E264*SUMPRODUCT($W264:$AA264,INDEX(AllocFactors_D,BB$4,0))</f>
        <v>101036.04290749607</v>
      </c>
      <c r="BC264" s="2">
        <f t="shared" si="606"/>
        <v>34198.154214456103</v>
      </c>
      <c r="BD264" s="2">
        <f t="shared" si="606"/>
        <v>0</v>
      </c>
      <c r="BE264" s="2">
        <f t="shared" si="606"/>
        <v>429.62399153859639</v>
      </c>
      <c r="BF264" s="2">
        <f t="shared" si="606"/>
        <v>12307.511209488606</v>
      </c>
      <c r="BG264" s="2">
        <f t="shared" si="606"/>
        <v>0</v>
      </c>
      <c r="BI264" s="2">
        <f t="shared" ref="BI264:BI269" si="607">SUM(BJ264:BO264)</f>
        <v>667303.73218656785</v>
      </c>
      <c r="BJ264" s="2">
        <f t="shared" ref="BJ264:BO269" si="608">$E264*SUMPRODUCT($AB264:$AG264,INDEX(AllocFactors_C,BJ$4,0))</f>
        <v>646965.55966863688</v>
      </c>
      <c r="BK264" s="2">
        <f t="shared" si="608"/>
        <v>18786.012854576824</v>
      </c>
      <c r="BL264" s="2">
        <f t="shared" si="608"/>
        <v>0</v>
      </c>
      <c r="BM264" s="2">
        <f t="shared" si="608"/>
        <v>103.49136394221493</v>
      </c>
      <c r="BN264" s="2">
        <f t="shared" si="608"/>
        <v>1448.6682994119997</v>
      </c>
      <c r="BO264" s="2">
        <f t="shared" si="608"/>
        <v>0</v>
      </c>
      <c r="BQ264" s="28" t="s">
        <v>352</v>
      </c>
      <c r="BR264" s="23">
        <v>82203</v>
      </c>
      <c r="BS264" s="14">
        <f t="shared" ref="BS264:BU265" si="609">R264</f>
        <v>8.8133437743971782E-2</v>
      </c>
      <c r="BT264" s="14">
        <f t="shared" si="609"/>
        <v>1.48122630432825E-2</v>
      </c>
      <c r="BU264" s="14">
        <f t="shared" si="609"/>
        <v>6.2152272453224224E-3</v>
      </c>
      <c r="BV264" s="14">
        <f t="shared" ref="BV264:CE265" si="610">U264</f>
        <v>4.15942131033116E-2</v>
      </c>
      <c r="BW264" s="14">
        <f t="shared" si="610"/>
        <v>0</v>
      </c>
      <c r="BX264" s="14">
        <f t="shared" si="610"/>
        <v>0.15413680450310352</v>
      </c>
      <c r="BY264" s="14">
        <f t="shared" si="610"/>
        <v>0</v>
      </c>
      <c r="BZ264" s="14">
        <f t="shared" si="610"/>
        <v>0</v>
      </c>
      <c r="CA264" s="14">
        <f t="shared" si="610"/>
        <v>0</v>
      </c>
      <c r="CB264" s="14">
        <f t="shared" si="610"/>
        <v>0</v>
      </c>
      <c r="CC264" s="14">
        <f t="shared" si="610"/>
        <v>0.45505508837908676</v>
      </c>
      <c r="CD264" s="14">
        <f t="shared" si="610"/>
        <v>0.16681683403029823</v>
      </c>
      <c r="CE264" s="14">
        <f t="shared" si="610"/>
        <v>7.1278348815059178E-2</v>
      </c>
      <c r="CF264" s="14">
        <f>AE264</f>
        <v>0</v>
      </c>
      <c r="CG264" s="14">
        <f t="shared" ref="CG264:CI265" si="611">AF264</f>
        <v>1.9577831365640468E-3</v>
      </c>
      <c r="CH264" s="14">
        <f t="shared" si="611"/>
        <v>0</v>
      </c>
      <c r="CI264" s="14">
        <f t="shared" si="611"/>
        <v>0</v>
      </c>
      <c r="CJ264" s="14"/>
      <c r="CK264" s="120" t="str">
        <f t="shared" ref="CK264:CK269" si="612">F264</f>
        <v>4-Factor</v>
      </c>
      <c r="CL264" s="76">
        <f t="shared" si="536"/>
        <v>0</v>
      </c>
      <c r="CM264" s="2">
        <f t="shared" ref="CM264:CR268" si="613">$BR264*SUMPRODUCT($BS264:$CI264,INDEX(AllocFactors,CM$170,0))</f>
        <v>71946.101550414096</v>
      </c>
      <c r="CN264" s="2">
        <f t="shared" si="613"/>
        <v>7792.8927088175733</v>
      </c>
      <c r="CO264" s="2">
        <f t="shared" si="613"/>
        <v>0</v>
      </c>
      <c r="CP264" s="2">
        <f t="shared" si="613"/>
        <v>96.487288248108058</v>
      </c>
      <c r="CQ264" s="2">
        <f t="shared" si="613"/>
        <v>2367.5184525202308</v>
      </c>
      <c r="CR264" s="2">
        <f t="shared" si="613"/>
        <v>0</v>
      </c>
    </row>
    <row r="265" spans="1:96">
      <c r="A265" s="50">
        <f t="shared" si="400"/>
        <v>265</v>
      </c>
      <c r="C265" s="36" t="s">
        <v>152</v>
      </c>
      <c r="D265" s="56" t="s">
        <v>353</v>
      </c>
      <c r="E265" s="150">
        <v>0</v>
      </c>
      <c r="F265" s="524" t="s">
        <v>445</v>
      </c>
      <c r="G265" s="60"/>
      <c r="H265" s="2">
        <f t="shared" si="598"/>
        <v>0</v>
      </c>
      <c r="I265" s="2">
        <f t="shared" si="599"/>
        <v>0</v>
      </c>
      <c r="J265" s="2">
        <f t="shared" si="599"/>
        <v>0</v>
      </c>
      <c r="K265" s="2">
        <f t="shared" si="599"/>
        <v>0</v>
      </c>
      <c r="L265" s="2">
        <f t="shared" si="599"/>
        <v>0</v>
      </c>
      <c r="M265" s="2">
        <f t="shared" si="599"/>
        <v>0</v>
      </c>
      <c r="N265" s="2">
        <f t="shared" si="599"/>
        <v>0</v>
      </c>
      <c r="O265" s="2"/>
      <c r="P265" s="61" t="str">
        <f>E$1&amp;$A265&amp;"*     """</f>
        <v>E265*     "</v>
      </c>
      <c r="Q265" s="61"/>
      <c r="R265" s="523">
        <v>1</v>
      </c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76">
        <f t="shared" si="573"/>
        <v>0</v>
      </c>
      <c r="AK265" s="2">
        <f t="shared" si="601"/>
        <v>0</v>
      </c>
      <c r="AL265" s="2">
        <f t="shared" si="602"/>
        <v>0</v>
      </c>
      <c r="AM265" s="2">
        <f t="shared" si="602"/>
        <v>0</v>
      </c>
      <c r="AN265" s="2">
        <f t="shared" si="602"/>
        <v>0</v>
      </c>
      <c r="AO265" s="2">
        <f t="shared" si="602"/>
        <v>0</v>
      </c>
      <c r="AP265" s="2"/>
      <c r="AQ265" s="61" t="str">
        <f>E$1&amp;$A265&amp;"*      """</f>
        <v>E265*      "</v>
      </c>
      <c r="AS265" s="2">
        <f t="shared" si="603"/>
        <v>0</v>
      </c>
      <c r="AT265" s="2">
        <f t="shared" si="604"/>
        <v>0</v>
      </c>
      <c r="AU265" s="2">
        <f t="shared" si="604"/>
        <v>0</v>
      </c>
      <c r="AV265" s="2">
        <f t="shared" si="604"/>
        <v>0</v>
      </c>
      <c r="AW265" s="2">
        <f t="shared" si="604"/>
        <v>0</v>
      </c>
      <c r="AX265" s="2">
        <f t="shared" si="604"/>
        <v>0</v>
      </c>
      <c r="AY265" s="2">
        <f t="shared" si="604"/>
        <v>0</v>
      </c>
      <c r="BA265" s="2">
        <f t="shared" si="605"/>
        <v>0</v>
      </c>
      <c r="BB265" s="2">
        <f t="shared" si="606"/>
        <v>0</v>
      </c>
      <c r="BC265" s="2">
        <f t="shared" si="606"/>
        <v>0</v>
      </c>
      <c r="BD265" s="2">
        <f t="shared" si="606"/>
        <v>0</v>
      </c>
      <c r="BE265" s="2">
        <f t="shared" si="606"/>
        <v>0</v>
      </c>
      <c r="BF265" s="2">
        <f t="shared" si="606"/>
        <v>0</v>
      </c>
      <c r="BG265" s="2">
        <f t="shared" si="606"/>
        <v>0</v>
      </c>
      <c r="BI265" s="2">
        <f t="shared" si="607"/>
        <v>0</v>
      </c>
      <c r="BJ265" s="2">
        <f t="shared" si="608"/>
        <v>0</v>
      </c>
      <c r="BK265" s="2">
        <f t="shared" si="608"/>
        <v>0</v>
      </c>
      <c r="BL265" s="2">
        <f t="shared" si="608"/>
        <v>0</v>
      </c>
      <c r="BM265" s="2">
        <f t="shared" si="608"/>
        <v>0</v>
      </c>
      <c r="BN265" s="2">
        <f t="shared" si="608"/>
        <v>0</v>
      </c>
      <c r="BO265" s="2">
        <f t="shared" si="608"/>
        <v>0</v>
      </c>
      <c r="BQ265" s="28" t="s">
        <v>353</v>
      </c>
      <c r="BR265" s="23">
        <v>0</v>
      </c>
      <c r="BS265" s="14">
        <f t="shared" si="609"/>
        <v>1</v>
      </c>
      <c r="BT265" s="14">
        <f t="shared" si="609"/>
        <v>0</v>
      </c>
      <c r="BU265" s="14">
        <f t="shared" si="609"/>
        <v>0</v>
      </c>
      <c r="BV265" s="14">
        <f t="shared" si="610"/>
        <v>0</v>
      </c>
      <c r="BW265" s="14">
        <f t="shared" si="610"/>
        <v>0</v>
      </c>
      <c r="BX265" s="14">
        <f t="shared" si="610"/>
        <v>0</v>
      </c>
      <c r="BY265" s="14">
        <f t="shared" si="610"/>
        <v>0</v>
      </c>
      <c r="BZ265" s="14">
        <f t="shared" si="610"/>
        <v>0</v>
      </c>
      <c r="CA265" s="14">
        <f t="shared" si="610"/>
        <v>0</v>
      </c>
      <c r="CB265" s="14">
        <f t="shared" si="610"/>
        <v>0</v>
      </c>
      <c r="CC265" s="14">
        <f t="shared" si="610"/>
        <v>0</v>
      </c>
      <c r="CD265" s="14">
        <f t="shared" si="610"/>
        <v>0</v>
      </c>
      <c r="CE265" s="14">
        <f t="shared" si="610"/>
        <v>0</v>
      </c>
      <c r="CF265" s="14">
        <f>AE265</f>
        <v>0</v>
      </c>
      <c r="CG265" s="14">
        <f t="shared" si="611"/>
        <v>0</v>
      </c>
      <c r="CH265" s="14">
        <f t="shared" si="611"/>
        <v>0</v>
      </c>
      <c r="CI265" s="14">
        <f t="shared" si="611"/>
        <v>0</v>
      </c>
      <c r="CJ265" s="14"/>
      <c r="CK265" s="120" t="str">
        <f t="shared" si="612"/>
        <v>Input - 100% Throughput</v>
      </c>
      <c r="CL265" s="76">
        <f t="shared" si="536"/>
        <v>0</v>
      </c>
      <c r="CM265" s="2">
        <f t="shared" si="613"/>
        <v>0</v>
      </c>
      <c r="CN265" s="2">
        <f t="shared" si="613"/>
        <v>0</v>
      </c>
      <c r="CO265" s="2">
        <f t="shared" si="613"/>
        <v>0</v>
      </c>
      <c r="CP265" s="2">
        <f t="shared" si="613"/>
        <v>0</v>
      </c>
      <c r="CQ265" s="2">
        <f t="shared" si="613"/>
        <v>0</v>
      </c>
      <c r="CR265" s="2">
        <f t="shared" si="613"/>
        <v>0</v>
      </c>
    </row>
    <row r="266" spans="1:96">
      <c r="A266" s="50">
        <f t="shared" si="400"/>
        <v>266</v>
      </c>
      <c r="C266" s="36" t="s">
        <v>152</v>
      </c>
      <c r="D266" s="28" t="s">
        <v>354</v>
      </c>
      <c r="E266" s="23">
        <v>0</v>
      </c>
      <c r="F266" s="60" t="str">
        <f>"as Plant in Service ("&amp;A$58&amp;")"</f>
        <v>as Plant in Service (58)</v>
      </c>
      <c r="G266" s="60"/>
      <c r="H266" s="2">
        <f t="shared" si="598"/>
        <v>0</v>
      </c>
      <c r="I266" s="2">
        <f t="shared" si="599"/>
        <v>0</v>
      </c>
      <c r="J266" s="2">
        <f t="shared" si="599"/>
        <v>0</v>
      </c>
      <c r="K266" s="2">
        <f t="shared" si="599"/>
        <v>0</v>
      </c>
      <c r="L266" s="2">
        <f t="shared" si="599"/>
        <v>0</v>
      </c>
      <c r="M266" s="2">
        <f t="shared" si="599"/>
        <v>0</v>
      </c>
      <c r="N266" s="2">
        <f t="shared" si="599"/>
        <v>0</v>
      </c>
      <c r="O266" s="2"/>
      <c r="P266" s="61" t="str">
        <f>E$1&amp;$A266&amp;"*     """</f>
        <v>E266*     "</v>
      </c>
      <c r="Q266" s="61"/>
      <c r="R266" s="14">
        <f>R$58</f>
        <v>0.15278530527507739</v>
      </c>
      <c r="S266" s="14">
        <f t="shared" ref="S266:AH266" si="614">S$58</f>
        <v>3.164969422787912E-3</v>
      </c>
      <c r="T266" s="14">
        <f t="shared" si="614"/>
        <v>6.9829362297418388E-3</v>
      </c>
      <c r="U266" s="14">
        <f t="shared" si="614"/>
        <v>4.673195784519539E-2</v>
      </c>
      <c r="V266" s="14">
        <f t="shared" si="614"/>
        <v>0</v>
      </c>
      <c r="W266" s="14">
        <f t="shared" si="614"/>
        <v>0.27991526808724082</v>
      </c>
      <c r="X266" s="14">
        <f t="shared" si="614"/>
        <v>0</v>
      </c>
      <c r="Y266" s="14">
        <f t="shared" si="614"/>
        <v>0</v>
      </c>
      <c r="Z266" s="14">
        <f t="shared" si="614"/>
        <v>0</v>
      </c>
      <c r="AA266" s="14">
        <f t="shared" si="614"/>
        <v>0</v>
      </c>
      <c r="AB266" s="14">
        <f t="shared" si="614"/>
        <v>9.7232640022350991E-2</v>
      </c>
      <c r="AC266" s="14">
        <f t="shared" si="614"/>
        <v>0.29403559958561315</v>
      </c>
      <c r="AD266" s="14">
        <f t="shared" si="614"/>
        <v>0.1147688867063851</v>
      </c>
      <c r="AE266" s="14">
        <f t="shared" si="614"/>
        <v>0</v>
      </c>
      <c r="AF266" s="14">
        <f t="shared" si="614"/>
        <v>4.3824368256074331E-3</v>
      </c>
      <c r="AG266" s="14">
        <f t="shared" si="614"/>
        <v>0</v>
      </c>
      <c r="AH266" s="14">
        <f t="shared" si="614"/>
        <v>0</v>
      </c>
      <c r="AI266" s="76">
        <f t="shared" si="573"/>
        <v>0</v>
      </c>
      <c r="AK266" s="2">
        <f t="shared" si="601"/>
        <v>0</v>
      </c>
      <c r="AL266" s="2">
        <f t="shared" si="602"/>
        <v>0</v>
      </c>
      <c r="AM266" s="2">
        <f t="shared" si="602"/>
        <v>0</v>
      </c>
      <c r="AN266" s="2">
        <f t="shared" si="602"/>
        <v>0</v>
      </c>
      <c r="AO266" s="2">
        <f t="shared" si="602"/>
        <v>0</v>
      </c>
      <c r="AP266" s="2"/>
      <c r="AQ266" s="61" t="str">
        <f>E$1&amp;$A266&amp;"*      """</f>
        <v>E266*      "</v>
      </c>
      <c r="AS266" s="2">
        <f t="shared" si="603"/>
        <v>0</v>
      </c>
      <c r="AT266" s="2">
        <f t="shared" si="604"/>
        <v>0</v>
      </c>
      <c r="AU266" s="2">
        <f t="shared" si="604"/>
        <v>0</v>
      </c>
      <c r="AV266" s="2">
        <f t="shared" si="604"/>
        <v>0</v>
      </c>
      <c r="AW266" s="2">
        <f t="shared" si="604"/>
        <v>0</v>
      </c>
      <c r="AX266" s="2">
        <f t="shared" si="604"/>
        <v>0</v>
      </c>
      <c r="AY266" s="2">
        <f t="shared" si="604"/>
        <v>0</v>
      </c>
      <c r="BA266" s="2">
        <f t="shared" si="605"/>
        <v>0</v>
      </c>
      <c r="BB266" s="2">
        <f t="shared" si="606"/>
        <v>0</v>
      </c>
      <c r="BC266" s="2">
        <f t="shared" si="606"/>
        <v>0</v>
      </c>
      <c r="BD266" s="2">
        <f t="shared" si="606"/>
        <v>0</v>
      </c>
      <c r="BE266" s="2">
        <f t="shared" si="606"/>
        <v>0</v>
      </c>
      <c r="BF266" s="2">
        <f t="shared" si="606"/>
        <v>0</v>
      </c>
      <c r="BG266" s="2">
        <f t="shared" si="606"/>
        <v>0</v>
      </c>
      <c r="BI266" s="2">
        <f t="shared" si="607"/>
        <v>0</v>
      </c>
      <c r="BJ266" s="2">
        <f t="shared" si="608"/>
        <v>0</v>
      </c>
      <c r="BK266" s="2">
        <f t="shared" si="608"/>
        <v>0</v>
      </c>
      <c r="BL266" s="2">
        <f t="shared" si="608"/>
        <v>0</v>
      </c>
      <c r="BM266" s="2">
        <f t="shared" si="608"/>
        <v>0</v>
      </c>
      <c r="BN266" s="2">
        <f t="shared" si="608"/>
        <v>0</v>
      </c>
      <c r="BO266" s="2">
        <f t="shared" si="608"/>
        <v>0</v>
      </c>
      <c r="BQ266" s="28" t="s">
        <v>354</v>
      </c>
      <c r="BR266" s="23">
        <v>0</v>
      </c>
      <c r="BS266" s="14">
        <f>R$58</f>
        <v>0.15278530527507739</v>
      </c>
      <c r="BT266" s="14">
        <f>S$58</f>
        <v>3.164969422787912E-3</v>
      </c>
      <c r="BU266" s="14">
        <f>T$58</f>
        <v>6.9829362297418388E-3</v>
      </c>
      <c r="BV266" s="14">
        <f t="shared" ref="BV266:CI266" si="615">U$58</f>
        <v>4.673195784519539E-2</v>
      </c>
      <c r="BW266" s="14">
        <f t="shared" si="615"/>
        <v>0</v>
      </c>
      <c r="BX266" s="14">
        <f t="shared" si="615"/>
        <v>0.27991526808724082</v>
      </c>
      <c r="BY266" s="14">
        <f t="shared" si="615"/>
        <v>0</v>
      </c>
      <c r="BZ266" s="14">
        <f t="shared" si="615"/>
        <v>0</v>
      </c>
      <c r="CA266" s="14">
        <f t="shared" si="615"/>
        <v>0</v>
      </c>
      <c r="CB266" s="14">
        <f t="shared" si="615"/>
        <v>0</v>
      </c>
      <c r="CC266" s="14">
        <f t="shared" si="615"/>
        <v>9.7232640022350991E-2</v>
      </c>
      <c r="CD266" s="14">
        <f t="shared" si="615"/>
        <v>0.29403559958561315</v>
      </c>
      <c r="CE266" s="14">
        <f t="shared" si="615"/>
        <v>0.1147688867063851</v>
      </c>
      <c r="CF266" s="14">
        <f t="shared" si="615"/>
        <v>0</v>
      </c>
      <c r="CG266" s="14">
        <f t="shared" si="615"/>
        <v>4.3824368256074331E-3</v>
      </c>
      <c r="CH266" s="14">
        <f t="shared" si="615"/>
        <v>0</v>
      </c>
      <c r="CI266" s="14">
        <f t="shared" si="615"/>
        <v>0</v>
      </c>
      <c r="CJ266" s="14"/>
      <c r="CK266" s="120" t="str">
        <f t="shared" si="612"/>
        <v>as Plant in Service (58)</v>
      </c>
      <c r="CL266" s="76">
        <f t="shared" si="536"/>
        <v>0</v>
      </c>
      <c r="CM266" s="2">
        <f t="shared" si="613"/>
        <v>0</v>
      </c>
      <c r="CN266" s="2">
        <f t="shared" si="613"/>
        <v>0</v>
      </c>
      <c r="CO266" s="2">
        <f t="shared" si="613"/>
        <v>0</v>
      </c>
      <c r="CP266" s="2">
        <f t="shared" si="613"/>
        <v>0</v>
      </c>
      <c r="CQ266" s="2">
        <f t="shared" si="613"/>
        <v>0</v>
      </c>
      <c r="CR266" s="2">
        <f t="shared" si="613"/>
        <v>0</v>
      </c>
    </row>
    <row r="267" spans="1:96">
      <c r="A267" s="50">
        <f t="shared" ref="A267:A330" si="616">RowHdr</f>
        <v>267</v>
      </c>
      <c r="C267" s="36" t="s">
        <v>157</v>
      </c>
      <c r="D267" s="28" t="s">
        <v>355</v>
      </c>
      <c r="E267" s="23">
        <v>0</v>
      </c>
      <c r="F267" s="60" t="s">
        <v>451</v>
      </c>
      <c r="G267" s="60"/>
      <c r="H267" s="2">
        <f t="shared" si="598"/>
        <v>0</v>
      </c>
      <c r="I267" s="2">
        <f t="shared" si="599"/>
        <v>0</v>
      </c>
      <c r="J267" s="2">
        <f t="shared" si="599"/>
        <v>0</v>
      </c>
      <c r="K267" s="2">
        <f t="shared" si="599"/>
        <v>0</v>
      </c>
      <c r="L267" s="2">
        <f t="shared" si="599"/>
        <v>0</v>
      </c>
      <c r="M267" s="2">
        <f t="shared" si="599"/>
        <v>0</v>
      </c>
      <c r="N267" s="2">
        <f t="shared" si="599"/>
        <v>0</v>
      </c>
      <c r="O267" s="2"/>
      <c r="P267" s="61" t="str">
        <f>E$1&amp;$A267&amp;"*     """</f>
        <v>E267*     "</v>
      </c>
      <c r="Q267" s="61"/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1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76">
        <f t="shared" si="573"/>
        <v>0</v>
      </c>
      <c r="AK267" s="2">
        <f t="shared" si="601"/>
        <v>0</v>
      </c>
      <c r="AL267" s="2">
        <f t="shared" si="602"/>
        <v>0</v>
      </c>
      <c r="AM267" s="2">
        <f t="shared" si="602"/>
        <v>0</v>
      </c>
      <c r="AN267" s="2">
        <f t="shared" si="602"/>
        <v>0</v>
      </c>
      <c r="AO267" s="2">
        <f t="shared" si="602"/>
        <v>0</v>
      </c>
      <c r="AP267" s="2"/>
      <c r="AQ267" s="61" t="str">
        <f>E$1&amp;$A267&amp;"*      """</f>
        <v>E267*      "</v>
      </c>
      <c r="AS267" s="2">
        <f t="shared" si="603"/>
        <v>0</v>
      </c>
      <c r="AT267" s="2">
        <f t="shared" si="604"/>
        <v>0</v>
      </c>
      <c r="AU267" s="2">
        <f t="shared" si="604"/>
        <v>0</v>
      </c>
      <c r="AV267" s="2">
        <f t="shared" si="604"/>
        <v>0</v>
      </c>
      <c r="AW267" s="2">
        <f t="shared" si="604"/>
        <v>0</v>
      </c>
      <c r="AX267" s="2">
        <f t="shared" si="604"/>
        <v>0</v>
      </c>
      <c r="AY267" s="2">
        <f t="shared" si="604"/>
        <v>0</v>
      </c>
      <c r="BA267" s="2">
        <f t="shared" si="605"/>
        <v>0</v>
      </c>
      <c r="BB267" s="2">
        <f t="shared" si="606"/>
        <v>0</v>
      </c>
      <c r="BC267" s="2">
        <f t="shared" si="606"/>
        <v>0</v>
      </c>
      <c r="BD267" s="2">
        <f t="shared" si="606"/>
        <v>0</v>
      </c>
      <c r="BE267" s="2">
        <f t="shared" si="606"/>
        <v>0</v>
      </c>
      <c r="BF267" s="2">
        <f t="shared" si="606"/>
        <v>0</v>
      </c>
      <c r="BG267" s="2">
        <f t="shared" si="606"/>
        <v>0</v>
      </c>
      <c r="BI267" s="2">
        <f t="shared" si="607"/>
        <v>0</v>
      </c>
      <c r="BJ267" s="2">
        <f t="shared" si="608"/>
        <v>0</v>
      </c>
      <c r="BK267" s="2">
        <f t="shared" si="608"/>
        <v>0</v>
      </c>
      <c r="BL267" s="2">
        <f t="shared" si="608"/>
        <v>0</v>
      </c>
      <c r="BM267" s="2">
        <f t="shared" si="608"/>
        <v>0</v>
      </c>
      <c r="BN267" s="2">
        <f t="shared" si="608"/>
        <v>0</v>
      </c>
      <c r="BO267" s="2">
        <f t="shared" si="608"/>
        <v>0</v>
      </c>
      <c r="BQ267" s="28" t="s">
        <v>355</v>
      </c>
      <c r="BR267" s="23">
        <v>0</v>
      </c>
      <c r="BS267" s="14">
        <f t="shared" ref="BS267:BU268" si="617">R267</f>
        <v>0</v>
      </c>
      <c r="BT267" s="14">
        <f t="shared" si="617"/>
        <v>0</v>
      </c>
      <c r="BU267" s="14">
        <f t="shared" si="617"/>
        <v>0</v>
      </c>
      <c r="BV267" s="14">
        <f t="shared" ref="BV267:CB268" si="618">U267</f>
        <v>0</v>
      </c>
      <c r="BW267" s="14">
        <f t="shared" si="618"/>
        <v>0</v>
      </c>
      <c r="BX267" s="14">
        <f t="shared" si="618"/>
        <v>0</v>
      </c>
      <c r="BY267" s="14">
        <f t="shared" si="618"/>
        <v>0</v>
      </c>
      <c r="BZ267" s="14">
        <f t="shared" si="618"/>
        <v>0</v>
      </c>
      <c r="CA267" s="14">
        <f t="shared" si="618"/>
        <v>0</v>
      </c>
      <c r="CB267" s="14">
        <f t="shared" si="618"/>
        <v>0</v>
      </c>
      <c r="CC267" s="14">
        <f t="shared" ref="CC267:CF268" si="619">AB267</f>
        <v>1</v>
      </c>
      <c r="CD267" s="14">
        <f t="shared" si="619"/>
        <v>0</v>
      </c>
      <c r="CE267" s="14">
        <f t="shared" si="619"/>
        <v>0</v>
      </c>
      <c r="CF267" s="14">
        <f t="shared" si="619"/>
        <v>0</v>
      </c>
      <c r="CG267" s="14">
        <f t="shared" ref="CG267:CI268" si="620">AF267</f>
        <v>0</v>
      </c>
      <c r="CH267" s="14">
        <f t="shared" si="620"/>
        <v>0</v>
      </c>
      <c r="CI267" s="14">
        <f t="shared" si="620"/>
        <v>0</v>
      </c>
      <c r="CJ267" s="14"/>
      <c r="CK267" s="120" t="str">
        <f t="shared" si="612"/>
        <v>Input - 100% Cust</v>
      </c>
      <c r="CL267" s="76">
        <f t="shared" si="536"/>
        <v>0</v>
      </c>
      <c r="CM267" s="2">
        <f t="shared" si="613"/>
        <v>0</v>
      </c>
      <c r="CN267" s="2">
        <f t="shared" si="613"/>
        <v>0</v>
      </c>
      <c r="CO267" s="2">
        <f t="shared" si="613"/>
        <v>0</v>
      </c>
      <c r="CP267" s="2">
        <f t="shared" si="613"/>
        <v>0</v>
      </c>
      <c r="CQ267" s="2">
        <f t="shared" si="613"/>
        <v>0</v>
      </c>
      <c r="CR267" s="2">
        <f t="shared" si="613"/>
        <v>0</v>
      </c>
    </row>
    <row r="268" spans="1:96">
      <c r="A268" s="50">
        <f t="shared" si="616"/>
        <v>268</v>
      </c>
      <c r="C268" s="36" t="s">
        <v>156</v>
      </c>
      <c r="D268" s="28" t="s">
        <v>351</v>
      </c>
      <c r="E268" s="23">
        <v>0</v>
      </c>
      <c r="F268" s="60" t="s">
        <v>452</v>
      </c>
      <c r="G268" s="60"/>
      <c r="H268" s="2">
        <f t="shared" si="598"/>
        <v>0</v>
      </c>
      <c r="I268" s="2">
        <f t="shared" si="599"/>
        <v>0</v>
      </c>
      <c r="J268" s="2">
        <f t="shared" si="599"/>
        <v>0</v>
      </c>
      <c r="K268" s="2">
        <f t="shared" si="599"/>
        <v>0</v>
      </c>
      <c r="L268" s="2">
        <f t="shared" si="599"/>
        <v>0</v>
      </c>
      <c r="M268" s="2">
        <f t="shared" si="599"/>
        <v>0</v>
      </c>
      <c r="N268" s="2">
        <f t="shared" si="599"/>
        <v>0</v>
      </c>
      <c r="O268" s="2"/>
      <c r="P268" s="61" t="str">
        <f>E$1&amp;$A268&amp;"*     """</f>
        <v>E268*     "</v>
      </c>
      <c r="Q268" s="61"/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1</v>
      </c>
      <c r="AI268" s="76">
        <f t="shared" si="573"/>
        <v>0</v>
      </c>
      <c r="AK268" s="2">
        <f t="shared" si="601"/>
        <v>0</v>
      </c>
      <c r="AL268" s="2">
        <f t="shared" si="602"/>
        <v>0</v>
      </c>
      <c r="AM268" s="2">
        <f t="shared" si="602"/>
        <v>0</v>
      </c>
      <c r="AN268" s="2">
        <f t="shared" si="602"/>
        <v>0</v>
      </c>
      <c r="AO268" s="2">
        <f t="shared" si="602"/>
        <v>0</v>
      </c>
      <c r="AP268" s="2"/>
      <c r="AQ268" s="61" t="str">
        <f>E$1&amp;$A268&amp;"*      """</f>
        <v>E268*      "</v>
      </c>
      <c r="AS268" s="2">
        <f t="shared" si="603"/>
        <v>0</v>
      </c>
      <c r="AT268" s="2">
        <f t="shared" si="604"/>
        <v>0</v>
      </c>
      <c r="AU268" s="2">
        <f t="shared" si="604"/>
        <v>0</v>
      </c>
      <c r="AV268" s="2">
        <f t="shared" si="604"/>
        <v>0</v>
      </c>
      <c r="AW268" s="2">
        <f t="shared" si="604"/>
        <v>0</v>
      </c>
      <c r="AX268" s="2">
        <f t="shared" si="604"/>
        <v>0</v>
      </c>
      <c r="AY268" s="2">
        <f t="shared" si="604"/>
        <v>0</v>
      </c>
      <c r="BA268" s="2">
        <f t="shared" si="605"/>
        <v>0</v>
      </c>
      <c r="BB268" s="2">
        <f t="shared" si="606"/>
        <v>0</v>
      </c>
      <c r="BC268" s="2">
        <f t="shared" si="606"/>
        <v>0</v>
      </c>
      <c r="BD268" s="2">
        <f t="shared" si="606"/>
        <v>0</v>
      </c>
      <c r="BE268" s="2">
        <f t="shared" si="606"/>
        <v>0</v>
      </c>
      <c r="BF268" s="2">
        <f t="shared" si="606"/>
        <v>0</v>
      </c>
      <c r="BG268" s="2">
        <f t="shared" si="606"/>
        <v>0</v>
      </c>
      <c r="BI268" s="2">
        <f t="shared" si="607"/>
        <v>0</v>
      </c>
      <c r="BJ268" s="2">
        <f t="shared" si="608"/>
        <v>0</v>
      </c>
      <c r="BK268" s="2">
        <f t="shared" si="608"/>
        <v>0</v>
      </c>
      <c r="BL268" s="2">
        <f t="shared" si="608"/>
        <v>0</v>
      </c>
      <c r="BM268" s="2">
        <f t="shared" si="608"/>
        <v>0</v>
      </c>
      <c r="BN268" s="2">
        <f t="shared" si="608"/>
        <v>0</v>
      </c>
      <c r="BO268" s="2">
        <f t="shared" si="608"/>
        <v>0</v>
      </c>
      <c r="BQ268" s="28" t="s">
        <v>351</v>
      </c>
      <c r="BR268" s="23">
        <v>0</v>
      </c>
      <c r="BS268" s="14">
        <f t="shared" si="617"/>
        <v>0</v>
      </c>
      <c r="BT268" s="14">
        <f t="shared" si="617"/>
        <v>0</v>
      </c>
      <c r="BU268" s="14">
        <f t="shared" si="617"/>
        <v>0</v>
      </c>
      <c r="BV268" s="14">
        <f t="shared" si="618"/>
        <v>0</v>
      </c>
      <c r="BW268" s="14">
        <f t="shared" si="618"/>
        <v>0</v>
      </c>
      <c r="BX268" s="14">
        <f t="shared" si="618"/>
        <v>0</v>
      </c>
      <c r="BY268" s="14">
        <f t="shared" si="618"/>
        <v>0</v>
      </c>
      <c r="BZ268" s="14">
        <f t="shared" si="618"/>
        <v>0</v>
      </c>
      <c r="CA268" s="14">
        <f t="shared" si="618"/>
        <v>0</v>
      </c>
      <c r="CB268" s="14">
        <f t="shared" si="618"/>
        <v>0</v>
      </c>
      <c r="CC268" s="14">
        <f t="shared" si="619"/>
        <v>0</v>
      </c>
      <c r="CD268" s="14">
        <f t="shared" si="619"/>
        <v>0</v>
      </c>
      <c r="CE268" s="14">
        <f t="shared" si="619"/>
        <v>0</v>
      </c>
      <c r="CF268" s="14">
        <f t="shared" si="619"/>
        <v>0</v>
      </c>
      <c r="CG268" s="14">
        <f t="shared" si="620"/>
        <v>0</v>
      </c>
      <c r="CH268" s="14">
        <f t="shared" si="620"/>
        <v>0</v>
      </c>
      <c r="CI268" s="14">
        <f t="shared" si="620"/>
        <v>1</v>
      </c>
      <c r="CJ268" s="14"/>
      <c r="CK268" s="120" t="str">
        <f t="shared" si="612"/>
        <v>Input - 100% Rev</v>
      </c>
      <c r="CL268" s="76">
        <f t="shared" si="536"/>
        <v>0</v>
      </c>
      <c r="CM268" s="2">
        <f t="shared" si="613"/>
        <v>0</v>
      </c>
      <c r="CN268" s="2">
        <f t="shared" si="613"/>
        <v>0</v>
      </c>
      <c r="CO268" s="2">
        <f t="shared" si="613"/>
        <v>0</v>
      </c>
      <c r="CP268" s="2">
        <f t="shared" si="613"/>
        <v>0</v>
      </c>
      <c r="CQ268" s="2">
        <f t="shared" si="613"/>
        <v>0</v>
      </c>
      <c r="CR268" s="2">
        <f t="shared" si="613"/>
        <v>0</v>
      </c>
    </row>
    <row r="269" spans="1:96">
      <c r="A269" s="50">
        <f t="shared" si="616"/>
        <v>269</v>
      </c>
      <c r="C269" s="36" t="s">
        <v>152</v>
      </c>
      <c r="D269" s="28" t="s">
        <v>356</v>
      </c>
      <c r="E269" s="23">
        <v>0</v>
      </c>
      <c r="F269" s="60" t="str">
        <f>"as Labor O&amp;M Exp. ("&amp;BS$1&amp;A$342&amp;")"</f>
        <v>as Labor O&amp;M Exp. (BS342)</v>
      </c>
      <c r="G269" s="60"/>
      <c r="H269" s="2">
        <f t="shared" si="598"/>
        <v>0</v>
      </c>
      <c r="I269" s="21">
        <f t="shared" ref="I269:N269" si="621">$E269*CM$342/$BR$342</f>
        <v>0</v>
      </c>
      <c r="J269" s="21">
        <f t="shared" si="621"/>
        <v>0</v>
      </c>
      <c r="K269" s="21">
        <f t="shared" si="621"/>
        <v>0</v>
      </c>
      <c r="L269" s="21">
        <f t="shared" si="621"/>
        <v>0</v>
      </c>
      <c r="M269" s="21">
        <f t="shared" si="621"/>
        <v>0</v>
      </c>
      <c r="N269" s="21">
        <f t="shared" si="621"/>
        <v>0</v>
      </c>
      <c r="O269" s="2"/>
      <c r="P269" s="61" t="str">
        <f>E$1&amp;$A269&amp;"* "&amp;CM$1&amp;A$342&amp;" / "&amp;BR$1&amp;A$342</f>
        <v>E269* CM342 / BR342</v>
      </c>
      <c r="Q269" s="61"/>
      <c r="R269" s="14">
        <f>BS$342</f>
        <v>9.4011197840194252E-2</v>
      </c>
      <c r="S269" s="14">
        <f>BT$342</f>
        <v>2.771484723001123E-2</v>
      </c>
      <c r="T269" s="14">
        <f t="shared" ref="T269:AH269" si="622">BU$342</f>
        <v>2.025083303615954E-3</v>
      </c>
      <c r="U269" s="14">
        <f t="shared" si="622"/>
        <v>1.3552480570352927E-2</v>
      </c>
      <c r="V269" s="14">
        <f t="shared" si="622"/>
        <v>0</v>
      </c>
      <c r="W269" s="14">
        <f t="shared" si="622"/>
        <v>0.1576905706846389</v>
      </c>
      <c r="X269" s="14">
        <f t="shared" si="622"/>
        <v>0</v>
      </c>
      <c r="Y269" s="14">
        <f t="shared" si="622"/>
        <v>0</v>
      </c>
      <c r="Z269" s="14">
        <f t="shared" si="622"/>
        <v>0</v>
      </c>
      <c r="AA269" s="14">
        <f t="shared" si="622"/>
        <v>0</v>
      </c>
      <c r="AB269" s="14">
        <f t="shared" si="622"/>
        <v>0.43643287397616143</v>
      </c>
      <c r="AC269" s="14">
        <f t="shared" si="622"/>
        <v>0.1792970882068218</v>
      </c>
      <c r="AD269" s="14">
        <f t="shared" si="622"/>
        <v>8.7076406980020227E-2</v>
      </c>
      <c r="AE269" s="14">
        <f t="shared" si="622"/>
        <v>0</v>
      </c>
      <c r="AF269" s="14">
        <f t="shared" si="622"/>
        <v>2.1994512081833085E-3</v>
      </c>
      <c r="AG269" s="14">
        <f t="shared" si="622"/>
        <v>0</v>
      </c>
      <c r="AH269" s="14">
        <f t="shared" si="622"/>
        <v>0</v>
      </c>
      <c r="AI269" s="76">
        <f t="shared" si="573"/>
        <v>0</v>
      </c>
      <c r="AK269" s="2">
        <f t="shared" si="601"/>
        <v>0</v>
      </c>
      <c r="AL269" s="2">
        <f t="shared" si="602"/>
        <v>0</v>
      </c>
      <c r="AM269" s="2">
        <f t="shared" si="602"/>
        <v>0</v>
      </c>
      <c r="AN269" s="2">
        <f t="shared" si="602"/>
        <v>0</v>
      </c>
      <c r="AO269" s="2">
        <f t="shared" si="602"/>
        <v>0</v>
      </c>
      <c r="AP269" s="2"/>
      <c r="AQ269" s="61" t="str">
        <f>E$1&amp;$A269&amp;"*      """</f>
        <v>E269*      "</v>
      </c>
      <c r="AS269" s="2">
        <f t="shared" si="603"/>
        <v>0</v>
      </c>
      <c r="AT269" s="2">
        <f t="shared" si="604"/>
        <v>0</v>
      </c>
      <c r="AU269" s="2">
        <f t="shared" si="604"/>
        <v>0</v>
      </c>
      <c r="AV269" s="2">
        <f t="shared" si="604"/>
        <v>0</v>
      </c>
      <c r="AW269" s="2">
        <f t="shared" si="604"/>
        <v>0</v>
      </c>
      <c r="AX269" s="2">
        <f t="shared" si="604"/>
        <v>0</v>
      </c>
      <c r="AY269" s="2">
        <f t="shared" si="604"/>
        <v>0</v>
      </c>
      <c r="BA269" s="2">
        <f t="shared" si="605"/>
        <v>0</v>
      </c>
      <c r="BB269" s="2">
        <f t="shared" si="606"/>
        <v>0</v>
      </c>
      <c r="BC269" s="2">
        <f t="shared" si="606"/>
        <v>0</v>
      </c>
      <c r="BD269" s="2">
        <f t="shared" si="606"/>
        <v>0</v>
      </c>
      <c r="BE269" s="2">
        <f t="shared" si="606"/>
        <v>0</v>
      </c>
      <c r="BF269" s="2">
        <f t="shared" si="606"/>
        <v>0</v>
      </c>
      <c r="BG269" s="2">
        <f t="shared" si="606"/>
        <v>0</v>
      </c>
      <c r="BI269" s="2">
        <f t="shared" si="607"/>
        <v>0</v>
      </c>
      <c r="BJ269" s="2">
        <f t="shared" si="608"/>
        <v>0</v>
      </c>
      <c r="BK269" s="2">
        <f t="shared" si="608"/>
        <v>0</v>
      </c>
      <c r="BL269" s="2">
        <f t="shared" si="608"/>
        <v>0</v>
      </c>
      <c r="BM269" s="2">
        <f t="shared" si="608"/>
        <v>0</v>
      </c>
      <c r="BN269" s="2">
        <f t="shared" si="608"/>
        <v>0</v>
      </c>
      <c r="BO269" s="2">
        <f t="shared" si="608"/>
        <v>0</v>
      </c>
      <c r="BQ269" s="28" t="s">
        <v>356</v>
      </c>
      <c r="BR269" s="23">
        <v>0</v>
      </c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120" t="str">
        <f t="shared" si="612"/>
        <v>as Labor O&amp;M Exp. (BS342)</v>
      </c>
      <c r="CL269" s="76">
        <f t="shared" si="536"/>
        <v>0</v>
      </c>
      <c r="CM269" s="2"/>
      <c r="CN269" s="2"/>
      <c r="CO269" s="2"/>
      <c r="CP269" s="2"/>
      <c r="CQ269" s="2"/>
      <c r="CR269" s="2"/>
    </row>
    <row r="270" spans="1:96">
      <c r="A270" s="50">
        <f t="shared" si="616"/>
        <v>270</v>
      </c>
      <c r="B270" t="s">
        <v>45</v>
      </c>
      <c r="C270"/>
      <c r="D270" t="s">
        <v>46</v>
      </c>
      <c r="F270"/>
      <c r="G270"/>
      <c r="AI270" s="76">
        <f t="shared" si="573"/>
        <v>0</v>
      </c>
      <c r="BQ270" t="s">
        <v>46</v>
      </c>
      <c r="BR270" s="49"/>
      <c r="CK270" s="120"/>
      <c r="CL270" s="76">
        <f t="shared" si="536"/>
        <v>0</v>
      </c>
    </row>
    <row r="271" spans="1:96">
      <c r="A271" s="50">
        <f t="shared" si="616"/>
        <v>271</v>
      </c>
      <c r="C271" s="36" t="s">
        <v>152</v>
      </c>
      <c r="D271" s="56" t="s">
        <v>148</v>
      </c>
      <c r="E271" s="436">
        <f>PROFORMA!AV130</f>
        <v>-13000</v>
      </c>
      <c r="F271" s="61" t="s">
        <v>1159</v>
      </c>
      <c r="G271" s="60"/>
      <c r="H271" s="2">
        <f t="shared" ref="H271:H276" si="623">SUM(I271:N271)</f>
        <v>-13000.000000000004</v>
      </c>
      <c r="I271" s="21">
        <f t="shared" ref="I271:N275" si="624">$E271*SUMPRODUCT($R271:$AH271,INDEX(AllocFactors,I$4,0))</f>
        <v>-11377.921975540836</v>
      </c>
      <c r="J271" s="2">
        <f t="shared" si="624"/>
        <v>-1232.407639801813</v>
      </c>
      <c r="K271" s="2">
        <f t="shared" si="624"/>
        <v>0</v>
      </c>
      <c r="L271" s="2">
        <f t="shared" si="624"/>
        <v>-15.258989905786951</v>
      </c>
      <c r="M271" s="2">
        <f t="shared" si="624"/>
        <v>-374.41139475156626</v>
      </c>
      <c r="N271" s="2">
        <f t="shared" si="624"/>
        <v>0</v>
      </c>
      <c r="O271" s="2"/>
      <c r="P271" s="61" t="s">
        <v>1160</v>
      </c>
      <c r="Q271" s="61"/>
      <c r="R271" s="14">
        <f>R$257</f>
        <v>8.8133437743971782E-2</v>
      </c>
      <c r="S271" s="14">
        <f t="shared" ref="S271:AH271" si="625">S$257</f>
        <v>1.48122630432825E-2</v>
      </c>
      <c r="T271" s="14">
        <f t="shared" si="625"/>
        <v>6.2152272453224224E-3</v>
      </c>
      <c r="U271" s="14">
        <f t="shared" si="625"/>
        <v>4.15942131033116E-2</v>
      </c>
      <c r="V271" s="14">
        <f t="shared" si="625"/>
        <v>0</v>
      </c>
      <c r="W271" s="14">
        <f t="shared" si="625"/>
        <v>0.15413680450310352</v>
      </c>
      <c r="X271" s="14">
        <f t="shared" si="625"/>
        <v>0</v>
      </c>
      <c r="Y271" s="14">
        <f t="shared" si="625"/>
        <v>0</v>
      </c>
      <c r="Z271" s="14">
        <f t="shared" si="625"/>
        <v>0</v>
      </c>
      <c r="AA271" s="14">
        <f t="shared" si="625"/>
        <v>0</v>
      </c>
      <c r="AB271" s="14">
        <f t="shared" si="625"/>
        <v>0.45505508837908676</v>
      </c>
      <c r="AC271" s="14">
        <f t="shared" si="625"/>
        <v>0.16681683403029823</v>
      </c>
      <c r="AD271" s="14">
        <f t="shared" si="625"/>
        <v>7.1278348815059178E-2</v>
      </c>
      <c r="AE271" s="14">
        <f t="shared" si="625"/>
        <v>0</v>
      </c>
      <c r="AF271" s="14">
        <f t="shared" si="625"/>
        <v>1.9577831365640468E-3</v>
      </c>
      <c r="AG271" s="14">
        <f t="shared" si="625"/>
        <v>0</v>
      </c>
      <c r="AH271" s="14">
        <f t="shared" si="625"/>
        <v>0</v>
      </c>
      <c r="AI271" s="76">
        <f t="shared" si="573"/>
        <v>0</v>
      </c>
      <c r="AK271" s="2">
        <f t="shared" ref="AK271:AK276" si="626">SUM(AL271:AO271)</f>
        <v>-13000</v>
      </c>
      <c r="AL271" s="2">
        <f t="shared" ref="AL271:AO276" si="627">SUMIF($R$4:$AH$4,AL$5,$R271:$AH271)*$E271</f>
        <v>-1959.8168347665476</v>
      </c>
      <c r="AM271" s="2">
        <f t="shared" si="627"/>
        <v>-2003.7784585403458</v>
      </c>
      <c r="AN271" s="2">
        <f t="shared" si="627"/>
        <v>-9036.4047066931071</v>
      </c>
      <c r="AO271" s="2">
        <f t="shared" si="627"/>
        <v>0</v>
      </c>
      <c r="AP271" s="2"/>
      <c r="AQ271" s="61" t="str">
        <f>E$1&amp;$A271&amp;"*["&amp;R$1&amp;$A271&amp;":"&amp;$AH$1&amp;$A271&amp;" when "&amp;R$1&amp;$A$4&amp;":"&amp;$AH$1&amp;$A$4&amp;" = E,D,C,or R]"</f>
        <v>E271*[R271:AH271 when R4:AH4 = E,D,C,or R]</v>
      </c>
      <c r="AS271" s="2">
        <f t="shared" ref="AS271:AS276" si="628">SUM(AT271:AY271)</f>
        <v>-1959.816834766548</v>
      </c>
      <c r="AT271" s="2">
        <f t="shared" ref="AT271:AY276" si="629">$E271*SUMPRODUCT($R271:$V271,INDEX(AllocFactors_E,AT$4,0))</f>
        <v>-1248.7336073223678</v>
      </c>
      <c r="AU271" s="2">
        <f t="shared" si="629"/>
        <v>-514.91371074199219</v>
      </c>
      <c r="AV271" s="2">
        <f t="shared" si="629"/>
        <v>0</v>
      </c>
      <c r="AW271" s="2">
        <f t="shared" si="629"/>
        <v>-8.0397194669843</v>
      </c>
      <c r="AX271" s="2">
        <f t="shared" si="629"/>
        <v>-188.12979723520385</v>
      </c>
      <c r="AY271" s="2">
        <f t="shared" si="629"/>
        <v>0</v>
      </c>
      <c r="BA271" s="2">
        <f t="shared" ref="BA271:BA276" si="630">SUM(BB271:BG271)</f>
        <v>-2003.7784585403458</v>
      </c>
      <c r="BB271" s="2">
        <f t="shared" ref="BB271:BG276" si="631">$E271*SUMPRODUCT($W271:$AA271,INDEX(AllocFactors_D,BB$4,0))</f>
        <v>-1368.1964143723426</v>
      </c>
      <c r="BC271" s="2">
        <f t="shared" si="631"/>
        <v>-463.10000498742636</v>
      </c>
      <c r="BD271" s="2">
        <f t="shared" si="631"/>
        <v>0</v>
      </c>
      <c r="BE271" s="2">
        <f t="shared" si="631"/>
        <v>-5.8178248854184931</v>
      </c>
      <c r="BF271" s="2">
        <f t="shared" si="631"/>
        <v>-166.66421429515822</v>
      </c>
      <c r="BG271" s="2">
        <f t="shared" si="631"/>
        <v>0</v>
      </c>
      <c r="BI271" s="2">
        <f t="shared" ref="BI271:BI276" si="632">SUM(BJ271:BO271)</f>
        <v>-9036.4047066931053</v>
      </c>
      <c r="BJ271" s="2">
        <f t="shared" ref="BJ271:BO276" si="633">$E271*SUMPRODUCT($AB271:$AG271,INDEX(AllocFactors_C,BJ$4,0))</f>
        <v>-8760.9919538461236</v>
      </c>
      <c r="BK271" s="2">
        <f t="shared" si="633"/>
        <v>-254.39392407239453</v>
      </c>
      <c r="BL271" s="2">
        <f t="shared" si="633"/>
        <v>0</v>
      </c>
      <c r="BM271" s="2">
        <f t="shared" si="633"/>
        <v>-1.4014455533841605</v>
      </c>
      <c r="BN271" s="2">
        <f t="shared" si="633"/>
        <v>-19.617383221204165</v>
      </c>
      <c r="BO271" s="2">
        <f t="shared" si="633"/>
        <v>0</v>
      </c>
      <c r="BQ271" s="28" t="s">
        <v>352</v>
      </c>
      <c r="BR271" s="23">
        <v>0</v>
      </c>
      <c r="BS271" s="14">
        <f t="shared" ref="BS271:BU272" si="634">R271</f>
        <v>8.8133437743971782E-2</v>
      </c>
      <c r="BT271" s="14">
        <f t="shared" si="634"/>
        <v>1.48122630432825E-2</v>
      </c>
      <c r="BU271" s="14">
        <f t="shared" si="634"/>
        <v>6.2152272453224224E-3</v>
      </c>
      <c r="BV271" s="14">
        <f t="shared" ref="BV271:CE272" si="635">U271</f>
        <v>4.15942131033116E-2</v>
      </c>
      <c r="BW271" s="14">
        <f t="shared" si="635"/>
        <v>0</v>
      </c>
      <c r="BX271" s="14">
        <f t="shared" si="635"/>
        <v>0.15413680450310352</v>
      </c>
      <c r="BY271" s="14">
        <f t="shared" si="635"/>
        <v>0</v>
      </c>
      <c r="BZ271" s="14">
        <f t="shared" si="635"/>
        <v>0</v>
      </c>
      <c r="CA271" s="14">
        <f t="shared" si="635"/>
        <v>0</v>
      </c>
      <c r="CB271" s="14">
        <f t="shared" si="635"/>
        <v>0</v>
      </c>
      <c r="CC271" s="14">
        <f t="shared" si="635"/>
        <v>0.45505508837908676</v>
      </c>
      <c r="CD271" s="14">
        <f t="shared" si="635"/>
        <v>0.16681683403029823</v>
      </c>
      <c r="CE271" s="14">
        <f t="shared" si="635"/>
        <v>7.1278348815059178E-2</v>
      </c>
      <c r="CF271" s="14">
        <f>AE271</f>
        <v>0</v>
      </c>
      <c r="CG271" s="14">
        <f t="shared" ref="CG271:CI272" si="636">AF271</f>
        <v>1.9577831365640468E-3</v>
      </c>
      <c r="CH271" s="14">
        <f t="shared" si="636"/>
        <v>0</v>
      </c>
      <c r="CI271" s="14">
        <f t="shared" si="636"/>
        <v>0</v>
      </c>
      <c r="CJ271" s="14"/>
      <c r="CK271" s="120" t="str">
        <f t="shared" ref="CK271:CK276" si="637">F271</f>
        <v>4-Factor</v>
      </c>
      <c r="CL271" s="76">
        <f t="shared" si="536"/>
        <v>0</v>
      </c>
      <c r="CM271" s="2">
        <f t="shared" ref="CM271:CR275" si="638">$BR271*SUMPRODUCT($BS271:$CI271,INDEX(AllocFactors,CM$170,0))</f>
        <v>0</v>
      </c>
      <c r="CN271" s="2">
        <f t="shared" si="638"/>
        <v>0</v>
      </c>
      <c r="CO271" s="2">
        <f t="shared" si="638"/>
        <v>0</v>
      </c>
      <c r="CP271" s="2">
        <f t="shared" si="638"/>
        <v>0</v>
      </c>
      <c r="CQ271" s="2">
        <f t="shared" si="638"/>
        <v>0</v>
      </c>
      <c r="CR271" s="2">
        <f t="shared" si="638"/>
        <v>0</v>
      </c>
    </row>
    <row r="272" spans="1:96">
      <c r="A272" s="50">
        <f t="shared" si="616"/>
        <v>272</v>
      </c>
      <c r="C272" s="36" t="s">
        <v>152</v>
      </c>
      <c r="D272" s="56" t="s">
        <v>353</v>
      </c>
      <c r="E272" s="150">
        <v>0</v>
      </c>
      <c r="F272" s="524" t="s">
        <v>445</v>
      </c>
      <c r="G272" s="60"/>
      <c r="H272" s="2">
        <f t="shared" si="623"/>
        <v>0</v>
      </c>
      <c r="I272" s="21">
        <f t="shared" si="624"/>
        <v>0</v>
      </c>
      <c r="J272" s="2">
        <f t="shared" si="624"/>
        <v>0</v>
      </c>
      <c r="K272" s="2">
        <f t="shared" si="624"/>
        <v>0</v>
      </c>
      <c r="L272" s="2">
        <f t="shared" si="624"/>
        <v>0</v>
      </c>
      <c r="M272" s="2">
        <f t="shared" si="624"/>
        <v>0</v>
      </c>
      <c r="N272" s="2">
        <f t="shared" si="624"/>
        <v>0</v>
      </c>
      <c r="O272" s="2"/>
      <c r="P272" s="61" t="str">
        <f>E$1&amp;$A272&amp;"*     """</f>
        <v>E272*     "</v>
      </c>
      <c r="Q272" s="61"/>
      <c r="R272" s="523">
        <v>1</v>
      </c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76">
        <f t="shared" si="573"/>
        <v>0</v>
      </c>
      <c r="AK272" s="2">
        <f t="shared" si="626"/>
        <v>0</v>
      </c>
      <c r="AL272" s="2">
        <f t="shared" si="627"/>
        <v>0</v>
      </c>
      <c r="AM272" s="2">
        <f t="shared" si="627"/>
        <v>0</v>
      </c>
      <c r="AN272" s="2">
        <f t="shared" si="627"/>
        <v>0</v>
      </c>
      <c r="AO272" s="2">
        <f t="shared" si="627"/>
        <v>0</v>
      </c>
      <c r="AP272" s="2"/>
      <c r="AQ272" s="61" t="str">
        <f>E$1&amp;$A272&amp;"*      """</f>
        <v>E272*      "</v>
      </c>
      <c r="AS272" s="2">
        <f t="shared" si="628"/>
        <v>0</v>
      </c>
      <c r="AT272" s="2">
        <f t="shared" si="629"/>
        <v>0</v>
      </c>
      <c r="AU272" s="2">
        <f t="shared" si="629"/>
        <v>0</v>
      </c>
      <c r="AV272" s="2">
        <f t="shared" si="629"/>
        <v>0</v>
      </c>
      <c r="AW272" s="2">
        <f t="shared" si="629"/>
        <v>0</v>
      </c>
      <c r="AX272" s="2">
        <f t="shared" si="629"/>
        <v>0</v>
      </c>
      <c r="AY272" s="2">
        <f t="shared" si="629"/>
        <v>0</v>
      </c>
      <c r="BA272" s="2">
        <f t="shared" si="630"/>
        <v>0</v>
      </c>
      <c r="BB272" s="2">
        <f t="shared" si="631"/>
        <v>0</v>
      </c>
      <c r="BC272" s="2">
        <f t="shared" si="631"/>
        <v>0</v>
      </c>
      <c r="BD272" s="2">
        <f t="shared" si="631"/>
        <v>0</v>
      </c>
      <c r="BE272" s="2">
        <f t="shared" si="631"/>
        <v>0</v>
      </c>
      <c r="BF272" s="2">
        <f t="shared" si="631"/>
        <v>0</v>
      </c>
      <c r="BG272" s="2">
        <f t="shared" si="631"/>
        <v>0</v>
      </c>
      <c r="BI272" s="2">
        <f t="shared" si="632"/>
        <v>0</v>
      </c>
      <c r="BJ272" s="2">
        <f t="shared" si="633"/>
        <v>0</v>
      </c>
      <c r="BK272" s="2">
        <f t="shared" si="633"/>
        <v>0</v>
      </c>
      <c r="BL272" s="2">
        <f t="shared" si="633"/>
        <v>0</v>
      </c>
      <c r="BM272" s="2">
        <f t="shared" si="633"/>
        <v>0</v>
      </c>
      <c r="BN272" s="2">
        <f t="shared" si="633"/>
        <v>0</v>
      </c>
      <c r="BO272" s="2">
        <f t="shared" si="633"/>
        <v>0</v>
      </c>
      <c r="BQ272" s="28" t="s">
        <v>353</v>
      </c>
      <c r="BR272" s="23">
        <v>0</v>
      </c>
      <c r="BS272" s="14">
        <f t="shared" si="634"/>
        <v>1</v>
      </c>
      <c r="BT272" s="14">
        <f t="shared" si="634"/>
        <v>0</v>
      </c>
      <c r="BU272" s="14">
        <f t="shared" si="634"/>
        <v>0</v>
      </c>
      <c r="BV272" s="14">
        <f t="shared" si="635"/>
        <v>0</v>
      </c>
      <c r="BW272" s="14">
        <f t="shared" si="635"/>
        <v>0</v>
      </c>
      <c r="BX272" s="14">
        <f t="shared" si="635"/>
        <v>0</v>
      </c>
      <c r="BY272" s="14">
        <f t="shared" si="635"/>
        <v>0</v>
      </c>
      <c r="BZ272" s="14">
        <f t="shared" si="635"/>
        <v>0</v>
      </c>
      <c r="CA272" s="14">
        <f t="shared" si="635"/>
        <v>0</v>
      </c>
      <c r="CB272" s="14">
        <f t="shared" si="635"/>
        <v>0</v>
      </c>
      <c r="CC272" s="14">
        <f t="shared" si="635"/>
        <v>0</v>
      </c>
      <c r="CD272" s="14">
        <f t="shared" si="635"/>
        <v>0</v>
      </c>
      <c r="CE272" s="14">
        <f t="shared" si="635"/>
        <v>0</v>
      </c>
      <c r="CF272" s="14">
        <f>AE272</f>
        <v>0</v>
      </c>
      <c r="CG272" s="14">
        <f t="shared" si="636"/>
        <v>0</v>
      </c>
      <c r="CH272" s="14">
        <f t="shared" si="636"/>
        <v>0</v>
      </c>
      <c r="CI272" s="14">
        <f t="shared" si="636"/>
        <v>0</v>
      </c>
      <c r="CJ272" s="14"/>
      <c r="CK272" s="120" t="str">
        <f t="shared" si="637"/>
        <v>Input - 100% Throughput</v>
      </c>
      <c r="CL272" s="76">
        <f t="shared" ref="CL272:CL303" si="639">IF(SUM(BS272:CI272)&lt;&gt;0,(ROUND(SUM(BS272:CI272),4)&lt;&gt;1)+0,0)</f>
        <v>0</v>
      </c>
      <c r="CM272" s="2">
        <f t="shared" si="638"/>
        <v>0</v>
      </c>
      <c r="CN272" s="2">
        <f t="shared" si="638"/>
        <v>0</v>
      </c>
      <c r="CO272" s="2">
        <f t="shared" si="638"/>
        <v>0</v>
      </c>
      <c r="CP272" s="2">
        <f t="shared" si="638"/>
        <v>0</v>
      </c>
      <c r="CQ272" s="2">
        <f t="shared" si="638"/>
        <v>0</v>
      </c>
      <c r="CR272" s="2">
        <f t="shared" si="638"/>
        <v>0</v>
      </c>
    </row>
    <row r="273" spans="1:96">
      <c r="A273" s="50">
        <f t="shared" si="616"/>
        <v>273</v>
      </c>
      <c r="C273" s="36" t="s">
        <v>152</v>
      </c>
      <c r="D273" s="28" t="s">
        <v>354</v>
      </c>
      <c r="E273" s="23">
        <v>0</v>
      </c>
      <c r="F273" s="60" t="str">
        <f>"as Plant in Service ("&amp;A$58&amp;")"</f>
        <v>as Plant in Service (58)</v>
      </c>
      <c r="G273" s="60"/>
      <c r="H273" s="2">
        <f t="shared" si="623"/>
        <v>0</v>
      </c>
      <c r="I273" s="21">
        <f t="shared" si="624"/>
        <v>0</v>
      </c>
      <c r="J273" s="2">
        <f t="shared" si="624"/>
        <v>0</v>
      </c>
      <c r="K273" s="2">
        <f t="shared" si="624"/>
        <v>0</v>
      </c>
      <c r="L273" s="2">
        <f t="shared" si="624"/>
        <v>0</v>
      </c>
      <c r="M273" s="2">
        <f t="shared" si="624"/>
        <v>0</v>
      </c>
      <c r="N273" s="2">
        <f t="shared" si="624"/>
        <v>0</v>
      </c>
      <c r="O273" s="2"/>
      <c r="P273" s="61" t="str">
        <f>E$1&amp;$A273&amp;"*     """</f>
        <v>E273*     "</v>
      </c>
      <c r="Q273" s="61"/>
      <c r="R273" s="14">
        <f>R$58</f>
        <v>0.15278530527507739</v>
      </c>
      <c r="S273" s="14">
        <f t="shared" ref="S273:AH273" si="640">S$58</f>
        <v>3.164969422787912E-3</v>
      </c>
      <c r="T273" s="14">
        <f t="shared" si="640"/>
        <v>6.9829362297418388E-3</v>
      </c>
      <c r="U273" s="14">
        <f t="shared" si="640"/>
        <v>4.673195784519539E-2</v>
      </c>
      <c r="V273" s="14">
        <f t="shared" si="640"/>
        <v>0</v>
      </c>
      <c r="W273" s="14">
        <f t="shared" si="640"/>
        <v>0.27991526808724082</v>
      </c>
      <c r="X273" s="14">
        <f t="shared" si="640"/>
        <v>0</v>
      </c>
      <c r="Y273" s="14">
        <f t="shared" si="640"/>
        <v>0</v>
      </c>
      <c r="Z273" s="14">
        <f t="shared" si="640"/>
        <v>0</v>
      </c>
      <c r="AA273" s="14">
        <f t="shared" si="640"/>
        <v>0</v>
      </c>
      <c r="AB273" s="14">
        <f t="shared" si="640"/>
        <v>9.7232640022350991E-2</v>
      </c>
      <c r="AC273" s="14">
        <f t="shared" si="640"/>
        <v>0.29403559958561315</v>
      </c>
      <c r="AD273" s="14">
        <f t="shared" si="640"/>
        <v>0.1147688867063851</v>
      </c>
      <c r="AE273" s="14">
        <f t="shared" si="640"/>
        <v>0</v>
      </c>
      <c r="AF273" s="14">
        <f t="shared" si="640"/>
        <v>4.3824368256074331E-3</v>
      </c>
      <c r="AG273" s="14">
        <f t="shared" si="640"/>
        <v>0</v>
      </c>
      <c r="AH273" s="14">
        <f t="shared" si="640"/>
        <v>0</v>
      </c>
      <c r="AI273" s="76">
        <f t="shared" si="573"/>
        <v>0</v>
      </c>
      <c r="AK273" s="2">
        <f t="shared" si="626"/>
        <v>0</v>
      </c>
      <c r="AL273" s="2">
        <f t="shared" si="627"/>
        <v>0</v>
      </c>
      <c r="AM273" s="2">
        <f t="shared" si="627"/>
        <v>0</v>
      </c>
      <c r="AN273" s="2">
        <f t="shared" si="627"/>
        <v>0</v>
      </c>
      <c r="AO273" s="2">
        <f t="shared" si="627"/>
        <v>0</v>
      </c>
      <c r="AP273" s="2"/>
      <c r="AQ273" s="61" t="str">
        <f>E$1&amp;$A273&amp;"*      """</f>
        <v>E273*      "</v>
      </c>
      <c r="AS273" s="2">
        <f t="shared" si="628"/>
        <v>0</v>
      </c>
      <c r="AT273" s="2">
        <f t="shared" si="629"/>
        <v>0</v>
      </c>
      <c r="AU273" s="2">
        <f t="shared" si="629"/>
        <v>0</v>
      </c>
      <c r="AV273" s="2">
        <f t="shared" si="629"/>
        <v>0</v>
      </c>
      <c r="AW273" s="2">
        <f t="shared" si="629"/>
        <v>0</v>
      </c>
      <c r="AX273" s="2">
        <f t="shared" si="629"/>
        <v>0</v>
      </c>
      <c r="AY273" s="2">
        <f t="shared" si="629"/>
        <v>0</v>
      </c>
      <c r="BA273" s="2">
        <f t="shared" si="630"/>
        <v>0</v>
      </c>
      <c r="BB273" s="2">
        <f t="shared" si="631"/>
        <v>0</v>
      </c>
      <c r="BC273" s="2">
        <f t="shared" si="631"/>
        <v>0</v>
      </c>
      <c r="BD273" s="2">
        <f t="shared" si="631"/>
        <v>0</v>
      </c>
      <c r="BE273" s="2">
        <f t="shared" si="631"/>
        <v>0</v>
      </c>
      <c r="BF273" s="2">
        <f t="shared" si="631"/>
        <v>0</v>
      </c>
      <c r="BG273" s="2">
        <f t="shared" si="631"/>
        <v>0</v>
      </c>
      <c r="BI273" s="2">
        <f t="shared" si="632"/>
        <v>0</v>
      </c>
      <c r="BJ273" s="2">
        <f t="shared" si="633"/>
        <v>0</v>
      </c>
      <c r="BK273" s="2">
        <f t="shared" si="633"/>
        <v>0</v>
      </c>
      <c r="BL273" s="2">
        <f t="shared" si="633"/>
        <v>0</v>
      </c>
      <c r="BM273" s="2">
        <f t="shared" si="633"/>
        <v>0</v>
      </c>
      <c r="BN273" s="2">
        <f t="shared" si="633"/>
        <v>0</v>
      </c>
      <c r="BO273" s="2">
        <f t="shared" si="633"/>
        <v>0</v>
      </c>
      <c r="BQ273" s="28" t="s">
        <v>354</v>
      </c>
      <c r="BR273" s="23">
        <v>0</v>
      </c>
      <c r="BS273" s="14">
        <f>R$58</f>
        <v>0.15278530527507739</v>
      </c>
      <c r="BT273" s="14">
        <f>S$58</f>
        <v>3.164969422787912E-3</v>
      </c>
      <c r="BU273" s="14">
        <f>T$58</f>
        <v>6.9829362297418388E-3</v>
      </c>
      <c r="BV273" s="14">
        <f t="shared" ref="BV273:CI273" si="641">U$58</f>
        <v>4.673195784519539E-2</v>
      </c>
      <c r="BW273" s="14">
        <f t="shared" si="641"/>
        <v>0</v>
      </c>
      <c r="BX273" s="14">
        <f t="shared" si="641"/>
        <v>0.27991526808724082</v>
      </c>
      <c r="BY273" s="14">
        <f t="shared" si="641"/>
        <v>0</v>
      </c>
      <c r="BZ273" s="14">
        <f t="shared" si="641"/>
        <v>0</v>
      </c>
      <c r="CA273" s="14">
        <f t="shared" si="641"/>
        <v>0</v>
      </c>
      <c r="CB273" s="14">
        <f t="shared" si="641"/>
        <v>0</v>
      </c>
      <c r="CC273" s="14">
        <f t="shared" si="641"/>
        <v>9.7232640022350991E-2</v>
      </c>
      <c r="CD273" s="14">
        <f t="shared" si="641"/>
        <v>0.29403559958561315</v>
      </c>
      <c r="CE273" s="14">
        <f t="shared" si="641"/>
        <v>0.1147688867063851</v>
      </c>
      <c r="CF273" s="14">
        <f t="shared" si="641"/>
        <v>0</v>
      </c>
      <c r="CG273" s="14">
        <f t="shared" si="641"/>
        <v>4.3824368256074331E-3</v>
      </c>
      <c r="CH273" s="14">
        <f t="shared" si="641"/>
        <v>0</v>
      </c>
      <c r="CI273" s="14">
        <f t="shared" si="641"/>
        <v>0</v>
      </c>
      <c r="CJ273" s="14"/>
      <c r="CK273" s="120" t="str">
        <f t="shared" si="637"/>
        <v>as Plant in Service (58)</v>
      </c>
      <c r="CL273" s="76">
        <f t="shared" si="639"/>
        <v>0</v>
      </c>
      <c r="CM273" s="2">
        <f t="shared" si="638"/>
        <v>0</v>
      </c>
      <c r="CN273" s="2">
        <f t="shared" si="638"/>
        <v>0</v>
      </c>
      <c r="CO273" s="2">
        <f t="shared" si="638"/>
        <v>0</v>
      </c>
      <c r="CP273" s="2">
        <f t="shared" si="638"/>
        <v>0</v>
      </c>
      <c r="CQ273" s="2">
        <f t="shared" si="638"/>
        <v>0</v>
      </c>
      <c r="CR273" s="2">
        <f t="shared" si="638"/>
        <v>0</v>
      </c>
    </row>
    <row r="274" spans="1:96">
      <c r="A274" s="50">
        <f t="shared" si="616"/>
        <v>274</v>
      </c>
      <c r="C274" s="36" t="s">
        <v>157</v>
      </c>
      <c r="D274" s="28" t="s">
        <v>355</v>
      </c>
      <c r="E274" s="23">
        <v>0</v>
      </c>
      <c r="F274" s="60" t="s">
        <v>451</v>
      </c>
      <c r="G274" s="60"/>
      <c r="H274" s="2">
        <f t="shared" si="623"/>
        <v>0</v>
      </c>
      <c r="I274" s="21">
        <f t="shared" si="624"/>
        <v>0</v>
      </c>
      <c r="J274" s="2">
        <f t="shared" si="624"/>
        <v>0</v>
      </c>
      <c r="K274" s="2">
        <f t="shared" si="624"/>
        <v>0</v>
      </c>
      <c r="L274" s="2">
        <f t="shared" si="624"/>
        <v>0</v>
      </c>
      <c r="M274" s="2">
        <f t="shared" si="624"/>
        <v>0</v>
      </c>
      <c r="N274" s="2">
        <f t="shared" si="624"/>
        <v>0</v>
      </c>
      <c r="O274" s="2"/>
      <c r="P274" s="61" t="str">
        <f>E$1&amp;$A274&amp;"*     """</f>
        <v>E274*     "</v>
      </c>
      <c r="Q274" s="61"/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1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76">
        <f t="shared" si="573"/>
        <v>0</v>
      </c>
      <c r="AK274" s="2">
        <f t="shared" si="626"/>
        <v>0</v>
      </c>
      <c r="AL274" s="2">
        <f t="shared" si="627"/>
        <v>0</v>
      </c>
      <c r="AM274" s="2">
        <f t="shared" si="627"/>
        <v>0</v>
      </c>
      <c r="AN274" s="2">
        <f t="shared" si="627"/>
        <v>0</v>
      </c>
      <c r="AO274" s="2">
        <f t="shared" si="627"/>
        <v>0</v>
      </c>
      <c r="AP274" s="2"/>
      <c r="AQ274" s="61" t="str">
        <f>E$1&amp;$A274&amp;"*      """</f>
        <v>E274*      "</v>
      </c>
      <c r="AS274" s="2">
        <f t="shared" si="628"/>
        <v>0</v>
      </c>
      <c r="AT274" s="2">
        <f t="shared" si="629"/>
        <v>0</v>
      </c>
      <c r="AU274" s="2">
        <f t="shared" si="629"/>
        <v>0</v>
      </c>
      <c r="AV274" s="2">
        <f t="shared" si="629"/>
        <v>0</v>
      </c>
      <c r="AW274" s="2">
        <f t="shared" si="629"/>
        <v>0</v>
      </c>
      <c r="AX274" s="2">
        <f t="shared" si="629"/>
        <v>0</v>
      </c>
      <c r="AY274" s="2">
        <f t="shared" si="629"/>
        <v>0</v>
      </c>
      <c r="BA274" s="2">
        <f t="shared" si="630"/>
        <v>0</v>
      </c>
      <c r="BB274" s="2">
        <f t="shared" si="631"/>
        <v>0</v>
      </c>
      <c r="BC274" s="2">
        <f t="shared" si="631"/>
        <v>0</v>
      </c>
      <c r="BD274" s="2">
        <f t="shared" si="631"/>
        <v>0</v>
      </c>
      <c r="BE274" s="2">
        <f t="shared" si="631"/>
        <v>0</v>
      </c>
      <c r="BF274" s="2">
        <f t="shared" si="631"/>
        <v>0</v>
      </c>
      <c r="BG274" s="2">
        <f t="shared" si="631"/>
        <v>0</v>
      </c>
      <c r="BI274" s="2">
        <f t="shared" si="632"/>
        <v>0</v>
      </c>
      <c r="BJ274" s="2">
        <f t="shared" si="633"/>
        <v>0</v>
      </c>
      <c r="BK274" s="2">
        <f t="shared" si="633"/>
        <v>0</v>
      </c>
      <c r="BL274" s="2">
        <f t="shared" si="633"/>
        <v>0</v>
      </c>
      <c r="BM274" s="2">
        <f t="shared" si="633"/>
        <v>0</v>
      </c>
      <c r="BN274" s="2">
        <f t="shared" si="633"/>
        <v>0</v>
      </c>
      <c r="BO274" s="2">
        <f t="shared" si="633"/>
        <v>0</v>
      </c>
      <c r="BQ274" s="28" t="s">
        <v>355</v>
      </c>
      <c r="BR274" s="23">
        <v>0</v>
      </c>
      <c r="BS274" s="14">
        <f t="shared" ref="BS274:BU275" si="642">R274</f>
        <v>0</v>
      </c>
      <c r="BT274" s="14">
        <f t="shared" si="642"/>
        <v>0</v>
      </c>
      <c r="BU274" s="14">
        <f t="shared" si="642"/>
        <v>0</v>
      </c>
      <c r="BV274" s="14">
        <f t="shared" ref="BV274:CB275" si="643">U274</f>
        <v>0</v>
      </c>
      <c r="BW274" s="14">
        <f t="shared" si="643"/>
        <v>0</v>
      </c>
      <c r="BX274" s="14">
        <f t="shared" si="643"/>
        <v>0</v>
      </c>
      <c r="BY274" s="14">
        <f t="shared" si="643"/>
        <v>0</v>
      </c>
      <c r="BZ274" s="14">
        <f t="shared" si="643"/>
        <v>0</v>
      </c>
      <c r="CA274" s="14">
        <f t="shared" si="643"/>
        <v>0</v>
      </c>
      <c r="CB274" s="14">
        <f t="shared" si="643"/>
        <v>0</v>
      </c>
      <c r="CC274" s="14">
        <f t="shared" ref="CC274:CF275" si="644">AB274</f>
        <v>1</v>
      </c>
      <c r="CD274" s="14">
        <f t="shared" si="644"/>
        <v>0</v>
      </c>
      <c r="CE274" s="14">
        <f t="shared" si="644"/>
        <v>0</v>
      </c>
      <c r="CF274" s="14">
        <f t="shared" si="644"/>
        <v>0</v>
      </c>
      <c r="CG274" s="14">
        <f t="shared" ref="CG274:CI275" si="645">AF274</f>
        <v>0</v>
      </c>
      <c r="CH274" s="14">
        <f t="shared" si="645"/>
        <v>0</v>
      </c>
      <c r="CI274" s="14">
        <f t="shared" si="645"/>
        <v>0</v>
      </c>
      <c r="CJ274" s="14"/>
      <c r="CK274" s="120" t="str">
        <f t="shared" si="637"/>
        <v>Input - 100% Cust</v>
      </c>
      <c r="CL274" s="76">
        <f t="shared" si="639"/>
        <v>0</v>
      </c>
      <c r="CM274" s="2">
        <f t="shared" si="638"/>
        <v>0</v>
      </c>
      <c r="CN274" s="2">
        <f t="shared" si="638"/>
        <v>0</v>
      </c>
      <c r="CO274" s="2">
        <f t="shared" si="638"/>
        <v>0</v>
      </c>
      <c r="CP274" s="2">
        <f t="shared" si="638"/>
        <v>0</v>
      </c>
      <c r="CQ274" s="2">
        <f t="shared" si="638"/>
        <v>0</v>
      </c>
      <c r="CR274" s="2">
        <f t="shared" si="638"/>
        <v>0</v>
      </c>
    </row>
    <row r="275" spans="1:96">
      <c r="A275" s="50">
        <f t="shared" si="616"/>
        <v>275</v>
      </c>
      <c r="C275" s="36" t="s">
        <v>156</v>
      </c>
      <c r="D275" s="28" t="s">
        <v>351</v>
      </c>
      <c r="E275" s="23">
        <v>0</v>
      </c>
      <c r="F275" s="60" t="s">
        <v>452</v>
      </c>
      <c r="G275" s="60"/>
      <c r="H275" s="2">
        <f t="shared" si="623"/>
        <v>0</v>
      </c>
      <c r="I275" s="21">
        <f t="shared" si="624"/>
        <v>0</v>
      </c>
      <c r="J275" s="2">
        <f t="shared" si="624"/>
        <v>0</v>
      </c>
      <c r="K275" s="2">
        <f t="shared" si="624"/>
        <v>0</v>
      </c>
      <c r="L275" s="2">
        <f t="shared" si="624"/>
        <v>0</v>
      </c>
      <c r="M275" s="2">
        <f t="shared" si="624"/>
        <v>0</v>
      </c>
      <c r="N275" s="2">
        <f t="shared" si="624"/>
        <v>0</v>
      </c>
      <c r="O275" s="2"/>
      <c r="P275" s="61" t="str">
        <f>E$1&amp;$A275&amp;"*     """</f>
        <v>E275*     "</v>
      </c>
      <c r="Q275" s="61"/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1</v>
      </c>
      <c r="AI275" s="76">
        <f t="shared" si="573"/>
        <v>0</v>
      </c>
      <c r="AK275" s="2">
        <f t="shared" si="626"/>
        <v>0</v>
      </c>
      <c r="AL275" s="2">
        <f t="shared" si="627"/>
        <v>0</v>
      </c>
      <c r="AM275" s="2">
        <f t="shared" si="627"/>
        <v>0</v>
      </c>
      <c r="AN275" s="2">
        <f t="shared" si="627"/>
        <v>0</v>
      </c>
      <c r="AO275" s="2">
        <f t="shared" si="627"/>
        <v>0</v>
      </c>
      <c r="AP275" s="2"/>
      <c r="AQ275" s="61" t="str">
        <f>E$1&amp;$A275&amp;"*      """</f>
        <v>E275*      "</v>
      </c>
      <c r="AS275" s="2">
        <f t="shared" si="628"/>
        <v>0</v>
      </c>
      <c r="AT275" s="2">
        <f t="shared" si="629"/>
        <v>0</v>
      </c>
      <c r="AU275" s="2">
        <f t="shared" si="629"/>
        <v>0</v>
      </c>
      <c r="AV275" s="2">
        <f t="shared" si="629"/>
        <v>0</v>
      </c>
      <c r="AW275" s="2">
        <f t="shared" si="629"/>
        <v>0</v>
      </c>
      <c r="AX275" s="2">
        <f t="shared" si="629"/>
        <v>0</v>
      </c>
      <c r="AY275" s="2">
        <f t="shared" si="629"/>
        <v>0</v>
      </c>
      <c r="BA275" s="2">
        <f t="shared" si="630"/>
        <v>0</v>
      </c>
      <c r="BB275" s="2">
        <f t="shared" si="631"/>
        <v>0</v>
      </c>
      <c r="BC275" s="2">
        <f t="shared" si="631"/>
        <v>0</v>
      </c>
      <c r="BD275" s="2">
        <f t="shared" si="631"/>
        <v>0</v>
      </c>
      <c r="BE275" s="2">
        <f t="shared" si="631"/>
        <v>0</v>
      </c>
      <c r="BF275" s="2">
        <f t="shared" si="631"/>
        <v>0</v>
      </c>
      <c r="BG275" s="2">
        <f t="shared" si="631"/>
        <v>0</v>
      </c>
      <c r="BI275" s="2">
        <f t="shared" si="632"/>
        <v>0</v>
      </c>
      <c r="BJ275" s="2">
        <f t="shared" si="633"/>
        <v>0</v>
      </c>
      <c r="BK275" s="2">
        <f t="shared" si="633"/>
        <v>0</v>
      </c>
      <c r="BL275" s="2">
        <f t="shared" si="633"/>
        <v>0</v>
      </c>
      <c r="BM275" s="2">
        <f t="shared" si="633"/>
        <v>0</v>
      </c>
      <c r="BN275" s="2">
        <f t="shared" si="633"/>
        <v>0</v>
      </c>
      <c r="BO275" s="2">
        <f t="shared" si="633"/>
        <v>0</v>
      </c>
      <c r="BQ275" s="28" t="s">
        <v>351</v>
      </c>
      <c r="BR275" s="23">
        <v>0</v>
      </c>
      <c r="BS275" s="14">
        <f t="shared" si="642"/>
        <v>0</v>
      </c>
      <c r="BT275" s="14">
        <f t="shared" si="642"/>
        <v>0</v>
      </c>
      <c r="BU275" s="14">
        <f t="shared" si="642"/>
        <v>0</v>
      </c>
      <c r="BV275" s="14">
        <f t="shared" si="643"/>
        <v>0</v>
      </c>
      <c r="BW275" s="14">
        <f t="shared" si="643"/>
        <v>0</v>
      </c>
      <c r="BX275" s="14">
        <f t="shared" si="643"/>
        <v>0</v>
      </c>
      <c r="BY275" s="14">
        <f t="shared" si="643"/>
        <v>0</v>
      </c>
      <c r="BZ275" s="14">
        <f t="shared" si="643"/>
        <v>0</v>
      </c>
      <c r="CA275" s="14">
        <f t="shared" si="643"/>
        <v>0</v>
      </c>
      <c r="CB275" s="14">
        <f t="shared" si="643"/>
        <v>0</v>
      </c>
      <c r="CC275" s="14">
        <f t="shared" si="644"/>
        <v>0</v>
      </c>
      <c r="CD275" s="14">
        <f t="shared" si="644"/>
        <v>0</v>
      </c>
      <c r="CE275" s="14">
        <f t="shared" si="644"/>
        <v>0</v>
      </c>
      <c r="CF275" s="14">
        <f t="shared" si="644"/>
        <v>0</v>
      </c>
      <c r="CG275" s="14">
        <f t="shared" si="645"/>
        <v>0</v>
      </c>
      <c r="CH275" s="14">
        <f t="shared" si="645"/>
        <v>0</v>
      </c>
      <c r="CI275" s="14">
        <f t="shared" si="645"/>
        <v>1</v>
      </c>
      <c r="CJ275" s="14"/>
      <c r="CK275" s="120" t="str">
        <f t="shared" si="637"/>
        <v>Input - 100% Rev</v>
      </c>
      <c r="CL275" s="76">
        <f t="shared" si="639"/>
        <v>0</v>
      </c>
      <c r="CM275" s="2">
        <f t="shared" si="638"/>
        <v>0</v>
      </c>
      <c r="CN275" s="2">
        <f t="shared" si="638"/>
        <v>0</v>
      </c>
      <c r="CO275" s="2">
        <f t="shared" si="638"/>
        <v>0</v>
      </c>
      <c r="CP275" s="2">
        <f t="shared" si="638"/>
        <v>0</v>
      </c>
      <c r="CQ275" s="2">
        <f t="shared" si="638"/>
        <v>0</v>
      </c>
      <c r="CR275" s="2">
        <f t="shared" si="638"/>
        <v>0</v>
      </c>
    </row>
    <row r="276" spans="1:96">
      <c r="A276" s="50">
        <f t="shared" si="616"/>
        <v>276</v>
      </c>
      <c r="C276" s="36" t="s">
        <v>152</v>
      </c>
      <c r="D276" s="28" t="s">
        <v>356</v>
      </c>
      <c r="E276" s="23">
        <v>0</v>
      </c>
      <c r="F276" s="60" t="str">
        <f>"as Labor O&amp;M Exp. ("&amp;BS$1&amp;A$342&amp;")"</f>
        <v>as Labor O&amp;M Exp. (BS342)</v>
      </c>
      <c r="G276" s="60"/>
      <c r="H276" s="2">
        <f t="shared" si="623"/>
        <v>0</v>
      </c>
      <c r="I276" s="21">
        <f t="shared" ref="I276:N276" si="646">$E276*CM$342/$BR$342</f>
        <v>0</v>
      </c>
      <c r="J276" s="21">
        <f t="shared" si="646"/>
        <v>0</v>
      </c>
      <c r="K276" s="21">
        <f t="shared" si="646"/>
        <v>0</v>
      </c>
      <c r="L276" s="21">
        <f t="shared" si="646"/>
        <v>0</v>
      </c>
      <c r="M276" s="21">
        <f t="shared" si="646"/>
        <v>0</v>
      </c>
      <c r="N276" s="21">
        <f t="shared" si="646"/>
        <v>0</v>
      </c>
      <c r="O276" s="2"/>
      <c r="P276" s="61" t="str">
        <f>E$1&amp;$A276&amp;"* "&amp;CM$1&amp;A$342&amp;" / "&amp;BR$1&amp;A$342</f>
        <v>E276* CM342 / BR342</v>
      </c>
      <c r="Q276" s="61"/>
      <c r="R276" s="14">
        <f>BS$342</f>
        <v>9.4011197840194252E-2</v>
      </c>
      <c r="S276" s="14">
        <f>BT$342</f>
        <v>2.771484723001123E-2</v>
      </c>
      <c r="T276" s="14">
        <f t="shared" ref="T276:AH276" si="647">BU$342</f>
        <v>2.025083303615954E-3</v>
      </c>
      <c r="U276" s="14">
        <f t="shared" si="647"/>
        <v>1.3552480570352927E-2</v>
      </c>
      <c r="V276" s="14">
        <f t="shared" si="647"/>
        <v>0</v>
      </c>
      <c r="W276" s="14">
        <f t="shared" si="647"/>
        <v>0.1576905706846389</v>
      </c>
      <c r="X276" s="14">
        <f t="shared" si="647"/>
        <v>0</v>
      </c>
      <c r="Y276" s="14">
        <f t="shared" si="647"/>
        <v>0</v>
      </c>
      <c r="Z276" s="14">
        <f t="shared" si="647"/>
        <v>0</v>
      </c>
      <c r="AA276" s="14">
        <f t="shared" si="647"/>
        <v>0</v>
      </c>
      <c r="AB276" s="14">
        <f t="shared" si="647"/>
        <v>0.43643287397616143</v>
      </c>
      <c r="AC276" s="14">
        <f t="shared" si="647"/>
        <v>0.1792970882068218</v>
      </c>
      <c r="AD276" s="14">
        <f t="shared" si="647"/>
        <v>8.7076406980020227E-2</v>
      </c>
      <c r="AE276" s="14">
        <f t="shared" si="647"/>
        <v>0</v>
      </c>
      <c r="AF276" s="14">
        <f t="shared" si="647"/>
        <v>2.1994512081833085E-3</v>
      </c>
      <c r="AG276" s="14">
        <f t="shared" si="647"/>
        <v>0</v>
      </c>
      <c r="AH276" s="14">
        <f t="shared" si="647"/>
        <v>0</v>
      </c>
      <c r="AI276" s="76">
        <f t="shared" si="573"/>
        <v>0</v>
      </c>
      <c r="AK276" s="2">
        <f t="shared" si="626"/>
        <v>0</v>
      </c>
      <c r="AL276" s="2">
        <f t="shared" si="627"/>
        <v>0</v>
      </c>
      <c r="AM276" s="2">
        <f t="shared" si="627"/>
        <v>0</v>
      </c>
      <c r="AN276" s="2">
        <f t="shared" si="627"/>
        <v>0</v>
      </c>
      <c r="AO276" s="2">
        <f t="shared" si="627"/>
        <v>0</v>
      </c>
      <c r="AP276" s="2"/>
      <c r="AQ276" s="61" t="str">
        <f>E$1&amp;$A276&amp;"*      """</f>
        <v>E276*      "</v>
      </c>
      <c r="AS276" s="2">
        <f t="shared" si="628"/>
        <v>0</v>
      </c>
      <c r="AT276" s="2">
        <f t="shared" si="629"/>
        <v>0</v>
      </c>
      <c r="AU276" s="2">
        <f t="shared" si="629"/>
        <v>0</v>
      </c>
      <c r="AV276" s="2">
        <f t="shared" si="629"/>
        <v>0</v>
      </c>
      <c r="AW276" s="2">
        <f t="shared" si="629"/>
        <v>0</v>
      </c>
      <c r="AX276" s="2">
        <f t="shared" si="629"/>
        <v>0</v>
      </c>
      <c r="AY276" s="2">
        <f t="shared" si="629"/>
        <v>0</v>
      </c>
      <c r="BA276" s="2">
        <f t="shared" si="630"/>
        <v>0</v>
      </c>
      <c r="BB276" s="2">
        <f t="shared" si="631"/>
        <v>0</v>
      </c>
      <c r="BC276" s="2">
        <f t="shared" si="631"/>
        <v>0</v>
      </c>
      <c r="BD276" s="2">
        <f t="shared" si="631"/>
        <v>0</v>
      </c>
      <c r="BE276" s="2">
        <f t="shared" si="631"/>
        <v>0</v>
      </c>
      <c r="BF276" s="2">
        <f t="shared" si="631"/>
        <v>0</v>
      </c>
      <c r="BG276" s="2">
        <f t="shared" si="631"/>
        <v>0</v>
      </c>
      <c r="BI276" s="2">
        <f t="shared" si="632"/>
        <v>0</v>
      </c>
      <c r="BJ276" s="2">
        <f t="shared" si="633"/>
        <v>0</v>
      </c>
      <c r="BK276" s="2">
        <f t="shared" si="633"/>
        <v>0</v>
      </c>
      <c r="BL276" s="2">
        <f t="shared" si="633"/>
        <v>0</v>
      </c>
      <c r="BM276" s="2">
        <f t="shared" si="633"/>
        <v>0</v>
      </c>
      <c r="BN276" s="2">
        <f t="shared" si="633"/>
        <v>0</v>
      </c>
      <c r="BO276" s="2">
        <f t="shared" si="633"/>
        <v>0</v>
      </c>
      <c r="BQ276" s="28" t="s">
        <v>356</v>
      </c>
      <c r="BR276" s="23">
        <v>0</v>
      </c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120" t="str">
        <f t="shared" si="637"/>
        <v>as Labor O&amp;M Exp. (BS342)</v>
      </c>
      <c r="CL276" s="76">
        <f t="shared" si="639"/>
        <v>0</v>
      </c>
      <c r="CM276" s="2"/>
      <c r="CN276" s="2"/>
      <c r="CO276" s="2"/>
      <c r="CP276" s="2"/>
      <c r="CQ276" s="2"/>
      <c r="CR276" s="2"/>
    </row>
    <row r="277" spans="1:96">
      <c r="A277" s="50">
        <f t="shared" si="616"/>
        <v>277</v>
      </c>
      <c r="B277" t="s">
        <v>47</v>
      </c>
      <c r="D277" t="s">
        <v>48</v>
      </c>
      <c r="E277" s="2"/>
      <c r="F277" s="60"/>
      <c r="G277" s="60"/>
      <c r="I277" s="49"/>
      <c r="P277" s="61"/>
      <c r="Q277" s="61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76">
        <f t="shared" si="573"/>
        <v>0</v>
      </c>
      <c r="AQ277" s="61"/>
      <c r="BQ277" t="s">
        <v>48</v>
      </c>
      <c r="BR277" s="49"/>
      <c r="CK277" s="120"/>
      <c r="CL277" s="76">
        <f t="shared" si="639"/>
        <v>0</v>
      </c>
      <c r="CM277" s="49"/>
    </row>
    <row r="278" spans="1:96">
      <c r="A278" s="50">
        <f t="shared" si="616"/>
        <v>278</v>
      </c>
      <c r="C278" s="36" t="s">
        <v>152</v>
      </c>
      <c r="D278" s="56" t="s">
        <v>148</v>
      </c>
      <c r="E278" s="436">
        <f>PROFORMA!AV131</f>
        <v>1950000</v>
      </c>
      <c r="F278" s="61" t="s">
        <v>1159</v>
      </c>
      <c r="G278" s="60"/>
      <c r="H278" s="2">
        <f t="shared" ref="H278:H283" si="648">SUM(I278:N278)</f>
        <v>1950000</v>
      </c>
      <c r="I278" s="21">
        <f t="shared" ref="I278:N282" si="649">$E278*SUMPRODUCT($R278:$AH278,INDEX(AllocFactors,I$4,0))</f>
        <v>1706688.2963311253</v>
      </c>
      <c r="J278" s="2">
        <f t="shared" si="649"/>
        <v>184861.14597027199</v>
      </c>
      <c r="K278" s="2">
        <f t="shared" si="649"/>
        <v>0</v>
      </c>
      <c r="L278" s="2">
        <f t="shared" si="649"/>
        <v>2288.8484858680426</v>
      </c>
      <c r="M278" s="2">
        <f t="shared" si="649"/>
        <v>56161.709212734939</v>
      </c>
      <c r="N278" s="2">
        <f t="shared" si="649"/>
        <v>0</v>
      </c>
      <c r="O278" s="2"/>
      <c r="P278" s="61" t="s">
        <v>1160</v>
      </c>
      <c r="Q278" s="61"/>
      <c r="R278" s="14">
        <f>R$257</f>
        <v>8.8133437743971782E-2</v>
      </c>
      <c r="S278" s="14">
        <f t="shared" ref="S278:AF278" si="650">S$257</f>
        <v>1.48122630432825E-2</v>
      </c>
      <c r="T278" s="14">
        <f t="shared" si="650"/>
        <v>6.2152272453224224E-3</v>
      </c>
      <c r="U278" s="14">
        <f t="shared" si="650"/>
        <v>4.15942131033116E-2</v>
      </c>
      <c r="V278" s="14">
        <f t="shared" si="650"/>
        <v>0</v>
      </c>
      <c r="W278" s="14">
        <f t="shared" si="650"/>
        <v>0.15413680450310352</v>
      </c>
      <c r="X278" s="14">
        <f t="shared" si="650"/>
        <v>0</v>
      </c>
      <c r="Y278" s="14">
        <f t="shared" si="650"/>
        <v>0</v>
      </c>
      <c r="Z278" s="14">
        <f t="shared" si="650"/>
        <v>0</v>
      </c>
      <c r="AA278" s="14">
        <f t="shared" si="650"/>
        <v>0</v>
      </c>
      <c r="AB278" s="14">
        <f t="shared" si="650"/>
        <v>0.45505508837908676</v>
      </c>
      <c r="AC278" s="14">
        <f t="shared" si="650"/>
        <v>0.16681683403029823</v>
      </c>
      <c r="AD278" s="14">
        <f t="shared" si="650"/>
        <v>7.1278348815059178E-2</v>
      </c>
      <c r="AE278" s="14">
        <f t="shared" si="650"/>
        <v>0</v>
      </c>
      <c r="AF278" s="14">
        <f t="shared" si="650"/>
        <v>1.9577831365640468E-3</v>
      </c>
      <c r="AG278" s="14">
        <f>(AG$43*0.25)+(AG$253*0.25)+(CH$252*0.25)</f>
        <v>0</v>
      </c>
      <c r="AH278" s="14">
        <f>(AH$43*0.25)+(AH$253*0.25)+(CI$252*0.25)</f>
        <v>0</v>
      </c>
      <c r="AI278" s="76">
        <f t="shared" si="573"/>
        <v>0</v>
      </c>
      <c r="AK278" s="2">
        <f t="shared" ref="AK278:AK283" si="651">SUM(AL278:AO278)</f>
        <v>1950000</v>
      </c>
      <c r="AL278" s="2">
        <f t="shared" ref="AL278:AO283" si="652">SUMIF($R$4:$AH$4,AL$5,$R278:$AH278)*$E278</f>
        <v>293972.52521498216</v>
      </c>
      <c r="AM278" s="2">
        <f t="shared" si="652"/>
        <v>300566.76878105185</v>
      </c>
      <c r="AN278" s="2">
        <f t="shared" si="652"/>
        <v>1355460.706003966</v>
      </c>
      <c r="AO278" s="2">
        <f t="shared" si="652"/>
        <v>0</v>
      </c>
      <c r="AP278" s="2"/>
      <c r="AQ278" s="61" t="str">
        <f>E$1&amp;$A278&amp;"*["&amp;R$1&amp;$A278&amp;":"&amp;$AH$1&amp;$A278&amp;" when "&amp;R$1&amp;$A$4&amp;":"&amp;$AH$1&amp;$A$4&amp;" = E,D,C,or R]"</f>
        <v>E278*[R278:AH278 when R4:AH4 = E,D,C,or R]</v>
      </c>
      <c r="AS278" s="2">
        <f t="shared" ref="AS278:AS283" si="653">SUM(AT278:AY278)</f>
        <v>293972.52521498222</v>
      </c>
      <c r="AT278" s="2">
        <f t="shared" ref="AT278:AY283" si="654">$E278*SUMPRODUCT($R278:$V278,INDEX(AllocFactors_E,AT$4,0))</f>
        <v>187310.04109835517</v>
      </c>
      <c r="AU278" s="2">
        <f t="shared" si="654"/>
        <v>77237.056611298831</v>
      </c>
      <c r="AV278" s="2">
        <f t="shared" si="654"/>
        <v>0</v>
      </c>
      <c r="AW278" s="2">
        <f t="shared" si="654"/>
        <v>1205.9579200476451</v>
      </c>
      <c r="AX278" s="2">
        <f t="shared" si="654"/>
        <v>28219.469585280574</v>
      </c>
      <c r="AY278" s="2">
        <f t="shared" si="654"/>
        <v>0</v>
      </c>
      <c r="BA278" s="2">
        <f t="shared" ref="BA278:BA283" si="655">SUM(BB278:BG278)</f>
        <v>300566.76878105185</v>
      </c>
      <c r="BB278" s="2">
        <f t="shared" ref="BB278:BG283" si="656">$E278*SUMPRODUCT($W278:$AA278,INDEX(AllocFactors_D,BB$4,0))</f>
        <v>205229.46215585139</v>
      </c>
      <c r="BC278" s="2">
        <f t="shared" si="656"/>
        <v>69465.000748113962</v>
      </c>
      <c r="BD278" s="2">
        <f t="shared" si="656"/>
        <v>0</v>
      </c>
      <c r="BE278" s="2">
        <f t="shared" si="656"/>
        <v>872.67373281277389</v>
      </c>
      <c r="BF278" s="2">
        <f t="shared" si="656"/>
        <v>24999.632144273732</v>
      </c>
      <c r="BG278" s="2">
        <f t="shared" si="656"/>
        <v>0</v>
      </c>
      <c r="BI278" s="2">
        <f t="shared" ref="BI278:BI283" si="657">SUM(BJ278:BO278)</f>
        <v>1355460.706003966</v>
      </c>
      <c r="BJ278" s="2">
        <f t="shared" ref="BJ278:BO283" si="658">$E278*SUMPRODUCT($AB278:$AG278,INDEX(AllocFactors_C,BJ$4,0))</f>
        <v>1314148.7930769187</v>
      </c>
      <c r="BK278" s="2">
        <f t="shared" si="658"/>
        <v>38159.08861085918</v>
      </c>
      <c r="BL278" s="2">
        <f t="shared" si="658"/>
        <v>0</v>
      </c>
      <c r="BM278" s="2">
        <f t="shared" si="658"/>
        <v>210.21683300762407</v>
      </c>
      <c r="BN278" s="2">
        <f t="shared" si="658"/>
        <v>2942.6074831806245</v>
      </c>
      <c r="BO278" s="2">
        <f t="shared" si="658"/>
        <v>0</v>
      </c>
      <c r="BQ278" s="28" t="s">
        <v>352</v>
      </c>
      <c r="BR278" s="23">
        <v>6200</v>
      </c>
      <c r="BS278" s="14">
        <f t="shared" ref="BS278:BU279" si="659">R278</f>
        <v>8.8133437743971782E-2</v>
      </c>
      <c r="BT278" s="14">
        <f t="shared" si="659"/>
        <v>1.48122630432825E-2</v>
      </c>
      <c r="BU278" s="14">
        <f t="shared" si="659"/>
        <v>6.2152272453224224E-3</v>
      </c>
      <c r="BV278" s="14">
        <f t="shared" ref="BV278:CE279" si="660">U278</f>
        <v>4.15942131033116E-2</v>
      </c>
      <c r="BW278" s="14">
        <f t="shared" si="660"/>
        <v>0</v>
      </c>
      <c r="BX278" s="14">
        <f t="shared" si="660"/>
        <v>0.15413680450310352</v>
      </c>
      <c r="BY278" s="14">
        <f t="shared" si="660"/>
        <v>0</v>
      </c>
      <c r="BZ278" s="14">
        <f t="shared" si="660"/>
        <v>0</v>
      </c>
      <c r="CA278" s="14">
        <f t="shared" si="660"/>
        <v>0</v>
      </c>
      <c r="CB278" s="14">
        <f t="shared" si="660"/>
        <v>0</v>
      </c>
      <c r="CC278" s="14">
        <f t="shared" si="660"/>
        <v>0.45505508837908676</v>
      </c>
      <c r="CD278" s="14">
        <f t="shared" si="660"/>
        <v>0.16681683403029823</v>
      </c>
      <c r="CE278" s="14">
        <f t="shared" si="660"/>
        <v>7.1278348815059178E-2</v>
      </c>
      <c r="CF278" s="14">
        <f>AE278</f>
        <v>0</v>
      </c>
      <c r="CG278" s="14">
        <f t="shared" ref="CG278:CI279" si="661">AF278</f>
        <v>1.9577831365640468E-3</v>
      </c>
      <c r="CH278" s="14">
        <f t="shared" si="661"/>
        <v>0</v>
      </c>
      <c r="CI278" s="14">
        <f t="shared" si="661"/>
        <v>0</v>
      </c>
      <c r="CJ278" s="14"/>
      <c r="CK278" s="120" t="str">
        <f t="shared" ref="CK278:CK283" si="662">F278</f>
        <v>4-Factor</v>
      </c>
      <c r="CL278" s="76">
        <f t="shared" si="639"/>
        <v>0</v>
      </c>
      <c r="CM278" s="2">
        <f t="shared" ref="CM278:CR282" si="663">$BR278*SUMPRODUCT($BS278:$CI278,INDEX(AllocFactors,CM$170,0))</f>
        <v>5426.3935575656287</v>
      </c>
      <c r="CN278" s="2">
        <f t="shared" si="663"/>
        <v>587.76364359778779</v>
      </c>
      <c r="CO278" s="2">
        <f t="shared" si="663"/>
        <v>0</v>
      </c>
      <c r="CP278" s="2">
        <f t="shared" si="663"/>
        <v>7.2773644166060842</v>
      </c>
      <c r="CQ278" s="2">
        <f t="shared" si="663"/>
        <v>178.56543441997775</v>
      </c>
      <c r="CR278" s="2">
        <f t="shared" si="663"/>
        <v>0</v>
      </c>
    </row>
    <row r="279" spans="1:96">
      <c r="A279" s="50">
        <f t="shared" si="616"/>
        <v>279</v>
      </c>
      <c r="C279" s="36" t="s">
        <v>152</v>
      </c>
      <c r="D279" s="56" t="s">
        <v>353</v>
      </c>
      <c r="E279" s="150">
        <v>0</v>
      </c>
      <c r="F279" s="524" t="s">
        <v>445</v>
      </c>
      <c r="G279" s="60"/>
      <c r="H279" s="2">
        <f t="shared" si="648"/>
        <v>0</v>
      </c>
      <c r="I279" s="21">
        <f t="shared" si="649"/>
        <v>0</v>
      </c>
      <c r="J279" s="2">
        <f t="shared" si="649"/>
        <v>0</v>
      </c>
      <c r="K279" s="2">
        <f t="shared" si="649"/>
        <v>0</v>
      </c>
      <c r="L279" s="2">
        <f t="shared" si="649"/>
        <v>0</v>
      </c>
      <c r="M279" s="2">
        <f t="shared" si="649"/>
        <v>0</v>
      </c>
      <c r="N279" s="2">
        <f t="shared" si="649"/>
        <v>0</v>
      </c>
      <c r="O279" s="2"/>
      <c r="P279" s="61" t="str">
        <f>E$1&amp;$A279&amp;"*     """</f>
        <v>E279*     "</v>
      </c>
      <c r="Q279" s="61"/>
      <c r="R279" s="523">
        <v>1</v>
      </c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76">
        <f t="shared" si="573"/>
        <v>0</v>
      </c>
      <c r="AK279" s="2">
        <f t="shared" si="651"/>
        <v>0</v>
      </c>
      <c r="AL279" s="2">
        <f t="shared" si="652"/>
        <v>0</v>
      </c>
      <c r="AM279" s="2">
        <f t="shared" si="652"/>
        <v>0</v>
      </c>
      <c r="AN279" s="2">
        <f t="shared" si="652"/>
        <v>0</v>
      </c>
      <c r="AO279" s="2">
        <f t="shared" si="652"/>
        <v>0</v>
      </c>
      <c r="AP279" s="2"/>
      <c r="AQ279" s="61" t="str">
        <f>E$1&amp;$A279&amp;"*      """</f>
        <v>E279*      "</v>
      </c>
      <c r="AS279" s="2">
        <f t="shared" si="653"/>
        <v>0</v>
      </c>
      <c r="AT279" s="2">
        <f t="shared" si="654"/>
        <v>0</v>
      </c>
      <c r="AU279" s="2">
        <f t="shared" si="654"/>
        <v>0</v>
      </c>
      <c r="AV279" s="2">
        <f t="shared" si="654"/>
        <v>0</v>
      </c>
      <c r="AW279" s="2">
        <f t="shared" si="654"/>
        <v>0</v>
      </c>
      <c r="AX279" s="2">
        <f t="shared" si="654"/>
        <v>0</v>
      </c>
      <c r="AY279" s="2">
        <f t="shared" si="654"/>
        <v>0</v>
      </c>
      <c r="BA279" s="2">
        <f t="shared" si="655"/>
        <v>0</v>
      </c>
      <c r="BB279" s="2">
        <f t="shared" si="656"/>
        <v>0</v>
      </c>
      <c r="BC279" s="2">
        <f t="shared" si="656"/>
        <v>0</v>
      </c>
      <c r="BD279" s="2">
        <f t="shared" si="656"/>
        <v>0</v>
      </c>
      <c r="BE279" s="2">
        <f t="shared" si="656"/>
        <v>0</v>
      </c>
      <c r="BF279" s="2">
        <f t="shared" si="656"/>
        <v>0</v>
      </c>
      <c r="BG279" s="2">
        <f t="shared" si="656"/>
        <v>0</v>
      </c>
      <c r="BI279" s="2">
        <f t="shared" si="657"/>
        <v>0</v>
      </c>
      <c r="BJ279" s="2">
        <f t="shared" si="658"/>
        <v>0</v>
      </c>
      <c r="BK279" s="2">
        <f t="shared" si="658"/>
        <v>0</v>
      </c>
      <c r="BL279" s="2">
        <f t="shared" si="658"/>
        <v>0</v>
      </c>
      <c r="BM279" s="2">
        <f t="shared" si="658"/>
        <v>0</v>
      </c>
      <c r="BN279" s="2">
        <f t="shared" si="658"/>
        <v>0</v>
      </c>
      <c r="BO279" s="2">
        <f t="shared" si="658"/>
        <v>0</v>
      </c>
      <c r="BQ279" s="28" t="s">
        <v>353</v>
      </c>
      <c r="BR279" s="23">
        <v>0</v>
      </c>
      <c r="BS279" s="14">
        <f t="shared" si="659"/>
        <v>1</v>
      </c>
      <c r="BT279" s="14">
        <f t="shared" si="659"/>
        <v>0</v>
      </c>
      <c r="BU279" s="14">
        <f t="shared" si="659"/>
        <v>0</v>
      </c>
      <c r="BV279" s="14">
        <f t="shared" si="660"/>
        <v>0</v>
      </c>
      <c r="BW279" s="14">
        <f t="shared" si="660"/>
        <v>0</v>
      </c>
      <c r="BX279" s="14">
        <f t="shared" si="660"/>
        <v>0</v>
      </c>
      <c r="BY279" s="14">
        <f t="shared" si="660"/>
        <v>0</v>
      </c>
      <c r="BZ279" s="14">
        <f t="shared" si="660"/>
        <v>0</v>
      </c>
      <c r="CA279" s="14">
        <f t="shared" si="660"/>
        <v>0</v>
      </c>
      <c r="CB279" s="14">
        <f t="shared" si="660"/>
        <v>0</v>
      </c>
      <c r="CC279" s="14">
        <f t="shared" si="660"/>
        <v>0</v>
      </c>
      <c r="CD279" s="14">
        <f t="shared" si="660"/>
        <v>0</v>
      </c>
      <c r="CE279" s="14">
        <f t="shared" si="660"/>
        <v>0</v>
      </c>
      <c r="CF279" s="14">
        <f>AE279</f>
        <v>0</v>
      </c>
      <c r="CG279" s="14">
        <f t="shared" si="661"/>
        <v>0</v>
      </c>
      <c r="CH279" s="14">
        <f t="shared" si="661"/>
        <v>0</v>
      </c>
      <c r="CI279" s="14">
        <f t="shared" si="661"/>
        <v>0</v>
      </c>
      <c r="CJ279" s="14"/>
      <c r="CK279" s="120" t="str">
        <f t="shared" si="662"/>
        <v>Input - 100% Throughput</v>
      </c>
      <c r="CL279" s="76">
        <f t="shared" si="639"/>
        <v>0</v>
      </c>
      <c r="CM279" s="2">
        <f t="shared" si="663"/>
        <v>0</v>
      </c>
      <c r="CN279" s="2">
        <f t="shared" si="663"/>
        <v>0</v>
      </c>
      <c r="CO279" s="2">
        <f t="shared" si="663"/>
        <v>0</v>
      </c>
      <c r="CP279" s="2">
        <f t="shared" si="663"/>
        <v>0</v>
      </c>
      <c r="CQ279" s="2">
        <f t="shared" si="663"/>
        <v>0</v>
      </c>
      <c r="CR279" s="2">
        <f t="shared" si="663"/>
        <v>0</v>
      </c>
    </row>
    <row r="280" spans="1:96">
      <c r="A280" s="50">
        <f t="shared" si="616"/>
        <v>280</v>
      </c>
      <c r="C280" s="36" t="s">
        <v>152</v>
      </c>
      <c r="D280" s="28" t="s">
        <v>354</v>
      </c>
      <c r="E280" s="23">
        <v>0</v>
      </c>
      <c r="F280" s="60" t="str">
        <f>"as Plant in Service ("&amp;A$58&amp;")"</f>
        <v>as Plant in Service (58)</v>
      </c>
      <c r="G280" s="60"/>
      <c r="H280" s="2">
        <f t="shared" si="648"/>
        <v>0</v>
      </c>
      <c r="I280" s="21">
        <f t="shared" si="649"/>
        <v>0</v>
      </c>
      <c r="J280" s="2">
        <f t="shared" si="649"/>
        <v>0</v>
      </c>
      <c r="K280" s="2">
        <f t="shared" si="649"/>
        <v>0</v>
      </c>
      <c r="L280" s="2">
        <f t="shared" si="649"/>
        <v>0</v>
      </c>
      <c r="M280" s="2">
        <f t="shared" si="649"/>
        <v>0</v>
      </c>
      <c r="N280" s="2">
        <f t="shared" si="649"/>
        <v>0</v>
      </c>
      <c r="O280" s="2"/>
      <c r="P280" s="61" t="str">
        <f>E$1&amp;$A280&amp;"*     """</f>
        <v>E280*     "</v>
      </c>
      <c r="Q280" s="61"/>
      <c r="R280" s="14">
        <f>R$58</f>
        <v>0.15278530527507739</v>
      </c>
      <c r="S280" s="14">
        <f t="shared" ref="S280:AH280" si="664">S$58</f>
        <v>3.164969422787912E-3</v>
      </c>
      <c r="T280" s="14">
        <f t="shared" si="664"/>
        <v>6.9829362297418388E-3</v>
      </c>
      <c r="U280" s="14">
        <f t="shared" si="664"/>
        <v>4.673195784519539E-2</v>
      </c>
      <c r="V280" s="14">
        <f t="shared" si="664"/>
        <v>0</v>
      </c>
      <c r="W280" s="14">
        <f t="shared" si="664"/>
        <v>0.27991526808724082</v>
      </c>
      <c r="X280" s="14">
        <f t="shared" si="664"/>
        <v>0</v>
      </c>
      <c r="Y280" s="14">
        <f t="shared" si="664"/>
        <v>0</v>
      </c>
      <c r="Z280" s="14">
        <f t="shared" si="664"/>
        <v>0</v>
      </c>
      <c r="AA280" s="14">
        <f t="shared" si="664"/>
        <v>0</v>
      </c>
      <c r="AB280" s="14">
        <f t="shared" si="664"/>
        <v>9.7232640022350991E-2</v>
      </c>
      <c r="AC280" s="14">
        <f t="shared" si="664"/>
        <v>0.29403559958561315</v>
      </c>
      <c r="AD280" s="14">
        <f t="shared" si="664"/>
        <v>0.1147688867063851</v>
      </c>
      <c r="AE280" s="14">
        <f t="shared" si="664"/>
        <v>0</v>
      </c>
      <c r="AF280" s="14">
        <f t="shared" si="664"/>
        <v>4.3824368256074331E-3</v>
      </c>
      <c r="AG280" s="14">
        <f t="shared" si="664"/>
        <v>0</v>
      </c>
      <c r="AH280" s="14">
        <f t="shared" si="664"/>
        <v>0</v>
      </c>
      <c r="AI280" s="76">
        <f t="shared" si="573"/>
        <v>0</v>
      </c>
      <c r="AK280" s="2">
        <f t="shared" si="651"/>
        <v>0</v>
      </c>
      <c r="AL280" s="2">
        <f t="shared" si="652"/>
        <v>0</v>
      </c>
      <c r="AM280" s="2">
        <f t="shared" si="652"/>
        <v>0</v>
      </c>
      <c r="AN280" s="2">
        <f t="shared" si="652"/>
        <v>0</v>
      </c>
      <c r="AO280" s="2">
        <f t="shared" si="652"/>
        <v>0</v>
      </c>
      <c r="AP280" s="2"/>
      <c r="AQ280" s="61" t="str">
        <f>E$1&amp;$A280&amp;"*      """</f>
        <v>E280*      "</v>
      </c>
      <c r="AS280" s="2">
        <f t="shared" si="653"/>
        <v>0</v>
      </c>
      <c r="AT280" s="2">
        <f t="shared" si="654"/>
        <v>0</v>
      </c>
      <c r="AU280" s="2">
        <f t="shared" si="654"/>
        <v>0</v>
      </c>
      <c r="AV280" s="2">
        <f t="shared" si="654"/>
        <v>0</v>
      </c>
      <c r="AW280" s="2">
        <f t="shared" si="654"/>
        <v>0</v>
      </c>
      <c r="AX280" s="2">
        <f t="shared" si="654"/>
        <v>0</v>
      </c>
      <c r="AY280" s="2">
        <f t="shared" si="654"/>
        <v>0</v>
      </c>
      <c r="BA280" s="2">
        <f t="shared" si="655"/>
        <v>0</v>
      </c>
      <c r="BB280" s="2">
        <f t="shared" si="656"/>
        <v>0</v>
      </c>
      <c r="BC280" s="2">
        <f t="shared" si="656"/>
        <v>0</v>
      </c>
      <c r="BD280" s="2">
        <f t="shared" si="656"/>
        <v>0</v>
      </c>
      <c r="BE280" s="2">
        <f t="shared" si="656"/>
        <v>0</v>
      </c>
      <c r="BF280" s="2">
        <f t="shared" si="656"/>
        <v>0</v>
      </c>
      <c r="BG280" s="2">
        <f t="shared" si="656"/>
        <v>0</v>
      </c>
      <c r="BI280" s="2">
        <f t="shared" si="657"/>
        <v>0</v>
      </c>
      <c r="BJ280" s="2">
        <f t="shared" si="658"/>
        <v>0</v>
      </c>
      <c r="BK280" s="2">
        <f t="shared" si="658"/>
        <v>0</v>
      </c>
      <c r="BL280" s="2">
        <f t="shared" si="658"/>
        <v>0</v>
      </c>
      <c r="BM280" s="2">
        <f t="shared" si="658"/>
        <v>0</v>
      </c>
      <c r="BN280" s="2">
        <f t="shared" si="658"/>
        <v>0</v>
      </c>
      <c r="BO280" s="2">
        <f t="shared" si="658"/>
        <v>0</v>
      </c>
      <c r="BQ280" s="28" t="s">
        <v>354</v>
      </c>
      <c r="BR280" s="23">
        <v>0</v>
      </c>
      <c r="BS280" s="14">
        <f>R$58</f>
        <v>0.15278530527507739</v>
      </c>
      <c r="BT280" s="14">
        <f>S$58</f>
        <v>3.164969422787912E-3</v>
      </c>
      <c r="BU280" s="14">
        <f>T$58</f>
        <v>6.9829362297418388E-3</v>
      </c>
      <c r="BV280" s="14">
        <f t="shared" ref="BV280:CI280" si="665">U$58</f>
        <v>4.673195784519539E-2</v>
      </c>
      <c r="BW280" s="14">
        <f t="shared" si="665"/>
        <v>0</v>
      </c>
      <c r="BX280" s="14">
        <f t="shared" si="665"/>
        <v>0.27991526808724082</v>
      </c>
      <c r="BY280" s="14">
        <f t="shared" si="665"/>
        <v>0</v>
      </c>
      <c r="BZ280" s="14">
        <f t="shared" si="665"/>
        <v>0</v>
      </c>
      <c r="CA280" s="14">
        <f t="shared" si="665"/>
        <v>0</v>
      </c>
      <c r="CB280" s="14">
        <f t="shared" si="665"/>
        <v>0</v>
      </c>
      <c r="CC280" s="14">
        <f t="shared" si="665"/>
        <v>9.7232640022350991E-2</v>
      </c>
      <c r="CD280" s="14">
        <f t="shared" si="665"/>
        <v>0.29403559958561315</v>
      </c>
      <c r="CE280" s="14">
        <f t="shared" si="665"/>
        <v>0.1147688867063851</v>
      </c>
      <c r="CF280" s="14">
        <f t="shared" si="665"/>
        <v>0</v>
      </c>
      <c r="CG280" s="14">
        <f t="shared" si="665"/>
        <v>4.3824368256074331E-3</v>
      </c>
      <c r="CH280" s="14">
        <f t="shared" si="665"/>
        <v>0</v>
      </c>
      <c r="CI280" s="14">
        <f t="shared" si="665"/>
        <v>0</v>
      </c>
      <c r="CJ280" s="14"/>
      <c r="CK280" s="120" t="str">
        <f t="shared" si="662"/>
        <v>as Plant in Service (58)</v>
      </c>
      <c r="CL280" s="76">
        <f t="shared" si="639"/>
        <v>0</v>
      </c>
      <c r="CM280" s="2">
        <f t="shared" si="663"/>
        <v>0</v>
      </c>
      <c r="CN280" s="2">
        <f t="shared" si="663"/>
        <v>0</v>
      </c>
      <c r="CO280" s="2">
        <f t="shared" si="663"/>
        <v>0</v>
      </c>
      <c r="CP280" s="2">
        <f t="shared" si="663"/>
        <v>0</v>
      </c>
      <c r="CQ280" s="2">
        <f t="shared" si="663"/>
        <v>0</v>
      </c>
      <c r="CR280" s="2">
        <f t="shared" si="663"/>
        <v>0</v>
      </c>
    </row>
    <row r="281" spans="1:96">
      <c r="A281" s="50">
        <f t="shared" si="616"/>
        <v>281</v>
      </c>
      <c r="C281" s="36" t="s">
        <v>157</v>
      </c>
      <c r="D281" s="28" t="s">
        <v>355</v>
      </c>
      <c r="E281" s="23">
        <v>0</v>
      </c>
      <c r="F281" s="60" t="s">
        <v>451</v>
      </c>
      <c r="G281" s="60"/>
      <c r="H281" s="2">
        <f t="shared" si="648"/>
        <v>0</v>
      </c>
      <c r="I281" s="21">
        <f t="shared" si="649"/>
        <v>0</v>
      </c>
      <c r="J281" s="2">
        <f t="shared" si="649"/>
        <v>0</v>
      </c>
      <c r="K281" s="2">
        <f t="shared" si="649"/>
        <v>0</v>
      </c>
      <c r="L281" s="2">
        <f t="shared" si="649"/>
        <v>0</v>
      </c>
      <c r="M281" s="2">
        <f t="shared" si="649"/>
        <v>0</v>
      </c>
      <c r="N281" s="2">
        <f t="shared" si="649"/>
        <v>0</v>
      </c>
      <c r="O281" s="2"/>
      <c r="P281" s="61" t="str">
        <f>E$1&amp;$A281&amp;"*     """</f>
        <v>E281*     "</v>
      </c>
      <c r="Q281" s="61"/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1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76">
        <f t="shared" si="573"/>
        <v>0</v>
      </c>
      <c r="AK281" s="2">
        <f t="shared" si="651"/>
        <v>0</v>
      </c>
      <c r="AL281" s="2">
        <f t="shared" si="652"/>
        <v>0</v>
      </c>
      <c r="AM281" s="2">
        <f t="shared" si="652"/>
        <v>0</v>
      </c>
      <c r="AN281" s="2">
        <f t="shared" si="652"/>
        <v>0</v>
      </c>
      <c r="AO281" s="2">
        <f t="shared" si="652"/>
        <v>0</v>
      </c>
      <c r="AP281" s="2"/>
      <c r="AQ281" s="61" t="str">
        <f>E$1&amp;$A281&amp;"*      """</f>
        <v>E281*      "</v>
      </c>
      <c r="AS281" s="2">
        <f t="shared" si="653"/>
        <v>0</v>
      </c>
      <c r="AT281" s="2">
        <f t="shared" si="654"/>
        <v>0</v>
      </c>
      <c r="AU281" s="2">
        <f t="shared" si="654"/>
        <v>0</v>
      </c>
      <c r="AV281" s="2">
        <f t="shared" si="654"/>
        <v>0</v>
      </c>
      <c r="AW281" s="2">
        <f t="shared" si="654"/>
        <v>0</v>
      </c>
      <c r="AX281" s="2">
        <f t="shared" si="654"/>
        <v>0</v>
      </c>
      <c r="AY281" s="2">
        <f t="shared" si="654"/>
        <v>0</v>
      </c>
      <c r="BA281" s="2">
        <f t="shared" si="655"/>
        <v>0</v>
      </c>
      <c r="BB281" s="2">
        <f t="shared" si="656"/>
        <v>0</v>
      </c>
      <c r="BC281" s="2">
        <f t="shared" si="656"/>
        <v>0</v>
      </c>
      <c r="BD281" s="2">
        <f t="shared" si="656"/>
        <v>0</v>
      </c>
      <c r="BE281" s="2">
        <f t="shared" si="656"/>
        <v>0</v>
      </c>
      <c r="BF281" s="2">
        <f t="shared" si="656"/>
        <v>0</v>
      </c>
      <c r="BG281" s="2">
        <f t="shared" si="656"/>
        <v>0</v>
      </c>
      <c r="BI281" s="2">
        <f t="shared" si="657"/>
        <v>0</v>
      </c>
      <c r="BJ281" s="2">
        <f t="shared" si="658"/>
        <v>0</v>
      </c>
      <c r="BK281" s="2">
        <f t="shared" si="658"/>
        <v>0</v>
      </c>
      <c r="BL281" s="2">
        <f t="shared" si="658"/>
        <v>0</v>
      </c>
      <c r="BM281" s="2">
        <f t="shared" si="658"/>
        <v>0</v>
      </c>
      <c r="BN281" s="2">
        <f t="shared" si="658"/>
        <v>0</v>
      </c>
      <c r="BO281" s="2">
        <f t="shared" si="658"/>
        <v>0</v>
      </c>
      <c r="BQ281" s="28" t="s">
        <v>355</v>
      </c>
      <c r="BR281" s="23">
        <v>0</v>
      </c>
      <c r="BS281" s="14">
        <f t="shared" ref="BS281:BU282" si="666">R281</f>
        <v>0</v>
      </c>
      <c r="BT281" s="14">
        <f t="shared" si="666"/>
        <v>0</v>
      </c>
      <c r="BU281" s="14">
        <f t="shared" si="666"/>
        <v>0</v>
      </c>
      <c r="BV281" s="14">
        <f t="shared" ref="BV281:CB282" si="667">U281</f>
        <v>0</v>
      </c>
      <c r="BW281" s="14">
        <f t="shared" si="667"/>
        <v>0</v>
      </c>
      <c r="BX281" s="14">
        <f t="shared" si="667"/>
        <v>0</v>
      </c>
      <c r="BY281" s="14">
        <f t="shared" si="667"/>
        <v>0</v>
      </c>
      <c r="BZ281" s="14">
        <f t="shared" si="667"/>
        <v>0</v>
      </c>
      <c r="CA281" s="14">
        <f t="shared" si="667"/>
        <v>0</v>
      </c>
      <c r="CB281" s="14">
        <f t="shared" si="667"/>
        <v>0</v>
      </c>
      <c r="CC281" s="14">
        <f t="shared" ref="CC281:CF282" si="668">AB281</f>
        <v>1</v>
      </c>
      <c r="CD281" s="14">
        <f t="shared" si="668"/>
        <v>0</v>
      </c>
      <c r="CE281" s="14">
        <f t="shared" si="668"/>
        <v>0</v>
      </c>
      <c r="CF281" s="14">
        <f t="shared" si="668"/>
        <v>0</v>
      </c>
      <c r="CG281" s="14">
        <f t="shared" ref="CG281:CI282" si="669">AF281</f>
        <v>0</v>
      </c>
      <c r="CH281" s="14">
        <f t="shared" si="669"/>
        <v>0</v>
      </c>
      <c r="CI281" s="14">
        <f t="shared" si="669"/>
        <v>0</v>
      </c>
      <c r="CJ281" s="14"/>
      <c r="CK281" s="120" t="str">
        <f t="shared" si="662"/>
        <v>Input - 100% Cust</v>
      </c>
      <c r="CL281" s="76">
        <f t="shared" si="639"/>
        <v>0</v>
      </c>
      <c r="CM281" s="2">
        <f t="shared" si="663"/>
        <v>0</v>
      </c>
      <c r="CN281" s="2">
        <f t="shared" si="663"/>
        <v>0</v>
      </c>
      <c r="CO281" s="2">
        <f t="shared" si="663"/>
        <v>0</v>
      </c>
      <c r="CP281" s="2">
        <f t="shared" si="663"/>
        <v>0</v>
      </c>
      <c r="CQ281" s="2">
        <f t="shared" si="663"/>
        <v>0</v>
      </c>
      <c r="CR281" s="2">
        <f t="shared" si="663"/>
        <v>0</v>
      </c>
    </row>
    <row r="282" spans="1:96">
      <c r="A282" s="50">
        <f t="shared" si="616"/>
        <v>282</v>
      </c>
      <c r="C282" s="36" t="s">
        <v>156</v>
      </c>
      <c r="D282" s="28" t="s">
        <v>351</v>
      </c>
      <c r="E282" s="23">
        <v>0</v>
      </c>
      <c r="F282" s="60" t="s">
        <v>452</v>
      </c>
      <c r="G282" s="60"/>
      <c r="H282" s="2">
        <f t="shared" si="648"/>
        <v>0</v>
      </c>
      <c r="I282" s="21">
        <f t="shared" si="649"/>
        <v>0</v>
      </c>
      <c r="J282" s="2">
        <f t="shared" si="649"/>
        <v>0</v>
      </c>
      <c r="K282" s="2">
        <f t="shared" si="649"/>
        <v>0</v>
      </c>
      <c r="L282" s="2">
        <f t="shared" si="649"/>
        <v>0</v>
      </c>
      <c r="M282" s="2">
        <f t="shared" si="649"/>
        <v>0</v>
      </c>
      <c r="N282" s="2">
        <f t="shared" si="649"/>
        <v>0</v>
      </c>
      <c r="O282" s="2"/>
      <c r="P282" s="61" t="str">
        <f>E$1&amp;$A282&amp;"*     """</f>
        <v>E282*     "</v>
      </c>
      <c r="Q282" s="61"/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1</v>
      </c>
      <c r="AI282" s="76">
        <f t="shared" si="573"/>
        <v>0</v>
      </c>
      <c r="AK282" s="2">
        <f t="shared" si="651"/>
        <v>0</v>
      </c>
      <c r="AL282" s="2">
        <f t="shared" si="652"/>
        <v>0</v>
      </c>
      <c r="AM282" s="2">
        <f t="shared" si="652"/>
        <v>0</v>
      </c>
      <c r="AN282" s="2">
        <f t="shared" si="652"/>
        <v>0</v>
      </c>
      <c r="AO282" s="2">
        <f t="shared" si="652"/>
        <v>0</v>
      </c>
      <c r="AP282" s="2"/>
      <c r="AQ282" s="61" t="str">
        <f>E$1&amp;$A282&amp;"*      """</f>
        <v>E282*      "</v>
      </c>
      <c r="AS282" s="2">
        <f t="shared" si="653"/>
        <v>0</v>
      </c>
      <c r="AT282" s="2">
        <f t="shared" si="654"/>
        <v>0</v>
      </c>
      <c r="AU282" s="2">
        <f t="shared" si="654"/>
        <v>0</v>
      </c>
      <c r="AV282" s="2">
        <f t="shared" si="654"/>
        <v>0</v>
      </c>
      <c r="AW282" s="2">
        <f t="shared" si="654"/>
        <v>0</v>
      </c>
      <c r="AX282" s="2">
        <f t="shared" si="654"/>
        <v>0</v>
      </c>
      <c r="AY282" s="2">
        <f t="shared" si="654"/>
        <v>0</v>
      </c>
      <c r="BA282" s="2">
        <f t="shared" si="655"/>
        <v>0</v>
      </c>
      <c r="BB282" s="2">
        <f t="shared" si="656"/>
        <v>0</v>
      </c>
      <c r="BC282" s="2">
        <f t="shared" si="656"/>
        <v>0</v>
      </c>
      <c r="BD282" s="2">
        <f t="shared" si="656"/>
        <v>0</v>
      </c>
      <c r="BE282" s="2">
        <f t="shared" si="656"/>
        <v>0</v>
      </c>
      <c r="BF282" s="2">
        <f t="shared" si="656"/>
        <v>0</v>
      </c>
      <c r="BG282" s="2">
        <f t="shared" si="656"/>
        <v>0</v>
      </c>
      <c r="BI282" s="2">
        <f t="shared" si="657"/>
        <v>0</v>
      </c>
      <c r="BJ282" s="2">
        <f t="shared" si="658"/>
        <v>0</v>
      </c>
      <c r="BK282" s="2">
        <f t="shared" si="658"/>
        <v>0</v>
      </c>
      <c r="BL282" s="2">
        <f t="shared" si="658"/>
        <v>0</v>
      </c>
      <c r="BM282" s="2">
        <f t="shared" si="658"/>
        <v>0</v>
      </c>
      <c r="BN282" s="2">
        <f t="shared" si="658"/>
        <v>0</v>
      </c>
      <c r="BO282" s="2">
        <f t="shared" si="658"/>
        <v>0</v>
      </c>
      <c r="BQ282" s="28" t="s">
        <v>351</v>
      </c>
      <c r="BR282" s="23">
        <v>0</v>
      </c>
      <c r="BS282" s="14">
        <f t="shared" si="666"/>
        <v>0</v>
      </c>
      <c r="BT282" s="14">
        <f t="shared" si="666"/>
        <v>0</v>
      </c>
      <c r="BU282" s="14">
        <f t="shared" si="666"/>
        <v>0</v>
      </c>
      <c r="BV282" s="14">
        <f t="shared" si="667"/>
        <v>0</v>
      </c>
      <c r="BW282" s="14">
        <f t="shared" si="667"/>
        <v>0</v>
      </c>
      <c r="BX282" s="14">
        <f t="shared" si="667"/>
        <v>0</v>
      </c>
      <c r="BY282" s="14">
        <f t="shared" si="667"/>
        <v>0</v>
      </c>
      <c r="BZ282" s="14">
        <f t="shared" si="667"/>
        <v>0</v>
      </c>
      <c r="CA282" s="14">
        <f t="shared" si="667"/>
        <v>0</v>
      </c>
      <c r="CB282" s="14">
        <f t="shared" si="667"/>
        <v>0</v>
      </c>
      <c r="CC282" s="14">
        <f t="shared" si="668"/>
        <v>0</v>
      </c>
      <c r="CD282" s="14">
        <f t="shared" si="668"/>
        <v>0</v>
      </c>
      <c r="CE282" s="14">
        <f t="shared" si="668"/>
        <v>0</v>
      </c>
      <c r="CF282" s="14">
        <f t="shared" si="668"/>
        <v>0</v>
      </c>
      <c r="CG282" s="14">
        <f t="shared" si="669"/>
        <v>0</v>
      </c>
      <c r="CH282" s="14">
        <f t="shared" si="669"/>
        <v>0</v>
      </c>
      <c r="CI282" s="14">
        <f t="shared" si="669"/>
        <v>1</v>
      </c>
      <c r="CJ282" s="14"/>
      <c r="CK282" s="120" t="str">
        <f t="shared" si="662"/>
        <v>Input - 100% Rev</v>
      </c>
      <c r="CL282" s="76">
        <f t="shared" si="639"/>
        <v>0</v>
      </c>
      <c r="CM282" s="2">
        <f t="shared" si="663"/>
        <v>0</v>
      </c>
      <c r="CN282" s="2">
        <f t="shared" si="663"/>
        <v>0</v>
      </c>
      <c r="CO282" s="2">
        <f t="shared" si="663"/>
        <v>0</v>
      </c>
      <c r="CP282" s="2">
        <f t="shared" si="663"/>
        <v>0</v>
      </c>
      <c r="CQ282" s="2">
        <f t="shared" si="663"/>
        <v>0</v>
      </c>
      <c r="CR282" s="2">
        <f t="shared" si="663"/>
        <v>0</v>
      </c>
    </row>
    <row r="283" spans="1:96">
      <c r="A283" s="50">
        <f t="shared" si="616"/>
        <v>283</v>
      </c>
      <c r="C283" s="36" t="s">
        <v>152</v>
      </c>
      <c r="D283" s="28" t="s">
        <v>356</v>
      </c>
      <c r="E283" s="23">
        <v>0</v>
      </c>
      <c r="F283" s="60" t="str">
        <f>"as Labor O&amp;M Exp. ("&amp;BS$1&amp;A$342&amp;")"</f>
        <v>as Labor O&amp;M Exp. (BS342)</v>
      </c>
      <c r="G283" s="60"/>
      <c r="H283" s="2">
        <f t="shared" si="648"/>
        <v>0</v>
      </c>
      <c r="I283" s="21">
        <f t="shared" ref="I283:N283" si="670">$E283*CM$342/$BR$342</f>
        <v>0</v>
      </c>
      <c r="J283" s="21">
        <f t="shared" si="670"/>
        <v>0</v>
      </c>
      <c r="K283" s="21">
        <f t="shared" si="670"/>
        <v>0</v>
      </c>
      <c r="L283" s="21">
        <f t="shared" si="670"/>
        <v>0</v>
      </c>
      <c r="M283" s="21">
        <f t="shared" si="670"/>
        <v>0</v>
      </c>
      <c r="N283" s="21">
        <f t="shared" si="670"/>
        <v>0</v>
      </c>
      <c r="O283" s="2"/>
      <c r="P283" s="61" t="str">
        <f>E$1&amp;$A283&amp;"* "&amp;CM$1&amp;A$342&amp;" / "&amp;BR$1&amp;A$342</f>
        <v>E283* CM342 / BR342</v>
      </c>
      <c r="Q283" s="61"/>
      <c r="R283" s="14">
        <f>BS$342</f>
        <v>9.4011197840194252E-2</v>
      </c>
      <c r="S283" s="14">
        <f>BT$342</f>
        <v>2.771484723001123E-2</v>
      </c>
      <c r="T283" s="14">
        <f t="shared" ref="T283:AH283" si="671">BU$342</f>
        <v>2.025083303615954E-3</v>
      </c>
      <c r="U283" s="14">
        <f t="shared" si="671"/>
        <v>1.3552480570352927E-2</v>
      </c>
      <c r="V283" s="14">
        <f t="shared" si="671"/>
        <v>0</v>
      </c>
      <c r="W283" s="14">
        <f t="shared" si="671"/>
        <v>0.1576905706846389</v>
      </c>
      <c r="X283" s="14">
        <f t="shared" si="671"/>
        <v>0</v>
      </c>
      <c r="Y283" s="14">
        <f t="shared" si="671"/>
        <v>0</v>
      </c>
      <c r="Z283" s="14">
        <f t="shared" si="671"/>
        <v>0</v>
      </c>
      <c r="AA283" s="14">
        <f t="shared" si="671"/>
        <v>0</v>
      </c>
      <c r="AB283" s="14">
        <f t="shared" si="671"/>
        <v>0.43643287397616143</v>
      </c>
      <c r="AC283" s="14">
        <f t="shared" si="671"/>
        <v>0.1792970882068218</v>
      </c>
      <c r="AD283" s="14">
        <f t="shared" si="671"/>
        <v>8.7076406980020227E-2</v>
      </c>
      <c r="AE283" s="14">
        <f t="shared" si="671"/>
        <v>0</v>
      </c>
      <c r="AF283" s="14">
        <f t="shared" si="671"/>
        <v>2.1994512081833085E-3</v>
      </c>
      <c r="AG283" s="14">
        <f t="shared" si="671"/>
        <v>0</v>
      </c>
      <c r="AH283" s="14">
        <f t="shared" si="671"/>
        <v>0</v>
      </c>
      <c r="AI283" s="76">
        <f t="shared" si="573"/>
        <v>0</v>
      </c>
      <c r="AK283" s="2">
        <f t="shared" si="651"/>
        <v>0</v>
      </c>
      <c r="AL283" s="2">
        <f t="shared" si="652"/>
        <v>0</v>
      </c>
      <c r="AM283" s="2">
        <f t="shared" si="652"/>
        <v>0</v>
      </c>
      <c r="AN283" s="2">
        <f t="shared" si="652"/>
        <v>0</v>
      </c>
      <c r="AO283" s="2">
        <f t="shared" si="652"/>
        <v>0</v>
      </c>
      <c r="AP283" s="2"/>
      <c r="AQ283" s="61" t="str">
        <f>E$1&amp;$A283&amp;"*      """</f>
        <v>E283*      "</v>
      </c>
      <c r="AS283" s="2">
        <f t="shared" si="653"/>
        <v>0</v>
      </c>
      <c r="AT283" s="2">
        <f t="shared" si="654"/>
        <v>0</v>
      </c>
      <c r="AU283" s="2">
        <f t="shared" si="654"/>
        <v>0</v>
      </c>
      <c r="AV283" s="2">
        <f t="shared" si="654"/>
        <v>0</v>
      </c>
      <c r="AW283" s="2">
        <f t="shared" si="654"/>
        <v>0</v>
      </c>
      <c r="AX283" s="2">
        <f t="shared" si="654"/>
        <v>0</v>
      </c>
      <c r="AY283" s="2">
        <f t="shared" si="654"/>
        <v>0</v>
      </c>
      <c r="BA283" s="2">
        <f t="shared" si="655"/>
        <v>0</v>
      </c>
      <c r="BB283" s="2">
        <f t="shared" si="656"/>
        <v>0</v>
      </c>
      <c r="BC283" s="2">
        <f t="shared" si="656"/>
        <v>0</v>
      </c>
      <c r="BD283" s="2">
        <f t="shared" si="656"/>
        <v>0</v>
      </c>
      <c r="BE283" s="2">
        <f t="shared" si="656"/>
        <v>0</v>
      </c>
      <c r="BF283" s="2">
        <f t="shared" si="656"/>
        <v>0</v>
      </c>
      <c r="BG283" s="2">
        <f t="shared" si="656"/>
        <v>0</v>
      </c>
      <c r="BI283" s="2">
        <f t="shared" si="657"/>
        <v>0</v>
      </c>
      <c r="BJ283" s="2">
        <f t="shared" si="658"/>
        <v>0</v>
      </c>
      <c r="BK283" s="2">
        <f t="shared" si="658"/>
        <v>0</v>
      </c>
      <c r="BL283" s="2">
        <f t="shared" si="658"/>
        <v>0</v>
      </c>
      <c r="BM283" s="2">
        <f t="shared" si="658"/>
        <v>0</v>
      </c>
      <c r="BN283" s="2">
        <f t="shared" si="658"/>
        <v>0</v>
      </c>
      <c r="BO283" s="2">
        <f t="shared" si="658"/>
        <v>0</v>
      </c>
      <c r="BQ283" s="28" t="s">
        <v>356</v>
      </c>
      <c r="BR283" s="23">
        <v>0</v>
      </c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120" t="str">
        <f t="shared" si="662"/>
        <v>as Labor O&amp;M Exp. (BS342)</v>
      </c>
      <c r="CL283" s="76">
        <f t="shared" si="639"/>
        <v>0</v>
      </c>
      <c r="CM283" s="2"/>
      <c r="CN283" s="2"/>
      <c r="CO283" s="2"/>
      <c r="CP283" s="2"/>
      <c r="CQ283" s="2"/>
      <c r="CR283" s="2"/>
    </row>
    <row r="284" spans="1:96">
      <c r="A284" s="50">
        <f t="shared" si="616"/>
        <v>284</v>
      </c>
      <c r="B284" t="s">
        <v>49</v>
      </c>
      <c r="D284" t="s">
        <v>50</v>
      </c>
      <c r="E284" s="2"/>
      <c r="F284" s="60"/>
      <c r="G284" s="60"/>
      <c r="I284" s="49"/>
      <c r="P284" s="61"/>
      <c r="Q284" s="61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76">
        <f t="shared" si="573"/>
        <v>0</v>
      </c>
      <c r="AQ284" s="61"/>
      <c r="BQ284" t="s">
        <v>50</v>
      </c>
      <c r="BR284" s="49"/>
      <c r="CK284" s="120"/>
      <c r="CL284" s="76">
        <f t="shared" si="639"/>
        <v>0</v>
      </c>
      <c r="CM284" s="49"/>
    </row>
    <row r="285" spans="1:96">
      <c r="A285" s="50">
        <f t="shared" si="616"/>
        <v>285</v>
      </c>
      <c r="C285" s="36" t="s">
        <v>152</v>
      </c>
      <c r="D285" s="56" t="s">
        <v>148</v>
      </c>
      <c r="E285" s="23">
        <v>0</v>
      </c>
      <c r="F285" s="61" t="s">
        <v>1159</v>
      </c>
      <c r="G285" s="60"/>
      <c r="H285" s="2">
        <f t="shared" ref="H285:H290" si="672">SUM(I285:N285)</f>
        <v>0</v>
      </c>
      <c r="I285" s="21">
        <f t="shared" ref="I285:N289" si="673">$E285*SUMPRODUCT($R285:$AH285,INDEX(AllocFactors,I$4,0))</f>
        <v>0</v>
      </c>
      <c r="J285" s="2">
        <f t="shared" si="673"/>
        <v>0</v>
      </c>
      <c r="K285" s="2">
        <f t="shared" si="673"/>
        <v>0</v>
      </c>
      <c r="L285" s="2">
        <f t="shared" si="673"/>
        <v>0</v>
      </c>
      <c r="M285" s="2">
        <f t="shared" si="673"/>
        <v>0</v>
      </c>
      <c r="N285" s="2">
        <f t="shared" si="673"/>
        <v>0</v>
      </c>
      <c r="O285" s="2"/>
      <c r="P285" s="61" t="s">
        <v>1160</v>
      </c>
      <c r="Q285" s="61"/>
      <c r="R285" s="14">
        <f>R$257</f>
        <v>8.8133437743971782E-2</v>
      </c>
      <c r="S285" s="14">
        <f t="shared" ref="S285:AH286" si="674">S$257</f>
        <v>1.48122630432825E-2</v>
      </c>
      <c r="T285" s="14">
        <f t="shared" si="674"/>
        <v>6.2152272453224224E-3</v>
      </c>
      <c r="U285" s="14">
        <f t="shared" si="674"/>
        <v>4.15942131033116E-2</v>
      </c>
      <c r="V285" s="14">
        <f t="shared" si="674"/>
        <v>0</v>
      </c>
      <c r="W285" s="14">
        <f t="shared" si="674"/>
        <v>0.15413680450310352</v>
      </c>
      <c r="X285" s="14">
        <f t="shared" si="674"/>
        <v>0</v>
      </c>
      <c r="Y285" s="14">
        <f t="shared" si="674"/>
        <v>0</v>
      </c>
      <c r="Z285" s="14">
        <f t="shared" si="674"/>
        <v>0</v>
      </c>
      <c r="AA285" s="14">
        <f t="shared" si="674"/>
        <v>0</v>
      </c>
      <c r="AB285" s="14">
        <f t="shared" si="674"/>
        <v>0.45505508837908676</v>
      </c>
      <c r="AC285" s="14">
        <f t="shared" si="674"/>
        <v>0.16681683403029823</v>
      </c>
      <c r="AD285" s="14">
        <f t="shared" si="674"/>
        <v>7.1278348815059178E-2</v>
      </c>
      <c r="AE285" s="14">
        <f t="shared" si="674"/>
        <v>0</v>
      </c>
      <c r="AF285" s="14">
        <f t="shared" si="674"/>
        <v>1.9577831365640468E-3</v>
      </c>
      <c r="AG285" s="14">
        <f t="shared" si="674"/>
        <v>0</v>
      </c>
      <c r="AH285" s="14">
        <f t="shared" si="674"/>
        <v>0</v>
      </c>
      <c r="AI285" s="76">
        <f t="shared" si="573"/>
        <v>0</v>
      </c>
      <c r="AK285" s="2">
        <f t="shared" ref="AK285:AK290" si="675">SUM(AL285:AO285)</f>
        <v>0</v>
      </c>
      <c r="AL285" s="2">
        <f t="shared" ref="AL285:AO290" si="676">SUMIF($R$4:$AH$4,AL$5,$R285:$AH285)*$E285</f>
        <v>0</v>
      </c>
      <c r="AM285" s="2">
        <f t="shared" si="676"/>
        <v>0</v>
      </c>
      <c r="AN285" s="2">
        <f t="shared" si="676"/>
        <v>0</v>
      </c>
      <c r="AO285" s="2">
        <f t="shared" si="676"/>
        <v>0</v>
      </c>
      <c r="AP285" s="2"/>
      <c r="AQ285" s="61" t="str">
        <f>E$1&amp;$A285&amp;"*["&amp;R$1&amp;$A285&amp;":"&amp;$AH$1&amp;$A285&amp;" when "&amp;R$1&amp;$A$4&amp;":"&amp;$AH$1&amp;$A$4&amp;" = E,D,C,or R]"</f>
        <v>E285*[R285:AH285 when R4:AH4 = E,D,C,or R]</v>
      </c>
      <c r="AS285" s="2">
        <f t="shared" ref="AS285:AS290" si="677">SUM(AT285:AY285)</f>
        <v>0</v>
      </c>
      <c r="AT285" s="2">
        <f t="shared" ref="AT285:AY290" si="678">$E285*SUMPRODUCT($R285:$V285,INDEX(AllocFactors_E,AT$4,0))</f>
        <v>0</v>
      </c>
      <c r="AU285" s="2">
        <f t="shared" si="678"/>
        <v>0</v>
      </c>
      <c r="AV285" s="2">
        <f t="shared" si="678"/>
        <v>0</v>
      </c>
      <c r="AW285" s="2">
        <f t="shared" si="678"/>
        <v>0</v>
      </c>
      <c r="AX285" s="2">
        <f t="shared" si="678"/>
        <v>0</v>
      </c>
      <c r="AY285" s="2">
        <f t="shared" si="678"/>
        <v>0</v>
      </c>
      <c r="BA285" s="2">
        <f t="shared" ref="BA285:BA290" si="679">SUM(BB285:BG285)</f>
        <v>0</v>
      </c>
      <c r="BB285" s="2">
        <f t="shared" ref="BB285:BG290" si="680">$E285*SUMPRODUCT($W285:$AA285,INDEX(AllocFactors_D,BB$4,0))</f>
        <v>0</v>
      </c>
      <c r="BC285" s="2">
        <f t="shared" si="680"/>
        <v>0</v>
      </c>
      <c r="BD285" s="2">
        <f t="shared" si="680"/>
        <v>0</v>
      </c>
      <c r="BE285" s="2">
        <f t="shared" si="680"/>
        <v>0</v>
      </c>
      <c r="BF285" s="2">
        <f t="shared" si="680"/>
        <v>0</v>
      </c>
      <c r="BG285" s="2">
        <f t="shared" si="680"/>
        <v>0</v>
      </c>
      <c r="BI285" s="2">
        <f t="shared" ref="BI285:BI290" si="681">SUM(BJ285:BO285)</f>
        <v>0</v>
      </c>
      <c r="BJ285" s="2">
        <f t="shared" ref="BJ285:BO290" si="682">$E285*SUMPRODUCT($AB285:$AG285,INDEX(AllocFactors_C,BJ$4,0))</f>
        <v>0</v>
      </c>
      <c r="BK285" s="2">
        <f t="shared" si="682"/>
        <v>0</v>
      </c>
      <c r="BL285" s="2">
        <f t="shared" si="682"/>
        <v>0</v>
      </c>
      <c r="BM285" s="2">
        <f t="shared" si="682"/>
        <v>0</v>
      </c>
      <c r="BN285" s="2">
        <f t="shared" si="682"/>
        <v>0</v>
      </c>
      <c r="BO285" s="2">
        <f t="shared" si="682"/>
        <v>0</v>
      </c>
      <c r="BQ285" s="28" t="s">
        <v>352</v>
      </c>
      <c r="BR285" s="23">
        <v>0</v>
      </c>
      <c r="BS285" s="14">
        <f t="shared" ref="BS285:BU286" si="683">R285</f>
        <v>8.8133437743971782E-2</v>
      </c>
      <c r="BT285" s="14">
        <f t="shared" si="683"/>
        <v>1.48122630432825E-2</v>
      </c>
      <c r="BU285" s="14">
        <f t="shared" si="683"/>
        <v>6.2152272453224224E-3</v>
      </c>
      <c r="BV285" s="14">
        <f t="shared" ref="BV285:CE286" si="684">U285</f>
        <v>4.15942131033116E-2</v>
      </c>
      <c r="BW285" s="14">
        <f t="shared" si="684"/>
        <v>0</v>
      </c>
      <c r="BX285" s="14">
        <f t="shared" si="684"/>
        <v>0.15413680450310352</v>
      </c>
      <c r="BY285" s="14">
        <f t="shared" si="684"/>
        <v>0</v>
      </c>
      <c r="BZ285" s="14">
        <f t="shared" si="684"/>
        <v>0</v>
      </c>
      <c r="CA285" s="14">
        <f t="shared" si="684"/>
        <v>0</v>
      </c>
      <c r="CB285" s="14">
        <f t="shared" si="684"/>
        <v>0</v>
      </c>
      <c r="CC285" s="14">
        <f t="shared" si="684"/>
        <v>0.45505508837908676</v>
      </c>
      <c r="CD285" s="14">
        <f t="shared" si="684"/>
        <v>0.16681683403029823</v>
      </c>
      <c r="CE285" s="14">
        <f t="shared" si="684"/>
        <v>7.1278348815059178E-2</v>
      </c>
      <c r="CF285" s="14">
        <f>AE285</f>
        <v>0</v>
      </c>
      <c r="CG285" s="14">
        <f t="shared" ref="CG285:CI286" si="685">AF285</f>
        <v>1.9577831365640468E-3</v>
      </c>
      <c r="CH285" s="14">
        <f t="shared" si="685"/>
        <v>0</v>
      </c>
      <c r="CI285" s="14">
        <f t="shared" si="685"/>
        <v>0</v>
      </c>
      <c r="CJ285" s="14"/>
      <c r="CK285" s="120" t="str">
        <f t="shared" ref="CK285:CK290" si="686">F285</f>
        <v>4-Factor</v>
      </c>
      <c r="CL285" s="76">
        <f t="shared" si="639"/>
        <v>0</v>
      </c>
      <c r="CM285" s="2">
        <f t="shared" ref="CM285:CR289" si="687">$BR285*SUMPRODUCT($BS285:$CI285,INDEX(AllocFactors,CM$170,0))</f>
        <v>0</v>
      </c>
      <c r="CN285" s="2">
        <f t="shared" si="687"/>
        <v>0</v>
      </c>
      <c r="CO285" s="2">
        <f t="shared" si="687"/>
        <v>0</v>
      </c>
      <c r="CP285" s="2">
        <f t="shared" si="687"/>
        <v>0</v>
      </c>
      <c r="CQ285" s="2">
        <f t="shared" si="687"/>
        <v>0</v>
      </c>
      <c r="CR285" s="2">
        <f t="shared" si="687"/>
        <v>0</v>
      </c>
    </row>
    <row r="286" spans="1:96">
      <c r="A286" s="50">
        <f t="shared" si="616"/>
        <v>286</v>
      </c>
      <c r="C286" s="36" t="s">
        <v>152</v>
      </c>
      <c r="D286" s="56" t="s">
        <v>353</v>
      </c>
      <c r="E286" s="23">
        <v>0</v>
      </c>
      <c r="F286" s="524" t="s">
        <v>445</v>
      </c>
      <c r="G286" s="60"/>
      <c r="H286" s="2">
        <f t="shared" si="672"/>
        <v>0</v>
      </c>
      <c r="I286" s="21">
        <f t="shared" si="673"/>
        <v>0</v>
      </c>
      <c r="J286" s="2">
        <f t="shared" si="673"/>
        <v>0</v>
      </c>
      <c r="K286" s="2">
        <f t="shared" si="673"/>
        <v>0</v>
      </c>
      <c r="L286" s="2">
        <f t="shared" si="673"/>
        <v>0</v>
      </c>
      <c r="M286" s="2">
        <f t="shared" si="673"/>
        <v>0</v>
      </c>
      <c r="N286" s="2">
        <f t="shared" si="673"/>
        <v>0</v>
      </c>
      <c r="O286" s="2"/>
      <c r="P286" s="61" t="str">
        <f>E$1&amp;$A286&amp;"*     """</f>
        <v>E286*     "</v>
      </c>
      <c r="Q286" s="61"/>
      <c r="R286" s="523">
        <v>1</v>
      </c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>
        <f t="shared" si="674"/>
        <v>0</v>
      </c>
      <c r="AI286" s="76">
        <f t="shared" ref="AI286:AI317" si="688">IF(SUM(R286:AH286)&lt;&gt;0,(ROUND(SUM(R286:AH286),8)&lt;&gt;1)+0,0)</f>
        <v>0</v>
      </c>
      <c r="AK286" s="2">
        <f t="shared" si="675"/>
        <v>0</v>
      </c>
      <c r="AL286" s="2">
        <f t="shared" si="676"/>
        <v>0</v>
      </c>
      <c r="AM286" s="2">
        <f t="shared" si="676"/>
        <v>0</v>
      </c>
      <c r="AN286" s="2">
        <f t="shared" si="676"/>
        <v>0</v>
      </c>
      <c r="AO286" s="2">
        <f t="shared" si="676"/>
        <v>0</v>
      </c>
      <c r="AP286" s="2"/>
      <c r="AQ286" s="61" t="str">
        <f>E$1&amp;$A286&amp;"*      """</f>
        <v>E286*      "</v>
      </c>
      <c r="AS286" s="2">
        <f t="shared" si="677"/>
        <v>0</v>
      </c>
      <c r="AT286" s="2">
        <f t="shared" si="678"/>
        <v>0</v>
      </c>
      <c r="AU286" s="2">
        <f t="shared" si="678"/>
        <v>0</v>
      </c>
      <c r="AV286" s="2">
        <f t="shared" si="678"/>
        <v>0</v>
      </c>
      <c r="AW286" s="2">
        <f t="shared" si="678"/>
        <v>0</v>
      </c>
      <c r="AX286" s="2">
        <f t="shared" si="678"/>
        <v>0</v>
      </c>
      <c r="AY286" s="2">
        <f t="shared" si="678"/>
        <v>0</v>
      </c>
      <c r="BA286" s="2">
        <f t="shared" si="679"/>
        <v>0</v>
      </c>
      <c r="BB286" s="2">
        <f t="shared" si="680"/>
        <v>0</v>
      </c>
      <c r="BC286" s="2">
        <f t="shared" si="680"/>
        <v>0</v>
      </c>
      <c r="BD286" s="2">
        <f t="shared" si="680"/>
        <v>0</v>
      </c>
      <c r="BE286" s="2">
        <f t="shared" si="680"/>
        <v>0</v>
      </c>
      <c r="BF286" s="2">
        <f t="shared" si="680"/>
        <v>0</v>
      </c>
      <c r="BG286" s="2">
        <f t="shared" si="680"/>
        <v>0</v>
      </c>
      <c r="BI286" s="2">
        <f t="shared" si="681"/>
        <v>0</v>
      </c>
      <c r="BJ286" s="2">
        <f t="shared" si="682"/>
        <v>0</v>
      </c>
      <c r="BK286" s="2">
        <f t="shared" si="682"/>
        <v>0</v>
      </c>
      <c r="BL286" s="2">
        <f t="shared" si="682"/>
        <v>0</v>
      </c>
      <c r="BM286" s="2">
        <f t="shared" si="682"/>
        <v>0</v>
      </c>
      <c r="BN286" s="2">
        <f t="shared" si="682"/>
        <v>0</v>
      </c>
      <c r="BO286" s="2">
        <f t="shared" si="682"/>
        <v>0</v>
      </c>
      <c r="BQ286" s="28" t="s">
        <v>353</v>
      </c>
      <c r="BR286" s="23">
        <v>0</v>
      </c>
      <c r="BS286" s="14">
        <f t="shared" si="683"/>
        <v>1</v>
      </c>
      <c r="BT286" s="14">
        <f t="shared" si="683"/>
        <v>0</v>
      </c>
      <c r="BU286" s="14">
        <f t="shared" si="683"/>
        <v>0</v>
      </c>
      <c r="BV286" s="14">
        <f t="shared" si="684"/>
        <v>0</v>
      </c>
      <c r="BW286" s="14">
        <f t="shared" si="684"/>
        <v>0</v>
      </c>
      <c r="BX286" s="14">
        <f t="shared" si="684"/>
        <v>0</v>
      </c>
      <c r="BY286" s="14">
        <f t="shared" si="684"/>
        <v>0</v>
      </c>
      <c r="BZ286" s="14">
        <f t="shared" si="684"/>
        <v>0</v>
      </c>
      <c r="CA286" s="14">
        <f t="shared" si="684"/>
        <v>0</v>
      </c>
      <c r="CB286" s="14">
        <f t="shared" si="684"/>
        <v>0</v>
      </c>
      <c r="CC286" s="14">
        <f t="shared" si="684"/>
        <v>0</v>
      </c>
      <c r="CD286" s="14">
        <f t="shared" si="684"/>
        <v>0</v>
      </c>
      <c r="CE286" s="14">
        <f t="shared" si="684"/>
        <v>0</v>
      </c>
      <c r="CF286" s="14">
        <f>AE286</f>
        <v>0</v>
      </c>
      <c r="CG286" s="14">
        <f t="shared" si="685"/>
        <v>0</v>
      </c>
      <c r="CH286" s="14">
        <f t="shared" si="685"/>
        <v>0</v>
      </c>
      <c r="CI286" s="14">
        <f t="shared" si="685"/>
        <v>0</v>
      </c>
      <c r="CJ286" s="14"/>
      <c r="CK286" s="120" t="str">
        <f t="shared" si="686"/>
        <v>Input - 100% Throughput</v>
      </c>
      <c r="CL286" s="76">
        <f t="shared" si="639"/>
        <v>0</v>
      </c>
      <c r="CM286" s="2">
        <f t="shared" si="687"/>
        <v>0</v>
      </c>
      <c r="CN286" s="2">
        <f t="shared" si="687"/>
        <v>0</v>
      </c>
      <c r="CO286" s="2">
        <f t="shared" si="687"/>
        <v>0</v>
      </c>
      <c r="CP286" s="2">
        <f t="shared" si="687"/>
        <v>0</v>
      </c>
      <c r="CQ286" s="2">
        <f t="shared" si="687"/>
        <v>0</v>
      </c>
      <c r="CR286" s="2">
        <f t="shared" si="687"/>
        <v>0</v>
      </c>
    </row>
    <row r="287" spans="1:96">
      <c r="A287" s="50">
        <f t="shared" si="616"/>
        <v>287</v>
      </c>
      <c r="C287" s="36" t="s">
        <v>152</v>
      </c>
      <c r="D287" s="28" t="s">
        <v>354</v>
      </c>
      <c r="E287" s="436">
        <f>PROFORMA!AV132</f>
        <v>248000</v>
      </c>
      <c r="F287" s="60" t="str">
        <f>"as Plant in Service ("&amp;A$58&amp;")"</f>
        <v>as Plant in Service (58)</v>
      </c>
      <c r="G287" s="60"/>
      <c r="H287" s="2">
        <f t="shared" si="672"/>
        <v>248000</v>
      </c>
      <c r="I287" s="21">
        <f t="shared" si="673"/>
        <v>200216.61180228108</v>
      </c>
      <c r="J287" s="2">
        <f t="shared" si="673"/>
        <v>34805.028812554789</v>
      </c>
      <c r="K287" s="2">
        <f t="shared" si="673"/>
        <v>0</v>
      </c>
      <c r="L287" s="2">
        <f t="shared" si="673"/>
        <v>458.74857529073802</v>
      </c>
      <c r="M287" s="2">
        <f t="shared" si="673"/>
        <v>12519.610809873369</v>
      </c>
      <c r="N287" s="2">
        <f t="shared" si="673"/>
        <v>0</v>
      </c>
      <c r="O287" s="2"/>
      <c r="P287" s="61" t="str">
        <f>E$1&amp;$A287&amp;"*     """</f>
        <v>E287*     "</v>
      </c>
      <c r="Q287" s="61"/>
      <c r="R287" s="14">
        <f>R$58</f>
        <v>0.15278530527507739</v>
      </c>
      <c r="S287" s="14">
        <f t="shared" ref="S287:AH287" si="689">S$58</f>
        <v>3.164969422787912E-3</v>
      </c>
      <c r="T287" s="14">
        <f t="shared" si="689"/>
        <v>6.9829362297418388E-3</v>
      </c>
      <c r="U287" s="14">
        <f t="shared" si="689"/>
        <v>4.673195784519539E-2</v>
      </c>
      <c r="V287" s="14">
        <f t="shared" si="689"/>
        <v>0</v>
      </c>
      <c r="W287" s="14">
        <f t="shared" si="689"/>
        <v>0.27991526808724082</v>
      </c>
      <c r="X287" s="14">
        <f t="shared" si="689"/>
        <v>0</v>
      </c>
      <c r="Y287" s="14">
        <f t="shared" si="689"/>
        <v>0</v>
      </c>
      <c r="Z287" s="14">
        <f t="shared" si="689"/>
        <v>0</v>
      </c>
      <c r="AA287" s="14">
        <f t="shared" si="689"/>
        <v>0</v>
      </c>
      <c r="AB287" s="14">
        <f t="shared" si="689"/>
        <v>9.7232640022350991E-2</v>
      </c>
      <c r="AC287" s="14">
        <f t="shared" si="689"/>
        <v>0.29403559958561315</v>
      </c>
      <c r="AD287" s="14">
        <f t="shared" si="689"/>
        <v>0.1147688867063851</v>
      </c>
      <c r="AE287" s="14">
        <f t="shared" si="689"/>
        <v>0</v>
      </c>
      <c r="AF287" s="14">
        <f t="shared" si="689"/>
        <v>4.3824368256074331E-3</v>
      </c>
      <c r="AG287" s="14">
        <f t="shared" si="689"/>
        <v>0</v>
      </c>
      <c r="AH287" s="14">
        <f t="shared" si="689"/>
        <v>0</v>
      </c>
      <c r="AI287" s="76">
        <f t="shared" si="688"/>
        <v>0</v>
      </c>
      <c r="AK287" s="2">
        <f t="shared" si="675"/>
        <v>248000</v>
      </c>
      <c r="AL287" s="2">
        <f t="shared" si="676"/>
        <v>51996.961855655019</v>
      </c>
      <c r="AM287" s="2">
        <f t="shared" si="676"/>
        <v>69418.986485635716</v>
      </c>
      <c r="AN287" s="2">
        <f t="shared" si="676"/>
        <v>126584.05165870927</v>
      </c>
      <c r="AO287" s="2">
        <f t="shared" si="676"/>
        <v>0</v>
      </c>
      <c r="AP287" s="2"/>
      <c r="AQ287" s="61" t="str">
        <f>E$1&amp;$A287&amp;"*      """</f>
        <v>E287*      "</v>
      </c>
      <c r="AS287" s="2">
        <f t="shared" si="677"/>
        <v>51996.961855655034</v>
      </c>
      <c r="AT287" s="2">
        <f t="shared" si="678"/>
        <v>32195.445112105863</v>
      </c>
      <c r="AU287" s="2">
        <f t="shared" si="678"/>
        <v>13469.714867176044</v>
      </c>
      <c r="AV287" s="2">
        <f t="shared" si="678"/>
        <v>0</v>
      </c>
      <c r="AW287" s="2">
        <f t="shared" si="678"/>
        <v>211.52893553646254</v>
      </c>
      <c r="AX287" s="2">
        <f t="shared" si="678"/>
        <v>6120.272940836664</v>
      </c>
      <c r="AY287" s="2">
        <f t="shared" si="678"/>
        <v>0</v>
      </c>
      <c r="BA287" s="2">
        <f t="shared" si="679"/>
        <v>69418.986485635716</v>
      </c>
      <c r="BB287" s="2">
        <f t="shared" si="680"/>
        <v>47399.855006025122</v>
      </c>
      <c r="BC287" s="2">
        <f t="shared" si="680"/>
        <v>16043.656348685463</v>
      </c>
      <c r="BD287" s="2">
        <f t="shared" si="680"/>
        <v>0</v>
      </c>
      <c r="BE287" s="2">
        <f t="shared" si="680"/>
        <v>201.55297377079262</v>
      </c>
      <c r="BF287" s="2">
        <f t="shared" si="680"/>
        <v>5773.9221571543458</v>
      </c>
      <c r="BG287" s="2">
        <f t="shared" si="680"/>
        <v>0</v>
      </c>
      <c r="BI287" s="2">
        <f t="shared" si="681"/>
        <v>126584.05165870927</v>
      </c>
      <c r="BJ287" s="2">
        <f t="shared" si="682"/>
        <v>120621.31168415013</v>
      </c>
      <c r="BK287" s="2">
        <f t="shared" si="682"/>
        <v>5291.6575966932814</v>
      </c>
      <c r="BL287" s="2">
        <f t="shared" si="682"/>
        <v>0</v>
      </c>
      <c r="BM287" s="2">
        <f t="shared" si="682"/>
        <v>45.666665983482801</v>
      </c>
      <c r="BN287" s="2">
        <f t="shared" si="682"/>
        <v>625.41571188236071</v>
      </c>
      <c r="BO287" s="2">
        <f t="shared" si="682"/>
        <v>0</v>
      </c>
      <c r="BQ287" s="28" t="s">
        <v>354</v>
      </c>
      <c r="BR287" s="23">
        <v>0</v>
      </c>
      <c r="BS287" s="14">
        <f>R$58</f>
        <v>0.15278530527507739</v>
      </c>
      <c r="BT287" s="14">
        <f>S$58</f>
        <v>3.164969422787912E-3</v>
      </c>
      <c r="BU287" s="14">
        <f>T$58</f>
        <v>6.9829362297418388E-3</v>
      </c>
      <c r="BV287" s="14">
        <f t="shared" ref="BV287:CI287" si="690">U$58</f>
        <v>4.673195784519539E-2</v>
      </c>
      <c r="BW287" s="14">
        <f t="shared" si="690"/>
        <v>0</v>
      </c>
      <c r="BX287" s="14">
        <f t="shared" si="690"/>
        <v>0.27991526808724082</v>
      </c>
      <c r="BY287" s="14">
        <f t="shared" si="690"/>
        <v>0</v>
      </c>
      <c r="BZ287" s="14">
        <f t="shared" si="690"/>
        <v>0</v>
      </c>
      <c r="CA287" s="14">
        <f t="shared" si="690"/>
        <v>0</v>
      </c>
      <c r="CB287" s="14">
        <f t="shared" si="690"/>
        <v>0</v>
      </c>
      <c r="CC287" s="14">
        <f t="shared" si="690"/>
        <v>9.7232640022350991E-2</v>
      </c>
      <c r="CD287" s="14">
        <f t="shared" si="690"/>
        <v>0.29403559958561315</v>
      </c>
      <c r="CE287" s="14">
        <f t="shared" si="690"/>
        <v>0.1147688867063851</v>
      </c>
      <c r="CF287" s="14">
        <f t="shared" si="690"/>
        <v>0</v>
      </c>
      <c r="CG287" s="14">
        <f t="shared" si="690"/>
        <v>4.3824368256074331E-3</v>
      </c>
      <c r="CH287" s="14">
        <f t="shared" si="690"/>
        <v>0</v>
      </c>
      <c r="CI287" s="14">
        <f t="shared" si="690"/>
        <v>0</v>
      </c>
      <c r="CJ287" s="14"/>
      <c r="CK287" s="120" t="str">
        <f t="shared" si="686"/>
        <v>as Plant in Service (58)</v>
      </c>
      <c r="CL287" s="76">
        <f t="shared" si="639"/>
        <v>0</v>
      </c>
      <c r="CM287" s="2">
        <f t="shared" si="687"/>
        <v>0</v>
      </c>
      <c r="CN287" s="2">
        <f t="shared" si="687"/>
        <v>0</v>
      </c>
      <c r="CO287" s="2">
        <f t="shared" si="687"/>
        <v>0</v>
      </c>
      <c r="CP287" s="2">
        <f t="shared" si="687"/>
        <v>0</v>
      </c>
      <c r="CQ287" s="2">
        <f t="shared" si="687"/>
        <v>0</v>
      </c>
      <c r="CR287" s="2">
        <f t="shared" si="687"/>
        <v>0</v>
      </c>
    </row>
    <row r="288" spans="1:96">
      <c r="A288" s="50">
        <f t="shared" si="616"/>
        <v>288</v>
      </c>
      <c r="C288" s="36" t="s">
        <v>157</v>
      </c>
      <c r="D288" s="28" t="s">
        <v>355</v>
      </c>
      <c r="E288" s="23">
        <v>0</v>
      </c>
      <c r="F288" s="60" t="s">
        <v>451</v>
      </c>
      <c r="G288" s="60"/>
      <c r="H288" s="2">
        <f t="shared" si="672"/>
        <v>0</v>
      </c>
      <c r="I288" s="21">
        <f t="shared" si="673"/>
        <v>0</v>
      </c>
      <c r="J288" s="2">
        <f t="shared" si="673"/>
        <v>0</v>
      </c>
      <c r="K288" s="2">
        <f t="shared" si="673"/>
        <v>0</v>
      </c>
      <c r="L288" s="2">
        <f t="shared" si="673"/>
        <v>0</v>
      </c>
      <c r="M288" s="2">
        <f t="shared" si="673"/>
        <v>0</v>
      </c>
      <c r="N288" s="2">
        <f t="shared" si="673"/>
        <v>0</v>
      </c>
      <c r="O288" s="2"/>
      <c r="P288" s="61" t="str">
        <f>E$1&amp;$A288&amp;"*     """</f>
        <v>E288*     "</v>
      </c>
      <c r="Q288" s="61"/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1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76">
        <f t="shared" si="688"/>
        <v>0</v>
      </c>
      <c r="AK288" s="2">
        <f t="shared" si="675"/>
        <v>0</v>
      </c>
      <c r="AL288" s="2">
        <f t="shared" si="676"/>
        <v>0</v>
      </c>
      <c r="AM288" s="2">
        <f t="shared" si="676"/>
        <v>0</v>
      </c>
      <c r="AN288" s="2">
        <f t="shared" si="676"/>
        <v>0</v>
      </c>
      <c r="AO288" s="2">
        <f t="shared" si="676"/>
        <v>0</v>
      </c>
      <c r="AP288" s="2"/>
      <c r="AQ288" s="61" t="str">
        <f>E$1&amp;$A288&amp;"*      """</f>
        <v>E288*      "</v>
      </c>
      <c r="AS288" s="2">
        <f t="shared" si="677"/>
        <v>0</v>
      </c>
      <c r="AT288" s="2">
        <f t="shared" si="678"/>
        <v>0</v>
      </c>
      <c r="AU288" s="2">
        <f t="shared" si="678"/>
        <v>0</v>
      </c>
      <c r="AV288" s="2">
        <f t="shared" si="678"/>
        <v>0</v>
      </c>
      <c r="AW288" s="2">
        <f t="shared" si="678"/>
        <v>0</v>
      </c>
      <c r="AX288" s="2">
        <f t="shared" si="678"/>
        <v>0</v>
      </c>
      <c r="AY288" s="2">
        <f t="shared" si="678"/>
        <v>0</v>
      </c>
      <c r="BA288" s="2">
        <f t="shared" si="679"/>
        <v>0</v>
      </c>
      <c r="BB288" s="2">
        <f t="shared" si="680"/>
        <v>0</v>
      </c>
      <c r="BC288" s="2">
        <f t="shared" si="680"/>
        <v>0</v>
      </c>
      <c r="BD288" s="2">
        <f t="shared" si="680"/>
        <v>0</v>
      </c>
      <c r="BE288" s="2">
        <f t="shared" si="680"/>
        <v>0</v>
      </c>
      <c r="BF288" s="2">
        <f t="shared" si="680"/>
        <v>0</v>
      </c>
      <c r="BG288" s="2">
        <f t="shared" si="680"/>
        <v>0</v>
      </c>
      <c r="BI288" s="2">
        <f t="shared" si="681"/>
        <v>0</v>
      </c>
      <c r="BJ288" s="2">
        <f t="shared" si="682"/>
        <v>0</v>
      </c>
      <c r="BK288" s="2">
        <f t="shared" si="682"/>
        <v>0</v>
      </c>
      <c r="BL288" s="2">
        <f t="shared" si="682"/>
        <v>0</v>
      </c>
      <c r="BM288" s="2">
        <f t="shared" si="682"/>
        <v>0</v>
      </c>
      <c r="BN288" s="2">
        <f t="shared" si="682"/>
        <v>0</v>
      </c>
      <c r="BO288" s="2">
        <f t="shared" si="682"/>
        <v>0</v>
      </c>
      <c r="BQ288" s="28" t="s">
        <v>355</v>
      </c>
      <c r="BR288" s="23">
        <v>0</v>
      </c>
      <c r="BS288" s="14">
        <f t="shared" ref="BS288:BU289" si="691">R288</f>
        <v>0</v>
      </c>
      <c r="BT288" s="14">
        <f t="shared" si="691"/>
        <v>0</v>
      </c>
      <c r="BU288" s="14">
        <f t="shared" si="691"/>
        <v>0</v>
      </c>
      <c r="BV288" s="14">
        <f t="shared" ref="BV288:CB289" si="692">U288</f>
        <v>0</v>
      </c>
      <c r="BW288" s="14">
        <f t="shared" si="692"/>
        <v>0</v>
      </c>
      <c r="BX288" s="14">
        <f t="shared" si="692"/>
        <v>0</v>
      </c>
      <c r="BY288" s="14">
        <f t="shared" si="692"/>
        <v>0</v>
      </c>
      <c r="BZ288" s="14">
        <f t="shared" si="692"/>
        <v>0</v>
      </c>
      <c r="CA288" s="14">
        <f t="shared" si="692"/>
        <v>0</v>
      </c>
      <c r="CB288" s="14">
        <f t="shared" si="692"/>
        <v>0</v>
      </c>
      <c r="CC288" s="14">
        <f t="shared" ref="CC288:CF289" si="693">AB288</f>
        <v>1</v>
      </c>
      <c r="CD288" s="14">
        <f t="shared" si="693"/>
        <v>0</v>
      </c>
      <c r="CE288" s="14">
        <f t="shared" si="693"/>
        <v>0</v>
      </c>
      <c r="CF288" s="14">
        <f t="shared" si="693"/>
        <v>0</v>
      </c>
      <c r="CG288" s="14">
        <f t="shared" ref="CG288:CI289" si="694">AF288</f>
        <v>0</v>
      </c>
      <c r="CH288" s="14">
        <f t="shared" si="694"/>
        <v>0</v>
      </c>
      <c r="CI288" s="14">
        <f t="shared" si="694"/>
        <v>0</v>
      </c>
      <c r="CJ288" s="14"/>
      <c r="CK288" s="120" t="str">
        <f t="shared" si="686"/>
        <v>Input - 100% Cust</v>
      </c>
      <c r="CL288" s="76">
        <f t="shared" si="639"/>
        <v>0</v>
      </c>
      <c r="CM288" s="2">
        <f t="shared" si="687"/>
        <v>0</v>
      </c>
      <c r="CN288" s="2">
        <f t="shared" si="687"/>
        <v>0</v>
      </c>
      <c r="CO288" s="2">
        <f t="shared" si="687"/>
        <v>0</v>
      </c>
      <c r="CP288" s="2">
        <f t="shared" si="687"/>
        <v>0</v>
      </c>
      <c r="CQ288" s="2">
        <f t="shared" si="687"/>
        <v>0</v>
      </c>
      <c r="CR288" s="2">
        <f t="shared" si="687"/>
        <v>0</v>
      </c>
    </row>
    <row r="289" spans="1:96">
      <c r="A289" s="50">
        <f t="shared" si="616"/>
        <v>289</v>
      </c>
      <c r="C289" s="36" t="s">
        <v>156</v>
      </c>
      <c r="D289" s="28" t="s">
        <v>351</v>
      </c>
      <c r="E289" s="23">
        <v>0</v>
      </c>
      <c r="F289" s="60" t="s">
        <v>452</v>
      </c>
      <c r="G289" s="60"/>
      <c r="H289" s="2">
        <f t="shared" si="672"/>
        <v>0</v>
      </c>
      <c r="I289" s="21">
        <f t="shared" si="673"/>
        <v>0</v>
      </c>
      <c r="J289" s="2">
        <f t="shared" si="673"/>
        <v>0</v>
      </c>
      <c r="K289" s="2">
        <f t="shared" si="673"/>
        <v>0</v>
      </c>
      <c r="L289" s="2">
        <f t="shared" si="673"/>
        <v>0</v>
      </c>
      <c r="M289" s="2">
        <f t="shared" si="673"/>
        <v>0</v>
      </c>
      <c r="N289" s="2">
        <f t="shared" si="673"/>
        <v>0</v>
      </c>
      <c r="O289" s="2"/>
      <c r="P289" s="61" t="str">
        <f>E$1&amp;$A289&amp;"*     """</f>
        <v>E289*     "</v>
      </c>
      <c r="Q289" s="61"/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1</v>
      </c>
      <c r="AI289" s="76">
        <f t="shared" si="688"/>
        <v>0</v>
      </c>
      <c r="AK289" s="2">
        <f t="shared" si="675"/>
        <v>0</v>
      </c>
      <c r="AL289" s="2">
        <f t="shared" si="676"/>
        <v>0</v>
      </c>
      <c r="AM289" s="2">
        <f t="shared" si="676"/>
        <v>0</v>
      </c>
      <c r="AN289" s="2">
        <f t="shared" si="676"/>
        <v>0</v>
      </c>
      <c r="AO289" s="2">
        <f t="shared" si="676"/>
        <v>0</v>
      </c>
      <c r="AP289" s="2"/>
      <c r="AQ289" s="61" t="str">
        <f>E$1&amp;$A289&amp;"*      """</f>
        <v>E289*      "</v>
      </c>
      <c r="AS289" s="2">
        <f t="shared" si="677"/>
        <v>0</v>
      </c>
      <c r="AT289" s="2">
        <f t="shared" si="678"/>
        <v>0</v>
      </c>
      <c r="AU289" s="2">
        <f t="shared" si="678"/>
        <v>0</v>
      </c>
      <c r="AV289" s="2">
        <f t="shared" si="678"/>
        <v>0</v>
      </c>
      <c r="AW289" s="2">
        <f t="shared" si="678"/>
        <v>0</v>
      </c>
      <c r="AX289" s="2">
        <f t="shared" si="678"/>
        <v>0</v>
      </c>
      <c r="AY289" s="2">
        <f t="shared" si="678"/>
        <v>0</v>
      </c>
      <c r="BA289" s="2">
        <f t="shared" si="679"/>
        <v>0</v>
      </c>
      <c r="BB289" s="2">
        <f t="shared" si="680"/>
        <v>0</v>
      </c>
      <c r="BC289" s="2">
        <f t="shared" si="680"/>
        <v>0</v>
      </c>
      <c r="BD289" s="2">
        <f t="shared" si="680"/>
        <v>0</v>
      </c>
      <c r="BE289" s="2">
        <f t="shared" si="680"/>
        <v>0</v>
      </c>
      <c r="BF289" s="2">
        <f t="shared" si="680"/>
        <v>0</v>
      </c>
      <c r="BG289" s="2">
        <f t="shared" si="680"/>
        <v>0</v>
      </c>
      <c r="BI289" s="2">
        <f t="shared" si="681"/>
        <v>0</v>
      </c>
      <c r="BJ289" s="2">
        <f t="shared" si="682"/>
        <v>0</v>
      </c>
      <c r="BK289" s="2">
        <f t="shared" si="682"/>
        <v>0</v>
      </c>
      <c r="BL289" s="2">
        <f t="shared" si="682"/>
        <v>0</v>
      </c>
      <c r="BM289" s="2">
        <f t="shared" si="682"/>
        <v>0</v>
      </c>
      <c r="BN289" s="2">
        <f t="shared" si="682"/>
        <v>0</v>
      </c>
      <c r="BO289" s="2">
        <f t="shared" si="682"/>
        <v>0</v>
      </c>
      <c r="BQ289" s="28" t="s">
        <v>351</v>
      </c>
      <c r="BR289" s="23">
        <v>0</v>
      </c>
      <c r="BS289" s="14">
        <f t="shared" si="691"/>
        <v>0</v>
      </c>
      <c r="BT289" s="14">
        <f t="shared" si="691"/>
        <v>0</v>
      </c>
      <c r="BU289" s="14">
        <f t="shared" si="691"/>
        <v>0</v>
      </c>
      <c r="BV289" s="14">
        <f t="shared" si="692"/>
        <v>0</v>
      </c>
      <c r="BW289" s="14">
        <f t="shared" si="692"/>
        <v>0</v>
      </c>
      <c r="BX289" s="14">
        <f t="shared" si="692"/>
        <v>0</v>
      </c>
      <c r="BY289" s="14">
        <f t="shared" si="692"/>
        <v>0</v>
      </c>
      <c r="BZ289" s="14">
        <f t="shared" si="692"/>
        <v>0</v>
      </c>
      <c r="CA289" s="14">
        <f t="shared" si="692"/>
        <v>0</v>
      </c>
      <c r="CB289" s="14">
        <f t="shared" si="692"/>
        <v>0</v>
      </c>
      <c r="CC289" s="14">
        <f t="shared" si="693"/>
        <v>0</v>
      </c>
      <c r="CD289" s="14">
        <f t="shared" si="693"/>
        <v>0</v>
      </c>
      <c r="CE289" s="14">
        <f t="shared" si="693"/>
        <v>0</v>
      </c>
      <c r="CF289" s="14">
        <f t="shared" si="693"/>
        <v>0</v>
      </c>
      <c r="CG289" s="14">
        <f t="shared" si="694"/>
        <v>0</v>
      </c>
      <c r="CH289" s="14">
        <f t="shared" si="694"/>
        <v>0</v>
      </c>
      <c r="CI289" s="14">
        <f t="shared" si="694"/>
        <v>1</v>
      </c>
      <c r="CJ289" s="14"/>
      <c r="CK289" s="120" t="str">
        <f t="shared" si="686"/>
        <v>Input - 100% Rev</v>
      </c>
      <c r="CL289" s="76">
        <f t="shared" si="639"/>
        <v>0</v>
      </c>
      <c r="CM289" s="2">
        <f t="shared" si="687"/>
        <v>0</v>
      </c>
      <c r="CN289" s="2">
        <f t="shared" si="687"/>
        <v>0</v>
      </c>
      <c r="CO289" s="2">
        <f t="shared" si="687"/>
        <v>0</v>
      </c>
      <c r="CP289" s="2">
        <f t="shared" si="687"/>
        <v>0</v>
      </c>
      <c r="CQ289" s="2">
        <f t="shared" si="687"/>
        <v>0</v>
      </c>
      <c r="CR289" s="2">
        <f t="shared" si="687"/>
        <v>0</v>
      </c>
    </row>
    <row r="290" spans="1:96">
      <c r="A290" s="50">
        <f t="shared" si="616"/>
        <v>290</v>
      </c>
      <c r="C290" s="36" t="s">
        <v>152</v>
      </c>
      <c r="D290" s="28" t="s">
        <v>356</v>
      </c>
      <c r="E290" s="23">
        <v>0</v>
      </c>
      <c r="F290" s="60" t="str">
        <f>"as Labor O&amp;M Exp. ("&amp;BS$1&amp;A$342&amp;")"</f>
        <v>as Labor O&amp;M Exp. (BS342)</v>
      </c>
      <c r="G290" s="60"/>
      <c r="H290" s="2">
        <f t="shared" si="672"/>
        <v>0</v>
      </c>
      <c r="I290" s="21">
        <f t="shared" ref="I290:N290" si="695">$E290*CM$342/$BR$342</f>
        <v>0</v>
      </c>
      <c r="J290" s="21">
        <f t="shared" si="695"/>
        <v>0</v>
      </c>
      <c r="K290" s="21">
        <f t="shared" si="695"/>
        <v>0</v>
      </c>
      <c r="L290" s="21">
        <f t="shared" si="695"/>
        <v>0</v>
      </c>
      <c r="M290" s="21">
        <f t="shared" si="695"/>
        <v>0</v>
      </c>
      <c r="N290" s="21">
        <f t="shared" si="695"/>
        <v>0</v>
      </c>
      <c r="O290" s="2"/>
      <c r="P290" s="61" t="str">
        <f>E$1&amp;$A290&amp;"* "&amp;CM$1&amp;A$342&amp;" / "&amp;BR$1&amp;A$342</f>
        <v>E290* CM342 / BR342</v>
      </c>
      <c r="Q290" s="61"/>
      <c r="R290" s="14">
        <f>BS$342</f>
        <v>9.4011197840194252E-2</v>
      </c>
      <c r="S290" s="14">
        <f>BT$342</f>
        <v>2.771484723001123E-2</v>
      </c>
      <c r="T290" s="14">
        <f t="shared" ref="T290:AH290" si="696">BU$342</f>
        <v>2.025083303615954E-3</v>
      </c>
      <c r="U290" s="14">
        <f t="shared" si="696"/>
        <v>1.3552480570352927E-2</v>
      </c>
      <c r="V290" s="14">
        <f t="shared" si="696"/>
        <v>0</v>
      </c>
      <c r="W290" s="14">
        <f t="shared" si="696"/>
        <v>0.1576905706846389</v>
      </c>
      <c r="X290" s="14">
        <f t="shared" si="696"/>
        <v>0</v>
      </c>
      <c r="Y290" s="14">
        <f t="shared" si="696"/>
        <v>0</v>
      </c>
      <c r="Z290" s="14">
        <f t="shared" si="696"/>
        <v>0</v>
      </c>
      <c r="AA290" s="14">
        <f t="shared" si="696"/>
        <v>0</v>
      </c>
      <c r="AB290" s="14">
        <f t="shared" si="696"/>
        <v>0.43643287397616143</v>
      </c>
      <c r="AC290" s="14">
        <f t="shared" si="696"/>
        <v>0.1792970882068218</v>
      </c>
      <c r="AD290" s="14">
        <f t="shared" si="696"/>
        <v>8.7076406980020227E-2</v>
      </c>
      <c r="AE290" s="14">
        <f t="shared" si="696"/>
        <v>0</v>
      </c>
      <c r="AF290" s="14">
        <f t="shared" si="696"/>
        <v>2.1994512081833085E-3</v>
      </c>
      <c r="AG290" s="14">
        <f t="shared" si="696"/>
        <v>0</v>
      </c>
      <c r="AH290" s="14">
        <f t="shared" si="696"/>
        <v>0</v>
      </c>
      <c r="AI290" s="76">
        <f t="shared" si="688"/>
        <v>0</v>
      </c>
      <c r="AK290" s="2">
        <f t="shared" si="675"/>
        <v>0</v>
      </c>
      <c r="AL290" s="2">
        <f t="shared" si="676"/>
        <v>0</v>
      </c>
      <c r="AM290" s="2">
        <f t="shared" si="676"/>
        <v>0</v>
      </c>
      <c r="AN290" s="2">
        <f t="shared" si="676"/>
        <v>0</v>
      </c>
      <c r="AO290" s="2">
        <f t="shared" si="676"/>
        <v>0</v>
      </c>
      <c r="AP290" s="2"/>
      <c r="AQ290" s="61" t="str">
        <f>E$1&amp;$A290&amp;"*      """</f>
        <v>E290*      "</v>
      </c>
      <c r="AS290" s="2">
        <f t="shared" si="677"/>
        <v>0</v>
      </c>
      <c r="AT290" s="2">
        <f t="shared" si="678"/>
        <v>0</v>
      </c>
      <c r="AU290" s="2">
        <f t="shared" si="678"/>
        <v>0</v>
      </c>
      <c r="AV290" s="2">
        <f t="shared" si="678"/>
        <v>0</v>
      </c>
      <c r="AW290" s="2">
        <f t="shared" si="678"/>
        <v>0</v>
      </c>
      <c r="AX290" s="2">
        <f t="shared" si="678"/>
        <v>0</v>
      </c>
      <c r="AY290" s="2">
        <f t="shared" si="678"/>
        <v>0</v>
      </c>
      <c r="BA290" s="2">
        <f t="shared" si="679"/>
        <v>0</v>
      </c>
      <c r="BB290" s="2">
        <f t="shared" si="680"/>
        <v>0</v>
      </c>
      <c r="BC290" s="2">
        <f t="shared" si="680"/>
        <v>0</v>
      </c>
      <c r="BD290" s="2">
        <f t="shared" si="680"/>
        <v>0</v>
      </c>
      <c r="BE290" s="2">
        <f t="shared" si="680"/>
        <v>0</v>
      </c>
      <c r="BF290" s="2">
        <f t="shared" si="680"/>
        <v>0</v>
      </c>
      <c r="BG290" s="2">
        <f t="shared" si="680"/>
        <v>0</v>
      </c>
      <c r="BI290" s="2">
        <f t="shared" si="681"/>
        <v>0</v>
      </c>
      <c r="BJ290" s="2">
        <f t="shared" si="682"/>
        <v>0</v>
      </c>
      <c r="BK290" s="2">
        <f t="shared" si="682"/>
        <v>0</v>
      </c>
      <c r="BL290" s="2">
        <f t="shared" si="682"/>
        <v>0</v>
      </c>
      <c r="BM290" s="2">
        <f t="shared" si="682"/>
        <v>0</v>
      </c>
      <c r="BN290" s="2">
        <f t="shared" si="682"/>
        <v>0</v>
      </c>
      <c r="BO290" s="2">
        <f t="shared" si="682"/>
        <v>0</v>
      </c>
      <c r="BQ290" s="28" t="s">
        <v>356</v>
      </c>
      <c r="BR290" s="23">
        <v>0</v>
      </c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120" t="str">
        <f t="shared" si="686"/>
        <v>as Labor O&amp;M Exp. (BS342)</v>
      </c>
      <c r="CL290" s="76">
        <f t="shared" si="639"/>
        <v>0</v>
      </c>
      <c r="CM290" s="2"/>
      <c r="CN290" s="2"/>
      <c r="CO290" s="2"/>
      <c r="CP290" s="2"/>
      <c r="CQ290" s="2"/>
      <c r="CR290" s="2"/>
    </row>
    <row r="291" spans="1:96">
      <c r="A291" s="50">
        <f t="shared" si="616"/>
        <v>291</v>
      </c>
      <c r="B291" t="s">
        <v>51</v>
      </c>
      <c r="D291" t="s">
        <v>52</v>
      </c>
      <c r="E291" s="2"/>
      <c r="F291" s="60"/>
      <c r="G291" s="60"/>
      <c r="I291" s="49"/>
      <c r="P291" s="61"/>
      <c r="Q291" s="61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76">
        <f t="shared" si="688"/>
        <v>0</v>
      </c>
      <c r="AQ291" s="61"/>
      <c r="BQ291" t="s">
        <v>52</v>
      </c>
      <c r="BR291" s="49"/>
      <c r="CK291" s="120"/>
      <c r="CL291" s="76">
        <f t="shared" si="639"/>
        <v>0</v>
      </c>
      <c r="CM291" s="49"/>
    </row>
    <row r="292" spans="1:96">
      <c r="A292" s="50">
        <f t="shared" si="616"/>
        <v>292</v>
      </c>
      <c r="C292" s="36" t="s">
        <v>152</v>
      </c>
      <c r="D292" s="56" t="s">
        <v>148</v>
      </c>
      <c r="E292" s="436">
        <f>PROFORMA!AV133</f>
        <v>578000</v>
      </c>
      <c r="F292" s="61" t="s">
        <v>1159</v>
      </c>
      <c r="G292" s="60"/>
      <c r="H292" s="2">
        <f t="shared" ref="H292:H297" si="697">SUM(I292:N292)</f>
        <v>578000.00000000012</v>
      </c>
      <c r="I292" s="21">
        <f t="shared" ref="I292:N296" si="698">$E292*SUMPRODUCT($R292:$AH292,INDEX(AllocFactors,I$4,0))</f>
        <v>505879.91552789253</v>
      </c>
      <c r="J292" s="2">
        <f t="shared" si="698"/>
        <v>54794.739677342157</v>
      </c>
      <c r="K292" s="2">
        <f t="shared" si="698"/>
        <v>0</v>
      </c>
      <c r="L292" s="2">
        <f t="shared" si="698"/>
        <v>678.43816658037372</v>
      </c>
      <c r="M292" s="2">
        <f t="shared" si="698"/>
        <v>16646.906628185021</v>
      </c>
      <c r="N292" s="2">
        <f t="shared" si="698"/>
        <v>0</v>
      </c>
      <c r="O292" s="2"/>
      <c r="P292" s="61" t="s">
        <v>1160</v>
      </c>
      <c r="Q292" s="61"/>
      <c r="R292" s="14">
        <f>R$257</f>
        <v>8.8133437743971782E-2</v>
      </c>
      <c r="S292" s="14">
        <f t="shared" ref="S292:AG292" si="699">S$257</f>
        <v>1.48122630432825E-2</v>
      </c>
      <c r="T292" s="14">
        <f t="shared" si="699"/>
        <v>6.2152272453224224E-3</v>
      </c>
      <c r="U292" s="14">
        <f t="shared" si="699"/>
        <v>4.15942131033116E-2</v>
      </c>
      <c r="V292" s="14">
        <f t="shared" si="699"/>
        <v>0</v>
      </c>
      <c r="W292" s="14">
        <f t="shared" si="699"/>
        <v>0.15413680450310352</v>
      </c>
      <c r="X292" s="14">
        <f t="shared" si="699"/>
        <v>0</v>
      </c>
      <c r="Y292" s="14">
        <f t="shared" si="699"/>
        <v>0</v>
      </c>
      <c r="Z292" s="14">
        <f t="shared" si="699"/>
        <v>0</v>
      </c>
      <c r="AA292" s="14">
        <f t="shared" si="699"/>
        <v>0</v>
      </c>
      <c r="AB292" s="14">
        <f t="shared" si="699"/>
        <v>0.45505508837908676</v>
      </c>
      <c r="AC292" s="14">
        <f t="shared" si="699"/>
        <v>0.16681683403029823</v>
      </c>
      <c r="AD292" s="14">
        <f t="shared" si="699"/>
        <v>7.1278348815059178E-2</v>
      </c>
      <c r="AE292" s="14">
        <f t="shared" si="699"/>
        <v>0</v>
      </c>
      <c r="AF292" s="14">
        <f t="shared" si="699"/>
        <v>1.9577831365640468E-3</v>
      </c>
      <c r="AG292" s="14">
        <f t="shared" si="699"/>
        <v>0</v>
      </c>
      <c r="AH292" s="14"/>
      <c r="AI292" s="76">
        <f t="shared" si="688"/>
        <v>0</v>
      </c>
      <c r="AK292" s="2">
        <f t="shared" ref="AK292:AK297" si="700">SUM(AL292:AO292)</f>
        <v>578000</v>
      </c>
      <c r="AL292" s="2">
        <f t="shared" ref="AL292:AO297" si="701">SUMIF($R$4:$AH$4,AL$5,$R292:$AH292)*$E292</f>
        <v>87136.471576543423</v>
      </c>
      <c r="AM292" s="2">
        <f t="shared" si="701"/>
        <v>89091.073002793841</v>
      </c>
      <c r="AN292" s="2">
        <f t="shared" si="701"/>
        <v>401772.45542066277</v>
      </c>
      <c r="AO292" s="2">
        <f t="shared" si="701"/>
        <v>0</v>
      </c>
      <c r="AP292" s="2"/>
      <c r="AQ292" s="61" t="str">
        <f>E$1&amp;$A292&amp;"*["&amp;R$1&amp;$A292&amp;":"&amp;$AH$1&amp;$A292&amp;" when "&amp;R$1&amp;$A$4&amp;":"&amp;$AH$1&amp;$A$4&amp;" = E,D,C,or R]"</f>
        <v>E292*[R292:AH292 when R4:AH4 = E,D,C,or R]</v>
      </c>
      <c r="AS292" s="2">
        <f t="shared" ref="AS292:AS297" si="702">SUM(AT292:AY292)</f>
        <v>87136.471576543452</v>
      </c>
      <c r="AT292" s="2">
        <f t="shared" ref="AT292:AY297" si="703">$E292*SUMPRODUCT($R292:$V292,INDEX(AllocFactors_E,AT$4,0))</f>
        <v>55520.617310179121</v>
      </c>
      <c r="AU292" s="2">
        <f t="shared" si="703"/>
        <v>22893.855754528573</v>
      </c>
      <c r="AV292" s="2">
        <f t="shared" si="703"/>
        <v>0</v>
      </c>
      <c r="AW292" s="2">
        <f t="shared" si="703"/>
        <v>357.45829630130197</v>
      </c>
      <c r="AX292" s="2">
        <f t="shared" si="703"/>
        <v>8364.5402155344473</v>
      </c>
      <c r="AY292" s="2">
        <f t="shared" si="703"/>
        <v>0</v>
      </c>
      <c r="BA292" s="2">
        <f t="shared" ref="BA292:BA297" si="704">SUM(BB292:BG292)</f>
        <v>89091.073002793841</v>
      </c>
      <c r="BB292" s="2">
        <f t="shared" ref="BB292:BG297" si="705">$E292*SUMPRODUCT($W292:$AA292,INDEX(AllocFactors_D,BB$4,0))</f>
        <v>60832.11750055493</v>
      </c>
      <c r="BC292" s="2">
        <f t="shared" si="705"/>
        <v>20590.13868328711</v>
      </c>
      <c r="BD292" s="2">
        <f t="shared" si="705"/>
        <v>0</v>
      </c>
      <c r="BE292" s="2">
        <f t="shared" si="705"/>
        <v>258.66944490552993</v>
      </c>
      <c r="BF292" s="2">
        <f t="shared" si="705"/>
        <v>7410.1473740462643</v>
      </c>
      <c r="BG292" s="2">
        <f t="shared" si="705"/>
        <v>0</v>
      </c>
      <c r="BI292" s="2">
        <f t="shared" ref="BI292:BI297" si="706">SUM(BJ292:BO292)</f>
        <v>401772.45542066277</v>
      </c>
      <c r="BJ292" s="2">
        <f t="shared" ref="BJ292:BO297" si="707">$E292*SUMPRODUCT($AB292:$AG292,INDEX(AllocFactors_C,BJ$4,0))</f>
        <v>389527.18071715848</v>
      </c>
      <c r="BK292" s="2">
        <f t="shared" si="707"/>
        <v>11310.745239526465</v>
      </c>
      <c r="BL292" s="2">
        <f t="shared" si="707"/>
        <v>0</v>
      </c>
      <c r="BM292" s="2">
        <f t="shared" si="707"/>
        <v>62.310425373541904</v>
      </c>
      <c r="BN292" s="2">
        <f t="shared" si="707"/>
        <v>872.21903860430814</v>
      </c>
      <c r="BO292" s="2">
        <f t="shared" si="707"/>
        <v>0</v>
      </c>
      <c r="BQ292" s="28" t="s">
        <v>352</v>
      </c>
      <c r="BR292" s="23">
        <v>67686</v>
      </c>
      <c r="BS292" s="14">
        <f t="shared" ref="BS292:BU293" si="708">R292</f>
        <v>8.8133437743971782E-2</v>
      </c>
      <c r="BT292" s="14">
        <f t="shared" si="708"/>
        <v>1.48122630432825E-2</v>
      </c>
      <c r="BU292" s="14">
        <f t="shared" si="708"/>
        <v>6.2152272453224224E-3</v>
      </c>
      <c r="BV292" s="14">
        <f t="shared" ref="BV292:CB293" si="709">U292</f>
        <v>4.15942131033116E-2</v>
      </c>
      <c r="BW292" s="14">
        <f t="shared" si="709"/>
        <v>0</v>
      </c>
      <c r="BX292" s="14">
        <f t="shared" si="709"/>
        <v>0.15413680450310352</v>
      </c>
      <c r="BY292" s="14">
        <f t="shared" si="709"/>
        <v>0</v>
      </c>
      <c r="BZ292" s="14">
        <f t="shared" si="709"/>
        <v>0</v>
      </c>
      <c r="CA292" s="14">
        <f t="shared" si="709"/>
        <v>0</v>
      </c>
      <c r="CB292" s="14">
        <f t="shared" si="709"/>
        <v>0</v>
      </c>
      <c r="CC292" s="14">
        <f t="shared" ref="CC292:CI293" si="710">AB292</f>
        <v>0.45505508837908676</v>
      </c>
      <c r="CD292" s="14">
        <f t="shared" si="710"/>
        <v>0.16681683403029823</v>
      </c>
      <c r="CE292" s="14">
        <f t="shared" si="710"/>
        <v>7.1278348815059178E-2</v>
      </c>
      <c r="CF292" s="14">
        <f t="shared" si="710"/>
        <v>0</v>
      </c>
      <c r="CG292" s="14">
        <f t="shared" si="710"/>
        <v>1.9577831365640468E-3</v>
      </c>
      <c r="CH292" s="14">
        <f t="shared" si="710"/>
        <v>0</v>
      </c>
      <c r="CI292" s="14">
        <f t="shared" si="710"/>
        <v>0</v>
      </c>
      <c r="CJ292" s="14"/>
      <c r="CK292" s="120" t="str">
        <f t="shared" ref="CK292:CK297" si="711">F292</f>
        <v>4-Factor</v>
      </c>
      <c r="CL292" s="76">
        <f t="shared" si="639"/>
        <v>0</v>
      </c>
      <c r="CM292" s="2">
        <f t="shared" ref="CM292:CR296" si="712">$BR292*SUMPRODUCT($BS292:$CI292,INDEX(AllocFactors,CM$170,0))</f>
        <v>59240.463602804382</v>
      </c>
      <c r="CN292" s="2">
        <f t="shared" si="712"/>
        <v>6416.6725775096556</v>
      </c>
      <c r="CO292" s="2">
        <f t="shared" si="712"/>
        <v>0</v>
      </c>
      <c r="CP292" s="2">
        <f t="shared" si="712"/>
        <v>79.447691597161196</v>
      </c>
      <c r="CQ292" s="2">
        <f t="shared" si="712"/>
        <v>1949.4161280888086</v>
      </c>
      <c r="CR292" s="2">
        <f t="shared" si="712"/>
        <v>0</v>
      </c>
    </row>
    <row r="293" spans="1:96">
      <c r="A293" s="50">
        <f t="shared" si="616"/>
        <v>293</v>
      </c>
      <c r="C293" s="36" t="s">
        <v>152</v>
      </c>
      <c r="D293" s="56" t="s">
        <v>353</v>
      </c>
      <c r="E293" s="150">
        <v>0</v>
      </c>
      <c r="F293" s="524" t="s">
        <v>445</v>
      </c>
      <c r="G293" s="60"/>
      <c r="H293" s="2">
        <f t="shared" si="697"/>
        <v>0</v>
      </c>
      <c r="I293" s="21">
        <f t="shared" si="698"/>
        <v>0</v>
      </c>
      <c r="J293" s="2">
        <f t="shared" si="698"/>
        <v>0</v>
      </c>
      <c r="K293" s="2">
        <f t="shared" si="698"/>
        <v>0</v>
      </c>
      <c r="L293" s="2">
        <f t="shared" si="698"/>
        <v>0</v>
      </c>
      <c r="M293" s="2">
        <f t="shared" si="698"/>
        <v>0</v>
      </c>
      <c r="N293" s="2">
        <f t="shared" si="698"/>
        <v>0</v>
      </c>
      <c r="O293" s="2"/>
      <c r="P293" s="61" t="str">
        <f>E$1&amp;$A293&amp;"*     """</f>
        <v>E293*     "</v>
      </c>
      <c r="Q293" s="61"/>
      <c r="R293" s="523">
        <v>1</v>
      </c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2"/>
      <c r="AI293" s="76">
        <f t="shared" si="688"/>
        <v>0</v>
      </c>
      <c r="AK293" s="2">
        <f t="shared" si="700"/>
        <v>0</v>
      </c>
      <c r="AL293" s="2">
        <f t="shared" si="701"/>
        <v>0</v>
      </c>
      <c r="AM293" s="2">
        <f t="shared" si="701"/>
        <v>0</v>
      </c>
      <c r="AN293" s="2">
        <f t="shared" si="701"/>
        <v>0</v>
      </c>
      <c r="AO293" s="2">
        <f t="shared" si="701"/>
        <v>0</v>
      </c>
      <c r="AP293" s="2"/>
      <c r="AQ293" s="61" t="str">
        <f>E$1&amp;$A293&amp;"*      """</f>
        <v>E293*      "</v>
      </c>
      <c r="AS293" s="2">
        <f t="shared" si="702"/>
        <v>0</v>
      </c>
      <c r="AT293" s="2">
        <f t="shared" si="703"/>
        <v>0</v>
      </c>
      <c r="AU293" s="2">
        <f t="shared" si="703"/>
        <v>0</v>
      </c>
      <c r="AV293" s="2">
        <f t="shared" si="703"/>
        <v>0</v>
      </c>
      <c r="AW293" s="2">
        <f t="shared" si="703"/>
        <v>0</v>
      </c>
      <c r="AX293" s="2">
        <f t="shared" si="703"/>
        <v>0</v>
      </c>
      <c r="AY293" s="2">
        <f t="shared" si="703"/>
        <v>0</v>
      </c>
      <c r="BA293" s="2">
        <f t="shared" si="704"/>
        <v>0</v>
      </c>
      <c r="BB293" s="2">
        <f t="shared" si="705"/>
        <v>0</v>
      </c>
      <c r="BC293" s="2">
        <f t="shared" si="705"/>
        <v>0</v>
      </c>
      <c r="BD293" s="2">
        <f t="shared" si="705"/>
        <v>0</v>
      </c>
      <c r="BE293" s="2">
        <f t="shared" si="705"/>
        <v>0</v>
      </c>
      <c r="BF293" s="2">
        <f t="shared" si="705"/>
        <v>0</v>
      </c>
      <c r="BG293" s="2">
        <f t="shared" si="705"/>
        <v>0</v>
      </c>
      <c r="BI293" s="2">
        <f t="shared" si="706"/>
        <v>0</v>
      </c>
      <c r="BJ293" s="2">
        <f t="shared" si="707"/>
        <v>0</v>
      </c>
      <c r="BK293" s="2">
        <f t="shared" si="707"/>
        <v>0</v>
      </c>
      <c r="BL293" s="2">
        <f t="shared" si="707"/>
        <v>0</v>
      </c>
      <c r="BM293" s="2">
        <f t="shared" si="707"/>
        <v>0</v>
      </c>
      <c r="BN293" s="2">
        <f t="shared" si="707"/>
        <v>0</v>
      </c>
      <c r="BO293" s="2">
        <f t="shared" si="707"/>
        <v>0</v>
      </c>
      <c r="BQ293" s="28" t="s">
        <v>353</v>
      </c>
      <c r="BR293" s="23">
        <v>0</v>
      </c>
      <c r="BS293" s="14">
        <f t="shared" si="708"/>
        <v>1</v>
      </c>
      <c r="BT293" s="14">
        <f t="shared" si="708"/>
        <v>0</v>
      </c>
      <c r="BU293" s="14">
        <f t="shared" si="708"/>
        <v>0</v>
      </c>
      <c r="BV293" s="14">
        <f t="shared" si="709"/>
        <v>0</v>
      </c>
      <c r="BW293" s="14">
        <f t="shared" si="709"/>
        <v>0</v>
      </c>
      <c r="BX293" s="14">
        <f t="shared" si="709"/>
        <v>0</v>
      </c>
      <c r="BY293" s="14">
        <f t="shared" si="709"/>
        <v>0</v>
      </c>
      <c r="BZ293" s="14">
        <f t="shared" si="709"/>
        <v>0</v>
      </c>
      <c r="CA293" s="14">
        <f t="shared" si="709"/>
        <v>0</v>
      </c>
      <c r="CB293" s="14">
        <f t="shared" si="709"/>
        <v>0</v>
      </c>
      <c r="CC293" s="14">
        <f t="shared" si="710"/>
        <v>0</v>
      </c>
      <c r="CD293" s="14">
        <f t="shared" si="710"/>
        <v>0</v>
      </c>
      <c r="CE293" s="14">
        <f t="shared" si="710"/>
        <v>0</v>
      </c>
      <c r="CF293" s="14">
        <f t="shared" si="710"/>
        <v>0</v>
      </c>
      <c r="CG293" s="14">
        <f t="shared" si="710"/>
        <v>0</v>
      </c>
      <c r="CH293" s="14">
        <f t="shared" si="710"/>
        <v>0</v>
      </c>
      <c r="CI293" s="14">
        <f t="shared" si="710"/>
        <v>0</v>
      </c>
      <c r="CJ293" s="14"/>
      <c r="CK293" s="120" t="str">
        <f t="shared" si="711"/>
        <v>Input - 100% Throughput</v>
      </c>
      <c r="CL293" s="76">
        <f t="shared" si="639"/>
        <v>0</v>
      </c>
      <c r="CM293" s="2">
        <f t="shared" si="712"/>
        <v>0</v>
      </c>
      <c r="CN293" s="2">
        <f t="shared" si="712"/>
        <v>0</v>
      </c>
      <c r="CO293" s="2">
        <f t="shared" si="712"/>
        <v>0</v>
      </c>
      <c r="CP293" s="2">
        <f t="shared" si="712"/>
        <v>0</v>
      </c>
      <c r="CQ293" s="2">
        <f t="shared" si="712"/>
        <v>0</v>
      </c>
      <c r="CR293" s="2">
        <f t="shared" si="712"/>
        <v>0</v>
      </c>
    </row>
    <row r="294" spans="1:96">
      <c r="A294" s="50">
        <f t="shared" si="616"/>
        <v>294</v>
      </c>
      <c r="C294" s="36" t="s">
        <v>152</v>
      </c>
      <c r="D294" s="28" t="s">
        <v>354</v>
      </c>
      <c r="E294" s="23">
        <v>0</v>
      </c>
      <c r="F294" s="60" t="str">
        <f>"as Plant in Service ("&amp;A$58&amp;")"</f>
        <v>as Plant in Service (58)</v>
      </c>
      <c r="G294" s="60"/>
      <c r="H294" s="2">
        <f t="shared" si="697"/>
        <v>0</v>
      </c>
      <c r="I294" s="21">
        <f t="shared" si="698"/>
        <v>0</v>
      </c>
      <c r="J294" s="2">
        <f t="shared" si="698"/>
        <v>0</v>
      </c>
      <c r="K294" s="2">
        <f t="shared" si="698"/>
        <v>0</v>
      </c>
      <c r="L294" s="2">
        <f t="shared" si="698"/>
        <v>0</v>
      </c>
      <c r="M294" s="2">
        <f t="shared" si="698"/>
        <v>0</v>
      </c>
      <c r="N294" s="2">
        <f t="shared" si="698"/>
        <v>0</v>
      </c>
      <c r="O294" s="2"/>
      <c r="P294" s="61" t="str">
        <f>E$1&amp;$A294&amp;"*     """</f>
        <v>E294*     "</v>
      </c>
      <c r="Q294" s="61"/>
      <c r="R294" s="14">
        <f>R$58</f>
        <v>0.15278530527507739</v>
      </c>
      <c r="S294" s="14">
        <f t="shared" ref="S294:AH294" si="713">S$58</f>
        <v>3.164969422787912E-3</v>
      </c>
      <c r="T294" s="14">
        <f t="shared" si="713"/>
        <v>6.9829362297418388E-3</v>
      </c>
      <c r="U294" s="14">
        <f t="shared" si="713"/>
        <v>4.673195784519539E-2</v>
      </c>
      <c r="V294" s="14">
        <f t="shared" si="713"/>
        <v>0</v>
      </c>
      <c r="W294" s="14">
        <f t="shared" si="713"/>
        <v>0.27991526808724082</v>
      </c>
      <c r="X294" s="14">
        <f t="shared" si="713"/>
        <v>0</v>
      </c>
      <c r="Y294" s="14">
        <f t="shared" si="713"/>
        <v>0</v>
      </c>
      <c r="Z294" s="14">
        <f t="shared" si="713"/>
        <v>0</v>
      </c>
      <c r="AA294" s="14">
        <f t="shared" si="713"/>
        <v>0</v>
      </c>
      <c r="AB294" s="14">
        <f t="shared" si="713"/>
        <v>9.7232640022350991E-2</v>
      </c>
      <c r="AC294" s="14">
        <f t="shared" si="713"/>
        <v>0.29403559958561315</v>
      </c>
      <c r="AD294" s="14">
        <f t="shared" si="713"/>
        <v>0.1147688867063851</v>
      </c>
      <c r="AE294" s="14">
        <f t="shared" si="713"/>
        <v>0</v>
      </c>
      <c r="AF294" s="14">
        <f t="shared" si="713"/>
        <v>4.3824368256074331E-3</v>
      </c>
      <c r="AG294" s="14">
        <f t="shared" si="713"/>
        <v>0</v>
      </c>
      <c r="AH294" s="14">
        <f t="shared" si="713"/>
        <v>0</v>
      </c>
      <c r="AI294" s="76">
        <f t="shared" si="688"/>
        <v>0</v>
      </c>
      <c r="AK294" s="2">
        <f t="shared" si="700"/>
        <v>0</v>
      </c>
      <c r="AL294" s="2">
        <f t="shared" si="701"/>
        <v>0</v>
      </c>
      <c r="AM294" s="2">
        <f t="shared" si="701"/>
        <v>0</v>
      </c>
      <c r="AN294" s="2">
        <f t="shared" si="701"/>
        <v>0</v>
      </c>
      <c r="AO294" s="2">
        <f t="shared" si="701"/>
        <v>0</v>
      </c>
      <c r="AP294" s="2"/>
      <c r="AQ294" s="61" t="str">
        <f>E$1&amp;$A294&amp;"*      """</f>
        <v>E294*      "</v>
      </c>
      <c r="AS294" s="2">
        <f t="shared" si="702"/>
        <v>0</v>
      </c>
      <c r="AT294" s="2">
        <f t="shared" si="703"/>
        <v>0</v>
      </c>
      <c r="AU294" s="2">
        <f t="shared" si="703"/>
        <v>0</v>
      </c>
      <c r="AV294" s="2">
        <f t="shared" si="703"/>
        <v>0</v>
      </c>
      <c r="AW294" s="2">
        <f t="shared" si="703"/>
        <v>0</v>
      </c>
      <c r="AX294" s="2">
        <f t="shared" si="703"/>
        <v>0</v>
      </c>
      <c r="AY294" s="2">
        <f t="shared" si="703"/>
        <v>0</v>
      </c>
      <c r="BA294" s="2">
        <f t="shared" si="704"/>
        <v>0</v>
      </c>
      <c r="BB294" s="2">
        <f t="shared" si="705"/>
        <v>0</v>
      </c>
      <c r="BC294" s="2">
        <f t="shared" si="705"/>
        <v>0</v>
      </c>
      <c r="BD294" s="2">
        <f t="shared" si="705"/>
        <v>0</v>
      </c>
      <c r="BE294" s="2">
        <f t="shared" si="705"/>
        <v>0</v>
      </c>
      <c r="BF294" s="2">
        <f t="shared" si="705"/>
        <v>0</v>
      </c>
      <c r="BG294" s="2">
        <f t="shared" si="705"/>
        <v>0</v>
      </c>
      <c r="BI294" s="2">
        <f t="shared" si="706"/>
        <v>0</v>
      </c>
      <c r="BJ294" s="2">
        <f t="shared" si="707"/>
        <v>0</v>
      </c>
      <c r="BK294" s="2">
        <f t="shared" si="707"/>
        <v>0</v>
      </c>
      <c r="BL294" s="2">
        <f t="shared" si="707"/>
        <v>0</v>
      </c>
      <c r="BM294" s="2">
        <f t="shared" si="707"/>
        <v>0</v>
      </c>
      <c r="BN294" s="2">
        <f t="shared" si="707"/>
        <v>0</v>
      </c>
      <c r="BO294" s="2">
        <f t="shared" si="707"/>
        <v>0</v>
      </c>
      <c r="BQ294" s="28" t="s">
        <v>354</v>
      </c>
      <c r="BR294" s="23">
        <v>0</v>
      </c>
      <c r="BS294" s="14">
        <f>R$58</f>
        <v>0.15278530527507739</v>
      </c>
      <c r="BT294" s="14">
        <f>S$58</f>
        <v>3.164969422787912E-3</v>
      </c>
      <c r="BU294" s="14">
        <f>T$58</f>
        <v>6.9829362297418388E-3</v>
      </c>
      <c r="BV294" s="14">
        <f t="shared" ref="BV294:CI294" si="714">U$58</f>
        <v>4.673195784519539E-2</v>
      </c>
      <c r="BW294" s="14">
        <f t="shared" si="714"/>
        <v>0</v>
      </c>
      <c r="BX294" s="14">
        <f t="shared" si="714"/>
        <v>0.27991526808724082</v>
      </c>
      <c r="BY294" s="14">
        <f t="shared" si="714"/>
        <v>0</v>
      </c>
      <c r="BZ294" s="14">
        <f t="shared" si="714"/>
        <v>0</v>
      </c>
      <c r="CA294" s="14">
        <f t="shared" si="714"/>
        <v>0</v>
      </c>
      <c r="CB294" s="14">
        <f t="shared" si="714"/>
        <v>0</v>
      </c>
      <c r="CC294" s="14">
        <f t="shared" si="714"/>
        <v>9.7232640022350991E-2</v>
      </c>
      <c r="CD294" s="14">
        <f t="shared" si="714"/>
        <v>0.29403559958561315</v>
      </c>
      <c r="CE294" s="14">
        <f t="shared" si="714"/>
        <v>0.1147688867063851</v>
      </c>
      <c r="CF294" s="14">
        <f t="shared" si="714"/>
        <v>0</v>
      </c>
      <c r="CG294" s="14">
        <f t="shared" si="714"/>
        <v>4.3824368256074331E-3</v>
      </c>
      <c r="CH294" s="14">
        <f t="shared" si="714"/>
        <v>0</v>
      </c>
      <c r="CI294" s="14">
        <f t="shared" si="714"/>
        <v>0</v>
      </c>
      <c r="CJ294" s="14"/>
      <c r="CK294" s="120" t="str">
        <f t="shared" si="711"/>
        <v>as Plant in Service (58)</v>
      </c>
      <c r="CL294" s="76">
        <f t="shared" si="639"/>
        <v>0</v>
      </c>
      <c r="CM294" s="2">
        <f t="shared" si="712"/>
        <v>0</v>
      </c>
      <c r="CN294" s="2">
        <f t="shared" si="712"/>
        <v>0</v>
      </c>
      <c r="CO294" s="2">
        <f t="shared" si="712"/>
        <v>0</v>
      </c>
      <c r="CP294" s="2">
        <f t="shared" si="712"/>
        <v>0</v>
      </c>
      <c r="CQ294" s="2">
        <f t="shared" si="712"/>
        <v>0</v>
      </c>
      <c r="CR294" s="2">
        <f t="shared" si="712"/>
        <v>0</v>
      </c>
    </row>
    <row r="295" spans="1:96">
      <c r="A295" s="50">
        <f t="shared" si="616"/>
        <v>295</v>
      </c>
      <c r="C295" s="36" t="s">
        <v>157</v>
      </c>
      <c r="D295" s="28" t="s">
        <v>355</v>
      </c>
      <c r="E295" s="23">
        <v>0</v>
      </c>
      <c r="F295" s="60" t="s">
        <v>451</v>
      </c>
      <c r="G295" s="60"/>
      <c r="H295" s="2">
        <f t="shared" si="697"/>
        <v>0</v>
      </c>
      <c r="I295" s="21">
        <f t="shared" si="698"/>
        <v>0</v>
      </c>
      <c r="J295" s="2">
        <f t="shared" si="698"/>
        <v>0</v>
      </c>
      <c r="K295" s="2">
        <f t="shared" si="698"/>
        <v>0</v>
      </c>
      <c r="L295" s="2">
        <f t="shared" si="698"/>
        <v>0</v>
      </c>
      <c r="M295" s="2">
        <f t="shared" si="698"/>
        <v>0</v>
      </c>
      <c r="N295" s="2">
        <f t="shared" si="698"/>
        <v>0</v>
      </c>
      <c r="O295" s="2"/>
      <c r="P295" s="61" t="str">
        <f>E$1&amp;$A295&amp;"*     """</f>
        <v>E295*     "</v>
      </c>
      <c r="Q295" s="61"/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1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76">
        <f t="shared" si="688"/>
        <v>0</v>
      </c>
      <c r="AK295" s="2">
        <f t="shared" si="700"/>
        <v>0</v>
      </c>
      <c r="AL295" s="2">
        <f t="shared" si="701"/>
        <v>0</v>
      </c>
      <c r="AM295" s="2">
        <f t="shared" si="701"/>
        <v>0</v>
      </c>
      <c r="AN295" s="2">
        <f t="shared" si="701"/>
        <v>0</v>
      </c>
      <c r="AO295" s="2">
        <f t="shared" si="701"/>
        <v>0</v>
      </c>
      <c r="AP295" s="2"/>
      <c r="AQ295" s="61" t="str">
        <f>E$1&amp;$A295&amp;"*      """</f>
        <v>E295*      "</v>
      </c>
      <c r="AS295" s="2">
        <f t="shared" si="702"/>
        <v>0</v>
      </c>
      <c r="AT295" s="2">
        <f t="shared" si="703"/>
        <v>0</v>
      </c>
      <c r="AU295" s="2">
        <f t="shared" si="703"/>
        <v>0</v>
      </c>
      <c r="AV295" s="2">
        <f t="shared" si="703"/>
        <v>0</v>
      </c>
      <c r="AW295" s="2">
        <f t="shared" si="703"/>
        <v>0</v>
      </c>
      <c r="AX295" s="2">
        <f t="shared" si="703"/>
        <v>0</v>
      </c>
      <c r="AY295" s="2">
        <f t="shared" si="703"/>
        <v>0</v>
      </c>
      <c r="BA295" s="2">
        <f t="shared" si="704"/>
        <v>0</v>
      </c>
      <c r="BB295" s="2">
        <f t="shared" si="705"/>
        <v>0</v>
      </c>
      <c r="BC295" s="2">
        <f t="shared" si="705"/>
        <v>0</v>
      </c>
      <c r="BD295" s="2">
        <f t="shared" si="705"/>
        <v>0</v>
      </c>
      <c r="BE295" s="2">
        <f t="shared" si="705"/>
        <v>0</v>
      </c>
      <c r="BF295" s="2">
        <f t="shared" si="705"/>
        <v>0</v>
      </c>
      <c r="BG295" s="2">
        <f t="shared" si="705"/>
        <v>0</v>
      </c>
      <c r="BI295" s="2">
        <f t="shared" si="706"/>
        <v>0</v>
      </c>
      <c r="BJ295" s="2">
        <f t="shared" si="707"/>
        <v>0</v>
      </c>
      <c r="BK295" s="2">
        <f t="shared" si="707"/>
        <v>0</v>
      </c>
      <c r="BL295" s="2">
        <f t="shared" si="707"/>
        <v>0</v>
      </c>
      <c r="BM295" s="2">
        <f t="shared" si="707"/>
        <v>0</v>
      </c>
      <c r="BN295" s="2">
        <f t="shared" si="707"/>
        <v>0</v>
      </c>
      <c r="BO295" s="2">
        <f t="shared" si="707"/>
        <v>0</v>
      </c>
      <c r="BQ295" s="28" t="s">
        <v>355</v>
      </c>
      <c r="BR295" s="23">
        <v>0</v>
      </c>
      <c r="BS295" s="14">
        <f t="shared" ref="BS295:BU296" si="715">R295</f>
        <v>0</v>
      </c>
      <c r="BT295" s="14">
        <f t="shared" si="715"/>
        <v>0</v>
      </c>
      <c r="BU295" s="14">
        <f t="shared" si="715"/>
        <v>0</v>
      </c>
      <c r="BV295" s="14">
        <f t="shared" ref="BV295:CB296" si="716">U295</f>
        <v>0</v>
      </c>
      <c r="BW295" s="14">
        <f t="shared" si="716"/>
        <v>0</v>
      </c>
      <c r="BX295" s="14">
        <f t="shared" si="716"/>
        <v>0</v>
      </c>
      <c r="BY295" s="14">
        <f t="shared" si="716"/>
        <v>0</v>
      </c>
      <c r="BZ295" s="14">
        <f t="shared" si="716"/>
        <v>0</v>
      </c>
      <c r="CA295" s="14">
        <f t="shared" si="716"/>
        <v>0</v>
      </c>
      <c r="CB295" s="14">
        <f t="shared" si="716"/>
        <v>0</v>
      </c>
      <c r="CC295" s="14">
        <f t="shared" ref="CC295:CF296" si="717">AB295</f>
        <v>1</v>
      </c>
      <c r="CD295" s="14">
        <f t="shared" si="717"/>
        <v>0</v>
      </c>
      <c r="CE295" s="14">
        <f t="shared" si="717"/>
        <v>0</v>
      </c>
      <c r="CF295" s="14">
        <f t="shared" si="717"/>
        <v>0</v>
      </c>
      <c r="CG295" s="14">
        <f t="shared" ref="CG295:CI296" si="718">AF295</f>
        <v>0</v>
      </c>
      <c r="CH295" s="14">
        <f t="shared" si="718"/>
        <v>0</v>
      </c>
      <c r="CI295" s="14">
        <f t="shared" si="718"/>
        <v>0</v>
      </c>
      <c r="CJ295" s="14"/>
      <c r="CK295" s="120" t="str">
        <f t="shared" si="711"/>
        <v>Input - 100% Cust</v>
      </c>
      <c r="CL295" s="76">
        <f t="shared" si="639"/>
        <v>0</v>
      </c>
      <c r="CM295" s="2">
        <f t="shared" si="712"/>
        <v>0</v>
      </c>
      <c r="CN295" s="2">
        <f t="shared" si="712"/>
        <v>0</v>
      </c>
      <c r="CO295" s="2">
        <f t="shared" si="712"/>
        <v>0</v>
      </c>
      <c r="CP295" s="2">
        <f t="shared" si="712"/>
        <v>0</v>
      </c>
      <c r="CQ295" s="2">
        <f t="shared" si="712"/>
        <v>0</v>
      </c>
      <c r="CR295" s="2">
        <f t="shared" si="712"/>
        <v>0</v>
      </c>
    </row>
    <row r="296" spans="1:96">
      <c r="A296" s="50">
        <f t="shared" si="616"/>
        <v>296</v>
      </c>
      <c r="C296" s="36" t="s">
        <v>156</v>
      </c>
      <c r="D296" s="28" t="s">
        <v>351</v>
      </c>
      <c r="E296" s="23">
        <v>0</v>
      </c>
      <c r="F296" s="60" t="s">
        <v>452</v>
      </c>
      <c r="G296" s="60"/>
      <c r="H296" s="2">
        <f t="shared" si="697"/>
        <v>0</v>
      </c>
      <c r="I296" s="21">
        <f t="shared" si="698"/>
        <v>0</v>
      </c>
      <c r="J296" s="2">
        <f t="shared" si="698"/>
        <v>0</v>
      </c>
      <c r="K296" s="2">
        <f t="shared" si="698"/>
        <v>0</v>
      </c>
      <c r="L296" s="2">
        <f t="shared" si="698"/>
        <v>0</v>
      </c>
      <c r="M296" s="2">
        <f t="shared" si="698"/>
        <v>0</v>
      </c>
      <c r="N296" s="2">
        <f t="shared" si="698"/>
        <v>0</v>
      </c>
      <c r="O296" s="2"/>
      <c r="P296" s="61" t="str">
        <f>E$1&amp;$A296&amp;"*     """</f>
        <v>E296*     "</v>
      </c>
      <c r="Q296" s="61"/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1</v>
      </c>
      <c r="AI296" s="76">
        <f t="shared" si="688"/>
        <v>0</v>
      </c>
      <c r="AK296" s="2">
        <f t="shared" si="700"/>
        <v>0</v>
      </c>
      <c r="AL296" s="2">
        <f t="shared" si="701"/>
        <v>0</v>
      </c>
      <c r="AM296" s="2">
        <f t="shared" si="701"/>
        <v>0</v>
      </c>
      <c r="AN296" s="2">
        <f t="shared" si="701"/>
        <v>0</v>
      </c>
      <c r="AO296" s="2">
        <f t="shared" si="701"/>
        <v>0</v>
      </c>
      <c r="AP296" s="2"/>
      <c r="AQ296" s="61" t="str">
        <f>E$1&amp;$A296&amp;"*      """</f>
        <v>E296*      "</v>
      </c>
      <c r="AS296" s="2">
        <f t="shared" si="702"/>
        <v>0</v>
      </c>
      <c r="AT296" s="2">
        <f t="shared" si="703"/>
        <v>0</v>
      </c>
      <c r="AU296" s="2">
        <f t="shared" si="703"/>
        <v>0</v>
      </c>
      <c r="AV296" s="2">
        <f t="shared" si="703"/>
        <v>0</v>
      </c>
      <c r="AW296" s="2">
        <f t="shared" si="703"/>
        <v>0</v>
      </c>
      <c r="AX296" s="2">
        <f t="shared" si="703"/>
        <v>0</v>
      </c>
      <c r="AY296" s="2">
        <f t="shared" si="703"/>
        <v>0</v>
      </c>
      <c r="BA296" s="2">
        <f t="shared" si="704"/>
        <v>0</v>
      </c>
      <c r="BB296" s="2">
        <f t="shared" si="705"/>
        <v>0</v>
      </c>
      <c r="BC296" s="2">
        <f t="shared" si="705"/>
        <v>0</v>
      </c>
      <c r="BD296" s="2">
        <f t="shared" si="705"/>
        <v>0</v>
      </c>
      <c r="BE296" s="2">
        <f t="shared" si="705"/>
        <v>0</v>
      </c>
      <c r="BF296" s="2">
        <f t="shared" si="705"/>
        <v>0</v>
      </c>
      <c r="BG296" s="2">
        <f t="shared" si="705"/>
        <v>0</v>
      </c>
      <c r="BI296" s="2">
        <f t="shared" si="706"/>
        <v>0</v>
      </c>
      <c r="BJ296" s="2">
        <f t="shared" si="707"/>
        <v>0</v>
      </c>
      <c r="BK296" s="2">
        <f t="shared" si="707"/>
        <v>0</v>
      </c>
      <c r="BL296" s="2">
        <f t="shared" si="707"/>
        <v>0</v>
      </c>
      <c r="BM296" s="2">
        <f t="shared" si="707"/>
        <v>0</v>
      </c>
      <c r="BN296" s="2">
        <f t="shared" si="707"/>
        <v>0</v>
      </c>
      <c r="BO296" s="2">
        <f t="shared" si="707"/>
        <v>0</v>
      </c>
      <c r="BQ296" s="28" t="s">
        <v>351</v>
      </c>
      <c r="BR296" s="23">
        <v>0</v>
      </c>
      <c r="BS296" s="14">
        <f t="shared" si="715"/>
        <v>0</v>
      </c>
      <c r="BT296" s="14">
        <f t="shared" si="715"/>
        <v>0</v>
      </c>
      <c r="BU296" s="14">
        <f t="shared" si="715"/>
        <v>0</v>
      </c>
      <c r="BV296" s="14">
        <f t="shared" si="716"/>
        <v>0</v>
      </c>
      <c r="BW296" s="14">
        <f t="shared" si="716"/>
        <v>0</v>
      </c>
      <c r="BX296" s="14">
        <f t="shared" si="716"/>
        <v>0</v>
      </c>
      <c r="BY296" s="14">
        <f t="shared" si="716"/>
        <v>0</v>
      </c>
      <c r="BZ296" s="14">
        <f t="shared" si="716"/>
        <v>0</v>
      </c>
      <c r="CA296" s="14">
        <f t="shared" si="716"/>
        <v>0</v>
      </c>
      <c r="CB296" s="14">
        <f t="shared" si="716"/>
        <v>0</v>
      </c>
      <c r="CC296" s="14">
        <f t="shared" si="717"/>
        <v>0</v>
      </c>
      <c r="CD296" s="14">
        <f t="shared" si="717"/>
        <v>0</v>
      </c>
      <c r="CE296" s="14">
        <f t="shared" si="717"/>
        <v>0</v>
      </c>
      <c r="CF296" s="14">
        <f t="shared" si="717"/>
        <v>0</v>
      </c>
      <c r="CG296" s="14">
        <f t="shared" si="718"/>
        <v>0</v>
      </c>
      <c r="CH296" s="14">
        <f t="shared" si="718"/>
        <v>0</v>
      </c>
      <c r="CI296" s="14">
        <f t="shared" si="718"/>
        <v>1</v>
      </c>
      <c r="CJ296" s="14"/>
      <c r="CK296" s="120" t="str">
        <f t="shared" si="711"/>
        <v>Input - 100% Rev</v>
      </c>
      <c r="CL296" s="76">
        <f t="shared" si="639"/>
        <v>0</v>
      </c>
      <c r="CM296" s="2">
        <f t="shared" si="712"/>
        <v>0</v>
      </c>
      <c r="CN296" s="2">
        <f t="shared" si="712"/>
        <v>0</v>
      </c>
      <c r="CO296" s="2">
        <f t="shared" si="712"/>
        <v>0</v>
      </c>
      <c r="CP296" s="2">
        <f t="shared" si="712"/>
        <v>0</v>
      </c>
      <c r="CQ296" s="2">
        <f t="shared" si="712"/>
        <v>0</v>
      </c>
      <c r="CR296" s="2">
        <f t="shared" si="712"/>
        <v>0</v>
      </c>
    </row>
    <row r="297" spans="1:96">
      <c r="A297" s="50">
        <f t="shared" si="616"/>
        <v>297</v>
      </c>
      <c r="C297" s="36" t="s">
        <v>152</v>
      </c>
      <c r="D297" s="28" t="s">
        <v>356</v>
      </c>
      <c r="E297" s="23">
        <v>0</v>
      </c>
      <c r="F297" s="60" t="str">
        <f>"as Labor O&amp;M Exp. ("&amp;BS$1&amp;A$342&amp;")"</f>
        <v>as Labor O&amp;M Exp. (BS342)</v>
      </c>
      <c r="G297" s="60"/>
      <c r="H297" s="2">
        <f t="shared" si="697"/>
        <v>0</v>
      </c>
      <c r="I297" s="21">
        <f t="shared" ref="I297:N297" si="719">$E297*CM$342/$BR$342</f>
        <v>0</v>
      </c>
      <c r="J297" s="21">
        <f t="shared" si="719"/>
        <v>0</v>
      </c>
      <c r="K297" s="21">
        <f t="shared" si="719"/>
        <v>0</v>
      </c>
      <c r="L297" s="21">
        <f t="shared" si="719"/>
        <v>0</v>
      </c>
      <c r="M297" s="21">
        <f t="shared" si="719"/>
        <v>0</v>
      </c>
      <c r="N297" s="21">
        <f t="shared" si="719"/>
        <v>0</v>
      </c>
      <c r="O297" s="2"/>
      <c r="P297" s="61" t="str">
        <f>E$1&amp;$A297&amp;"* "&amp;CM$1&amp;A$342&amp;" / "&amp;BR$1&amp;A$342</f>
        <v>E297* CM342 / BR342</v>
      </c>
      <c r="Q297" s="61"/>
      <c r="R297" s="14">
        <f>BS$342</f>
        <v>9.4011197840194252E-2</v>
      </c>
      <c r="S297" s="14">
        <f>BT$342</f>
        <v>2.771484723001123E-2</v>
      </c>
      <c r="T297" s="14">
        <f t="shared" ref="T297:AH297" si="720">BU$342</f>
        <v>2.025083303615954E-3</v>
      </c>
      <c r="U297" s="14">
        <f t="shared" si="720"/>
        <v>1.3552480570352927E-2</v>
      </c>
      <c r="V297" s="14">
        <f t="shared" si="720"/>
        <v>0</v>
      </c>
      <c r="W297" s="14">
        <f t="shared" si="720"/>
        <v>0.1576905706846389</v>
      </c>
      <c r="X297" s="14">
        <f t="shared" si="720"/>
        <v>0</v>
      </c>
      <c r="Y297" s="14">
        <f t="shared" si="720"/>
        <v>0</v>
      </c>
      <c r="Z297" s="14">
        <f t="shared" si="720"/>
        <v>0</v>
      </c>
      <c r="AA297" s="14">
        <f t="shared" si="720"/>
        <v>0</v>
      </c>
      <c r="AB297" s="14">
        <f t="shared" si="720"/>
        <v>0.43643287397616143</v>
      </c>
      <c r="AC297" s="14">
        <f t="shared" si="720"/>
        <v>0.1792970882068218</v>
      </c>
      <c r="AD297" s="14">
        <f t="shared" si="720"/>
        <v>8.7076406980020227E-2</v>
      </c>
      <c r="AE297" s="14">
        <f t="shared" si="720"/>
        <v>0</v>
      </c>
      <c r="AF297" s="14">
        <f t="shared" si="720"/>
        <v>2.1994512081833085E-3</v>
      </c>
      <c r="AG297" s="14">
        <f t="shared" si="720"/>
        <v>0</v>
      </c>
      <c r="AH297" s="14">
        <f t="shared" si="720"/>
        <v>0</v>
      </c>
      <c r="AI297" s="76">
        <f t="shared" si="688"/>
        <v>0</v>
      </c>
      <c r="AK297" s="2">
        <f t="shared" si="700"/>
        <v>0</v>
      </c>
      <c r="AL297" s="2">
        <f t="shared" si="701"/>
        <v>0</v>
      </c>
      <c r="AM297" s="2">
        <f t="shared" si="701"/>
        <v>0</v>
      </c>
      <c r="AN297" s="2">
        <f t="shared" si="701"/>
        <v>0</v>
      </c>
      <c r="AO297" s="2">
        <f t="shared" si="701"/>
        <v>0</v>
      </c>
      <c r="AP297" s="2"/>
      <c r="AQ297" s="61" t="str">
        <f>E$1&amp;$A297&amp;"*      """</f>
        <v>E297*      "</v>
      </c>
      <c r="AS297" s="2">
        <f t="shared" si="702"/>
        <v>0</v>
      </c>
      <c r="AT297" s="2">
        <f t="shared" si="703"/>
        <v>0</v>
      </c>
      <c r="AU297" s="2">
        <f t="shared" si="703"/>
        <v>0</v>
      </c>
      <c r="AV297" s="2">
        <f t="shared" si="703"/>
        <v>0</v>
      </c>
      <c r="AW297" s="2">
        <f t="shared" si="703"/>
        <v>0</v>
      </c>
      <c r="AX297" s="2">
        <f t="shared" si="703"/>
        <v>0</v>
      </c>
      <c r="AY297" s="2">
        <f t="shared" si="703"/>
        <v>0</v>
      </c>
      <c r="BA297" s="2">
        <f t="shared" si="704"/>
        <v>0</v>
      </c>
      <c r="BB297" s="2">
        <f t="shared" si="705"/>
        <v>0</v>
      </c>
      <c r="BC297" s="2">
        <f t="shared" si="705"/>
        <v>0</v>
      </c>
      <c r="BD297" s="2">
        <f t="shared" si="705"/>
        <v>0</v>
      </c>
      <c r="BE297" s="2">
        <f t="shared" si="705"/>
        <v>0</v>
      </c>
      <c r="BF297" s="2">
        <f t="shared" si="705"/>
        <v>0</v>
      </c>
      <c r="BG297" s="2">
        <f t="shared" si="705"/>
        <v>0</v>
      </c>
      <c r="BI297" s="2">
        <f t="shared" si="706"/>
        <v>0</v>
      </c>
      <c r="BJ297" s="2">
        <f t="shared" si="707"/>
        <v>0</v>
      </c>
      <c r="BK297" s="2">
        <f t="shared" si="707"/>
        <v>0</v>
      </c>
      <c r="BL297" s="2">
        <f t="shared" si="707"/>
        <v>0</v>
      </c>
      <c r="BM297" s="2">
        <f t="shared" si="707"/>
        <v>0</v>
      </c>
      <c r="BN297" s="2">
        <f t="shared" si="707"/>
        <v>0</v>
      </c>
      <c r="BO297" s="2">
        <f t="shared" si="707"/>
        <v>0</v>
      </c>
      <c r="BQ297" s="28" t="s">
        <v>356</v>
      </c>
      <c r="BR297" s="23">
        <v>0</v>
      </c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120" t="str">
        <f t="shared" si="711"/>
        <v>as Labor O&amp;M Exp. (BS342)</v>
      </c>
      <c r="CL297" s="76">
        <f t="shared" si="639"/>
        <v>0</v>
      </c>
      <c r="CM297" s="2"/>
      <c r="CN297" s="2"/>
      <c r="CO297" s="2"/>
      <c r="CP297" s="2"/>
      <c r="CQ297" s="2"/>
      <c r="CR297" s="2"/>
    </row>
    <row r="298" spans="1:96">
      <c r="A298" s="50">
        <f t="shared" si="616"/>
        <v>298</v>
      </c>
      <c r="B298" t="s">
        <v>53</v>
      </c>
      <c r="D298" t="s">
        <v>54</v>
      </c>
      <c r="E298" s="2"/>
      <c r="F298" s="60"/>
      <c r="G298" s="60"/>
      <c r="I298" s="49"/>
      <c r="P298" s="61"/>
      <c r="Q298" s="61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76">
        <f t="shared" si="688"/>
        <v>0</v>
      </c>
      <c r="AQ298" s="61"/>
      <c r="BQ298" t="s">
        <v>54</v>
      </c>
      <c r="BR298" s="49"/>
      <c r="CK298" s="120"/>
      <c r="CL298" s="76">
        <f t="shared" si="639"/>
        <v>0</v>
      </c>
      <c r="CM298" s="49"/>
    </row>
    <row r="299" spans="1:96">
      <c r="A299" s="50">
        <f t="shared" si="616"/>
        <v>299</v>
      </c>
      <c r="C299" s="36" t="s">
        <v>152</v>
      </c>
      <c r="D299" s="56" t="s">
        <v>148</v>
      </c>
      <c r="E299" s="23">
        <v>0</v>
      </c>
      <c r="F299" s="61" t="s">
        <v>1159</v>
      </c>
      <c r="G299" s="60"/>
      <c r="H299" s="2">
        <f t="shared" ref="H299:H304" si="721">SUM(I299:N299)</f>
        <v>0</v>
      </c>
      <c r="I299" s="21">
        <f t="shared" ref="I299:N303" si="722">$E299*SUMPRODUCT($R299:$AH299,INDEX(AllocFactors,I$4,0))</f>
        <v>0</v>
      </c>
      <c r="J299" s="2">
        <f t="shared" si="722"/>
        <v>0</v>
      </c>
      <c r="K299" s="2">
        <f t="shared" si="722"/>
        <v>0</v>
      </c>
      <c r="L299" s="2">
        <f t="shared" si="722"/>
        <v>0</v>
      </c>
      <c r="M299" s="2">
        <f t="shared" si="722"/>
        <v>0</v>
      </c>
      <c r="N299" s="2">
        <f t="shared" si="722"/>
        <v>0</v>
      </c>
      <c r="O299" s="2"/>
      <c r="P299" s="61" t="s">
        <v>1160</v>
      </c>
      <c r="Q299" s="61"/>
      <c r="R299" s="14">
        <f>R$257</f>
        <v>8.8133437743971782E-2</v>
      </c>
      <c r="S299" s="14">
        <f t="shared" ref="S299:AH299" si="723">S$257</f>
        <v>1.48122630432825E-2</v>
      </c>
      <c r="T299" s="14">
        <f t="shared" si="723"/>
        <v>6.2152272453224224E-3</v>
      </c>
      <c r="U299" s="14">
        <f t="shared" si="723"/>
        <v>4.15942131033116E-2</v>
      </c>
      <c r="V299" s="14">
        <f t="shared" si="723"/>
        <v>0</v>
      </c>
      <c r="W299" s="14">
        <f t="shared" si="723"/>
        <v>0.15413680450310352</v>
      </c>
      <c r="X299" s="14">
        <f t="shared" si="723"/>
        <v>0</v>
      </c>
      <c r="Y299" s="14">
        <f t="shared" si="723"/>
        <v>0</v>
      </c>
      <c r="Z299" s="14">
        <f t="shared" si="723"/>
        <v>0</v>
      </c>
      <c r="AA299" s="14">
        <f t="shared" si="723"/>
        <v>0</v>
      </c>
      <c r="AB299" s="14">
        <f t="shared" si="723"/>
        <v>0.45505508837908676</v>
      </c>
      <c r="AC299" s="14">
        <f t="shared" si="723"/>
        <v>0.16681683403029823</v>
      </c>
      <c r="AD299" s="14">
        <f t="shared" si="723"/>
        <v>7.1278348815059178E-2</v>
      </c>
      <c r="AE299" s="14">
        <f t="shared" si="723"/>
        <v>0</v>
      </c>
      <c r="AF299" s="14">
        <f t="shared" si="723"/>
        <v>1.9577831365640468E-3</v>
      </c>
      <c r="AG299" s="14">
        <f t="shared" si="723"/>
        <v>0</v>
      </c>
      <c r="AH299" s="14">
        <f t="shared" si="723"/>
        <v>0</v>
      </c>
      <c r="AI299" s="76">
        <f t="shared" si="688"/>
        <v>0</v>
      </c>
      <c r="AK299" s="2">
        <f t="shared" ref="AK299:AK304" si="724">SUM(AL299:AO299)</f>
        <v>0</v>
      </c>
      <c r="AL299" s="2">
        <f t="shared" ref="AL299:AO304" si="725">SUMIF($R$4:$AH$4,AL$5,$R299:$AH299)*$E299</f>
        <v>0</v>
      </c>
      <c r="AM299" s="2">
        <f t="shared" si="725"/>
        <v>0</v>
      </c>
      <c r="AN299" s="2">
        <f t="shared" si="725"/>
        <v>0</v>
      </c>
      <c r="AO299" s="2">
        <f t="shared" si="725"/>
        <v>0</v>
      </c>
      <c r="AP299" s="2"/>
      <c r="AQ299" s="61" t="str">
        <f>E$1&amp;$A299&amp;"*["&amp;R$1&amp;$A299&amp;":"&amp;$AH$1&amp;$A299&amp;" when "&amp;R$1&amp;$A$4&amp;":"&amp;$AH$1&amp;$A$4&amp;" = E,D,C,or R]"</f>
        <v>E299*[R299:AH299 when R4:AH4 = E,D,C,or R]</v>
      </c>
      <c r="AS299" s="2">
        <f t="shared" ref="AS299:AS304" si="726">SUM(AT299:AY299)</f>
        <v>0</v>
      </c>
      <c r="AT299" s="2">
        <f t="shared" ref="AT299:AY304" si="727">$E299*SUMPRODUCT($R299:$V299,INDEX(AllocFactors_E,AT$4,0))</f>
        <v>0</v>
      </c>
      <c r="AU299" s="2">
        <f t="shared" si="727"/>
        <v>0</v>
      </c>
      <c r="AV299" s="2">
        <f t="shared" si="727"/>
        <v>0</v>
      </c>
      <c r="AW299" s="2">
        <f t="shared" si="727"/>
        <v>0</v>
      </c>
      <c r="AX299" s="2">
        <f t="shared" si="727"/>
        <v>0</v>
      </c>
      <c r="AY299" s="2">
        <f t="shared" si="727"/>
        <v>0</v>
      </c>
      <c r="BA299" s="2">
        <f t="shared" ref="BA299:BA304" si="728">SUM(BB299:BG299)</f>
        <v>0</v>
      </c>
      <c r="BB299" s="2">
        <f t="shared" ref="BB299:BG304" si="729">$E299*SUMPRODUCT($W299:$AA299,INDEX(AllocFactors_D,BB$4,0))</f>
        <v>0</v>
      </c>
      <c r="BC299" s="2">
        <f t="shared" si="729"/>
        <v>0</v>
      </c>
      <c r="BD299" s="2">
        <f t="shared" si="729"/>
        <v>0</v>
      </c>
      <c r="BE299" s="2">
        <f t="shared" si="729"/>
        <v>0</v>
      </c>
      <c r="BF299" s="2">
        <f t="shared" si="729"/>
        <v>0</v>
      </c>
      <c r="BG299" s="2">
        <f t="shared" si="729"/>
        <v>0</v>
      </c>
      <c r="BI299" s="2">
        <f t="shared" ref="BI299:BI304" si="730">SUM(BJ299:BO299)</f>
        <v>0</v>
      </c>
      <c r="BJ299" s="2">
        <f t="shared" ref="BJ299:BO304" si="731">$E299*SUMPRODUCT($AB299:$AG299,INDEX(AllocFactors_C,BJ$4,0))</f>
        <v>0</v>
      </c>
      <c r="BK299" s="2">
        <f t="shared" si="731"/>
        <v>0</v>
      </c>
      <c r="BL299" s="2">
        <f t="shared" si="731"/>
        <v>0</v>
      </c>
      <c r="BM299" s="2">
        <f t="shared" si="731"/>
        <v>0</v>
      </c>
      <c r="BN299" s="2">
        <f t="shared" si="731"/>
        <v>0</v>
      </c>
      <c r="BO299" s="2">
        <f t="shared" si="731"/>
        <v>0</v>
      </c>
      <c r="BQ299" s="28" t="s">
        <v>352</v>
      </c>
      <c r="BR299" s="23">
        <v>0</v>
      </c>
      <c r="BS299" s="14">
        <f t="shared" ref="BS299:BU300" si="732">R299</f>
        <v>8.8133437743971782E-2</v>
      </c>
      <c r="BT299" s="14">
        <f t="shared" si="732"/>
        <v>1.48122630432825E-2</v>
      </c>
      <c r="BU299" s="14">
        <f t="shared" si="732"/>
        <v>6.2152272453224224E-3</v>
      </c>
      <c r="BV299" s="14">
        <f t="shared" ref="BV299:CB300" si="733">U299</f>
        <v>4.15942131033116E-2</v>
      </c>
      <c r="BW299" s="14">
        <f t="shared" si="733"/>
        <v>0</v>
      </c>
      <c r="BX299" s="14">
        <f t="shared" si="733"/>
        <v>0.15413680450310352</v>
      </c>
      <c r="BY299" s="14">
        <f t="shared" si="733"/>
        <v>0</v>
      </c>
      <c r="BZ299" s="14">
        <f t="shared" si="733"/>
        <v>0</v>
      </c>
      <c r="CA299" s="14">
        <f t="shared" si="733"/>
        <v>0</v>
      </c>
      <c r="CB299" s="14">
        <f t="shared" si="733"/>
        <v>0</v>
      </c>
      <c r="CC299" s="14">
        <f t="shared" ref="CC299:CI300" si="734">AB299</f>
        <v>0.45505508837908676</v>
      </c>
      <c r="CD299" s="14">
        <f t="shared" si="734"/>
        <v>0.16681683403029823</v>
      </c>
      <c r="CE299" s="14">
        <f t="shared" si="734"/>
        <v>7.1278348815059178E-2</v>
      </c>
      <c r="CF299" s="14">
        <f t="shared" si="734"/>
        <v>0</v>
      </c>
      <c r="CG299" s="14">
        <f t="shared" si="734"/>
        <v>1.9577831365640468E-3</v>
      </c>
      <c r="CH299" s="14">
        <f t="shared" si="734"/>
        <v>0</v>
      </c>
      <c r="CI299" s="14">
        <f t="shared" si="734"/>
        <v>0</v>
      </c>
      <c r="CJ299" s="14"/>
      <c r="CK299" s="120" t="str">
        <f t="shared" ref="CK299:CK304" si="735">F299</f>
        <v>4-Factor</v>
      </c>
      <c r="CL299" s="76">
        <f t="shared" si="639"/>
        <v>0</v>
      </c>
      <c r="CM299" s="2">
        <f t="shared" ref="CM299:CR303" si="736">$BR299*SUMPRODUCT($BS299:$CI299,INDEX(AllocFactors,CM$170,0))</f>
        <v>0</v>
      </c>
      <c r="CN299" s="2">
        <f t="shared" si="736"/>
        <v>0</v>
      </c>
      <c r="CO299" s="2">
        <f t="shared" si="736"/>
        <v>0</v>
      </c>
      <c r="CP299" s="2">
        <f t="shared" si="736"/>
        <v>0</v>
      </c>
      <c r="CQ299" s="2">
        <f t="shared" si="736"/>
        <v>0</v>
      </c>
      <c r="CR299" s="2">
        <f t="shared" si="736"/>
        <v>0</v>
      </c>
    </row>
    <row r="300" spans="1:96">
      <c r="A300" s="50">
        <f t="shared" si="616"/>
        <v>300</v>
      </c>
      <c r="C300" s="36" t="s">
        <v>152</v>
      </c>
      <c r="D300" s="56" t="s">
        <v>353</v>
      </c>
      <c r="E300" s="23">
        <v>0</v>
      </c>
      <c r="F300" s="524" t="s">
        <v>445</v>
      </c>
      <c r="G300" s="60"/>
      <c r="H300" s="2">
        <f t="shared" si="721"/>
        <v>0</v>
      </c>
      <c r="I300" s="21">
        <f t="shared" si="722"/>
        <v>0</v>
      </c>
      <c r="J300" s="2">
        <f t="shared" si="722"/>
        <v>0</v>
      </c>
      <c r="K300" s="2">
        <f t="shared" si="722"/>
        <v>0</v>
      </c>
      <c r="L300" s="2">
        <f t="shared" si="722"/>
        <v>0</v>
      </c>
      <c r="M300" s="2">
        <f t="shared" si="722"/>
        <v>0</v>
      </c>
      <c r="N300" s="2">
        <f t="shared" si="722"/>
        <v>0</v>
      </c>
      <c r="O300" s="2"/>
      <c r="P300" s="61" t="str">
        <f>E$1&amp;$A300&amp;"*     """</f>
        <v>E300*     "</v>
      </c>
      <c r="Q300" s="61"/>
      <c r="R300" s="523">
        <v>1</v>
      </c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76">
        <f t="shared" si="688"/>
        <v>0</v>
      </c>
      <c r="AK300" s="2">
        <f t="shared" si="724"/>
        <v>0</v>
      </c>
      <c r="AL300" s="2">
        <f t="shared" si="725"/>
        <v>0</v>
      </c>
      <c r="AM300" s="2">
        <f t="shared" si="725"/>
        <v>0</v>
      </c>
      <c r="AN300" s="2">
        <f t="shared" si="725"/>
        <v>0</v>
      </c>
      <c r="AO300" s="2">
        <f t="shared" si="725"/>
        <v>0</v>
      </c>
      <c r="AP300" s="2"/>
      <c r="AQ300" s="61" t="str">
        <f>E$1&amp;$A300&amp;"*      """</f>
        <v>E300*      "</v>
      </c>
      <c r="AS300" s="2">
        <f t="shared" si="726"/>
        <v>0</v>
      </c>
      <c r="AT300" s="2">
        <f t="shared" si="727"/>
        <v>0</v>
      </c>
      <c r="AU300" s="2">
        <f t="shared" si="727"/>
        <v>0</v>
      </c>
      <c r="AV300" s="2">
        <f t="shared" si="727"/>
        <v>0</v>
      </c>
      <c r="AW300" s="2">
        <f t="shared" si="727"/>
        <v>0</v>
      </c>
      <c r="AX300" s="2">
        <f t="shared" si="727"/>
        <v>0</v>
      </c>
      <c r="AY300" s="2">
        <f t="shared" si="727"/>
        <v>0</v>
      </c>
      <c r="BA300" s="2">
        <f t="shared" si="728"/>
        <v>0</v>
      </c>
      <c r="BB300" s="2">
        <f t="shared" si="729"/>
        <v>0</v>
      </c>
      <c r="BC300" s="2">
        <f t="shared" si="729"/>
        <v>0</v>
      </c>
      <c r="BD300" s="2">
        <f t="shared" si="729"/>
        <v>0</v>
      </c>
      <c r="BE300" s="2">
        <f t="shared" si="729"/>
        <v>0</v>
      </c>
      <c r="BF300" s="2">
        <f t="shared" si="729"/>
        <v>0</v>
      </c>
      <c r="BG300" s="2">
        <f t="shared" si="729"/>
        <v>0</v>
      </c>
      <c r="BI300" s="2">
        <f t="shared" si="730"/>
        <v>0</v>
      </c>
      <c r="BJ300" s="2">
        <f t="shared" si="731"/>
        <v>0</v>
      </c>
      <c r="BK300" s="2">
        <f t="shared" si="731"/>
        <v>0</v>
      </c>
      <c r="BL300" s="2">
        <f t="shared" si="731"/>
        <v>0</v>
      </c>
      <c r="BM300" s="2">
        <f t="shared" si="731"/>
        <v>0</v>
      </c>
      <c r="BN300" s="2">
        <f t="shared" si="731"/>
        <v>0</v>
      </c>
      <c r="BO300" s="2">
        <f t="shared" si="731"/>
        <v>0</v>
      </c>
      <c r="BQ300" s="28" t="s">
        <v>353</v>
      </c>
      <c r="BR300" s="23">
        <v>0</v>
      </c>
      <c r="BS300" s="14">
        <f t="shared" si="732"/>
        <v>1</v>
      </c>
      <c r="BT300" s="14">
        <f t="shared" si="732"/>
        <v>0</v>
      </c>
      <c r="BU300" s="14">
        <f t="shared" si="732"/>
        <v>0</v>
      </c>
      <c r="BV300" s="14">
        <f t="shared" si="733"/>
        <v>0</v>
      </c>
      <c r="BW300" s="14">
        <f t="shared" si="733"/>
        <v>0</v>
      </c>
      <c r="BX300" s="14">
        <f t="shared" si="733"/>
        <v>0</v>
      </c>
      <c r="BY300" s="14">
        <f t="shared" si="733"/>
        <v>0</v>
      </c>
      <c r="BZ300" s="14">
        <f t="shared" si="733"/>
        <v>0</v>
      </c>
      <c r="CA300" s="14">
        <f t="shared" si="733"/>
        <v>0</v>
      </c>
      <c r="CB300" s="14">
        <f t="shared" si="733"/>
        <v>0</v>
      </c>
      <c r="CC300" s="14">
        <f t="shared" si="734"/>
        <v>0</v>
      </c>
      <c r="CD300" s="14">
        <f t="shared" si="734"/>
        <v>0</v>
      </c>
      <c r="CE300" s="14">
        <f t="shared" si="734"/>
        <v>0</v>
      </c>
      <c r="CF300" s="14">
        <f t="shared" si="734"/>
        <v>0</v>
      </c>
      <c r="CG300" s="14">
        <f t="shared" si="734"/>
        <v>0</v>
      </c>
      <c r="CH300" s="14">
        <f t="shared" si="734"/>
        <v>0</v>
      </c>
      <c r="CI300" s="14">
        <f t="shared" si="734"/>
        <v>0</v>
      </c>
      <c r="CJ300" s="14"/>
      <c r="CK300" s="120" t="str">
        <f t="shared" si="735"/>
        <v>Input - 100% Throughput</v>
      </c>
      <c r="CL300" s="76">
        <f t="shared" si="639"/>
        <v>0</v>
      </c>
      <c r="CM300" s="2">
        <f t="shared" si="736"/>
        <v>0</v>
      </c>
      <c r="CN300" s="2">
        <f t="shared" si="736"/>
        <v>0</v>
      </c>
      <c r="CO300" s="2">
        <f t="shared" si="736"/>
        <v>0</v>
      </c>
      <c r="CP300" s="2">
        <f t="shared" si="736"/>
        <v>0</v>
      </c>
      <c r="CQ300" s="2">
        <f t="shared" si="736"/>
        <v>0</v>
      </c>
      <c r="CR300" s="2">
        <f t="shared" si="736"/>
        <v>0</v>
      </c>
    </row>
    <row r="301" spans="1:96">
      <c r="A301" s="50">
        <f t="shared" si="616"/>
        <v>301</v>
      </c>
      <c r="C301" s="36" t="s">
        <v>152</v>
      </c>
      <c r="D301" s="28" t="s">
        <v>354</v>
      </c>
      <c r="E301" s="23">
        <v>0</v>
      </c>
      <c r="F301" s="60" t="str">
        <f>"as Plant in Service ("&amp;A$58&amp;")"</f>
        <v>as Plant in Service (58)</v>
      </c>
      <c r="G301" s="60"/>
      <c r="H301" s="2">
        <f t="shared" si="721"/>
        <v>0</v>
      </c>
      <c r="I301" s="21">
        <f t="shared" si="722"/>
        <v>0</v>
      </c>
      <c r="J301" s="2">
        <f t="shared" si="722"/>
        <v>0</v>
      </c>
      <c r="K301" s="2">
        <f t="shared" si="722"/>
        <v>0</v>
      </c>
      <c r="L301" s="2">
        <f t="shared" si="722"/>
        <v>0</v>
      </c>
      <c r="M301" s="2">
        <f t="shared" si="722"/>
        <v>0</v>
      </c>
      <c r="N301" s="2">
        <f t="shared" si="722"/>
        <v>0</v>
      </c>
      <c r="O301" s="2"/>
      <c r="P301" s="61" t="str">
        <f>E$1&amp;$A301&amp;"*     """</f>
        <v>E301*     "</v>
      </c>
      <c r="Q301" s="61"/>
      <c r="R301" s="14">
        <f>R$58</f>
        <v>0.15278530527507739</v>
      </c>
      <c r="S301" s="14">
        <f t="shared" ref="S301:AH301" si="737">S$58</f>
        <v>3.164969422787912E-3</v>
      </c>
      <c r="T301" s="14">
        <f t="shared" si="737"/>
        <v>6.9829362297418388E-3</v>
      </c>
      <c r="U301" s="14">
        <f t="shared" si="737"/>
        <v>4.673195784519539E-2</v>
      </c>
      <c r="V301" s="14">
        <f t="shared" si="737"/>
        <v>0</v>
      </c>
      <c r="W301" s="14">
        <f t="shared" si="737"/>
        <v>0.27991526808724082</v>
      </c>
      <c r="X301" s="14">
        <f t="shared" si="737"/>
        <v>0</v>
      </c>
      <c r="Y301" s="14">
        <f t="shared" si="737"/>
        <v>0</v>
      </c>
      <c r="Z301" s="14">
        <f t="shared" si="737"/>
        <v>0</v>
      </c>
      <c r="AA301" s="14">
        <f t="shared" si="737"/>
        <v>0</v>
      </c>
      <c r="AB301" s="14">
        <f t="shared" si="737"/>
        <v>9.7232640022350991E-2</v>
      </c>
      <c r="AC301" s="14">
        <f t="shared" si="737"/>
        <v>0.29403559958561315</v>
      </c>
      <c r="AD301" s="14">
        <f t="shared" si="737"/>
        <v>0.1147688867063851</v>
      </c>
      <c r="AE301" s="14">
        <f t="shared" si="737"/>
        <v>0</v>
      </c>
      <c r="AF301" s="14">
        <f t="shared" si="737"/>
        <v>4.3824368256074331E-3</v>
      </c>
      <c r="AG301" s="14">
        <f t="shared" si="737"/>
        <v>0</v>
      </c>
      <c r="AH301" s="14">
        <f t="shared" si="737"/>
        <v>0</v>
      </c>
      <c r="AI301" s="76">
        <f t="shared" si="688"/>
        <v>0</v>
      </c>
      <c r="AK301" s="2">
        <f t="shared" si="724"/>
        <v>0</v>
      </c>
      <c r="AL301" s="2">
        <f t="shared" si="725"/>
        <v>0</v>
      </c>
      <c r="AM301" s="2">
        <f t="shared" si="725"/>
        <v>0</v>
      </c>
      <c r="AN301" s="2">
        <f t="shared" si="725"/>
        <v>0</v>
      </c>
      <c r="AO301" s="2">
        <f t="shared" si="725"/>
        <v>0</v>
      </c>
      <c r="AP301" s="2"/>
      <c r="AQ301" s="61" t="str">
        <f>E$1&amp;$A301&amp;"*      """</f>
        <v>E301*      "</v>
      </c>
      <c r="AS301" s="2">
        <f t="shared" si="726"/>
        <v>0</v>
      </c>
      <c r="AT301" s="2">
        <f t="shared" si="727"/>
        <v>0</v>
      </c>
      <c r="AU301" s="2">
        <f t="shared" si="727"/>
        <v>0</v>
      </c>
      <c r="AV301" s="2">
        <f t="shared" si="727"/>
        <v>0</v>
      </c>
      <c r="AW301" s="2">
        <f t="shared" si="727"/>
        <v>0</v>
      </c>
      <c r="AX301" s="2">
        <f t="shared" si="727"/>
        <v>0</v>
      </c>
      <c r="AY301" s="2">
        <f t="shared" si="727"/>
        <v>0</v>
      </c>
      <c r="BA301" s="2">
        <f t="shared" si="728"/>
        <v>0</v>
      </c>
      <c r="BB301" s="2">
        <f t="shared" si="729"/>
        <v>0</v>
      </c>
      <c r="BC301" s="2">
        <f t="shared" si="729"/>
        <v>0</v>
      </c>
      <c r="BD301" s="2">
        <f t="shared" si="729"/>
        <v>0</v>
      </c>
      <c r="BE301" s="2">
        <f t="shared" si="729"/>
        <v>0</v>
      </c>
      <c r="BF301" s="2">
        <f t="shared" si="729"/>
        <v>0</v>
      </c>
      <c r="BG301" s="2">
        <f t="shared" si="729"/>
        <v>0</v>
      </c>
      <c r="BI301" s="2">
        <f t="shared" si="730"/>
        <v>0</v>
      </c>
      <c r="BJ301" s="2">
        <f t="shared" si="731"/>
        <v>0</v>
      </c>
      <c r="BK301" s="2">
        <f t="shared" si="731"/>
        <v>0</v>
      </c>
      <c r="BL301" s="2">
        <f t="shared" si="731"/>
        <v>0</v>
      </c>
      <c r="BM301" s="2">
        <f t="shared" si="731"/>
        <v>0</v>
      </c>
      <c r="BN301" s="2">
        <f t="shared" si="731"/>
        <v>0</v>
      </c>
      <c r="BO301" s="2">
        <f t="shared" si="731"/>
        <v>0</v>
      </c>
      <c r="BQ301" s="28" t="s">
        <v>354</v>
      </c>
      <c r="BR301" s="23">
        <v>0</v>
      </c>
      <c r="BS301" s="14">
        <f>R$58</f>
        <v>0.15278530527507739</v>
      </c>
      <c r="BT301" s="14">
        <f>S$58</f>
        <v>3.164969422787912E-3</v>
      </c>
      <c r="BU301" s="14">
        <f>T$58</f>
        <v>6.9829362297418388E-3</v>
      </c>
      <c r="BV301" s="14">
        <f t="shared" ref="BV301:CI301" si="738">U$58</f>
        <v>4.673195784519539E-2</v>
      </c>
      <c r="BW301" s="14">
        <f t="shared" si="738"/>
        <v>0</v>
      </c>
      <c r="BX301" s="14">
        <f t="shared" si="738"/>
        <v>0.27991526808724082</v>
      </c>
      <c r="BY301" s="14">
        <f t="shared" si="738"/>
        <v>0</v>
      </c>
      <c r="BZ301" s="14">
        <f t="shared" si="738"/>
        <v>0</v>
      </c>
      <c r="CA301" s="14">
        <f t="shared" si="738"/>
        <v>0</v>
      </c>
      <c r="CB301" s="14">
        <f t="shared" si="738"/>
        <v>0</v>
      </c>
      <c r="CC301" s="14">
        <f t="shared" si="738"/>
        <v>9.7232640022350991E-2</v>
      </c>
      <c r="CD301" s="14">
        <f t="shared" si="738"/>
        <v>0.29403559958561315</v>
      </c>
      <c r="CE301" s="14">
        <f t="shared" si="738"/>
        <v>0.1147688867063851</v>
      </c>
      <c r="CF301" s="14">
        <f t="shared" si="738"/>
        <v>0</v>
      </c>
      <c r="CG301" s="14">
        <f t="shared" si="738"/>
        <v>4.3824368256074331E-3</v>
      </c>
      <c r="CH301" s="14">
        <f t="shared" si="738"/>
        <v>0</v>
      </c>
      <c r="CI301" s="14">
        <f t="shared" si="738"/>
        <v>0</v>
      </c>
      <c r="CJ301" s="14"/>
      <c r="CK301" s="120" t="str">
        <f t="shared" si="735"/>
        <v>as Plant in Service (58)</v>
      </c>
      <c r="CL301" s="76">
        <f t="shared" si="639"/>
        <v>0</v>
      </c>
      <c r="CM301" s="2">
        <f t="shared" si="736"/>
        <v>0</v>
      </c>
      <c r="CN301" s="2">
        <f t="shared" si="736"/>
        <v>0</v>
      </c>
      <c r="CO301" s="2">
        <f t="shared" si="736"/>
        <v>0</v>
      </c>
      <c r="CP301" s="2">
        <f t="shared" si="736"/>
        <v>0</v>
      </c>
      <c r="CQ301" s="2">
        <f t="shared" si="736"/>
        <v>0</v>
      </c>
      <c r="CR301" s="2">
        <f t="shared" si="736"/>
        <v>0</v>
      </c>
    </row>
    <row r="302" spans="1:96">
      <c r="A302" s="50">
        <f t="shared" si="616"/>
        <v>302</v>
      </c>
      <c r="C302" s="36" t="s">
        <v>157</v>
      </c>
      <c r="D302" s="28" t="s">
        <v>355</v>
      </c>
      <c r="E302" s="23">
        <v>0</v>
      </c>
      <c r="F302" s="60" t="s">
        <v>451</v>
      </c>
      <c r="G302" s="60"/>
      <c r="H302" s="2">
        <f t="shared" si="721"/>
        <v>0</v>
      </c>
      <c r="I302" s="21">
        <f t="shared" si="722"/>
        <v>0</v>
      </c>
      <c r="J302" s="2">
        <f t="shared" si="722"/>
        <v>0</v>
      </c>
      <c r="K302" s="2">
        <f t="shared" si="722"/>
        <v>0</v>
      </c>
      <c r="L302" s="2">
        <f t="shared" si="722"/>
        <v>0</v>
      </c>
      <c r="M302" s="2">
        <f t="shared" si="722"/>
        <v>0</v>
      </c>
      <c r="N302" s="2">
        <f t="shared" si="722"/>
        <v>0</v>
      </c>
      <c r="O302" s="2"/>
      <c r="P302" s="61" t="str">
        <f>E$1&amp;$A302&amp;"*     """</f>
        <v>E302*     "</v>
      </c>
      <c r="Q302" s="61"/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1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76">
        <f t="shared" si="688"/>
        <v>0</v>
      </c>
      <c r="AK302" s="2">
        <f t="shared" si="724"/>
        <v>0</v>
      </c>
      <c r="AL302" s="2">
        <f t="shared" si="725"/>
        <v>0</v>
      </c>
      <c r="AM302" s="2">
        <f t="shared" si="725"/>
        <v>0</v>
      </c>
      <c r="AN302" s="2">
        <f t="shared" si="725"/>
        <v>0</v>
      </c>
      <c r="AO302" s="2">
        <f t="shared" si="725"/>
        <v>0</v>
      </c>
      <c r="AP302" s="2"/>
      <c r="AQ302" s="61" t="str">
        <f>E$1&amp;$A302&amp;"*      """</f>
        <v>E302*      "</v>
      </c>
      <c r="AS302" s="2">
        <f t="shared" si="726"/>
        <v>0</v>
      </c>
      <c r="AT302" s="2">
        <f t="shared" si="727"/>
        <v>0</v>
      </c>
      <c r="AU302" s="2">
        <f t="shared" si="727"/>
        <v>0</v>
      </c>
      <c r="AV302" s="2">
        <f t="shared" si="727"/>
        <v>0</v>
      </c>
      <c r="AW302" s="2">
        <f t="shared" si="727"/>
        <v>0</v>
      </c>
      <c r="AX302" s="2">
        <f t="shared" si="727"/>
        <v>0</v>
      </c>
      <c r="AY302" s="2">
        <f t="shared" si="727"/>
        <v>0</v>
      </c>
      <c r="BA302" s="2">
        <f t="shared" si="728"/>
        <v>0</v>
      </c>
      <c r="BB302" s="2">
        <f t="shared" si="729"/>
        <v>0</v>
      </c>
      <c r="BC302" s="2">
        <f t="shared" si="729"/>
        <v>0</v>
      </c>
      <c r="BD302" s="2">
        <f t="shared" si="729"/>
        <v>0</v>
      </c>
      <c r="BE302" s="2">
        <f t="shared" si="729"/>
        <v>0</v>
      </c>
      <c r="BF302" s="2">
        <f t="shared" si="729"/>
        <v>0</v>
      </c>
      <c r="BG302" s="2">
        <f t="shared" si="729"/>
        <v>0</v>
      </c>
      <c r="BI302" s="2">
        <f t="shared" si="730"/>
        <v>0</v>
      </c>
      <c r="BJ302" s="2">
        <f t="shared" si="731"/>
        <v>0</v>
      </c>
      <c r="BK302" s="2">
        <f t="shared" si="731"/>
        <v>0</v>
      </c>
      <c r="BL302" s="2">
        <f t="shared" si="731"/>
        <v>0</v>
      </c>
      <c r="BM302" s="2">
        <f t="shared" si="731"/>
        <v>0</v>
      </c>
      <c r="BN302" s="2">
        <f t="shared" si="731"/>
        <v>0</v>
      </c>
      <c r="BO302" s="2">
        <f t="shared" si="731"/>
        <v>0</v>
      </c>
      <c r="BQ302" s="28" t="s">
        <v>355</v>
      </c>
      <c r="BR302" s="23">
        <v>0</v>
      </c>
      <c r="BS302" s="14">
        <f t="shared" ref="BS302:BU303" si="739">R302</f>
        <v>0</v>
      </c>
      <c r="BT302" s="14">
        <f t="shared" si="739"/>
        <v>0</v>
      </c>
      <c r="BU302" s="14">
        <f t="shared" si="739"/>
        <v>0</v>
      </c>
      <c r="BV302" s="14">
        <f t="shared" ref="BV302:CB303" si="740">U302</f>
        <v>0</v>
      </c>
      <c r="BW302" s="14">
        <f t="shared" si="740"/>
        <v>0</v>
      </c>
      <c r="BX302" s="14">
        <f t="shared" si="740"/>
        <v>0</v>
      </c>
      <c r="BY302" s="14">
        <f t="shared" si="740"/>
        <v>0</v>
      </c>
      <c r="BZ302" s="14">
        <f t="shared" si="740"/>
        <v>0</v>
      </c>
      <c r="CA302" s="14">
        <f t="shared" si="740"/>
        <v>0</v>
      </c>
      <c r="CB302" s="14">
        <f t="shared" si="740"/>
        <v>0</v>
      </c>
      <c r="CC302" s="14">
        <f t="shared" ref="CC302:CF303" si="741">AB302</f>
        <v>1</v>
      </c>
      <c r="CD302" s="14">
        <f t="shared" si="741"/>
        <v>0</v>
      </c>
      <c r="CE302" s="14">
        <f t="shared" si="741"/>
        <v>0</v>
      </c>
      <c r="CF302" s="14">
        <f t="shared" si="741"/>
        <v>0</v>
      </c>
      <c r="CG302" s="14">
        <f t="shared" ref="CG302:CI303" si="742">AF302</f>
        <v>0</v>
      </c>
      <c r="CH302" s="14">
        <f t="shared" si="742"/>
        <v>0</v>
      </c>
      <c r="CI302" s="14">
        <f t="shared" si="742"/>
        <v>0</v>
      </c>
      <c r="CJ302" s="14"/>
      <c r="CK302" s="120" t="str">
        <f t="shared" si="735"/>
        <v>Input - 100% Cust</v>
      </c>
      <c r="CL302" s="76">
        <f t="shared" si="639"/>
        <v>0</v>
      </c>
      <c r="CM302" s="2">
        <f t="shared" si="736"/>
        <v>0</v>
      </c>
      <c r="CN302" s="2">
        <f t="shared" si="736"/>
        <v>0</v>
      </c>
      <c r="CO302" s="2">
        <f t="shared" si="736"/>
        <v>0</v>
      </c>
      <c r="CP302" s="2">
        <f t="shared" si="736"/>
        <v>0</v>
      </c>
      <c r="CQ302" s="2">
        <f t="shared" si="736"/>
        <v>0</v>
      </c>
      <c r="CR302" s="2">
        <f t="shared" si="736"/>
        <v>0</v>
      </c>
    </row>
    <row r="303" spans="1:96">
      <c r="A303" s="50">
        <f t="shared" si="616"/>
        <v>303</v>
      </c>
      <c r="C303" s="36" t="s">
        <v>156</v>
      </c>
      <c r="D303" s="28" t="s">
        <v>351</v>
      </c>
      <c r="E303" s="23">
        <v>0</v>
      </c>
      <c r="F303" s="60" t="s">
        <v>452</v>
      </c>
      <c r="G303" s="60"/>
      <c r="H303" s="2">
        <f t="shared" si="721"/>
        <v>0</v>
      </c>
      <c r="I303" s="21">
        <f t="shared" si="722"/>
        <v>0</v>
      </c>
      <c r="J303" s="2">
        <f t="shared" si="722"/>
        <v>0</v>
      </c>
      <c r="K303" s="2">
        <f t="shared" si="722"/>
        <v>0</v>
      </c>
      <c r="L303" s="2">
        <f t="shared" si="722"/>
        <v>0</v>
      </c>
      <c r="M303" s="2">
        <f t="shared" si="722"/>
        <v>0</v>
      </c>
      <c r="N303" s="2">
        <f t="shared" si="722"/>
        <v>0</v>
      </c>
      <c r="O303" s="2"/>
      <c r="P303" s="61" t="str">
        <f>E$1&amp;$A303&amp;"*     """</f>
        <v>E303*     "</v>
      </c>
      <c r="Q303" s="61"/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1</v>
      </c>
      <c r="AI303" s="76">
        <f t="shared" si="688"/>
        <v>0</v>
      </c>
      <c r="AK303" s="2">
        <f t="shared" si="724"/>
        <v>0</v>
      </c>
      <c r="AL303" s="2">
        <f t="shared" si="725"/>
        <v>0</v>
      </c>
      <c r="AM303" s="2">
        <f t="shared" si="725"/>
        <v>0</v>
      </c>
      <c r="AN303" s="2">
        <f t="shared" si="725"/>
        <v>0</v>
      </c>
      <c r="AO303" s="2">
        <f t="shared" si="725"/>
        <v>0</v>
      </c>
      <c r="AP303" s="2"/>
      <c r="AQ303" s="61" t="str">
        <f>E$1&amp;$A303&amp;"*      """</f>
        <v>E303*      "</v>
      </c>
      <c r="AS303" s="2">
        <f t="shared" si="726"/>
        <v>0</v>
      </c>
      <c r="AT303" s="2">
        <f t="shared" si="727"/>
        <v>0</v>
      </c>
      <c r="AU303" s="2">
        <f t="shared" si="727"/>
        <v>0</v>
      </c>
      <c r="AV303" s="2">
        <f t="shared" si="727"/>
        <v>0</v>
      </c>
      <c r="AW303" s="2">
        <f t="shared" si="727"/>
        <v>0</v>
      </c>
      <c r="AX303" s="2">
        <f t="shared" si="727"/>
        <v>0</v>
      </c>
      <c r="AY303" s="2">
        <f t="shared" si="727"/>
        <v>0</v>
      </c>
      <c r="BA303" s="2">
        <f t="shared" si="728"/>
        <v>0</v>
      </c>
      <c r="BB303" s="2">
        <f t="shared" si="729"/>
        <v>0</v>
      </c>
      <c r="BC303" s="2">
        <f t="shared" si="729"/>
        <v>0</v>
      </c>
      <c r="BD303" s="2">
        <f t="shared" si="729"/>
        <v>0</v>
      </c>
      <c r="BE303" s="2">
        <f t="shared" si="729"/>
        <v>0</v>
      </c>
      <c r="BF303" s="2">
        <f t="shared" si="729"/>
        <v>0</v>
      </c>
      <c r="BG303" s="2">
        <f t="shared" si="729"/>
        <v>0</v>
      </c>
      <c r="BI303" s="2">
        <f t="shared" si="730"/>
        <v>0</v>
      </c>
      <c r="BJ303" s="2">
        <f t="shared" si="731"/>
        <v>0</v>
      </c>
      <c r="BK303" s="2">
        <f t="shared" si="731"/>
        <v>0</v>
      </c>
      <c r="BL303" s="2">
        <f t="shared" si="731"/>
        <v>0</v>
      </c>
      <c r="BM303" s="2">
        <f t="shared" si="731"/>
        <v>0</v>
      </c>
      <c r="BN303" s="2">
        <f t="shared" si="731"/>
        <v>0</v>
      </c>
      <c r="BO303" s="2">
        <f t="shared" si="731"/>
        <v>0</v>
      </c>
      <c r="BQ303" s="28" t="s">
        <v>351</v>
      </c>
      <c r="BR303" s="23">
        <v>0</v>
      </c>
      <c r="BS303" s="14">
        <f t="shared" si="739"/>
        <v>0</v>
      </c>
      <c r="BT303" s="14">
        <f t="shared" si="739"/>
        <v>0</v>
      </c>
      <c r="BU303" s="14">
        <f t="shared" si="739"/>
        <v>0</v>
      </c>
      <c r="BV303" s="14">
        <f t="shared" si="740"/>
        <v>0</v>
      </c>
      <c r="BW303" s="14">
        <f t="shared" si="740"/>
        <v>0</v>
      </c>
      <c r="BX303" s="14">
        <f t="shared" si="740"/>
        <v>0</v>
      </c>
      <c r="BY303" s="14">
        <f t="shared" si="740"/>
        <v>0</v>
      </c>
      <c r="BZ303" s="14">
        <f t="shared" si="740"/>
        <v>0</v>
      </c>
      <c r="CA303" s="14">
        <f t="shared" si="740"/>
        <v>0</v>
      </c>
      <c r="CB303" s="14">
        <f t="shared" si="740"/>
        <v>0</v>
      </c>
      <c r="CC303" s="14">
        <f t="shared" si="741"/>
        <v>0</v>
      </c>
      <c r="CD303" s="14">
        <f t="shared" si="741"/>
        <v>0</v>
      </c>
      <c r="CE303" s="14">
        <f t="shared" si="741"/>
        <v>0</v>
      </c>
      <c r="CF303" s="14">
        <f t="shared" si="741"/>
        <v>0</v>
      </c>
      <c r="CG303" s="14">
        <f t="shared" si="742"/>
        <v>0</v>
      </c>
      <c r="CH303" s="14">
        <f t="shared" si="742"/>
        <v>0</v>
      </c>
      <c r="CI303" s="14">
        <f t="shared" si="742"/>
        <v>1</v>
      </c>
      <c r="CJ303" s="14"/>
      <c r="CK303" s="120" t="str">
        <f t="shared" si="735"/>
        <v>Input - 100% Rev</v>
      </c>
      <c r="CL303" s="76">
        <f t="shared" si="639"/>
        <v>0</v>
      </c>
      <c r="CM303" s="2">
        <f t="shared" si="736"/>
        <v>0</v>
      </c>
      <c r="CN303" s="2">
        <f t="shared" si="736"/>
        <v>0</v>
      </c>
      <c r="CO303" s="2">
        <f t="shared" si="736"/>
        <v>0</v>
      </c>
      <c r="CP303" s="2">
        <f t="shared" si="736"/>
        <v>0</v>
      </c>
      <c r="CQ303" s="2">
        <f t="shared" si="736"/>
        <v>0</v>
      </c>
      <c r="CR303" s="2">
        <f t="shared" si="736"/>
        <v>0</v>
      </c>
    </row>
    <row r="304" spans="1:96">
      <c r="A304" s="50">
        <f t="shared" si="616"/>
        <v>304</v>
      </c>
      <c r="C304" s="36" t="s">
        <v>152</v>
      </c>
      <c r="D304" s="28" t="s">
        <v>356</v>
      </c>
      <c r="E304" s="436">
        <f>PROFORMA!AV134</f>
        <v>519000</v>
      </c>
      <c r="F304" s="60" t="str">
        <f>"as Labor O&amp;M Exp. ("&amp;BS$1&amp;A$342&amp;")"</f>
        <v>as Labor O&amp;M Exp. (BS342)</v>
      </c>
      <c r="G304" s="60"/>
      <c r="H304" s="2">
        <f t="shared" si="721"/>
        <v>519000.02931304334</v>
      </c>
      <c r="I304" s="21">
        <f t="shared" ref="I304:N304" si="743">$E304*CM$342/$BR$342</f>
        <v>453930.49519435625</v>
      </c>
      <c r="J304" s="21">
        <f t="shared" si="743"/>
        <v>49014.527051890545</v>
      </c>
      <c r="K304" s="21">
        <f t="shared" si="743"/>
        <v>0</v>
      </c>
      <c r="L304" s="21">
        <f t="shared" si="743"/>
        <v>608.60520804984139</v>
      </c>
      <c r="M304" s="21">
        <f t="shared" si="743"/>
        <v>15446.401858746689</v>
      </c>
      <c r="N304" s="21">
        <f t="shared" si="743"/>
        <v>0</v>
      </c>
      <c r="O304" s="2"/>
      <c r="P304" s="61" t="str">
        <f>E$1&amp;$A304&amp;"* "&amp;CM$1&amp;A$342&amp;" / "&amp;BR$1&amp;A$342</f>
        <v>E304* CM342 / BR342</v>
      </c>
      <c r="Q304" s="61"/>
      <c r="R304" s="14">
        <f>BS$342</f>
        <v>9.4011197840194252E-2</v>
      </c>
      <c r="S304" s="14">
        <f>BT$342</f>
        <v>2.771484723001123E-2</v>
      </c>
      <c r="T304" s="14">
        <f t="shared" ref="T304:AH304" si="744">BU$342</f>
        <v>2.025083303615954E-3</v>
      </c>
      <c r="U304" s="14">
        <f t="shared" si="744"/>
        <v>1.3552480570352927E-2</v>
      </c>
      <c r="V304" s="14">
        <f t="shared" si="744"/>
        <v>0</v>
      </c>
      <c r="W304" s="14">
        <f t="shared" si="744"/>
        <v>0.1576905706846389</v>
      </c>
      <c r="X304" s="14">
        <f t="shared" si="744"/>
        <v>0</v>
      </c>
      <c r="Y304" s="14">
        <f t="shared" si="744"/>
        <v>0</v>
      </c>
      <c r="Z304" s="14">
        <f t="shared" si="744"/>
        <v>0</v>
      </c>
      <c r="AA304" s="14">
        <f t="shared" si="744"/>
        <v>0</v>
      </c>
      <c r="AB304" s="14">
        <f t="shared" si="744"/>
        <v>0.43643287397616143</v>
      </c>
      <c r="AC304" s="14">
        <f t="shared" si="744"/>
        <v>0.1792970882068218</v>
      </c>
      <c r="AD304" s="14">
        <f t="shared" si="744"/>
        <v>8.7076406980020227E-2</v>
      </c>
      <c r="AE304" s="14">
        <f t="shared" si="744"/>
        <v>0</v>
      </c>
      <c r="AF304" s="14">
        <f t="shared" si="744"/>
        <v>2.1994512081833085E-3</v>
      </c>
      <c r="AG304" s="14">
        <f t="shared" si="744"/>
        <v>0</v>
      </c>
      <c r="AH304" s="14">
        <f t="shared" si="744"/>
        <v>0</v>
      </c>
      <c r="AI304" s="76">
        <f t="shared" si="688"/>
        <v>0</v>
      </c>
      <c r="AK304" s="2">
        <f t="shared" si="724"/>
        <v>519000.00000000012</v>
      </c>
      <c r="AL304" s="2">
        <f t="shared" si="725"/>
        <v>71260.573042026503</v>
      </c>
      <c r="AM304" s="2">
        <f t="shared" si="725"/>
        <v>81841.406185327593</v>
      </c>
      <c r="AN304" s="2">
        <f t="shared" si="725"/>
        <v>365898.02077264601</v>
      </c>
      <c r="AO304" s="2">
        <f t="shared" si="725"/>
        <v>0</v>
      </c>
      <c r="AP304" s="2"/>
      <c r="AQ304" s="61" t="str">
        <f>E$1&amp;$A304&amp;"*      """</f>
        <v>E304*      "</v>
      </c>
      <c r="AS304" s="2">
        <f t="shared" si="726"/>
        <v>71260.573042026503</v>
      </c>
      <c r="AT304" s="2">
        <f t="shared" si="727"/>
        <v>44046.044352958961</v>
      </c>
      <c r="AU304" s="2">
        <f t="shared" si="727"/>
        <v>19155.288014908161</v>
      </c>
      <c r="AV304" s="2">
        <f t="shared" si="727"/>
        <v>0</v>
      </c>
      <c r="AW304" s="2">
        <f t="shared" si="727"/>
        <v>305.31322655390892</v>
      </c>
      <c r="AX304" s="2">
        <f t="shared" si="727"/>
        <v>7753.9274476054661</v>
      </c>
      <c r="AY304" s="2">
        <f t="shared" si="727"/>
        <v>0</v>
      </c>
      <c r="BA304" s="2">
        <f t="shared" si="728"/>
        <v>81841.406185327593</v>
      </c>
      <c r="BB304" s="2">
        <f t="shared" si="729"/>
        <v>55881.985362555526</v>
      </c>
      <c r="BC304" s="2">
        <f t="shared" si="729"/>
        <v>18914.643707773983</v>
      </c>
      <c r="BD304" s="2">
        <f t="shared" si="729"/>
        <v>0</v>
      </c>
      <c r="BE304" s="2">
        <f t="shared" si="729"/>
        <v>237.62056505462471</v>
      </c>
      <c r="BF304" s="2">
        <f t="shared" si="729"/>
        <v>6807.15654994346</v>
      </c>
      <c r="BG304" s="2">
        <f t="shared" si="729"/>
        <v>0</v>
      </c>
      <c r="BI304" s="2">
        <f t="shared" si="730"/>
        <v>365898.02077264595</v>
      </c>
      <c r="BJ304" s="2">
        <f t="shared" si="731"/>
        <v>354002.43616579846</v>
      </c>
      <c r="BK304" s="2">
        <f t="shared" si="731"/>
        <v>10944.595329208401</v>
      </c>
      <c r="BL304" s="2">
        <f t="shared" si="731"/>
        <v>0</v>
      </c>
      <c r="BM304" s="2">
        <f t="shared" si="731"/>
        <v>65.671416441307912</v>
      </c>
      <c r="BN304" s="2">
        <f t="shared" si="731"/>
        <v>885.31786119776029</v>
      </c>
      <c r="BO304" s="2">
        <f t="shared" si="731"/>
        <v>0</v>
      </c>
      <c r="BQ304" s="28" t="s">
        <v>356</v>
      </c>
      <c r="BR304" s="23">
        <v>0</v>
      </c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120" t="str">
        <f t="shared" si="735"/>
        <v>as Labor O&amp;M Exp. (BS342)</v>
      </c>
      <c r="CL304" s="76">
        <f t="shared" ref="CL304:CL335" si="745">IF(SUM(BS304:CI304)&lt;&gt;0,(ROUND(SUM(BS304:CI304),4)&lt;&gt;1)+0,0)</f>
        <v>0</v>
      </c>
      <c r="CM304" s="2"/>
      <c r="CN304" s="2"/>
      <c r="CO304" s="2"/>
      <c r="CP304" s="2"/>
      <c r="CQ304" s="2"/>
      <c r="CR304" s="2"/>
    </row>
    <row r="305" spans="1:96">
      <c r="A305" s="50">
        <f t="shared" si="616"/>
        <v>305</v>
      </c>
      <c r="B305" t="s">
        <v>55</v>
      </c>
      <c r="D305" t="s">
        <v>56</v>
      </c>
      <c r="E305" s="2"/>
      <c r="F305" s="60"/>
      <c r="G305" s="60"/>
      <c r="P305" s="61"/>
      <c r="Q305" s="61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76">
        <f t="shared" si="688"/>
        <v>0</v>
      </c>
      <c r="AQ305" s="61"/>
      <c r="BQ305" t="s">
        <v>56</v>
      </c>
      <c r="BR305" s="49"/>
      <c r="CK305" s="120"/>
      <c r="CL305" s="76">
        <f t="shared" si="745"/>
        <v>0</v>
      </c>
    </row>
    <row r="306" spans="1:96">
      <c r="A306" s="50">
        <f t="shared" si="616"/>
        <v>306</v>
      </c>
      <c r="C306" s="36" t="s">
        <v>152</v>
      </c>
      <c r="D306" s="56" t="s">
        <v>148</v>
      </c>
      <c r="E306" s="23">
        <v>0</v>
      </c>
      <c r="F306" s="61" t="s">
        <v>1159</v>
      </c>
      <c r="G306" s="60"/>
      <c r="H306" s="2">
        <f t="shared" ref="H306:H311" si="746">SUM(I306:N306)</f>
        <v>0</v>
      </c>
      <c r="I306" s="2">
        <f t="shared" ref="I306:N310" si="747">$E306*SUMPRODUCT($R306:$AH306,INDEX(AllocFactors,I$4,0))</f>
        <v>0</v>
      </c>
      <c r="J306" s="2">
        <f t="shared" si="747"/>
        <v>0</v>
      </c>
      <c r="K306" s="2">
        <f t="shared" si="747"/>
        <v>0</v>
      </c>
      <c r="L306" s="2">
        <f t="shared" si="747"/>
        <v>0</v>
      </c>
      <c r="M306" s="2">
        <f t="shared" si="747"/>
        <v>0</v>
      </c>
      <c r="N306" s="2">
        <f t="shared" si="747"/>
        <v>0</v>
      </c>
      <c r="O306" s="2"/>
      <c r="P306" s="61" t="s">
        <v>1160</v>
      </c>
      <c r="Q306" s="61"/>
      <c r="R306" s="14">
        <f>R$257</f>
        <v>8.8133437743971782E-2</v>
      </c>
      <c r="S306" s="14">
        <f t="shared" ref="S306:AH306" si="748">S$257</f>
        <v>1.48122630432825E-2</v>
      </c>
      <c r="T306" s="14">
        <f t="shared" si="748"/>
        <v>6.2152272453224224E-3</v>
      </c>
      <c r="U306" s="14">
        <f t="shared" si="748"/>
        <v>4.15942131033116E-2</v>
      </c>
      <c r="V306" s="14">
        <f t="shared" si="748"/>
        <v>0</v>
      </c>
      <c r="W306" s="14">
        <f t="shared" si="748"/>
        <v>0.15413680450310352</v>
      </c>
      <c r="X306" s="14">
        <f t="shared" si="748"/>
        <v>0</v>
      </c>
      <c r="Y306" s="14">
        <f t="shared" si="748"/>
        <v>0</v>
      </c>
      <c r="Z306" s="14">
        <f t="shared" si="748"/>
        <v>0</v>
      </c>
      <c r="AA306" s="14">
        <f t="shared" si="748"/>
        <v>0</v>
      </c>
      <c r="AB306" s="14">
        <f t="shared" si="748"/>
        <v>0.45505508837908676</v>
      </c>
      <c r="AC306" s="14">
        <f t="shared" si="748"/>
        <v>0.16681683403029823</v>
      </c>
      <c r="AD306" s="14">
        <f t="shared" si="748"/>
        <v>7.1278348815059178E-2</v>
      </c>
      <c r="AE306" s="14">
        <f t="shared" si="748"/>
        <v>0</v>
      </c>
      <c r="AF306" s="14">
        <f t="shared" si="748"/>
        <v>1.9577831365640468E-3</v>
      </c>
      <c r="AG306" s="14">
        <f t="shared" si="748"/>
        <v>0</v>
      </c>
      <c r="AH306" s="14">
        <f t="shared" si="748"/>
        <v>0</v>
      </c>
      <c r="AI306" s="76">
        <f t="shared" si="688"/>
        <v>0</v>
      </c>
      <c r="AK306" s="2">
        <f t="shared" ref="AK306:AK311" si="749">SUM(AL306:AO306)</f>
        <v>0</v>
      </c>
      <c r="AL306" s="2">
        <f t="shared" ref="AL306:AO311" si="750">SUMIF($R$4:$AH$4,AL$5,$R306:$AH306)*$E306</f>
        <v>0</v>
      </c>
      <c r="AM306" s="2">
        <f t="shared" si="750"/>
        <v>0</v>
      </c>
      <c r="AN306" s="2">
        <f t="shared" si="750"/>
        <v>0</v>
      </c>
      <c r="AO306" s="2">
        <f t="shared" si="750"/>
        <v>0</v>
      </c>
      <c r="AP306" s="2"/>
      <c r="AQ306" s="61" t="str">
        <f>E$1&amp;$A306&amp;"*["&amp;R$1&amp;$A306&amp;":"&amp;$AH$1&amp;$A306&amp;" when "&amp;R$1&amp;$A$4&amp;":"&amp;$AH$1&amp;$A$4&amp;" = E,D,C,or R]"</f>
        <v>E306*[R306:AH306 when R4:AH4 = E,D,C,or R]</v>
      </c>
      <c r="AS306" s="2">
        <f t="shared" ref="AS306:AS311" si="751">SUM(AT306:AY306)</f>
        <v>0</v>
      </c>
      <c r="AT306" s="2">
        <f t="shared" ref="AT306:AY311" si="752">$E306*SUMPRODUCT($R306:$V306,INDEX(AllocFactors_E,AT$4,0))</f>
        <v>0</v>
      </c>
      <c r="AU306" s="2">
        <f t="shared" si="752"/>
        <v>0</v>
      </c>
      <c r="AV306" s="2">
        <f t="shared" si="752"/>
        <v>0</v>
      </c>
      <c r="AW306" s="2">
        <f t="shared" si="752"/>
        <v>0</v>
      </c>
      <c r="AX306" s="2">
        <f t="shared" si="752"/>
        <v>0</v>
      </c>
      <c r="AY306" s="2">
        <f t="shared" si="752"/>
        <v>0</v>
      </c>
      <c r="BA306" s="2">
        <f t="shared" ref="BA306:BA311" si="753">SUM(BB306:BG306)</f>
        <v>0</v>
      </c>
      <c r="BB306" s="2">
        <f t="shared" ref="BB306:BG311" si="754">$E306*SUMPRODUCT($W306:$AA306,INDEX(AllocFactors_D,BB$4,0))</f>
        <v>0</v>
      </c>
      <c r="BC306" s="2">
        <f t="shared" si="754"/>
        <v>0</v>
      </c>
      <c r="BD306" s="2">
        <f t="shared" si="754"/>
        <v>0</v>
      </c>
      <c r="BE306" s="2">
        <f t="shared" si="754"/>
        <v>0</v>
      </c>
      <c r="BF306" s="2">
        <f t="shared" si="754"/>
        <v>0</v>
      </c>
      <c r="BG306" s="2">
        <f t="shared" si="754"/>
        <v>0</v>
      </c>
      <c r="BI306" s="2">
        <f t="shared" ref="BI306:BI311" si="755">SUM(BJ306:BO306)</f>
        <v>0</v>
      </c>
      <c r="BJ306" s="2">
        <f t="shared" ref="BJ306:BO311" si="756">$E306*SUMPRODUCT($AB306:$AG306,INDEX(AllocFactors_C,BJ$4,0))</f>
        <v>0</v>
      </c>
      <c r="BK306" s="2">
        <f t="shared" si="756"/>
        <v>0</v>
      </c>
      <c r="BL306" s="2">
        <f t="shared" si="756"/>
        <v>0</v>
      </c>
      <c r="BM306" s="2">
        <f t="shared" si="756"/>
        <v>0</v>
      </c>
      <c r="BN306" s="2">
        <f t="shared" si="756"/>
        <v>0</v>
      </c>
      <c r="BO306" s="2">
        <f t="shared" si="756"/>
        <v>0</v>
      </c>
      <c r="BQ306" s="28" t="s">
        <v>352</v>
      </c>
      <c r="BR306" s="23">
        <v>0</v>
      </c>
      <c r="BS306" s="14">
        <f t="shared" ref="BS306:BU307" si="757">R306</f>
        <v>8.8133437743971782E-2</v>
      </c>
      <c r="BT306" s="14">
        <f t="shared" si="757"/>
        <v>1.48122630432825E-2</v>
      </c>
      <c r="BU306" s="14">
        <f t="shared" si="757"/>
        <v>6.2152272453224224E-3</v>
      </c>
      <c r="BV306" s="14">
        <f t="shared" ref="BV306:CB307" si="758">U306</f>
        <v>4.15942131033116E-2</v>
      </c>
      <c r="BW306" s="14">
        <f t="shared" si="758"/>
        <v>0</v>
      </c>
      <c r="BX306" s="14">
        <f t="shared" si="758"/>
        <v>0.15413680450310352</v>
      </c>
      <c r="BY306" s="14">
        <f t="shared" si="758"/>
        <v>0</v>
      </c>
      <c r="BZ306" s="14">
        <f t="shared" si="758"/>
        <v>0</v>
      </c>
      <c r="CA306" s="14">
        <f t="shared" si="758"/>
        <v>0</v>
      </c>
      <c r="CB306" s="14">
        <f t="shared" si="758"/>
        <v>0</v>
      </c>
      <c r="CC306" s="14">
        <f t="shared" ref="CC306:CI307" si="759">AB306</f>
        <v>0.45505508837908676</v>
      </c>
      <c r="CD306" s="14">
        <f t="shared" si="759"/>
        <v>0.16681683403029823</v>
      </c>
      <c r="CE306" s="14">
        <f t="shared" si="759"/>
        <v>7.1278348815059178E-2</v>
      </c>
      <c r="CF306" s="14">
        <f t="shared" si="759"/>
        <v>0</v>
      </c>
      <c r="CG306" s="14">
        <f t="shared" si="759"/>
        <v>1.9577831365640468E-3</v>
      </c>
      <c r="CH306" s="14">
        <f t="shared" si="759"/>
        <v>0</v>
      </c>
      <c r="CI306" s="14">
        <f t="shared" si="759"/>
        <v>0</v>
      </c>
      <c r="CJ306" s="14"/>
      <c r="CK306" s="120" t="str">
        <f t="shared" ref="CK306:CK311" si="760">F306</f>
        <v>4-Factor</v>
      </c>
      <c r="CL306" s="76">
        <f t="shared" si="745"/>
        <v>0</v>
      </c>
      <c r="CM306" s="2">
        <f t="shared" ref="CM306:CR310" si="761">$BR306*SUMPRODUCT($BS306:$CI306,INDEX(AllocFactors,CM$170,0))</f>
        <v>0</v>
      </c>
      <c r="CN306" s="2">
        <f t="shared" si="761"/>
        <v>0</v>
      </c>
      <c r="CO306" s="2">
        <f t="shared" si="761"/>
        <v>0</v>
      </c>
      <c r="CP306" s="2">
        <f t="shared" si="761"/>
        <v>0</v>
      </c>
      <c r="CQ306" s="2">
        <f t="shared" si="761"/>
        <v>0</v>
      </c>
      <c r="CR306" s="2">
        <f t="shared" si="761"/>
        <v>0</v>
      </c>
    </row>
    <row r="307" spans="1:96">
      <c r="A307" s="50">
        <f t="shared" si="616"/>
        <v>307</v>
      </c>
      <c r="C307" s="36" t="s">
        <v>152</v>
      </c>
      <c r="D307" s="56" t="s">
        <v>353</v>
      </c>
      <c r="E307" s="23">
        <v>0</v>
      </c>
      <c r="F307" s="524" t="s">
        <v>445</v>
      </c>
      <c r="G307" s="60"/>
      <c r="H307" s="2">
        <f t="shared" si="746"/>
        <v>0</v>
      </c>
      <c r="I307" s="2">
        <f t="shared" si="747"/>
        <v>0</v>
      </c>
      <c r="J307" s="2">
        <f t="shared" si="747"/>
        <v>0</v>
      </c>
      <c r="K307" s="2">
        <f t="shared" si="747"/>
        <v>0</v>
      </c>
      <c r="L307" s="2">
        <f t="shared" si="747"/>
        <v>0</v>
      </c>
      <c r="M307" s="2">
        <f t="shared" si="747"/>
        <v>0</v>
      </c>
      <c r="N307" s="2">
        <f t="shared" si="747"/>
        <v>0</v>
      </c>
      <c r="O307" s="2"/>
      <c r="P307" s="61" t="str">
        <f>E$1&amp;$A307&amp;"*     """</f>
        <v>E307*     "</v>
      </c>
      <c r="Q307" s="61"/>
      <c r="R307" s="523">
        <v>1</v>
      </c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76">
        <f t="shared" si="688"/>
        <v>0</v>
      </c>
      <c r="AK307" s="2">
        <f t="shared" si="749"/>
        <v>0</v>
      </c>
      <c r="AL307" s="2">
        <f t="shared" si="750"/>
        <v>0</v>
      </c>
      <c r="AM307" s="2">
        <f t="shared" si="750"/>
        <v>0</v>
      </c>
      <c r="AN307" s="2">
        <f t="shared" si="750"/>
        <v>0</v>
      </c>
      <c r="AO307" s="2">
        <f t="shared" si="750"/>
        <v>0</v>
      </c>
      <c r="AP307" s="2"/>
      <c r="AQ307" s="61" t="str">
        <f>E$1&amp;$A307&amp;"*      """</f>
        <v>E307*      "</v>
      </c>
      <c r="AS307" s="2">
        <f t="shared" si="751"/>
        <v>0</v>
      </c>
      <c r="AT307" s="2">
        <f t="shared" si="752"/>
        <v>0</v>
      </c>
      <c r="AU307" s="2">
        <f t="shared" si="752"/>
        <v>0</v>
      </c>
      <c r="AV307" s="2">
        <f t="shared" si="752"/>
        <v>0</v>
      </c>
      <c r="AW307" s="2">
        <f t="shared" si="752"/>
        <v>0</v>
      </c>
      <c r="AX307" s="2">
        <f t="shared" si="752"/>
        <v>0</v>
      </c>
      <c r="AY307" s="2">
        <f t="shared" si="752"/>
        <v>0</v>
      </c>
      <c r="BA307" s="2">
        <f t="shared" si="753"/>
        <v>0</v>
      </c>
      <c r="BB307" s="2">
        <f t="shared" si="754"/>
        <v>0</v>
      </c>
      <c r="BC307" s="2">
        <f t="shared" si="754"/>
        <v>0</v>
      </c>
      <c r="BD307" s="2">
        <f t="shared" si="754"/>
        <v>0</v>
      </c>
      <c r="BE307" s="2">
        <f t="shared" si="754"/>
        <v>0</v>
      </c>
      <c r="BF307" s="2">
        <f t="shared" si="754"/>
        <v>0</v>
      </c>
      <c r="BG307" s="2">
        <f t="shared" si="754"/>
        <v>0</v>
      </c>
      <c r="BI307" s="2">
        <f t="shared" si="755"/>
        <v>0</v>
      </c>
      <c r="BJ307" s="2">
        <f t="shared" si="756"/>
        <v>0</v>
      </c>
      <c r="BK307" s="2">
        <f t="shared" si="756"/>
        <v>0</v>
      </c>
      <c r="BL307" s="2">
        <f t="shared" si="756"/>
        <v>0</v>
      </c>
      <c r="BM307" s="2">
        <f t="shared" si="756"/>
        <v>0</v>
      </c>
      <c r="BN307" s="2">
        <f t="shared" si="756"/>
        <v>0</v>
      </c>
      <c r="BO307" s="2">
        <f t="shared" si="756"/>
        <v>0</v>
      </c>
      <c r="BQ307" s="28" t="s">
        <v>353</v>
      </c>
      <c r="BR307" s="23">
        <v>0</v>
      </c>
      <c r="BS307" s="14">
        <f t="shared" si="757"/>
        <v>1</v>
      </c>
      <c r="BT307" s="14">
        <f t="shared" si="757"/>
        <v>0</v>
      </c>
      <c r="BU307" s="14">
        <f t="shared" si="757"/>
        <v>0</v>
      </c>
      <c r="BV307" s="14">
        <f t="shared" si="758"/>
        <v>0</v>
      </c>
      <c r="BW307" s="14">
        <f t="shared" si="758"/>
        <v>0</v>
      </c>
      <c r="BX307" s="14">
        <f t="shared" si="758"/>
        <v>0</v>
      </c>
      <c r="BY307" s="14">
        <f t="shared" si="758"/>
        <v>0</v>
      </c>
      <c r="BZ307" s="14">
        <f t="shared" si="758"/>
        <v>0</v>
      </c>
      <c r="CA307" s="14">
        <f t="shared" si="758"/>
        <v>0</v>
      </c>
      <c r="CB307" s="14">
        <f t="shared" si="758"/>
        <v>0</v>
      </c>
      <c r="CC307" s="14">
        <f t="shared" si="759"/>
        <v>0</v>
      </c>
      <c r="CD307" s="14">
        <f t="shared" si="759"/>
        <v>0</v>
      </c>
      <c r="CE307" s="14">
        <f t="shared" si="759"/>
        <v>0</v>
      </c>
      <c r="CF307" s="14">
        <f t="shared" si="759"/>
        <v>0</v>
      </c>
      <c r="CG307" s="14">
        <f t="shared" si="759"/>
        <v>0</v>
      </c>
      <c r="CH307" s="14">
        <f t="shared" si="759"/>
        <v>0</v>
      </c>
      <c r="CI307" s="14">
        <f t="shared" si="759"/>
        <v>0</v>
      </c>
      <c r="CJ307" s="14"/>
      <c r="CK307" s="120" t="str">
        <f t="shared" si="760"/>
        <v>Input - 100% Throughput</v>
      </c>
      <c r="CL307" s="76">
        <f t="shared" si="745"/>
        <v>0</v>
      </c>
      <c r="CM307" s="2">
        <f t="shared" si="761"/>
        <v>0</v>
      </c>
      <c r="CN307" s="2">
        <f t="shared" si="761"/>
        <v>0</v>
      </c>
      <c r="CO307" s="2">
        <f t="shared" si="761"/>
        <v>0</v>
      </c>
      <c r="CP307" s="2">
        <f t="shared" si="761"/>
        <v>0</v>
      </c>
      <c r="CQ307" s="2">
        <f t="shared" si="761"/>
        <v>0</v>
      </c>
      <c r="CR307" s="2">
        <f t="shared" si="761"/>
        <v>0</v>
      </c>
    </row>
    <row r="308" spans="1:96">
      <c r="A308" s="50">
        <f t="shared" si="616"/>
        <v>308</v>
      </c>
      <c r="C308" s="36" t="s">
        <v>152</v>
      </c>
      <c r="D308" s="28" t="s">
        <v>354</v>
      </c>
      <c r="E308" s="436">
        <f>PROFORMA!AV135</f>
        <v>0</v>
      </c>
      <c r="F308" s="60" t="str">
        <f>"as Plant in Service ("&amp;A$58&amp;")"</f>
        <v>as Plant in Service (58)</v>
      </c>
      <c r="G308" s="60"/>
      <c r="H308" s="2">
        <f t="shared" si="746"/>
        <v>0</v>
      </c>
      <c r="I308" s="2">
        <f t="shared" si="747"/>
        <v>0</v>
      </c>
      <c r="J308" s="2">
        <f t="shared" si="747"/>
        <v>0</v>
      </c>
      <c r="K308" s="2">
        <f t="shared" si="747"/>
        <v>0</v>
      </c>
      <c r="L308" s="2">
        <f t="shared" si="747"/>
        <v>0</v>
      </c>
      <c r="M308" s="2">
        <f t="shared" si="747"/>
        <v>0</v>
      </c>
      <c r="N308" s="2">
        <f t="shared" si="747"/>
        <v>0</v>
      </c>
      <c r="O308" s="2"/>
      <c r="P308" s="61" t="str">
        <f>E$1&amp;$A308&amp;"*     """</f>
        <v>E308*     "</v>
      </c>
      <c r="Q308" s="61"/>
      <c r="R308" s="14">
        <f>R$58</f>
        <v>0.15278530527507739</v>
      </c>
      <c r="S308" s="14">
        <f t="shared" ref="S308:AH308" si="762">S$58</f>
        <v>3.164969422787912E-3</v>
      </c>
      <c r="T308" s="14">
        <f t="shared" si="762"/>
        <v>6.9829362297418388E-3</v>
      </c>
      <c r="U308" s="14">
        <f t="shared" si="762"/>
        <v>4.673195784519539E-2</v>
      </c>
      <c r="V308" s="14">
        <f t="shared" si="762"/>
        <v>0</v>
      </c>
      <c r="W308" s="14">
        <f t="shared" si="762"/>
        <v>0.27991526808724082</v>
      </c>
      <c r="X308" s="14">
        <f t="shared" si="762"/>
        <v>0</v>
      </c>
      <c r="Y308" s="14">
        <f t="shared" si="762"/>
        <v>0</v>
      </c>
      <c r="Z308" s="14">
        <f t="shared" si="762"/>
        <v>0</v>
      </c>
      <c r="AA308" s="14">
        <f t="shared" si="762"/>
        <v>0</v>
      </c>
      <c r="AB308" s="14">
        <f t="shared" si="762"/>
        <v>9.7232640022350991E-2</v>
      </c>
      <c r="AC308" s="14">
        <f t="shared" si="762"/>
        <v>0.29403559958561315</v>
      </c>
      <c r="AD308" s="14">
        <f t="shared" si="762"/>
        <v>0.1147688867063851</v>
      </c>
      <c r="AE308" s="14">
        <f t="shared" si="762"/>
        <v>0</v>
      </c>
      <c r="AF308" s="14">
        <f t="shared" si="762"/>
        <v>4.3824368256074331E-3</v>
      </c>
      <c r="AG308" s="14">
        <f t="shared" si="762"/>
        <v>0</v>
      </c>
      <c r="AH308" s="14">
        <f t="shared" si="762"/>
        <v>0</v>
      </c>
      <c r="AI308" s="76">
        <f t="shared" si="688"/>
        <v>0</v>
      </c>
      <c r="AK308" s="2">
        <f t="shared" si="749"/>
        <v>0</v>
      </c>
      <c r="AL308" s="2">
        <f t="shared" si="750"/>
        <v>0</v>
      </c>
      <c r="AM308" s="2">
        <f t="shared" si="750"/>
        <v>0</v>
      </c>
      <c r="AN308" s="2">
        <f t="shared" si="750"/>
        <v>0</v>
      </c>
      <c r="AO308" s="2">
        <f t="shared" si="750"/>
        <v>0</v>
      </c>
      <c r="AP308" s="2"/>
      <c r="AQ308" s="61" t="str">
        <f>E$1&amp;$A308&amp;"*      """</f>
        <v>E308*      "</v>
      </c>
      <c r="AS308" s="2">
        <f t="shared" si="751"/>
        <v>0</v>
      </c>
      <c r="AT308" s="2">
        <f t="shared" si="752"/>
        <v>0</v>
      </c>
      <c r="AU308" s="2">
        <f t="shared" si="752"/>
        <v>0</v>
      </c>
      <c r="AV308" s="2">
        <f t="shared" si="752"/>
        <v>0</v>
      </c>
      <c r="AW308" s="2">
        <f t="shared" si="752"/>
        <v>0</v>
      </c>
      <c r="AX308" s="2">
        <f t="shared" si="752"/>
        <v>0</v>
      </c>
      <c r="AY308" s="2">
        <f t="shared" si="752"/>
        <v>0</v>
      </c>
      <c r="BA308" s="2">
        <f t="shared" si="753"/>
        <v>0</v>
      </c>
      <c r="BB308" s="2">
        <f t="shared" si="754"/>
        <v>0</v>
      </c>
      <c r="BC308" s="2">
        <f t="shared" si="754"/>
        <v>0</v>
      </c>
      <c r="BD308" s="2">
        <f t="shared" si="754"/>
        <v>0</v>
      </c>
      <c r="BE308" s="2">
        <f t="shared" si="754"/>
        <v>0</v>
      </c>
      <c r="BF308" s="2">
        <f t="shared" si="754"/>
        <v>0</v>
      </c>
      <c r="BG308" s="2">
        <f t="shared" si="754"/>
        <v>0</v>
      </c>
      <c r="BI308" s="2">
        <f t="shared" si="755"/>
        <v>0</v>
      </c>
      <c r="BJ308" s="2">
        <f t="shared" si="756"/>
        <v>0</v>
      </c>
      <c r="BK308" s="2">
        <f t="shared" si="756"/>
        <v>0</v>
      </c>
      <c r="BL308" s="2">
        <f t="shared" si="756"/>
        <v>0</v>
      </c>
      <c r="BM308" s="2">
        <f t="shared" si="756"/>
        <v>0</v>
      </c>
      <c r="BN308" s="2">
        <f t="shared" si="756"/>
        <v>0</v>
      </c>
      <c r="BO308" s="2">
        <f t="shared" si="756"/>
        <v>0</v>
      </c>
      <c r="BQ308" s="28" t="s">
        <v>354</v>
      </c>
      <c r="BR308" s="23">
        <v>0</v>
      </c>
      <c r="BS308" s="14">
        <f>R$58</f>
        <v>0.15278530527507739</v>
      </c>
      <c r="BT308" s="14">
        <f>S$58</f>
        <v>3.164969422787912E-3</v>
      </c>
      <c r="BU308" s="14">
        <f>T$58</f>
        <v>6.9829362297418388E-3</v>
      </c>
      <c r="BV308" s="14">
        <f t="shared" ref="BV308:CI308" si="763">U$58</f>
        <v>4.673195784519539E-2</v>
      </c>
      <c r="BW308" s="14">
        <f t="shared" si="763"/>
        <v>0</v>
      </c>
      <c r="BX308" s="14">
        <f t="shared" si="763"/>
        <v>0.27991526808724082</v>
      </c>
      <c r="BY308" s="14">
        <f t="shared" si="763"/>
        <v>0</v>
      </c>
      <c r="BZ308" s="14">
        <f t="shared" si="763"/>
        <v>0</v>
      </c>
      <c r="CA308" s="14">
        <f t="shared" si="763"/>
        <v>0</v>
      </c>
      <c r="CB308" s="14">
        <f t="shared" si="763"/>
        <v>0</v>
      </c>
      <c r="CC308" s="14">
        <f t="shared" si="763"/>
        <v>9.7232640022350991E-2</v>
      </c>
      <c r="CD308" s="14">
        <f t="shared" si="763"/>
        <v>0.29403559958561315</v>
      </c>
      <c r="CE308" s="14">
        <f t="shared" si="763"/>
        <v>0.1147688867063851</v>
      </c>
      <c r="CF308" s="14">
        <f t="shared" si="763"/>
        <v>0</v>
      </c>
      <c r="CG308" s="14">
        <f t="shared" si="763"/>
        <v>4.3824368256074331E-3</v>
      </c>
      <c r="CH308" s="14">
        <f t="shared" si="763"/>
        <v>0</v>
      </c>
      <c r="CI308" s="14">
        <f t="shared" si="763"/>
        <v>0</v>
      </c>
      <c r="CJ308" s="14"/>
      <c r="CK308" s="120" t="str">
        <f t="shared" si="760"/>
        <v>as Plant in Service (58)</v>
      </c>
      <c r="CL308" s="76">
        <f t="shared" si="745"/>
        <v>0</v>
      </c>
      <c r="CM308" s="2">
        <f t="shared" si="761"/>
        <v>0</v>
      </c>
      <c r="CN308" s="2">
        <f t="shared" si="761"/>
        <v>0</v>
      </c>
      <c r="CO308" s="2">
        <f t="shared" si="761"/>
        <v>0</v>
      </c>
      <c r="CP308" s="2">
        <f t="shared" si="761"/>
        <v>0</v>
      </c>
      <c r="CQ308" s="2">
        <f t="shared" si="761"/>
        <v>0</v>
      </c>
      <c r="CR308" s="2">
        <f t="shared" si="761"/>
        <v>0</v>
      </c>
    </row>
    <row r="309" spans="1:96">
      <c r="A309" s="50">
        <f t="shared" si="616"/>
        <v>309</v>
      </c>
      <c r="C309" s="36" t="s">
        <v>157</v>
      </c>
      <c r="D309" s="28" t="s">
        <v>355</v>
      </c>
      <c r="E309" s="23">
        <v>0</v>
      </c>
      <c r="F309" s="60" t="s">
        <v>451</v>
      </c>
      <c r="G309" s="60"/>
      <c r="H309" s="2">
        <f t="shared" si="746"/>
        <v>0</v>
      </c>
      <c r="I309" s="2">
        <f t="shared" si="747"/>
        <v>0</v>
      </c>
      <c r="J309" s="2">
        <f t="shared" si="747"/>
        <v>0</v>
      </c>
      <c r="K309" s="2">
        <f t="shared" si="747"/>
        <v>0</v>
      </c>
      <c r="L309" s="2">
        <f t="shared" si="747"/>
        <v>0</v>
      </c>
      <c r="M309" s="2">
        <f t="shared" si="747"/>
        <v>0</v>
      </c>
      <c r="N309" s="2">
        <f t="shared" si="747"/>
        <v>0</v>
      </c>
      <c r="O309" s="2"/>
      <c r="P309" s="61" t="str">
        <f>E$1&amp;$A309&amp;"*     """</f>
        <v>E309*     "</v>
      </c>
      <c r="Q309" s="61"/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1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76">
        <f t="shared" si="688"/>
        <v>0</v>
      </c>
      <c r="AK309" s="2">
        <f t="shared" si="749"/>
        <v>0</v>
      </c>
      <c r="AL309" s="2">
        <f t="shared" si="750"/>
        <v>0</v>
      </c>
      <c r="AM309" s="2">
        <f t="shared" si="750"/>
        <v>0</v>
      </c>
      <c r="AN309" s="2">
        <f t="shared" si="750"/>
        <v>0</v>
      </c>
      <c r="AO309" s="2">
        <f t="shared" si="750"/>
        <v>0</v>
      </c>
      <c r="AP309" s="2"/>
      <c r="AQ309" s="61" t="str">
        <f>E$1&amp;$A309&amp;"*      """</f>
        <v>E309*      "</v>
      </c>
      <c r="AS309" s="2">
        <f t="shared" si="751"/>
        <v>0</v>
      </c>
      <c r="AT309" s="2">
        <f t="shared" si="752"/>
        <v>0</v>
      </c>
      <c r="AU309" s="2">
        <f t="shared" si="752"/>
        <v>0</v>
      </c>
      <c r="AV309" s="2">
        <f t="shared" si="752"/>
        <v>0</v>
      </c>
      <c r="AW309" s="2">
        <f t="shared" si="752"/>
        <v>0</v>
      </c>
      <c r="AX309" s="2">
        <f t="shared" si="752"/>
        <v>0</v>
      </c>
      <c r="AY309" s="2">
        <f t="shared" si="752"/>
        <v>0</v>
      </c>
      <c r="BA309" s="2">
        <f t="shared" si="753"/>
        <v>0</v>
      </c>
      <c r="BB309" s="2">
        <f t="shared" si="754"/>
        <v>0</v>
      </c>
      <c r="BC309" s="2">
        <f t="shared" si="754"/>
        <v>0</v>
      </c>
      <c r="BD309" s="2">
        <f t="shared" si="754"/>
        <v>0</v>
      </c>
      <c r="BE309" s="2">
        <f t="shared" si="754"/>
        <v>0</v>
      </c>
      <c r="BF309" s="2">
        <f t="shared" si="754"/>
        <v>0</v>
      </c>
      <c r="BG309" s="2">
        <f t="shared" si="754"/>
        <v>0</v>
      </c>
      <c r="BI309" s="2">
        <f t="shared" si="755"/>
        <v>0</v>
      </c>
      <c r="BJ309" s="2">
        <f t="shared" si="756"/>
        <v>0</v>
      </c>
      <c r="BK309" s="2">
        <f t="shared" si="756"/>
        <v>0</v>
      </c>
      <c r="BL309" s="2">
        <f t="shared" si="756"/>
        <v>0</v>
      </c>
      <c r="BM309" s="2">
        <f t="shared" si="756"/>
        <v>0</v>
      </c>
      <c r="BN309" s="2">
        <f t="shared" si="756"/>
        <v>0</v>
      </c>
      <c r="BO309" s="2">
        <f t="shared" si="756"/>
        <v>0</v>
      </c>
      <c r="BQ309" s="28" t="s">
        <v>355</v>
      </c>
      <c r="BR309" s="23">
        <v>0</v>
      </c>
      <c r="BS309" s="14">
        <f t="shared" ref="BS309:BU310" si="764">R309</f>
        <v>0</v>
      </c>
      <c r="BT309" s="14">
        <f t="shared" si="764"/>
        <v>0</v>
      </c>
      <c r="BU309" s="14">
        <f t="shared" si="764"/>
        <v>0</v>
      </c>
      <c r="BV309" s="14">
        <f t="shared" ref="BV309:CB310" si="765">U309</f>
        <v>0</v>
      </c>
      <c r="BW309" s="14">
        <f t="shared" si="765"/>
        <v>0</v>
      </c>
      <c r="BX309" s="14">
        <f t="shared" si="765"/>
        <v>0</v>
      </c>
      <c r="BY309" s="14">
        <f t="shared" si="765"/>
        <v>0</v>
      </c>
      <c r="BZ309" s="14">
        <f t="shared" si="765"/>
        <v>0</v>
      </c>
      <c r="CA309" s="14">
        <f t="shared" si="765"/>
        <v>0</v>
      </c>
      <c r="CB309" s="14">
        <f t="shared" si="765"/>
        <v>0</v>
      </c>
      <c r="CC309" s="14">
        <f t="shared" ref="CC309:CF310" si="766">AB309</f>
        <v>1</v>
      </c>
      <c r="CD309" s="14">
        <f t="shared" si="766"/>
        <v>0</v>
      </c>
      <c r="CE309" s="14">
        <f t="shared" si="766"/>
        <v>0</v>
      </c>
      <c r="CF309" s="14">
        <f t="shared" si="766"/>
        <v>0</v>
      </c>
      <c r="CG309" s="14">
        <f t="shared" ref="CG309:CI310" si="767">AF309</f>
        <v>0</v>
      </c>
      <c r="CH309" s="14">
        <f t="shared" si="767"/>
        <v>0</v>
      </c>
      <c r="CI309" s="14">
        <f t="shared" si="767"/>
        <v>0</v>
      </c>
      <c r="CJ309" s="14"/>
      <c r="CK309" s="120" t="str">
        <f t="shared" si="760"/>
        <v>Input - 100% Cust</v>
      </c>
      <c r="CL309" s="76">
        <f t="shared" si="745"/>
        <v>0</v>
      </c>
      <c r="CM309" s="2">
        <f t="shared" si="761"/>
        <v>0</v>
      </c>
      <c r="CN309" s="2">
        <f t="shared" si="761"/>
        <v>0</v>
      </c>
      <c r="CO309" s="2">
        <f t="shared" si="761"/>
        <v>0</v>
      </c>
      <c r="CP309" s="2">
        <f t="shared" si="761"/>
        <v>0</v>
      </c>
      <c r="CQ309" s="2">
        <f t="shared" si="761"/>
        <v>0</v>
      </c>
      <c r="CR309" s="2">
        <f t="shared" si="761"/>
        <v>0</v>
      </c>
    </row>
    <row r="310" spans="1:96">
      <c r="A310" s="50">
        <f t="shared" si="616"/>
        <v>310</v>
      </c>
      <c r="C310" s="36" t="s">
        <v>156</v>
      </c>
      <c r="D310" s="28" t="s">
        <v>351</v>
      </c>
      <c r="E310" s="23">
        <v>0</v>
      </c>
      <c r="F310" s="60" t="s">
        <v>452</v>
      </c>
      <c r="G310" s="60"/>
      <c r="H310" s="2">
        <f t="shared" si="746"/>
        <v>0</v>
      </c>
      <c r="I310" s="2">
        <f t="shared" si="747"/>
        <v>0</v>
      </c>
      <c r="J310" s="2">
        <f t="shared" si="747"/>
        <v>0</v>
      </c>
      <c r="K310" s="2">
        <f t="shared" si="747"/>
        <v>0</v>
      </c>
      <c r="L310" s="2">
        <f t="shared" si="747"/>
        <v>0</v>
      </c>
      <c r="M310" s="2">
        <f t="shared" si="747"/>
        <v>0</v>
      </c>
      <c r="N310" s="2">
        <f t="shared" si="747"/>
        <v>0</v>
      </c>
      <c r="O310" s="2"/>
      <c r="P310" s="61" t="str">
        <f>E$1&amp;$A310&amp;"*     """</f>
        <v>E310*     "</v>
      </c>
      <c r="Q310" s="61"/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1</v>
      </c>
      <c r="AI310" s="76">
        <f t="shared" si="688"/>
        <v>0</v>
      </c>
      <c r="AK310" s="2">
        <f t="shared" si="749"/>
        <v>0</v>
      </c>
      <c r="AL310" s="2">
        <f t="shared" si="750"/>
        <v>0</v>
      </c>
      <c r="AM310" s="2">
        <f t="shared" si="750"/>
        <v>0</v>
      </c>
      <c r="AN310" s="2">
        <f t="shared" si="750"/>
        <v>0</v>
      </c>
      <c r="AO310" s="2">
        <f t="shared" si="750"/>
        <v>0</v>
      </c>
      <c r="AP310" s="2"/>
      <c r="AQ310" s="61" t="str">
        <f>E$1&amp;$A310&amp;"*      """</f>
        <v>E310*      "</v>
      </c>
      <c r="AS310" s="2">
        <f t="shared" si="751"/>
        <v>0</v>
      </c>
      <c r="AT310" s="2">
        <f t="shared" si="752"/>
        <v>0</v>
      </c>
      <c r="AU310" s="2">
        <f t="shared" si="752"/>
        <v>0</v>
      </c>
      <c r="AV310" s="2">
        <f t="shared" si="752"/>
        <v>0</v>
      </c>
      <c r="AW310" s="2">
        <f t="shared" si="752"/>
        <v>0</v>
      </c>
      <c r="AX310" s="2">
        <f t="shared" si="752"/>
        <v>0</v>
      </c>
      <c r="AY310" s="2">
        <f t="shared" si="752"/>
        <v>0</v>
      </c>
      <c r="BA310" s="2">
        <f t="shared" si="753"/>
        <v>0</v>
      </c>
      <c r="BB310" s="2">
        <f t="shared" si="754"/>
        <v>0</v>
      </c>
      <c r="BC310" s="2">
        <f t="shared" si="754"/>
        <v>0</v>
      </c>
      <c r="BD310" s="2">
        <f t="shared" si="754"/>
        <v>0</v>
      </c>
      <c r="BE310" s="2">
        <f t="shared" si="754"/>
        <v>0</v>
      </c>
      <c r="BF310" s="2">
        <f t="shared" si="754"/>
        <v>0</v>
      </c>
      <c r="BG310" s="2">
        <f t="shared" si="754"/>
        <v>0</v>
      </c>
      <c r="BI310" s="2">
        <f t="shared" si="755"/>
        <v>0</v>
      </c>
      <c r="BJ310" s="2">
        <f t="shared" si="756"/>
        <v>0</v>
      </c>
      <c r="BK310" s="2">
        <f t="shared" si="756"/>
        <v>0</v>
      </c>
      <c r="BL310" s="2">
        <f t="shared" si="756"/>
        <v>0</v>
      </c>
      <c r="BM310" s="2">
        <f t="shared" si="756"/>
        <v>0</v>
      </c>
      <c r="BN310" s="2">
        <f t="shared" si="756"/>
        <v>0</v>
      </c>
      <c r="BO310" s="2">
        <f t="shared" si="756"/>
        <v>0</v>
      </c>
      <c r="BQ310" s="28" t="s">
        <v>351</v>
      </c>
      <c r="BR310" s="23">
        <v>0</v>
      </c>
      <c r="BS310" s="14">
        <f t="shared" si="764"/>
        <v>0</v>
      </c>
      <c r="BT310" s="14">
        <f t="shared" si="764"/>
        <v>0</v>
      </c>
      <c r="BU310" s="14">
        <f t="shared" si="764"/>
        <v>0</v>
      </c>
      <c r="BV310" s="14">
        <f t="shared" si="765"/>
        <v>0</v>
      </c>
      <c r="BW310" s="14">
        <f t="shared" si="765"/>
        <v>0</v>
      </c>
      <c r="BX310" s="14">
        <f t="shared" si="765"/>
        <v>0</v>
      </c>
      <c r="BY310" s="14">
        <f t="shared" si="765"/>
        <v>0</v>
      </c>
      <c r="BZ310" s="14">
        <f t="shared" si="765"/>
        <v>0</v>
      </c>
      <c r="CA310" s="14">
        <f t="shared" si="765"/>
        <v>0</v>
      </c>
      <c r="CB310" s="14">
        <f t="shared" si="765"/>
        <v>0</v>
      </c>
      <c r="CC310" s="14">
        <f t="shared" si="766"/>
        <v>0</v>
      </c>
      <c r="CD310" s="14">
        <f t="shared" si="766"/>
        <v>0</v>
      </c>
      <c r="CE310" s="14">
        <f t="shared" si="766"/>
        <v>0</v>
      </c>
      <c r="CF310" s="14">
        <f t="shared" si="766"/>
        <v>0</v>
      </c>
      <c r="CG310" s="14">
        <f t="shared" si="767"/>
        <v>0</v>
      </c>
      <c r="CH310" s="14">
        <f t="shared" si="767"/>
        <v>0</v>
      </c>
      <c r="CI310" s="14">
        <f t="shared" si="767"/>
        <v>1</v>
      </c>
      <c r="CJ310" s="14"/>
      <c r="CK310" s="120" t="str">
        <f t="shared" si="760"/>
        <v>Input - 100% Rev</v>
      </c>
      <c r="CL310" s="76">
        <f t="shared" si="745"/>
        <v>0</v>
      </c>
      <c r="CM310" s="2">
        <f t="shared" si="761"/>
        <v>0</v>
      </c>
      <c r="CN310" s="2">
        <f t="shared" si="761"/>
        <v>0</v>
      </c>
      <c r="CO310" s="2">
        <f t="shared" si="761"/>
        <v>0</v>
      </c>
      <c r="CP310" s="2">
        <f t="shared" si="761"/>
        <v>0</v>
      </c>
      <c r="CQ310" s="2">
        <f t="shared" si="761"/>
        <v>0</v>
      </c>
      <c r="CR310" s="2">
        <f t="shared" si="761"/>
        <v>0</v>
      </c>
    </row>
    <row r="311" spans="1:96">
      <c r="A311" s="50">
        <f t="shared" si="616"/>
        <v>311</v>
      </c>
      <c r="C311" s="36" t="s">
        <v>152</v>
      </c>
      <c r="D311" s="28" t="s">
        <v>356</v>
      </c>
      <c r="E311" s="23">
        <v>0</v>
      </c>
      <c r="F311" s="60" t="str">
        <f>"as Labor O&amp;M Exp. ("&amp;BS$1&amp;A$342&amp;")"</f>
        <v>as Labor O&amp;M Exp. (BS342)</v>
      </c>
      <c r="G311" s="60"/>
      <c r="H311" s="2">
        <f t="shared" si="746"/>
        <v>0</v>
      </c>
      <c r="I311" s="21">
        <f t="shared" ref="I311:N311" si="768">$E311*CM$342/$BR$342</f>
        <v>0</v>
      </c>
      <c r="J311" s="21">
        <f t="shared" si="768"/>
        <v>0</v>
      </c>
      <c r="K311" s="21">
        <f t="shared" si="768"/>
        <v>0</v>
      </c>
      <c r="L311" s="21">
        <f t="shared" si="768"/>
        <v>0</v>
      </c>
      <c r="M311" s="21">
        <f t="shared" si="768"/>
        <v>0</v>
      </c>
      <c r="N311" s="21">
        <f t="shared" si="768"/>
        <v>0</v>
      </c>
      <c r="O311" s="2"/>
      <c r="P311" s="61" t="str">
        <f>E$1&amp;$A311&amp;"* "&amp;CM$1&amp;A$342&amp;" / "&amp;BR$1&amp;A$342</f>
        <v>E311* CM342 / BR342</v>
      </c>
      <c r="Q311" s="61"/>
      <c r="R311" s="14">
        <f>BS$342</f>
        <v>9.4011197840194252E-2</v>
      </c>
      <c r="S311" s="14">
        <f>BT$342</f>
        <v>2.771484723001123E-2</v>
      </c>
      <c r="T311" s="14">
        <f t="shared" ref="T311:AH311" si="769">BU$342</f>
        <v>2.025083303615954E-3</v>
      </c>
      <c r="U311" s="14">
        <f t="shared" si="769"/>
        <v>1.3552480570352927E-2</v>
      </c>
      <c r="V311" s="14">
        <f t="shared" si="769"/>
        <v>0</v>
      </c>
      <c r="W311" s="14">
        <f t="shared" si="769"/>
        <v>0.1576905706846389</v>
      </c>
      <c r="X311" s="14">
        <f t="shared" si="769"/>
        <v>0</v>
      </c>
      <c r="Y311" s="14">
        <f t="shared" si="769"/>
        <v>0</v>
      </c>
      <c r="Z311" s="14">
        <f t="shared" si="769"/>
        <v>0</v>
      </c>
      <c r="AA311" s="14">
        <f t="shared" si="769"/>
        <v>0</v>
      </c>
      <c r="AB311" s="14">
        <f t="shared" si="769"/>
        <v>0.43643287397616143</v>
      </c>
      <c r="AC311" s="14">
        <f t="shared" si="769"/>
        <v>0.1792970882068218</v>
      </c>
      <c r="AD311" s="14">
        <f t="shared" si="769"/>
        <v>8.7076406980020227E-2</v>
      </c>
      <c r="AE311" s="14">
        <f t="shared" si="769"/>
        <v>0</v>
      </c>
      <c r="AF311" s="14">
        <f t="shared" si="769"/>
        <v>2.1994512081833085E-3</v>
      </c>
      <c r="AG311" s="14">
        <f t="shared" si="769"/>
        <v>0</v>
      </c>
      <c r="AH311" s="14">
        <f t="shared" si="769"/>
        <v>0</v>
      </c>
      <c r="AI311" s="76">
        <f t="shared" si="688"/>
        <v>0</v>
      </c>
      <c r="AK311" s="2">
        <f t="shared" si="749"/>
        <v>0</v>
      </c>
      <c r="AL311" s="2">
        <f t="shared" si="750"/>
        <v>0</v>
      </c>
      <c r="AM311" s="2">
        <f t="shared" si="750"/>
        <v>0</v>
      </c>
      <c r="AN311" s="2">
        <f t="shared" si="750"/>
        <v>0</v>
      </c>
      <c r="AO311" s="2">
        <f t="shared" si="750"/>
        <v>0</v>
      </c>
      <c r="AP311" s="2"/>
      <c r="AQ311" s="61" t="str">
        <f>E$1&amp;$A311&amp;"*      """</f>
        <v>E311*      "</v>
      </c>
      <c r="AS311" s="2">
        <f t="shared" si="751"/>
        <v>0</v>
      </c>
      <c r="AT311" s="2">
        <f t="shared" si="752"/>
        <v>0</v>
      </c>
      <c r="AU311" s="2">
        <f t="shared" si="752"/>
        <v>0</v>
      </c>
      <c r="AV311" s="2">
        <f t="shared" si="752"/>
        <v>0</v>
      </c>
      <c r="AW311" s="2">
        <f t="shared" si="752"/>
        <v>0</v>
      </c>
      <c r="AX311" s="2">
        <f t="shared" si="752"/>
        <v>0</v>
      </c>
      <c r="AY311" s="2">
        <f t="shared" si="752"/>
        <v>0</v>
      </c>
      <c r="BA311" s="2">
        <f t="shared" si="753"/>
        <v>0</v>
      </c>
      <c r="BB311" s="2">
        <f t="shared" si="754"/>
        <v>0</v>
      </c>
      <c r="BC311" s="2">
        <f t="shared" si="754"/>
        <v>0</v>
      </c>
      <c r="BD311" s="2">
        <f t="shared" si="754"/>
        <v>0</v>
      </c>
      <c r="BE311" s="2">
        <f t="shared" si="754"/>
        <v>0</v>
      </c>
      <c r="BF311" s="2">
        <f t="shared" si="754"/>
        <v>0</v>
      </c>
      <c r="BG311" s="2">
        <f t="shared" si="754"/>
        <v>0</v>
      </c>
      <c r="BI311" s="2">
        <f t="shared" si="755"/>
        <v>0</v>
      </c>
      <c r="BJ311" s="2">
        <f t="shared" si="756"/>
        <v>0</v>
      </c>
      <c r="BK311" s="2">
        <f t="shared" si="756"/>
        <v>0</v>
      </c>
      <c r="BL311" s="2">
        <f t="shared" si="756"/>
        <v>0</v>
      </c>
      <c r="BM311" s="2">
        <f t="shared" si="756"/>
        <v>0</v>
      </c>
      <c r="BN311" s="2">
        <f t="shared" si="756"/>
        <v>0</v>
      </c>
      <c r="BO311" s="2">
        <f t="shared" si="756"/>
        <v>0</v>
      </c>
      <c r="BQ311" s="28" t="s">
        <v>356</v>
      </c>
      <c r="BR311" s="23">
        <v>0</v>
      </c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120" t="str">
        <f t="shared" si="760"/>
        <v>as Labor O&amp;M Exp. (BS342)</v>
      </c>
      <c r="CL311" s="76">
        <f t="shared" si="745"/>
        <v>0</v>
      </c>
      <c r="CM311" s="2"/>
      <c r="CN311" s="2"/>
      <c r="CO311" s="2"/>
      <c r="CP311" s="2"/>
      <c r="CQ311" s="2"/>
      <c r="CR311" s="2"/>
    </row>
    <row r="312" spans="1:96">
      <c r="A312" s="50">
        <f t="shared" si="616"/>
        <v>312</v>
      </c>
      <c r="B312" t="s">
        <v>57</v>
      </c>
      <c r="D312" t="s">
        <v>58</v>
      </c>
      <c r="E312" s="2"/>
      <c r="F312" s="60"/>
      <c r="G312" s="60"/>
      <c r="P312" s="61"/>
      <c r="Q312" s="61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76">
        <f t="shared" si="688"/>
        <v>0</v>
      </c>
      <c r="AQ312" s="61"/>
      <c r="BQ312" t="s">
        <v>58</v>
      </c>
      <c r="BR312" s="49"/>
      <c r="CK312" s="120"/>
      <c r="CL312" s="76">
        <f t="shared" si="745"/>
        <v>0</v>
      </c>
    </row>
    <row r="313" spans="1:96">
      <c r="A313" s="50">
        <f t="shared" si="616"/>
        <v>313</v>
      </c>
      <c r="C313" s="36" t="s">
        <v>152</v>
      </c>
      <c r="D313" s="56" t="s">
        <v>148</v>
      </c>
      <c r="E313" s="436">
        <f>'Acct 928'!E19</f>
        <v>447560</v>
      </c>
      <c r="F313" s="61" t="s">
        <v>1159</v>
      </c>
      <c r="G313" s="60"/>
      <c r="H313" s="2">
        <f t="shared" ref="H313:H318" si="770">SUM(I313:N313)</f>
        <v>447560.00000000006</v>
      </c>
      <c r="I313" s="2">
        <f t="shared" ref="I313:N317" si="771">$E313*SUMPRODUCT($R313:$AH313,INDEX(AllocFactors,I$4,0))</f>
        <v>391715.59687485045</v>
      </c>
      <c r="J313" s="2">
        <f t="shared" si="771"/>
        <v>42428.951020746113</v>
      </c>
      <c r="K313" s="2">
        <f t="shared" si="771"/>
        <v>0</v>
      </c>
      <c r="L313" s="2">
        <f t="shared" si="771"/>
        <v>525.33180940261605</v>
      </c>
      <c r="M313" s="2">
        <f t="shared" si="771"/>
        <v>12890.120295000845</v>
      </c>
      <c r="N313" s="2">
        <f t="shared" si="771"/>
        <v>0</v>
      </c>
      <c r="O313" s="2"/>
      <c r="P313" s="61" t="s">
        <v>1160</v>
      </c>
      <c r="Q313" s="61"/>
      <c r="R313" s="14">
        <f>R$257</f>
        <v>8.8133437743971782E-2</v>
      </c>
      <c r="S313" s="14">
        <f t="shared" ref="S313:AH314" si="772">S$257</f>
        <v>1.48122630432825E-2</v>
      </c>
      <c r="T313" s="14">
        <f t="shared" si="772"/>
        <v>6.2152272453224224E-3</v>
      </c>
      <c r="U313" s="14">
        <f t="shared" si="772"/>
        <v>4.15942131033116E-2</v>
      </c>
      <c r="V313" s="14">
        <f t="shared" si="772"/>
        <v>0</v>
      </c>
      <c r="W313" s="14">
        <f t="shared" si="772"/>
        <v>0.15413680450310352</v>
      </c>
      <c r="X313" s="14">
        <f t="shared" si="772"/>
        <v>0</v>
      </c>
      <c r="Y313" s="14">
        <f t="shared" si="772"/>
        <v>0</v>
      </c>
      <c r="Z313" s="14">
        <f t="shared" si="772"/>
        <v>0</v>
      </c>
      <c r="AA313" s="14">
        <f t="shared" si="772"/>
        <v>0</v>
      </c>
      <c r="AB313" s="14">
        <f t="shared" si="772"/>
        <v>0.45505508837908676</v>
      </c>
      <c r="AC313" s="14">
        <f t="shared" si="772"/>
        <v>0.16681683403029823</v>
      </c>
      <c r="AD313" s="14">
        <f t="shared" si="772"/>
        <v>7.1278348815059178E-2</v>
      </c>
      <c r="AE313" s="14">
        <f t="shared" si="772"/>
        <v>0</v>
      </c>
      <c r="AF313" s="14">
        <f t="shared" si="772"/>
        <v>1.9577831365640468E-3</v>
      </c>
      <c r="AG313" s="14">
        <f t="shared" si="772"/>
        <v>0</v>
      </c>
      <c r="AH313" s="14">
        <f t="shared" si="772"/>
        <v>0</v>
      </c>
      <c r="AI313" s="76">
        <f t="shared" si="688"/>
        <v>0</v>
      </c>
      <c r="AK313" s="2">
        <f t="shared" ref="AK313:AK318" si="773">SUM(AL313:AO313)</f>
        <v>447560</v>
      </c>
      <c r="AL313" s="2">
        <f t="shared" ref="AL313:AO318" si="774">SUMIF($R$4:$AH$4,AL$5,$R313:$AH313)*$E313</f>
        <v>67471.970966778157</v>
      </c>
      <c r="AM313" s="2">
        <f t="shared" si="774"/>
        <v>68985.468223409014</v>
      </c>
      <c r="AN313" s="2">
        <f t="shared" si="774"/>
        <v>311102.56080981286</v>
      </c>
      <c r="AO313" s="2">
        <f t="shared" si="774"/>
        <v>0</v>
      </c>
      <c r="AP313" s="2"/>
      <c r="AQ313" s="61" t="str">
        <f>E$1&amp;$A313&amp;"*["&amp;R$1&amp;$A313&amp;":"&amp;$AH$1&amp;$A313&amp;" when "&amp;R$1&amp;$A$4&amp;":"&amp;$AH$1&amp;$A$4&amp;" = E,D,C,or R]"</f>
        <v>E313*[R313:AH313 when R4:AH4 = E,D,C,or R]</v>
      </c>
      <c r="AS313" s="2">
        <f t="shared" ref="AS313:AS318" si="775">SUM(AT313:AY313)</f>
        <v>67471.970966778172</v>
      </c>
      <c r="AT313" s="2">
        <f t="shared" ref="AT313:AY318" si="776">$E313*SUMPRODUCT($R313:$V313,INDEX(AllocFactors_E,AT$4,0))</f>
        <v>42991.016407169147</v>
      </c>
      <c r="AU313" s="2">
        <f t="shared" si="776"/>
        <v>17727.290798437385</v>
      </c>
      <c r="AV313" s="2">
        <f t="shared" si="776"/>
        <v>0</v>
      </c>
      <c r="AW313" s="2">
        <f t="shared" si="776"/>
        <v>276.78898804949949</v>
      </c>
      <c r="AX313" s="2">
        <f t="shared" si="776"/>
        <v>6476.8747731221411</v>
      </c>
      <c r="AY313" s="2">
        <f t="shared" si="776"/>
        <v>0</v>
      </c>
      <c r="BA313" s="2">
        <f t="shared" ref="BA313:BA318" si="777">SUM(BB313:BG313)</f>
        <v>68985.468223409014</v>
      </c>
      <c r="BB313" s="2">
        <f t="shared" ref="BB313:BG318" si="778">$E313*SUMPRODUCT($W313:$AA313,INDEX(AllocFactors_D,BB$4,0))</f>
        <v>47103.845170498898</v>
      </c>
      <c r="BC313" s="2">
        <f t="shared" si="778"/>
        <v>15943.46447939789</v>
      </c>
      <c r="BD313" s="2">
        <f t="shared" si="778"/>
        <v>0</v>
      </c>
      <c r="BE313" s="2">
        <f t="shared" si="778"/>
        <v>200.29428505522313</v>
      </c>
      <c r="BF313" s="2">
        <f t="shared" si="778"/>
        <v>5737.8642884570008</v>
      </c>
      <c r="BG313" s="2">
        <f t="shared" si="778"/>
        <v>0</v>
      </c>
      <c r="BI313" s="2">
        <f t="shared" ref="BI313:BI318" si="779">SUM(BJ313:BO313)</f>
        <v>311102.5608098128</v>
      </c>
      <c r="BJ313" s="2">
        <f t="shared" ref="BJ313:BO318" si="780">$E313*SUMPRODUCT($AB313:$AG313,INDEX(AllocFactors_C,BJ$4,0))</f>
        <v>301620.7352971824</v>
      </c>
      <c r="BK313" s="2">
        <f t="shared" si="780"/>
        <v>8758.195742910837</v>
      </c>
      <c r="BL313" s="2">
        <f t="shared" si="780"/>
        <v>0</v>
      </c>
      <c r="BM313" s="2">
        <f t="shared" si="780"/>
        <v>48.248536297893452</v>
      </c>
      <c r="BN313" s="2">
        <f t="shared" si="780"/>
        <v>675.38123342170275</v>
      </c>
      <c r="BO313" s="2">
        <f t="shared" si="780"/>
        <v>0</v>
      </c>
      <c r="BQ313" s="28" t="s">
        <v>352</v>
      </c>
      <c r="BR313" s="23">
        <v>273236</v>
      </c>
      <c r="BS313" s="14">
        <f t="shared" ref="BS313:BU314" si="781">R313</f>
        <v>8.8133437743971782E-2</v>
      </c>
      <c r="BT313" s="14">
        <f t="shared" si="781"/>
        <v>1.48122630432825E-2</v>
      </c>
      <c r="BU313" s="14">
        <f t="shared" si="781"/>
        <v>6.2152272453224224E-3</v>
      </c>
      <c r="BV313" s="14">
        <f t="shared" ref="BV313:CB314" si="782">U313</f>
        <v>4.15942131033116E-2</v>
      </c>
      <c r="BW313" s="14">
        <f t="shared" si="782"/>
        <v>0</v>
      </c>
      <c r="BX313" s="14">
        <f t="shared" si="782"/>
        <v>0.15413680450310352</v>
      </c>
      <c r="BY313" s="14">
        <f t="shared" si="782"/>
        <v>0</v>
      </c>
      <c r="BZ313" s="14">
        <f t="shared" si="782"/>
        <v>0</v>
      </c>
      <c r="CA313" s="14">
        <f t="shared" si="782"/>
        <v>0</v>
      </c>
      <c r="CB313" s="14">
        <f t="shared" si="782"/>
        <v>0</v>
      </c>
      <c r="CC313" s="14">
        <f t="shared" ref="CC313:CI314" si="783">AB313</f>
        <v>0.45505508837908676</v>
      </c>
      <c r="CD313" s="14">
        <f t="shared" si="783"/>
        <v>0.16681683403029823</v>
      </c>
      <c r="CE313" s="14">
        <f t="shared" si="783"/>
        <v>7.1278348815059178E-2</v>
      </c>
      <c r="CF313" s="14">
        <f t="shared" si="783"/>
        <v>0</v>
      </c>
      <c r="CG313" s="14">
        <f t="shared" si="783"/>
        <v>1.9577831365640468E-3</v>
      </c>
      <c r="CH313" s="14">
        <f t="shared" si="783"/>
        <v>0</v>
      </c>
      <c r="CI313" s="14">
        <f t="shared" si="783"/>
        <v>0</v>
      </c>
      <c r="CJ313" s="14"/>
      <c r="CK313" s="120" t="str">
        <f t="shared" ref="CK313:CK318" si="784">F313</f>
        <v>4-Factor</v>
      </c>
      <c r="CL313" s="76">
        <f t="shared" si="745"/>
        <v>0</v>
      </c>
      <c r="CM313" s="2">
        <f t="shared" ref="CM313:CR317" si="785">$BR313*SUMPRODUCT($BS313:$CI313,INDEX(AllocFactors,CM$170,0))</f>
        <v>239142.91453145197</v>
      </c>
      <c r="CN313" s="2">
        <f t="shared" si="785"/>
        <v>25902.933374529865</v>
      </c>
      <c r="CO313" s="2">
        <f t="shared" si="785"/>
        <v>0</v>
      </c>
      <c r="CP313" s="2">
        <f t="shared" si="785"/>
        <v>320.71579737673875</v>
      </c>
      <c r="CQ313" s="2">
        <f t="shared" si="785"/>
        <v>7869.4362966414583</v>
      </c>
      <c r="CR313" s="2">
        <f t="shared" si="785"/>
        <v>0</v>
      </c>
    </row>
    <row r="314" spans="1:96">
      <c r="A314" s="50">
        <f t="shared" si="616"/>
        <v>314</v>
      </c>
      <c r="C314" s="36" t="s">
        <v>152</v>
      </c>
      <c r="D314" s="56" t="s">
        <v>353</v>
      </c>
      <c r="E314" s="150">
        <v>0</v>
      </c>
      <c r="F314" s="524" t="s">
        <v>445</v>
      </c>
      <c r="G314" s="60"/>
      <c r="H314" s="2">
        <f t="shared" si="770"/>
        <v>0</v>
      </c>
      <c r="I314" s="2">
        <f t="shared" si="771"/>
        <v>0</v>
      </c>
      <c r="J314" s="2">
        <f t="shared" si="771"/>
        <v>0</v>
      </c>
      <c r="K314" s="2">
        <f t="shared" si="771"/>
        <v>0</v>
      </c>
      <c r="L314" s="2">
        <f t="shared" si="771"/>
        <v>0</v>
      </c>
      <c r="M314" s="2">
        <f t="shared" si="771"/>
        <v>0</v>
      </c>
      <c r="N314" s="2">
        <f t="shared" si="771"/>
        <v>0</v>
      </c>
      <c r="O314" s="2"/>
      <c r="P314" s="61" t="str">
        <f>E$1&amp;$A314&amp;"*     """</f>
        <v>E314*     "</v>
      </c>
      <c r="Q314" s="61"/>
      <c r="R314" s="523">
        <v>1</v>
      </c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>
        <f t="shared" si="772"/>
        <v>0</v>
      </c>
      <c r="AI314" s="76">
        <f t="shared" si="688"/>
        <v>0</v>
      </c>
      <c r="AK314" s="2">
        <f t="shared" si="773"/>
        <v>0</v>
      </c>
      <c r="AL314" s="2">
        <f t="shared" si="774"/>
        <v>0</v>
      </c>
      <c r="AM314" s="2">
        <f t="shared" si="774"/>
        <v>0</v>
      </c>
      <c r="AN314" s="2">
        <f t="shared" si="774"/>
        <v>0</v>
      </c>
      <c r="AO314" s="2">
        <f t="shared" si="774"/>
        <v>0</v>
      </c>
      <c r="AP314" s="2"/>
      <c r="AQ314" s="61" t="str">
        <f>E$1&amp;$A314&amp;"*      """</f>
        <v>E314*      "</v>
      </c>
      <c r="AS314" s="2">
        <f t="shared" si="775"/>
        <v>0</v>
      </c>
      <c r="AT314" s="2">
        <f t="shared" si="776"/>
        <v>0</v>
      </c>
      <c r="AU314" s="2">
        <f t="shared" si="776"/>
        <v>0</v>
      </c>
      <c r="AV314" s="2">
        <f t="shared" si="776"/>
        <v>0</v>
      </c>
      <c r="AW314" s="2">
        <f t="shared" si="776"/>
        <v>0</v>
      </c>
      <c r="AX314" s="2">
        <f t="shared" si="776"/>
        <v>0</v>
      </c>
      <c r="AY314" s="2">
        <f t="shared" si="776"/>
        <v>0</v>
      </c>
      <c r="BA314" s="2">
        <f t="shared" si="777"/>
        <v>0</v>
      </c>
      <c r="BB314" s="2">
        <f t="shared" si="778"/>
        <v>0</v>
      </c>
      <c r="BC314" s="2">
        <f t="shared" si="778"/>
        <v>0</v>
      </c>
      <c r="BD314" s="2">
        <f t="shared" si="778"/>
        <v>0</v>
      </c>
      <c r="BE314" s="2">
        <f t="shared" si="778"/>
        <v>0</v>
      </c>
      <c r="BF314" s="2">
        <f t="shared" si="778"/>
        <v>0</v>
      </c>
      <c r="BG314" s="2">
        <f t="shared" si="778"/>
        <v>0</v>
      </c>
      <c r="BI314" s="2">
        <f t="shared" si="779"/>
        <v>0</v>
      </c>
      <c r="BJ314" s="2">
        <f t="shared" si="780"/>
        <v>0</v>
      </c>
      <c r="BK314" s="2">
        <f t="shared" si="780"/>
        <v>0</v>
      </c>
      <c r="BL314" s="2">
        <f t="shared" si="780"/>
        <v>0</v>
      </c>
      <c r="BM314" s="2">
        <f t="shared" si="780"/>
        <v>0</v>
      </c>
      <c r="BN314" s="2">
        <f t="shared" si="780"/>
        <v>0</v>
      </c>
      <c r="BO314" s="2">
        <f t="shared" si="780"/>
        <v>0</v>
      </c>
      <c r="BQ314" s="28" t="s">
        <v>353</v>
      </c>
      <c r="BR314" s="23">
        <v>0</v>
      </c>
      <c r="BS314" s="14">
        <f t="shared" si="781"/>
        <v>1</v>
      </c>
      <c r="BT314" s="14">
        <f t="shared" si="781"/>
        <v>0</v>
      </c>
      <c r="BU314" s="14">
        <f t="shared" si="781"/>
        <v>0</v>
      </c>
      <c r="BV314" s="14">
        <f t="shared" si="782"/>
        <v>0</v>
      </c>
      <c r="BW314" s="14">
        <f t="shared" si="782"/>
        <v>0</v>
      </c>
      <c r="BX314" s="14">
        <f t="shared" si="782"/>
        <v>0</v>
      </c>
      <c r="BY314" s="14">
        <f t="shared" si="782"/>
        <v>0</v>
      </c>
      <c r="BZ314" s="14">
        <f t="shared" si="782"/>
        <v>0</v>
      </c>
      <c r="CA314" s="14">
        <f t="shared" si="782"/>
        <v>0</v>
      </c>
      <c r="CB314" s="14">
        <f t="shared" si="782"/>
        <v>0</v>
      </c>
      <c r="CC314" s="14">
        <f t="shared" si="783"/>
        <v>0</v>
      </c>
      <c r="CD314" s="14">
        <f t="shared" si="783"/>
        <v>0</v>
      </c>
      <c r="CE314" s="14">
        <f t="shared" si="783"/>
        <v>0</v>
      </c>
      <c r="CF314" s="14">
        <f t="shared" si="783"/>
        <v>0</v>
      </c>
      <c r="CG314" s="14">
        <f t="shared" si="783"/>
        <v>0</v>
      </c>
      <c r="CH314" s="14">
        <f t="shared" si="783"/>
        <v>0</v>
      </c>
      <c r="CI314" s="14">
        <f t="shared" si="783"/>
        <v>0</v>
      </c>
      <c r="CJ314" s="14"/>
      <c r="CK314" s="120" t="str">
        <f t="shared" si="784"/>
        <v>Input - 100% Throughput</v>
      </c>
      <c r="CL314" s="76">
        <f t="shared" si="745"/>
        <v>0</v>
      </c>
      <c r="CM314" s="2">
        <f t="shared" si="785"/>
        <v>0</v>
      </c>
      <c r="CN314" s="2">
        <f t="shared" si="785"/>
        <v>0</v>
      </c>
      <c r="CO314" s="2">
        <f t="shared" si="785"/>
        <v>0</v>
      </c>
      <c r="CP314" s="2">
        <f t="shared" si="785"/>
        <v>0</v>
      </c>
      <c r="CQ314" s="2">
        <f t="shared" si="785"/>
        <v>0</v>
      </c>
      <c r="CR314" s="2">
        <f t="shared" si="785"/>
        <v>0</v>
      </c>
    </row>
    <row r="315" spans="1:96">
      <c r="A315" s="50">
        <f t="shared" si="616"/>
        <v>315</v>
      </c>
      <c r="C315" s="36" t="s">
        <v>152</v>
      </c>
      <c r="D315" s="28" t="s">
        <v>354</v>
      </c>
      <c r="E315" s="23">
        <v>0</v>
      </c>
      <c r="F315" s="60" t="str">
        <f>"as Plant in Service ("&amp;A$58&amp;")"</f>
        <v>as Plant in Service (58)</v>
      </c>
      <c r="G315" s="60"/>
      <c r="H315" s="2">
        <f t="shared" si="770"/>
        <v>0</v>
      </c>
      <c r="I315" s="2">
        <f t="shared" si="771"/>
        <v>0</v>
      </c>
      <c r="J315" s="2">
        <f t="shared" si="771"/>
        <v>0</v>
      </c>
      <c r="K315" s="2">
        <f t="shared" si="771"/>
        <v>0</v>
      </c>
      <c r="L315" s="2">
        <f t="shared" si="771"/>
        <v>0</v>
      </c>
      <c r="M315" s="2">
        <f t="shared" si="771"/>
        <v>0</v>
      </c>
      <c r="N315" s="2">
        <f t="shared" si="771"/>
        <v>0</v>
      </c>
      <c r="O315" s="2"/>
      <c r="P315" s="61" t="str">
        <f>E$1&amp;$A315&amp;"*     """</f>
        <v>E315*     "</v>
      </c>
      <c r="Q315" s="61"/>
      <c r="R315" s="14">
        <f>R$58</f>
        <v>0.15278530527507739</v>
      </c>
      <c r="S315" s="14">
        <f t="shared" ref="S315:AH315" si="786">S$58</f>
        <v>3.164969422787912E-3</v>
      </c>
      <c r="T315" s="14">
        <f t="shared" si="786"/>
        <v>6.9829362297418388E-3</v>
      </c>
      <c r="U315" s="14">
        <f t="shared" si="786"/>
        <v>4.673195784519539E-2</v>
      </c>
      <c r="V315" s="14">
        <f t="shared" si="786"/>
        <v>0</v>
      </c>
      <c r="W315" s="14">
        <f t="shared" si="786"/>
        <v>0.27991526808724082</v>
      </c>
      <c r="X315" s="14">
        <f t="shared" si="786"/>
        <v>0</v>
      </c>
      <c r="Y315" s="14">
        <f t="shared" si="786"/>
        <v>0</v>
      </c>
      <c r="Z315" s="14">
        <f t="shared" si="786"/>
        <v>0</v>
      </c>
      <c r="AA315" s="14">
        <f t="shared" si="786"/>
        <v>0</v>
      </c>
      <c r="AB315" s="14">
        <f t="shared" si="786"/>
        <v>9.7232640022350991E-2</v>
      </c>
      <c r="AC315" s="14">
        <f t="shared" si="786"/>
        <v>0.29403559958561315</v>
      </c>
      <c r="AD315" s="14">
        <f t="shared" si="786"/>
        <v>0.1147688867063851</v>
      </c>
      <c r="AE315" s="14">
        <f t="shared" si="786"/>
        <v>0</v>
      </c>
      <c r="AF315" s="14">
        <f t="shared" si="786"/>
        <v>4.3824368256074331E-3</v>
      </c>
      <c r="AG315" s="14">
        <f t="shared" si="786"/>
        <v>0</v>
      </c>
      <c r="AH315" s="14">
        <f t="shared" si="786"/>
        <v>0</v>
      </c>
      <c r="AI315" s="76">
        <f t="shared" si="688"/>
        <v>0</v>
      </c>
      <c r="AK315" s="2">
        <f t="shared" si="773"/>
        <v>0</v>
      </c>
      <c r="AL315" s="2">
        <f t="shared" si="774"/>
        <v>0</v>
      </c>
      <c r="AM315" s="2">
        <f t="shared" si="774"/>
        <v>0</v>
      </c>
      <c r="AN315" s="2">
        <f t="shared" si="774"/>
        <v>0</v>
      </c>
      <c r="AO315" s="2">
        <f t="shared" si="774"/>
        <v>0</v>
      </c>
      <c r="AP315" s="2"/>
      <c r="AQ315" s="61" t="str">
        <f>E$1&amp;$A315&amp;"*      """</f>
        <v>E315*      "</v>
      </c>
      <c r="AS315" s="2">
        <f t="shared" si="775"/>
        <v>0</v>
      </c>
      <c r="AT315" s="2">
        <f t="shared" si="776"/>
        <v>0</v>
      </c>
      <c r="AU315" s="2">
        <f t="shared" si="776"/>
        <v>0</v>
      </c>
      <c r="AV315" s="2">
        <f t="shared" si="776"/>
        <v>0</v>
      </c>
      <c r="AW315" s="2">
        <f t="shared" si="776"/>
        <v>0</v>
      </c>
      <c r="AX315" s="2">
        <f t="shared" si="776"/>
        <v>0</v>
      </c>
      <c r="AY315" s="2">
        <f t="shared" si="776"/>
        <v>0</v>
      </c>
      <c r="BA315" s="2">
        <f t="shared" si="777"/>
        <v>0</v>
      </c>
      <c r="BB315" s="2">
        <f t="shared" si="778"/>
        <v>0</v>
      </c>
      <c r="BC315" s="2">
        <f t="shared" si="778"/>
        <v>0</v>
      </c>
      <c r="BD315" s="2">
        <f t="shared" si="778"/>
        <v>0</v>
      </c>
      <c r="BE315" s="2">
        <f t="shared" si="778"/>
        <v>0</v>
      </c>
      <c r="BF315" s="2">
        <f t="shared" si="778"/>
        <v>0</v>
      </c>
      <c r="BG315" s="2">
        <f t="shared" si="778"/>
        <v>0</v>
      </c>
      <c r="BI315" s="2">
        <f t="shared" si="779"/>
        <v>0</v>
      </c>
      <c r="BJ315" s="2">
        <f t="shared" si="780"/>
        <v>0</v>
      </c>
      <c r="BK315" s="2">
        <f t="shared" si="780"/>
        <v>0</v>
      </c>
      <c r="BL315" s="2">
        <f t="shared" si="780"/>
        <v>0</v>
      </c>
      <c r="BM315" s="2">
        <f t="shared" si="780"/>
        <v>0</v>
      </c>
      <c r="BN315" s="2">
        <f t="shared" si="780"/>
        <v>0</v>
      </c>
      <c r="BO315" s="2">
        <f t="shared" si="780"/>
        <v>0</v>
      </c>
      <c r="BQ315" s="28" t="s">
        <v>354</v>
      </c>
      <c r="BR315" s="23">
        <v>0</v>
      </c>
      <c r="BS315" s="14">
        <f>R$58</f>
        <v>0.15278530527507739</v>
      </c>
      <c r="BT315" s="14">
        <f>S$58</f>
        <v>3.164969422787912E-3</v>
      </c>
      <c r="BU315" s="14">
        <f>T$58</f>
        <v>6.9829362297418388E-3</v>
      </c>
      <c r="BV315" s="14">
        <f t="shared" ref="BV315:CI315" si="787">U$58</f>
        <v>4.673195784519539E-2</v>
      </c>
      <c r="BW315" s="14">
        <f t="shared" si="787"/>
        <v>0</v>
      </c>
      <c r="BX315" s="14">
        <f t="shared" si="787"/>
        <v>0.27991526808724082</v>
      </c>
      <c r="BY315" s="14">
        <f t="shared" si="787"/>
        <v>0</v>
      </c>
      <c r="BZ315" s="14">
        <f t="shared" si="787"/>
        <v>0</v>
      </c>
      <c r="CA315" s="14">
        <f t="shared" si="787"/>
        <v>0</v>
      </c>
      <c r="CB315" s="14">
        <f t="shared" si="787"/>
        <v>0</v>
      </c>
      <c r="CC315" s="14">
        <f t="shared" si="787"/>
        <v>9.7232640022350991E-2</v>
      </c>
      <c r="CD315" s="14">
        <f t="shared" si="787"/>
        <v>0.29403559958561315</v>
      </c>
      <c r="CE315" s="14">
        <f t="shared" si="787"/>
        <v>0.1147688867063851</v>
      </c>
      <c r="CF315" s="14">
        <f t="shared" si="787"/>
        <v>0</v>
      </c>
      <c r="CG315" s="14">
        <f t="shared" si="787"/>
        <v>4.3824368256074331E-3</v>
      </c>
      <c r="CH315" s="14">
        <f t="shared" si="787"/>
        <v>0</v>
      </c>
      <c r="CI315" s="14">
        <f t="shared" si="787"/>
        <v>0</v>
      </c>
      <c r="CJ315" s="14"/>
      <c r="CK315" s="120" t="str">
        <f t="shared" si="784"/>
        <v>as Plant in Service (58)</v>
      </c>
      <c r="CL315" s="76">
        <f t="shared" si="745"/>
        <v>0</v>
      </c>
      <c r="CM315" s="2">
        <f t="shared" si="785"/>
        <v>0</v>
      </c>
      <c r="CN315" s="2">
        <f t="shared" si="785"/>
        <v>0</v>
      </c>
      <c r="CO315" s="2">
        <f t="shared" si="785"/>
        <v>0</v>
      </c>
      <c r="CP315" s="2">
        <f t="shared" si="785"/>
        <v>0</v>
      </c>
      <c r="CQ315" s="2">
        <f t="shared" si="785"/>
        <v>0</v>
      </c>
      <c r="CR315" s="2">
        <f t="shared" si="785"/>
        <v>0</v>
      </c>
    </row>
    <row r="316" spans="1:96">
      <c r="A316" s="50">
        <f t="shared" si="616"/>
        <v>316</v>
      </c>
      <c r="C316" s="36" t="s">
        <v>157</v>
      </c>
      <c r="D316" s="28" t="s">
        <v>355</v>
      </c>
      <c r="E316" s="23">
        <v>0</v>
      </c>
      <c r="F316" s="60" t="s">
        <v>451</v>
      </c>
      <c r="G316" s="60"/>
      <c r="H316" s="2">
        <f t="shared" si="770"/>
        <v>0</v>
      </c>
      <c r="I316" s="2">
        <f t="shared" si="771"/>
        <v>0</v>
      </c>
      <c r="J316" s="2">
        <f t="shared" si="771"/>
        <v>0</v>
      </c>
      <c r="K316" s="2">
        <f t="shared" si="771"/>
        <v>0</v>
      </c>
      <c r="L316" s="2">
        <f t="shared" si="771"/>
        <v>0</v>
      </c>
      <c r="M316" s="2">
        <f t="shared" si="771"/>
        <v>0</v>
      </c>
      <c r="N316" s="2">
        <f t="shared" si="771"/>
        <v>0</v>
      </c>
      <c r="O316" s="2"/>
      <c r="P316" s="61" t="str">
        <f>E$1&amp;$A316&amp;"*     """</f>
        <v>E316*     "</v>
      </c>
      <c r="Q316" s="61"/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1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76">
        <f t="shared" si="688"/>
        <v>0</v>
      </c>
      <c r="AK316" s="2">
        <f t="shared" si="773"/>
        <v>0</v>
      </c>
      <c r="AL316" s="2">
        <f t="shared" si="774"/>
        <v>0</v>
      </c>
      <c r="AM316" s="2">
        <f t="shared" si="774"/>
        <v>0</v>
      </c>
      <c r="AN316" s="2">
        <f t="shared" si="774"/>
        <v>0</v>
      </c>
      <c r="AO316" s="2">
        <f t="shared" si="774"/>
        <v>0</v>
      </c>
      <c r="AP316" s="2"/>
      <c r="AQ316" s="61" t="str">
        <f>E$1&amp;$A316&amp;"*      """</f>
        <v>E316*      "</v>
      </c>
      <c r="AS316" s="2">
        <f t="shared" si="775"/>
        <v>0</v>
      </c>
      <c r="AT316" s="2">
        <f t="shared" si="776"/>
        <v>0</v>
      </c>
      <c r="AU316" s="2">
        <f t="shared" si="776"/>
        <v>0</v>
      </c>
      <c r="AV316" s="2">
        <f t="shared" si="776"/>
        <v>0</v>
      </c>
      <c r="AW316" s="2">
        <f t="shared" si="776"/>
        <v>0</v>
      </c>
      <c r="AX316" s="2">
        <f t="shared" si="776"/>
        <v>0</v>
      </c>
      <c r="AY316" s="2">
        <f t="shared" si="776"/>
        <v>0</v>
      </c>
      <c r="BA316" s="2">
        <f t="shared" si="777"/>
        <v>0</v>
      </c>
      <c r="BB316" s="2">
        <f t="shared" si="778"/>
        <v>0</v>
      </c>
      <c r="BC316" s="2">
        <f t="shared" si="778"/>
        <v>0</v>
      </c>
      <c r="BD316" s="2">
        <f t="shared" si="778"/>
        <v>0</v>
      </c>
      <c r="BE316" s="2">
        <f t="shared" si="778"/>
        <v>0</v>
      </c>
      <c r="BF316" s="2">
        <f t="shared" si="778"/>
        <v>0</v>
      </c>
      <c r="BG316" s="2">
        <f t="shared" si="778"/>
        <v>0</v>
      </c>
      <c r="BI316" s="2">
        <f t="shared" si="779"/>
        <v>0</v>
      </c>
      <c r="BJ316" s="2">
        <f t="shared" si="780"/>
        <v>0</v>
      </c>
      <c r="BK316" s="2">
        <f t="shared" si="780"/>
        <v>0</v>
      </c>
      <c r="BL316" s="2">
        <f t="shared" si="780"/>
        <v>0</v>
      </c>
      <c r="BM316" s="2">
        <f t="shared" si="780"/>
        <v>0</v>
      </c>
      <c r="BN316" s="2">
        <f t="shared" si="780"/>
        <v>0</v>
      </c>
      <c r="BO316" s="2">
        <f t="shared" si="780"/>
        <v>0</v>
      </c>
      <c r="BQ316" s="28" t="s">
        <v>355</v>
      </c>
      <c r="BR316" s="23">
        <v>0</v>
      </c>
      <c r="BS316" s="14">
        <f t="shared" ref="BS316:BU317" si="788">R316</f>
        <v>0</v>
      </c>
      <c r="BT316" s="14">
        <f t="shared" si="788"/>
        <v>0</v>
      </c>
      <c r="BU316" s="14">
        <f t="shared" si="788"/>
        <v>0</v>
      </c>
      <c r="BV316" s="14">
        <f t="shared" ref="BV316:CB317" si="789">U316</f>
        <v>0</v>
      </c>
      <c r="BW316" s="14">
        <f t="shared" si="789"/>
        <v>0</v>
      </c>
      <c r="BX316" s="14">
        <f t="shared" si="789"/>
        <v>0</v>
      </c>
      <c r="BY316" s="14">
        <f t="shared" si="789"/>
        <v>0</v>
      </c>
      <c r="BZ316" s="14">
        <f t="shared" si="789"/>
        <v>0</v>
      </c>
      <c r="CA316" s="14">
        <f t="shared" si="789"/>
        <v>0</v>
      </c>
      <c r="CB316" s="14">
        <f t="shared" si="789"/>
        <v>0</v>
      </c>
      <c r="CC316" s="14">
        <f t="shared" ref="CC316:CF317" si="790">AB316</f>
        <v>1</v>
      </c>
      <c r="CD316" s="14">
        <f t="shared" si="790"/>
        <v>0</v>
      </c>
      <c r="CE316" s="14">
        <f t="shared" si="790"/>
        <v>0</v>
      </c>
      <c r="CF316" s="14">
        <f t="shared" si="790"/>
        <v>0</v>
      </c>
      <c r="CG316" s="14">
        <f t="shared" ref="CG316:CI317" si="791">AF316</f>
        <v>0</v>
      </c>
      <c r="CH316" s="14">
        <f t="shared" si="791"/>
        <v>0</v>
      </c>
      <c r="CI316" s="14">
        <f t="shared" si="791"/>
        <v>0</v>
      </c>
      <c r="CJ316" s="14"/>
      <c r="CK316" s="120" t="str">
        <f t="shared" si="784"/>
        <v>Input - 100% Cust</v>
      </c>
      <c r="CL316" s="76">
        <f t="shared" si="745"/>
        <v>0</v>
      </c>
      <c r="CM316" s="2">
        <f t="shared" si="785"/>
        <v>0</v>
      </c>
      <c r="CN316" s="2">
        <f t="shared" si="785"/>
        <v>0</v>
      </c>
      <c r="CO316" s="2">
        <f t="shared" si="785"/>
        <v>0</v>
      </c>
      <c r="CP316" s="2">
        <f t="shared" si="785"/>
        <v>0</v>
      </c>
      <c r="CQ316" s="2">
        <f t="shared" si="785"/>
        <v>0</v>
      </c>
      <c r="CR316" s="2">
        <f t="shared" si="785"/>
        <v>0</v>
      </c>
    </row>
    <row r="317" spans="1:96">
      <c r="A317" s="50">
        <f t="shared" si="616"/>
        <v>317</v>
      </c>
      <c r="C317" s="36" t="s">
        <v>156</v>
      </c>
      <c r="D317" s="28" t="s">
        <v>351</v>
      </c>
      <c r="E317" s="436">
        <f>'Acct 928'!E17</f>
        <v>190440</v>
      </c>
      <c r="F317" s="60" t="s">
        <v>452</v>
      </c>
      <c r="G317" s="60"/>
      <c r="H317" s="2">
        <f t="shared" si="770"/>
        <v>190439.99999999997</v>
      </c>
      <c r="I317" s="2">
        <f t="shared" si="771"/>
        <v>146346.6711450461</v>
      </c>
      <c r="J317" s="2">
        <f t="shared" si="771"/>
        <v>37099.32993712504</v>
      </c>
      <c r="K317" s="2">
        <f t="shared" si="771"/>
        <v>0</v>
      </c>
      <c r="L317" s="2">
        <f t="shared" si="771"/>
        <v>399.59035916432026</v>
      </c>
      <c r="M317" s="2">
        <f t="shared" si="771"/>
        <v>6594.4085586645333</v>
      </c>
      <c r="N317" s="2">
        <f t="shared" si="771"/>
        <v>0</v>
      </c>
      <c r="O317" s="2"/>
      <c r="P317" s="61" t="str">
        <f>E$1&amp;$A317&amp;"*     """</f>
        <v>E317*     "</v>
      </c>
      <c r="Q317" s="61"/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1</v>
      </c>
      <c r="AI317" s="76">
        <f t="shared" si="688"/>
        <v>0</v>
      </c>
      <c r="AK317" s="2">
        <f t="shared" si="773"/>
        <v>190440</v>
      </c>
      <c r="AL317" s="2">
        <f t="shared" si="774"/>
        <v>0</v>
      </c>
      <c r="AM317" s="2">
        <f t="shared" si="774"/>
        <v>0</v>
      </c>
      <c r="AN317" s="2">
        <f t="shared" si="774"/>
        <v>0</v>
      </c>
      <c r="AO317" s="2">
        <f t="shared" si="774"/>
        <v>190440</v>
      </c>
      <c r="AP317" s="2"/>
      <c r="AQ317" s="61" t="str">
        <f>E$1&amp;$A317&amp;"*      """</f>
        <v>E317*      "</v>
      </c>
      <c r="AS317" s="2">
        <f t="shared" si="775"/>
        <v>0</v>
      </c>
      <c r="AT317" s="2">
        <f t="shared" si="776"/>
        <v>0</v>
      </c>
      <c r="AU317" s="2">
        <f t="shared" si="776"/>
        <v>0</v>
      </c>
      <c r="AV317" s="2">
        <f t="shared" si="776"/>
        <v>0</v>
      </c>
      <c r="AW317" s="2">
        <f t="shared" si="776"/>
        <v>0</v>
      </c>
      <c r="AX317" s="2">
        <f t="shared" si="776"/>
        <v>0</v>
      </c>
      <c r="AY317" s="2">
        <f t="shared" si="776"/>
        <v>0</v>
      </c>
      <c r="BA317" s="2">
        <f t="shared" si="777"/>
        <v>0</v>
      </c>
      <c r="BB317" s="2">
        <f t="shared" si="778"/>
        <v>0</v>
      </c>
      <c r="BC317" s="2">
        <f t="shared" si="778"/>
        <v>0</v>
      </c>
      <c r="BD317" s="2">
        <f t="shared" si="778"/>
        <v>0</v>
      </c>
      <c r="BE317" s="2">
        <f t="shared" si="778"/>
        <v>0</v>
      </c>
      <c r="BF317" s="2">
        <f t="shared" si="778"/>
        <v>0</v>
      </c>
      <c r="BG317" s="2">
        <f t="shared" si="778"/>
        <v>0</v>
      </c>
      <c r="BI317" s="2">
        <f t="shared" si="779"/>
        <v>0</v>
      </c>
      <c r="BJ317" s="2">
        <f t="shared" si="780"/>
        <v>0</v>
      </c>
      <c r="BK317" s="2">
        <f t="shared" si="780"/>
        <v>0</v>
      </c>
      <c r="BL317" s="2">
        <f t="shared" si="780"/>
        <v>0</v>
      </c>
      <c r="BM317" s="2">
        <f t="shared" si="780"/>
        <v>0</v>
      </c>
      <c r="BN317" s="2">
        <f t="shared" si="780"/>
        <v>0</v>
      </c>
      <c r="BO317" s="2">
        <f t="shared" si="780"/>
        <v>0</v>
      </c>
      <c r="BQ317" s="28" t="s">
        <v>351</v>
      </c>
      <c r="BR317" s="23">
        <v>0</v>
      </c>
      <c r="BS317" s="14">
        <f t="shared" si="788"/>
        <v>0</v>
      </c>
      <c r="BT317" s="14">
        <f t="shared" si="788"/>
        <v>0</v>
      </c>
      <c r="BU317" s="14">
        <f t="shared" si="788"/>
        <v>0</v>
      </c>
      <c r="BV317" s="14">
        <f t="shared" si="789"/>
        <v>0</v>
      </c>
      <c r="BW317" s="14">
        <f t="shared" si="789"/>
        <v>0</v>
      </c>
      <c r="BX317" s="14">
        <f t="shared" si="789"/>
        <v>0</v>
      </c>
      <c r="BY317" s="14">
        <f t="shared" si="789"/>
        <v>0</v>
      </c>
      <c r="BZ317" s="14">
        <f t="shared" si="789"/>
        <v>0</v>
      </c>
      <c r="CA317" s="14">
        <f t="shared" si="789"/>
        <v>0</v>
      </c>
      <c r="CB317" s="14">
        <f t="shared" si="789"/>
        <v>0</v>
      </c>
      <c r="CC317" s="14">
        <f t="shared" si="790"/>
        <v>0</v>
      </c>
      <c r="CD317" s="14">
        <f t="shared" si="790"/>
        <v>0</v>
      </c>
      <c r="CE317" s="14">
        <f t="shared" si="790"/>
        <v>0</v>
      </c>
      <c r="CF317" s="14">
        <f t="shared" si="790"/>
        <v>0</v>
      </c>
      <c r="CG317" s="14">
        <f t="shared" si="791"/>
        <v>0</v>
      </c>
      <c r="CH317" s="14">
        <f t="shared" si="791"/>
        <v>0</v>
      </c>
      <c r="CI317" s="14">
        <f t="shared" si="791"/>
        <v>1</v>
      </c>
      <c r="CJ317" s="14"/>
      <c r="CK317" s="120" t="str">
        <f t="shared" si="784"/>
        <v>Input - 100% Rev</v>
      </c>
      <c r="CL317" s="76">
        <f t="shared" si="745"/>
        <v>0</v>
      </c>
      <c r="CM317" s="2">
        <f t="shared" si="785"/>
        <v>0</v>
      </c>
      <c r="CN317" s="2">
        <f t="shared" si="785"/>
        <v>0</v>
      </c>
      <c r="CO317" s="2">
        <f t="shared" si="785"/>
        <v>0</v>
      </c>
      <c r="CP317" s="2">
        <f t="shared" si="785"/>
        <v>0</v>
      </c>
      <c r="CQ317" s="2">
        <f t="shared" si="785"/>
        <v>0</v>
      </c>
      <c r="CR317" s="2">
        <f t="shared" si="785"/>
        <v>0</v>
      </c>
    </row>
    <row r="318" spans="1:96">
      <c r="A318" s="50">
        <f t="shared" si="616"/>
        <v>318</v>
      </c>
      <c r="C318" s="36" t="s">
        <v>152</v>
      </c>
      <c r="D318" s="28" t="s">
        <v>356</v>
      </c>
      <c r="E318" s="23">
        <v>0</v>
      </c>
      <c r="F318" s="60" t="str">
        <f>"as Labor O&amp;M Exp. ("&amp;BS$1&amp;A$342&amp;")"</f>
        <v>as Labor O&amp;M Exp. (BS342)</v>
      </c>
      <c r="G318" s="60"/>
      <c r="H318" s="2">
        <f t="shared" si="770"/>
        <v>0</v>
      </c>
      <c r="I318" s="21">
        <f t="shared" ref="I318:N318" si="792">$E318*CM$342/$BR$342</f>
        <v>0</v>
      </c>
      <c r="J318" s="21">
        <f t="shared" si="792"/>
        <v>0</v>
      </c>
      <c r="K318" s="21">
        <f t="shared" si="792"/>
        <v>0</v>
      </c>
      <c r="L318" s="21">
        <f t="shared" si="792"/>
        <v>0</v>
      </c>
      <c r="M318" s="21">
        <f t="shared" si="792"/>
        <v>0</v>
      </c>
      <c r="N318" s="21">
        <f t="shared" si="792"/>
        <v>0</v>
      </c>
      <c r="O318" s="2"/>
      <c r="P318" s="61" t="str">
        <f>E$1&amp;$A318&amp;"* "&amp;CM$1&amp;A$342&amp;" / "&amp;BR$1&amp;A$342</f>
        <v>E318* CM342 / BR342</v>
      </c>
      <c r="Q318" s="61"/>
      <c r="R318" s="14">
        <f>BS$342</f>
        <v>9.4011197840194252E-2</v>
      </c>
      <c r="S318" s="14">
        <f>BT$342</f>
        <v>2.771484723001123E-2</v>
      </c>
      <c r="T318" s="14">
        <f t="shared" ref="T318:AH318" si="793">BU$342</f>
        <v>2.025083303615954E-3</v>
      </c>
      <c r="U318" s="14">
        <f t="shared" si="793"/>
        <v>1.3552480570352927E-2</v>
      </c>
      <c r="V318" s="14">
        <f t="shared" si="793"/>
        <v>0</v>
      </c>
      <c r="W318" s="14">
        <f t="shared" si="793"/>
        <v>0.1576905706846389</v>
      </c>
      <c r="X318" s="14">
        <f t="shared" si="793"/>
        <v>0</v>
      </c>
      <c r="Y318" s="14">
        <f t="shared" si="793"/>
        <v>0</v>
      </c>
      <c r="Z318" s="14">
        <f t="shared" si="793"/>
        <v>0</v>
      </c>
      <c r="AA318" s="14">
        <f t="shared" si="793"/>
        <v>0</v>
      </c>
      <c r="AB318" s="14">
        <f t="shared" si="793"/>
        <v>0.43643287397616143</v>
      </c>
      <c r="AC318" s="14">
        <f t="shared" si="793"/>
        <v>0.1792970882068218</v>
      </c>
      <c r="AD318" s="14">
        <f t="shared" si="793"/>
        <v>8.7076406980020227E-2</v>
      </c>
      <c r="AE318" s="14">
        <f t="shared" si="793"/>
        <v>0</v>
      </c>
      <c r="AF318" s="14">
        <f t="shared" si="793"/>
        <v>2.1994512081833085E-3</v>
      </c>
      <c r="AG318" s="14">
        <f t="shared" si="793"/>
        <v>0</v>
      </c>
      <c r="AH318" s="14">
        <f t="shared" si="793"/>
        <v>0</v>
      </c>
      <c r="AI318" s="76">
        <f t="shared" ref="AI318:AI349" si="794">IF(SUM(R318:AH318)&lt;&gt;0,(ROUND(SUM(R318:AH318),8)&lt;&gt;1)+0,0)</f>
        <v>0</v>
      </c>
      <c r="AK318" s="2">
        <f t="shared" si="773"/>
        <v>0</v>
      </c>
      <c r="AL318" s="2">
        <f t="shared" si="774"/>
        <v>0</v>
      </c>
      <c r="AM318" s="2">
        <f t="shared" si="774"/>
        <v>0</v>
      </c>
      <c r="AN318" s="2">
        <f t="shared" si="774"/>
        <v>0</v>
      </c>
      <c r="AO318" s="2">
        <f t="shared" si="774"/>
        <v>0</v>
      </c>
      <c r="AP318" s="2"/>
      <c r="AQ318" s="61" t="str">
        <f>E$1&amp;$A318&amp;"*      """</f>
        <v>E318*      "</v>
      </c>
      <c r="AS318" s="2">
        <f t="shared" si="775"/>
        <v>0</v>
      </c>
      <c r="AT318" s="2">
        <f t="shared" si="776"/>
        <v>0</v>
      </c>
      <c r="AU318" s="2">
        <f t="shared" si="776"/>
        <v>0</v>
      </c>
      <c r="AV318" s="2">
        <f t="shared" si="776"/>
        <v>0</v>
      </c>
      <c r="AW318" s="2">
        <f t="shared" si="776"/>
        <v>0</v>
      </c>
      <c r="AX318" s="2">
        <f t="shared" si="776"/>
        <v>0</v>
      </c>
      <c r="AY318" s="2">
        <f t="shared" si="776"/>
        <v>0</v>
      </c>
      <c r="BA318" s="2">
        <f t="shared" si="777"/>
        <v>0</v>
      </c>
      <c r="BB318" s="2">
        <f t="shared" si="778"/>
        <v>0</v>
      </c>
      <c r="BC318" s="2">
        <f t="shared" si="778"/>
        <v>0</v>
      </c>
      <c r="BD318" s="2">
        <f t="shared" si="778"/>
        <v>0</v>
      </c>
      <c r="BE318" s="2">
        <f t="shared" si="778"/>
        <v>0</v>
      </c>
      <c r="BF318" s="2">
        <f t="shared" si="778"/>
        <v>0</v>
      </c>
      <c r="BG318" s="2">
        <f t="shared" si="778"/>
        <v>0</v>
      </c>
      <c r="BI318" s="2">
        <f t="shared" si="779"/>
        <v>0</v>
      </c>
      <c r="BJ318" s="2">
        <f t="shared" si="780"/>
        <v>0</v>
      </c>
      <c r="BK318" s="2">
        <f t="shared" si="780"/>
        <v>0</v>
      </c>
      <c r="BL318" s="2">
        <f t="shared" si="780"/>
        <v>0</v>
      </c>
      <c r="BM318" s="2">
        <f t="shared" si="780"/>
        <v>0</v>
      </c>
      <c r="BN318" s="2">
        <f t="shared" si="780"/>
        <v>0</v>
      </c>
      <c r="BO318" s="2">
        <f t="shared" si="780"/>
        <v>0</v>
      </c>
      <c r="BQ318" s="28" t="s">
        <v>356</v>
      </c>
      <c r="BR318" s="23">
        <v>0</v>
      </c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120" t="str">
        <f t="shared" si="784"/>
        <v>as Labor O&amp;M Exp. (BS342)</v>
      </c>
      <c r="CL318" s="76">
        <f t="shared" si="745"/>
        <v>0</v>
      </c>
      <c r="CM318" s="2"/>
      <c r="CN318" s="2"/>
      <c r="CO318" s="2"/>
      <c r="CP318" s="2"/>
      <c r="CQ318" s="2"/>
      <c r="CR318" s="2"/>
    </row>
    <row r="319" spans="1:96">
      <c r="A319" s="50">
        <f t="shared" si="616"/>
        <v>319</v>
      </c>
      <c r="B319" t="s">
        <v>59</v>
      </c>
      <c r="D319" t="s">
        <v>60</v>
      </c>
      <c r="E319" s="2"/>
      <c r="F319" s="60"/>
      <c r="G319" s="60"/>
      <c r="I319" s="49"/>
      <c r="P319" s="61"/>
      <c r="Q319" s="61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76">
        <f t="shared" si="794"/>
        <v>0</v>
      </c>
      <c r="AQ319" s="61"/>
      <c r="BQ319" t="s">
        <v>60</v>
      </c>
      <c r="BR319" s="49"/>
      <c r="CK319" s="120"/>
      <c r="CL319" s="76">
        <f t="shared" si="745"/>
        <v>0</v>
      </c>
      <c r="CM319" s="49"/>
    </row>
    <row r="320" spans="1:96">
      <c r="A320" s="50">
        <f t="shared" si="616"/>
        <v>320</v>
      </c>
      <c r="C320" s="36" t="s">
        <v>152</v>
      </c>
      <c r="D320" s="56" t="s">
        <v>148</v>
      </c>
      <c r="E320" s="436">
        <f>PROFORMA!AV137</f>
        <v>1471000</v>
      </c>
      <c r="F320" s="61" t="s">
        <v>1159</v>
      </c>
      <c r="G320" s="60"/>
      <c r="H320" s="2">
        <f t="shared" ref="H320:H325" si="795">SUM(I320:N320)</f>
        <v>1471000</v>
      </c>
      <c r="I320" s="21">
        <f t="shared" ref="I320:N324" si="796">$E320*SUMPRODUCT($R320:$AH320,INDEX(AllocFactors,I$4,0))</f>
        <v>1287455.6327708128</v>
      </c>
      <c r="J320" s="2">
        <f t="shared" si="796"/>
        <v>139451.664472959</v>
      </c>
      <c r="K320" s="2">
        <f t="shared" si="796"/>
        <v>0</v>
      </c>
      <c r="L320" s="2">
        <f t="shared" si="796"/>
        <v>1726.6133962625081</v>
      </c>
      <c r="M320" s="2">
        <f t="shared" si="796"/>
        <v>42366.089359965685</v>
      </c>
      <c r="N320" s="2">
        <f t="shared" si="796"/>
        <v>0</v>
      </c>
      <c r="O320" s="2"/>
      <c r="P320" s="61" t="s">
        <v>1160</v>
      </c>
      <c r="Q320" s="61"/>
      <c r="R320" s="14">
        <f>R$257</f>
        <v>8.8133437743971782E-2</v>
      </c>
      <c r="S320" s="14">
        <f t="shared" ref="S320:AH320" si="797">S$257</f>
        <v>1.48122630432825E-2</v>
      </c>
      <c r="T320" s="14">
        <f t="shared" si="797"/>
        <v>6.2152272453224224E-3</v>
      </c>
      <c r="U320" s="14">
        <f t="shared" si="797"/>
        <v>4.15942131033116E-2</v>
      </c>
      <c r="V320" s="14">
        <f t="shared" si="797"/>
        <v>0</v>
      </c>
      <c r="W320" s="14">
        <f t="shared" si="797"/>
        <v>0.15413680450310352</v>
      </c>
      <c r="X320" s="14">
        <f t="shared" si="797"/>
        <v>0</v>
      </c>
      <c r="Y320" s="14">
        <f t="shared" si="797"/>
        <v>0</v>
      </c>
      <c r="Z320" s="14">
        <f t="shared" si="797"/>
        <v>0</v>
      </c>
      <c r="AA320" s="14">
        <f t="shared" si="797"/>
        <v>0</v>
      </c>
      <c r="AB320" s="14">
        <f t="shared" si="797"/>
        <v>0.45505508837908676</v>
      </c>
      <c r="AC320" s="14">
        <f t="shared" si="797"/>
        <v>0.16681683403029823</v>
      </c>
      <c r="AD320" s="14">
        <f t="shared" si="797"/>
        <v>7.1278348815059178E-2</v>
      </c>
      <c r="AE320" s="14">
        <f t="shared" si="797"/>
        <v>0</v>
      </c>
      <c r="AF320" s="14">
        <f t="shared" si="797"/>
        <v>1.9577831365640468E-3</v>
      </c>
      <c r="AG320" s="14">
        <f t="shared" si="797"/>
        <v>0</v>
      </c>
      <c r="AH320" s="14">
        <f t="shared" si="797"/>
        <v>0</v>
      </c>
      <c r="AI320" s="76">
        <f t="shared" si="794"/>
        <v>0</v>
      </c>
      <c r="AK320" s="2">
        <f t="shared" ref="AK320:AK325" si="798">SUM(AL320:AO320)</f>
        <v>1471000</v>
      </c>
      <c r="AL320" s="2">
        <f t="shared" ref="AL320:AO325" si="799">SUMIF($R$4:$AH$4,AL$5,$R320:$AH320)*$E320</f>
        <v>221760.81261089168</v>
      </c>
      <c r="AM320" s="2">
        <f t="shared" si="799"/>
        <v>226735.23942406528</v>
      </c>
      <c r="AN320" s="2">
        <f t="shared" si="799"/>
        <v>1022503.947965043</v>
      </c>
      <c r="AO320" s="2">
        <f t="shared" si="799"/>
        <v>0</v>
      </c>
      <c r="AP320" s="2"/>
      <c r="AQ320" s="61" t="str">
        <f>E$1&amp;$A320&amp;"*["&amp;R$1&amp;$A320&amp;":"&amp;$AH$1&amp;$A320&amp;" when "&amp;R$1&amp;$A$4&amp;":"&amp;$AH$1&amp;$A$4&amp;" = E,D,C,or R]"</f>
        <v>E320*[R320:AH320 when R4:AH4 = E,D,C,or R]</v>
      </c>
      <c r="AS320" s="2">
        <f t="shared" ref="AS320:AS325" si="800">SUM(AT320:AY320)</f>
        <v>221760.81261089173</v>
      </c>
      <c r="AT320" s="2">
        <f t="shared" ref="AT320:AY325" si="801">$E320*SUMPRODUCT($R320:$V320,INDEX(AllocFactors_E,AT$4,0))</f>
        <v>141299.01049009254</v>
      </c>
      <c r="AU320" s="2">
        <f t="shared" si="801"/>
        <v>58264.466807805424</v>
      </c>
      <c r="AV320" s="2">
        <f t="shared" si="801"/>
        <v>0</v>
      </c>
      <c r="AW320" s="2">
        <f t="shared" si="801"/>
        <v>909.72517968722343</v>
      </c>
      <c r="AX320" s="2">
        <f t="shared" si="801"/>
        <v>21287.610133306527</v>
      </c>
      <c r="AY320" s="2">
        <f t="shared" si="801"/>
        <v>0</v>
      </c>
      <c r="BA320" s="2">
        <f t="shared" ref="BA320:BA325" si="802">SUM(BB320:BG320)</f>
        <v>226735.23942406528</v>
      </c>
      <c r="BB320" s="2">
        <f t="shared" ref="BB320:BG325" si="803">$E320*SUMPRODUCT($W320:$AA320,INDEX(AllocFactors_D,BB$4,0))</f>
        <v>154816.68658013199</v>
      </c>
      <c r="BC320" s="2">
        <f t="shared" si="803"/>
        <v>52401.546718192629</v>
      </c>
      <c r="BD320" s="2">
        <f t="shared" si="803"/>
        <v>0</v>
      </c>
      <c r="BE320" s="2">
        <f t="shared" si="803"/>
        <v>658.30926203466174</v>
      </c>
      <c r="BF320" s="2">
        <f t="shared" si="803"/>
        <v>18858.69686370598</v>
      </c>
      <c r="BG320" s="2">
        <f t="shared" si="803"/>
        <v>0</v>
      </c>
      <c r="BI320" s="2">
        <f t="shared" ref="BI320:BI325" si="804">SUM(BJ320:BO320)</f>
        <v>1022503.9479650431</v>
      </c>
      <c r="BJ320" s="2">
        <f t="shared" ref="BJ320:BO325" si="805">$E320*SUMPRODUCT($AB320:$AG320,INDEX(AllocFactors_C,BJ$4,0))</f>
        <v>991339.93570058839</v>
      </c>
      <c r="BK320" s="2">
        <f t="shared" si="805"/>
        <v>28785.650946960948</v>
      </c>
      <c r="BL320" s="2">
        <f t="shared" si="805"/>
        <v>0</v>
      </c>
      <c r="BM320" s="2">
        <f t="shared" si="805"/>
        <v>158.5789545406231</v>
      </c>
      <c r="BN320" s="2">
        <f t="shared" si="805"/>
        <v>2219.7823629531786</v>
      </c>
      <c r="BO320" s="2">
        <f t="shared" si="805"/>
        <v>0</v>
      </c>
      <c r="BQ320" s="28" t="s">
        <v>352</v>
      </c>
      <c r="BR320" s="23">
        <v>72113</v>
      </c>
      <c r="BS320" s="14">
        <f t="shared" ref="BS320:BU321" si="806">R320</f>
        <v>8.8133437743971782E-2</v>
      </c>
      <c r="BT320" s="14">
        <f t="shared" si="806"/>
        <v>1.48122630432825E-2</v>
      </c>
      <c r="BU320" s="14">
        <f t="shared" si="806"/>
        <v>6.2152272453224224E-3</v>
      </c>
      <c r="BV320" s="14">
        <f t="shared" ref="BV320:CB321" si="807">U320</f>
        <v>4.15942131033116E-2</v>
      </c>
      <c r="BW320" s="14">
        <f t="shared" si="807"/>
        <v>0</v>
      </c>
      <c r="BX320" s="14">
        <f t="shared" si="807"/>
        <v>0.15413680450310352</v>
      </c>
      <c r="BY320" s="14">
        <f t="shared" si="807"/>
        <v>0</v>
      </c>
      <c r="BZ320" s="14">
        <f t="shared" si="807"/>
        <v>0</v>
      </c>
      <c r="CA320" s="14">
        <f t="shared" si="807"/>
        <v>0</v>
      </c>
      <c r="CB320" s="14">
        <f t="shared" si="807"/>
        <v>0</v>
      </c>
      <c r="CC320" s="14">
        <f t="shared" ref="CC320:CI321" si="808">AB320</f>
        <v>0.45505508837908676</v>
      </c>
      <c r="CD320" s="14">
        <f t="shared" si="808"/>
        <v>0.16681683403029823</v>
      </c>
      <c r="CE320" s="14">
        <f t="shared" si="808"/>
        <v>7.1278348815059178E-2</v>
      </c>
      <c r="CF320" s="14">
        <f t="shared" si="808"/>
        <v>0</v>
      </c>
      <c r="CG320" s="14">
        <f t="shared" si="808"/>
        <v>1.9577831365640468E-3</v>
      </c>
      <c r="CH320" s="14">
        <f t="shared" si="808"/>
        <v>0</v>
      </c>
      <c r="CI320" s="14">
        <f t="shared" si="808"/>
        <v>0</v>
      </c>
      <c r="CJ320" s="14"/>
      <c r="CK320" s="120" t="str">
        <f t="shared" ref="CK320:CK325" si="809">F320</f>
        <v>4-Factor</v>
      </c>
      <c r="CL320" s="76">
        <f t="shared" si="745"/>
        <v>0</v>
      </c>
      <c r="CM320" s="2">
        <f t="shared" ref="CM320:CR324" si="810">$BR320*SUMPRODUCT($BS320:$CI320,INDEX(AllocFactors,CM$170,0))</f>
        <v>63115.083647859712</v>
      </c>
      <c r="CN320" s="2">
        <f t="shared" si="810"/>
        <v>6836.3547791560113</v>
      </c>
      <c r="CO320" s="2">
        <f t="shared" si="810"/>
        <v>0</v>
      </c>
      <c r="CP320" s="2">
        <f t="shared" si="810"/>
        <v>84.643964544308801</v>
      </c>
      <c r="CQ320" s="2">
        <f t="shared" si="810"/>
        <v>2076.9176084399764</v>
      </c>
      <c r="CR320" s="2">
        <f t="shared" si="810"/>
        <v>0</v>
      </c>
    </row>
    <row r="321" spans="1:96">
      <c r="A321" s="50">
        <f t="shared" si="616"/>
        <v>321</v>
      </c>
      <c r="C321" s="36" t="s">
        <v>152</v>
      </c>
      <c r="D321" s="56" t="s">
        <v>353</v>
      </c>
      <c r="E321" s="150">
        <v>0</v>
      </c>
      <c r="F321" s="524" t="s">
        <v>445</v>
      </c>
      <c r="G321" s="60"/>
      <c r="H321" s="2">
        <f t="shared" si="795"/>
        <v>0</v>
      </c>
      <c r="I321" s="21">
        <f t="shared" si="796"/>
        <v>0</v>
      </c>
      <c r="J321" s="2">
        <f t="shared" si="796"/>
        <v>0</v>
      </c>
      <c r="K321" s="2">
        <f t="shared" si="796"/>
        <v>0</v>
      </c>
      <c r="L321" s="2">
        <f t="shared" si="796"/>
        <v>0</v>
      </c>
      <c r="M321" s="2">
        <f t="shared" si="796"/>
        <v>0</v>
      </c>
      <c r="N321" s="2">
        <f t="shared" si="796"/>
        <v>0</v>
      </c>
      <c r="O321" s="2"/>
      <c r="P321" s="61" t="str">
        <f>E$1&amp;$A321&amp;"*     """</f>
        <v>E321*     "</v>
      </c>
      <c r="Q321" s="61"/>
      <c r="R321" s="523">
        <v>1</v>
      </c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76">
        <f t="shared" si="794"/>
        <v>0</v>
      </c>
      <c r="AK321" s="2">
        <f t="shared" si="798"/>
        <v>0</v>
      </c>
      <c r="AL321" s="2">
        <f t="shared" si="799"/>
        <v>0</v>
      </c>
      <c r="AM321" s="2">
        <f t="shared" si="799"/>
        <v>0</v>
      </c>
      <c r="AN321" s="2">
        <f t="shared" si="799"/>
        <v>0</v>
      </c>
      <c r="AO321" s="2">
        <f t="shared" si="799"/>
        <v>0</v>
      </c>
      <c r="AP321" s="2"/>
      <c r="AQ321" s="61" t="str">
        <f>E$1&amp;$A321&amp;"*      """</f>
        <v>E321*      "</v>
      </c>
      <c r="AS321" s="2">
        <f t="shared" si="800"/>
        <v>0</v>
      </c>
      <c r="AT321" s="2">
        <f t="shared" si="801"/>
        <v>0</v>
      </c>
      <c r="AU321" s="2">
        <f t="shared" si="801"/>
        <v>0</v>
      </c>
      <c r="AV321" s="2">
        <f t="shared" si="801"/>
        <v>0</v>
      </c>
      <c r="AW321" s="2">
        <f t="shared" si="801"/>
        <v>0</v>
      </c>
      <c r="AX321" s="2">
        <f t="shared" si="801"/>
        <v>0</v>
      </c>
      <c r="AY321" s="2">
        <f t="shared" si="801"/>
        <v>0</v>
      </c>
      <c r="BA321" s="2">
        <f t="shared" si="802"/>
        <v>0</v>
      </c>
      <c r="BB321" s="2">
        <f t="shared" si="803"/>
        <v>0</v>
      </c>
      <c r="BC321" s="2">
        <f t="shared" si="803"/>
        <v>0</v>
      </c>
      <c r="BD321" s="2">
        <f t="shared" si="803"/>
        <v>0</v>
      </c>
      <c r="BE321" s="2">
        <f t="shared" si="803"/>
        <v>0</v>
      </c>
      <c r="BF321" s="2">
        <f t="shared" si="803"/>
        <v>0</v>
      </c>
      <c r="BG321" s="2">
        <f t="shared" si="803"/>
        <v>0</v>
      </c>
      <c r="BI321" s="2">
        <f t="shared" si="804"/>
        <v>0</v>
      </c>
      <c r="BJ321" s="2">
        <f t="shared" si="805"/>
        <v>0</v>
      </c>
      <c r="BK321" s="2">
        <f t="shared" si="805"/>
        <v>0</v>
      </c>
      <c r="BL321" s="2">
        <f t="shared" si="805"/>
        <v>0</v>
      </c>
      <c r="BM321" s="2">
        <f t="shared" si="805"/>
        <v>0</v>
      </c>
      <c r="BN321" s="2">
        <f t="shared" si="805"/>
        <v>0</v>
      </c>
      <c r="BO321" s="2">
        <f t="shared" si="805"/>
        <v>0</v>
      </c>
      <c r="BQ321" s="28" t="s">
        <v>353</v>
      </c>
      <c r="BR321" s="23">
        <v>0</v>
      </c>
      <c r="BS321" s="14">
        <f t="shared" si="806"/>
        <v>1</v>
      </c>
      <c r="BT321" s="14">
        <f t="shared" si="806"/>
        <v>0</v>
      </c>
      <c r="BU321" s="14">
        <f t="shared" si="806"/>
        <v>0</v>
      </c>
      <c r="BV321" s="14">
        <f t="shared" si="807"/>
        <v>0</v>
      </c>
      <c r="BW321" s="14">
        <f t="shared" si="807"/>
        <v>0</v>
      </c>
      <c r="BX321" s="14">
        <f t="shared" si="807"/>
        <v>0</v>
      </c>
      <c r="BY321" s="14">
        <f t="shared" si="807"/>
        <v>0</v>
      </c>
      <c r="BZ321" s="14">
        <f t="shared" si="807"/>
        <v>0</v>
      </c>
      <c r="CA321" s="14">
        <f t="shared" si="807"/>
        <v>0</v>
      </c>
      <c r="CB321" s="14">
        <f t="shared" si="807"/>
        <v>0</v>
      </c>
      <c r="CC321" s="14">
        <f t="shared" si="808"/>
        <v>0</v>
      </c>
      <c r="CD321" s="14">
        <f t="shared" si="808"/>
        <v>0</v>
      </c>
      <c r="CE321" s="14">
        <f t="shared" si="808"/>
        <v>0</v>
      </c>
      <c r="CF321" s="14">
        <f t="shared" si="808"/>
        <v>0</v>
      </c>
      <c r="CG321" s="14">
        <f t="shared" si="808"/>
        <v>0</v>
      </c>
      <c r="CH321" s="14">
        <f t="shared" si="808"/>
        <v>0</v>
      </c>
      <c r="CI321" s="14">
        <f t="shared" si="808"/>
        <v>0</v>
      </c>
      <c r="CJ321" s="14"/>
      <c r="CK321" s="120" t="str">
        <f t="shared" si="809"/>
        <v>Input - 100% Throughput</v>
      </c>
      <c r="CL321" s="76">
        <f t="shared" si="745"/>
        <v>0</v>
      </c>
      <c r="CM321" s="2">
        <f t="shared" si="810"/>
        <v>0</v>
      </c>
      <c r="CN321" s="2">
        <f t="shared" si="810"/>
        <v>0</v>
      </c>
      <c r="CO321" s="2">
        <f t="shared" si="810"/>
        <v>0</v>
      </c>
      <c r="CP321" s="2">
        <f t="shared" si="810"/>
        <v>0</v>
      </c>
      <c r="CQ321" s="2">
        <f t="shared" si="810"/>
        <v>0</v>
      </c>
      <c r="CR321" s="2">
        <f t="shared" si="810"/>
        <v>0</v>
      </c>
    </row>
    <row r="322" spans="1:96">
      <c r="A322" s="50">
        <f t="shared" si="616"/>
        <v>322</v>
      </c>
      <c r="C322" s="36" t="s">
        <v>152</v>
      </c>
      <c r="D322" s="28" t="s">
        <v>354</v>
      </c>
      <c r="E322" s="23">
        <v>0</v>
      </c>
      <c r="F322" s="60" t="str">
        <f>"as Plant in Service ("&amp;A$58&amp;")"</f>
        <v>as Plant in Service (58)</v>
      </c>
      <c r="G322" s="60"/>
      <c r="H322" s="2">
        <f t="shared" si="795"/>
        <v>0</v>
      </c>
      <c r="I322" s="21">
        <f t="shared" si="796"/>
        <v>0</v>
      </c>
      <c r="J322" s="2">
        <f t="shared" si="796"/>
        <v>0</v>
      </c>
      <c r="K322" s="2">
        <f t="shared" si="796"/>
        <v>0</v>
      </c>
      <c r="L322" s="2">
        <f t="shared" si="796"/>
        <v>0</v>
      </c>
      <c r="M322" s="2">
        <f t="shared" si="796"/>
        <v>0</v>
      </c>
      <c r="N322" s="2">
        <f t="shared" si="796"/>
        <v>0</v>
      </c>
      <c r="O322" s="2"/>
      <c r="P322" s="61" t="str">
        <f>E$1&amp;$A322&amp;"*     """</f>
        <v>E322*     "</v>
      </c>
      <c r="Q322" s="61"/>
      <c r="R322" s="14">
        <f>R$58</f>
        <v>0.15278530527507739</v>
      </c>
      <c r="S322" s="14">
        <f t="shared" ref="S322:AH322" si="811">S$58</f>
        <v>3.164969422787912E-3</v>
      </c>
      <c r="T322" s="14">
        <f t="shared" si="811"/>
        <v>6.9829362297418388E-3</v>
      </c>
      <c r="U322" s="14">
        <f t="shared" si="811"/>
        <v>4.673195784519539E-2</v>
      </c>
      <c r="V322" s="14">
        <f t="shared" si="811"/>
        <v>0</v>
      </c>
      <c r="W322" s="14">
        <f t="shared" si="811"/>
        <v>0.27991526808724082</v>
      </c>
      <c r="X322" s="14">
        <f t="shared" si="811"/>
        <v>0</v>
      </c>
      <c r="Y322" s="14">
        <f t="shared" si="811"/>
        <v>0</v>
      </c>
      <c r="Z322" s="14">
        <f t="shared" si="811"/>
        <v>0</v>
      </c>
      <c r="AA322" s="14">
        <f t="shared" si="811"/>
        <v>0</v>
      </c>
      <c r="AB322" s="14">
        <f t="shared" si="811"/>
        <v>9.7232640022350991E-2</v>
      </c>
      <c r="AC322" s="14">
        <f t="shared" si="811"/>
        <v>0.29403559958561315</v>
      </c>
      <c r="AD322" s="14">
        <f t="shared" si="811"/>
        <v>0.1147688867063851</v>
      </c>
      <c r="AE322" s="14">
        <f t="shared" si="811"/>
        <v>0</v>
      </c>
      <c r="AF322" s="14">
        <f t="shared" si="811"/>
        <v>4.3824368256074331E-3</v>
      </c>
      <c r="AG322" s="14">
        <f t="shared" si="811"/>
        <v>0</v>
      </c>
      <c r="AH322" s="14">
        <f t="shared" si="811"/>
        <v>0</v>
      </c>
      <c r="AI322" s="76">
        <f t="shared" si="794"/>
        <v>0</v>
      </c>
      <c r="AK322" s="2">
        <f t="shared" si="798"/>
        <v>0</v>
      </c>
      <c r="AL322" s="2">
        <f t="shared" si="799"/>
        <v>0</v>
      </c>
      <c r="AM322" s="2">
        <f t="shared" si="799"/>
        <v>0</v>
      </c>
      <c r="AN322" s="2">
        <f t="shared" si="799"/>
        <v>0</v>
      </c>
      <c r="AO322" s="2">
        <f t="shared" si="799"/>
        <v>0</v>
      </c>
      <c r="AP322" s="2"/>
      <c r="AQ322" s="61" t="str">
        <f>E$1&amp;$A322&amp;"*      """</f>
        <v>E322*      "</v>
      </c>
      <c r="AS322" s="2">
        <f t="shared" si="800"/>
        <v>0</v>
      </c>
      <c r="AT322" s="2">
        <f t="shared" si="801"/>
        <v>0</v>
      </c>
      <c r="AU322" s="2">
        <f t="shared" si="801"/>
        <v>0</v>
      </c>
      <c r="AV322" s="2">
        <f t="shared" si="801"/>
        <v>0</v>
      </c>
      <c r="AW322" s="2">
        <f t="shared" si="801"/>
        <v>0</v>
      </c>
      <c r="AX322" s="2">
        <f t="shared" si="801"/>
        <v>0</v>
      </c>
      <c r="AY322" s="2">
        <f t="shared" si="801"/>
        <v>0</v>
      </c>
      <c r="BA322" s="2">
        <f t="shared" si="802"/>
        <v>0</v>
      </c>
      <c r="BB322" s="2">
        <f t="shared" si="803"/>
        <v>0</v>
      </c>
      <c r="BC322" s="2">
        <f t="shared" si="803"/>
        <v>0</v>
      </c>
      <c r="BD322" s="2">
        <f t="shared" si="803"/>
        <v>0</v>
      </c>
      <c r="BE322" s="2">
        <f t="shared" si="803"/>
        <v>0</v>
      </c>
      <c r="BF322" s="2">
        <f t="shared" si="803"/>
        <v>0</v>
      </c>
      <c r="BG322" s="2">
        <f t="shared" si="803"/>
        <v>0</v>
      </c>
      <c r="BI322" s="2">
        <f t="shared" si="804"/>
        <v>0</v>
      </c>
      <c r="BJ322" s="2">
        <f t="shared" si="805"/>
        <v>0</v>
      </c>
      <c r="BK322" s="2">
        <f t="shared" si="805"/>
        <v>0</v>
      </c>
      <c r="BL322" s="2">
        <f t="shared" si="805"/>
        <v>0</v>
      </c>
      <c r="BM322" s="2">
        <f t="shared" si="805"/>
        <v>0</v>
      </c>
      <c r="BN322" s="2">
        <f t="shared" si="805"/>
        <v>0</v>
      </c>
      <c r="BO322" s="2">
        <f t="shared" si="805"/>
        <v>0</v>
      </c>
      <c r="BQ322" s="28" t="s">
        <v>354</v>
      </c>
      <c r="BR322" s="23">
        <v>0</v>
      </c>
      <c r="BS322" s="14">
        <f>R$58</f>
        <v>0.15278530527507739</v>
      </c>
      <c r="BT322" s="14">
        <f>S$58</f>
        <v>3.164969422787912E-3</v>
      </c>
      <c r="BU322" s="14">
        <f>T$58</f>
        <v>6.9829362297418388E-3</v>
      </c>
      <c r="BV322" s="14">
        <f t="shared" ref="BV322:CI322" si="812">U$58</f>
        <v>4.673195784519539E-2</v>
      </c>
      <c r="BW322" s="14">
        <f t="shared" si="812"/>
        <v>0</v>
      </c>
      <c r="BX322" s="14">
        <f t="shared" si="812"/>
        <v>0.27991526808724082</v>
      </c>
      <c r="BY322" s="14">
        <f t="shared" si="812"/>
        <v>0</v>
      </c>
      <c r="BZ322" s="14">
        <f t="shared" si="812"/>
        <v>0</v>
      </c>
      <c r="CA322" s="14">
        <f t="shared" si="812"/>
        <v>0</v>
      </c>
      <c r="CB322" s="14">
        <f t="shared" si="812"/>
        <v>0</v>
      </c>
      <c r="CC322" s="14">
        <f t="shared" si="812"/>
        <v>9.7232640022350991E-2</v>
      </c>
      <c r="CD322" s="14">
        <f t="shared" si="812"/>
        <v>0.29403559958561315</v>
      </c>
      <c r="CE322" s="14">
        <f t="shared" si="812"/>
        <v>0.1147688867063851</v>
      </c>
      <c r="CF322" s="14">
        <f t="shared" si="812"/>
        <v>0</v>
      </c>
      <c r="CG322" s="14">
        <f t="shared" si="812"/>
        <v>4.3824368256074331E-3</v>
      </c>
      <c r="CH322" s="14">
        <f t="shared" si="812"/>
        <v>0</v>
      </c>
      <c r="CI322" s="14">
        <f t="shared" si="812"/>
        <v>0</v>
      </c>
      <c r="CJ322" s="14"/>
      <c r="CK322" s="120" t="str">
        <f t="shared" si="809"/>
        <v>as Plant in Service (58)</v>
      </c>
      <c r="CL322" s="76">
        <f t="shared" si="745"/>
        <v>0</v>
      </c>
      <c r="CM322" s="2">
        <f t="shared" si="810"/>
        <v>0</v>
      </c>
      <c r="CN322" s="2">
        <f t="shared" si="810"/>
        <v>0</v>
      </c>
      <c r="CO322" s="2">
        <f t="shared" si="810"/>
        <v>0</v>
      </c>
      <c r="CP322" s="2">
        <f t="shared" si="810"/>
        <v>0</v>
      </c>
      <c r="CQ322" s="2">
        <f t="shared" si="810"/>
        <v>0</v>
      </c>
      <c r="CR322" s="2">
        <f t="shared" si="810"/>
        <v>0</v>
      </c>
    </row>
    <row r="323" spans="1:96">
      <c r="A323" s="50">
        <f t="shared" si="616"/>
        <v>323</v>
      </c>
      <c r="C323" s="36" t="s">
        <v>157</v>
      </c>
      <c r="D323" s="28" t="s">
        <v>355</v>
      </c>
      <c r="E323" s="23">
        <v>0</v>
      </c>
      <c r="F323" s="60" t="s">
        <v>451</v>
      </c>
      <c r="G323" s="60"/>
      <c r="H323" s="2">
        <f t="shared" si="795"/>
        <v>0</v>
      </c>
      <c r="I323" s="21">
        <f t="shared" si="796"/>
        <v>0</v>
      </c>
      <c r="J323" s="2">
        <f t="shared" si="796"/>
        <v>0</v>
      </c>
      <c r="K323" s="2">
        <f t="shared" si="796"/>
        <v>0</v>
      </c>
      <c r="L323" s="2">
        <f t="shared" si="796"/>
        <v>0</v>
      </c>
      <c r="M323" s="2">
        <f t="shared" si="796"/>
        <v>0</v>
      </c>
      <c r="N323" s="2">
        <f t="shared" si="796"/>
        <v>0</v>
      </c>
      <c r="O323" s="2"/>
      <c r="P323" s="61" t="str">
        <f>E$1&amp;$A323&amp;"*     """</f>
        <v>E323*     "</v>
      </c>
      <c r="Q323" s="61"/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1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76">
        <f t="shared" si="794"/>
        <v>0</v>
      </c>
      <c r="AK323" s="2">
        <f t="shared" si="798"/>
        <v>0</v>
      </c>
      <c r="AL323" s="2">
        <f t="shared" si="799"/>
        <v>0</v>
      </c>
      <c r="AM323" s="2">
        <f t="shared" si="799"/>
        <v>0</v>
      </c>
      <c r="AN323" s="2">
        <f t="shared" si="799"/>
        <v>0</v>
      </c>
      <c r="AO323" s="2">
        <f t="shared" si="799"/>
        <v>0</v>
      </c>
      <c r="AP323" s="2"/>
      <c r="AQ323" s="61" t="str">
        <f>E$1&amp;$A323&amp;"*      """</f>
        <v>E323*      "</v>
      </c>
      <c r="AS323" s="2">
        <f t="shared" si="800"/>
        <v>0</v>
      </c>
      <c r="AT323" s="2">
        <f t="shared" si="801"/>
        <v>0</v>
      </c>
      <c r="AU323" s="2">
        <f t="shared" si="801"/>
        <v>0</v>
      </c>
      <c r="AV323" s="2">
        <f t="shared" si="801"/>
        <v>0</v>
      </c>
      <c r="AW323" s="2">
        <f t="shared" si="801"/>
        <v>0</v>
      </c>
      <c r="AX323" s="2">
        <f t="shared" si="801"/>
        <v>0</v>
      </c>
      <c r="AY323" s="2">
        <f t="shared" si="801"/>
        <v>0</v>
      </c>
      <c r="BA323" s="2">
        <f t="shared" si="802"/>
        <v>0</v>
      </c>
      <c r="BB323" s="2">
        <f t="shared" si="803"/>
        <v>0</v>
      </c>
      <c r="BC323" s="2">
        <f t="shared" si="803"/>
        <v>0</v>
      </c>
      <c r="BD323" s="2">
        <f t="shared" si="803"/>
        <v>0</v>
      </c>
      <c r="BE323" s="2">
        <f t="shared" si="803"/>
        <v>0</v>
      </c>
      <c r="BF323" s="2">
        <f t="shared" si="803"/>
        <v>0</v>
      </c>
      <c r="BG323" s="2">
        <f t="shared" si="803"/>
        <v>0</v>
      </c>
      <c r="BI323" s="2">
        <f t="shared" si="804"/>
        <v>0</v>
      </c>
      <c r="BJ323" s="2">
        <f t="shared" si="805"/>
        <v>0</v>
      </c>
      <c r="BK323" s="2">
        <f t="shared" si="805"/>
        <v>0</v>
      </c>
      <c r="BL323" s="2">
        <f t="shared" si="805"/>
        <v>0</v>
      </c>
      <c r="BM323" s="2">
        <f t="shared" si="805"/>
        <v>0</v>
      </c>
      <c r="BN323" s="2">
        <f t="shared" si="805"/>
        <v>0</v>
      </c>
      <c r="BO323" s="2">
        <f t="shared" si="805"/>
        <v>0</v>
      </c>
      <c r="BQ323" s="28" t="s">
        <v>355</v>
      </c>
      <c r="BR323" s="23">
        <v>0</v>
      </c>
      <c r="BS323" s="14">
        <f t="shared" ref="BS323:BU324" si="813">R323</f>
        <v>0</v>
      </c>
      <c r="BT323" s="14">
        <f t="shared" si="813"/>
        <v>0</v>
      </c>
      <c r="BU323" s="14">
        <f t="shared" si="813"/>
        <v>0</v>
      </c>
      <c r="BV323" s="14">
        <f t="shared" ref="BV323:CB324" si="814">U323</f>
        <v>0</v>
      </c>
      <c r="BW323" s="14">
        <f t="shared" si="814"/>
        <v>0</v>
      </c>
      <c r="BX323" s="14">
        <f t="shared" si="814"/>
        <v>0</v>
      </c>
      <c r="BY323" s="14">
        <f t="shared" si="814"/>
        <v>0</v>
      </c>
      <c r="BZ323" s="14">
        <f t="shared" si="814"/>
        <v>0</v>
      </c>
      <c r="CA323" s="14">
        <f t="shared" si="814"/>
        <v>0</v>
      </c>
      <c r="CB323" s="14">
        <f t="shared" si="814"/>
        <v>0</v>
      </c>
      <c r="CC323" s="14">
        <f t="shared" ref="CC323:CF324" si="815">AB323</f>
        <v>1</v>
      </c>
      <c r="CD323" s="14">
        <f t="shared" si="815"/>
        <v>0</v>
      </c>
      <c r="CE323" s="14">
        <f t="shared" si="815"/>
        <v>0</v>
      </c>
      <c r="CF323" s="14">
        <f t="shared" si="815"/>
        <v>0</v>
      </c>
      <c r="CG323" s="14">
        <f t="shared" ref="CG323:CI324" si="816">AF323</f>
        <v>0</v>
      </c>
      <c r="CH323" s="14">
        <f t="shared" si="816"/>
        <v>0</v>
      </c>
      <c r="CI323" s="14">
        <f t="shared" si="816"/>
        <v>0</v>
      </c>
      <c r="CJ323" s="14"/>
      <c r="CK323" s="120" t="str">
        <f t="shared" si="809"/>
        <v>Input - 100% Cust</v>
      </c>
      <c r="CL323" s="76">
        <f t="shared" si="745"/>
        <v>0</v>
      </c>
      <c r="CM323" s="2">
        <f t="shared" si="810"/>
        <v>0</v>
      </c>
      <c r="CN323" s="2">
        <f t="shared" si="810"/>
        <v>0</v>
      </c>
      <c r="CO323" s="2">
        <f t="shared" si="810"/>
        <v>0</v>
      </c>
      <c r="CP323" s="2">
        <f t="shared" si="810"/>
        <v>0</v>
      </c>
      <c r="CQ323" s="2">
        <f t="shared" si="810"/>
        <v>0</v>
      </c>
      <c r="CR323" s="2">
        <f t="shared" si="810"/>
        <v>0</v>
      </c>
    </row>
    <row r="324" spans="1:96">
      <c r="A324" s="50">
        <f t="shared" si="616"/>
        <v>324</v>
      </c>
      <c r="C324" s="36" t="s">
        <v>156</v>
      </c>
      <c r="D324" s="28" t="s">
        <v>351</v>
      </c>
      <c r="E324" s="23">
        <v>0</v>
      </c>
      <c r="F324" s="60" t="s">
        <v>452</v>
      </c>
      <c r="G324" s="60"/>
      <c r="H324" s="2">
        <f t="shared" si="795"/>
        <v>0</v>
      </c>
      <c r="I324" s="21">
        <f t="shared" si="796"/>
        <v>0</v>
      </c>
      <c r="J324" s="2">
        <f t="shared" si="796"/>
        <v>0</v>
      </c>
      <c r="K324" s="2">
        <f t="shared" si="796"/>
        <v>0</v>
      </c>
      <c r="L324" s="2">
        <f t="shared" si="796"/>
        <v>0</v>
      </c>
      <c r="M324" s="2">
        <f t="shared" si="796"/>
        <v>0</v>
      </c>
      <c r="N324" s="2">
        <f t="shared" si="796"/>
        <v>0</v>
      </c>
      <c r="O324" s="2"/>
      <c r="P324" s="61" t="str">
        <f>E$1&amp;$A324&amp;"*     """</f>
        <v>E324*     "</v>
      </c>
      <c r="Q324" s="61"/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1</v>
      </c>
      <c r="AI324" s="76">
        <f t="shared" si="794"/>
        <v>0</v>
      </c>
      <c r="AK324" s="2">
        <f t="shared" si="798"/>
        <v>0</v>
      </c>
      <c r="AL324" s="2">
        <f t="shared" si="799"/>
        <v>0</v>
      </c>
      <c r="AM324" s="2">
        <f t="shared" si="799"/>
        <v>0</v>
      </c>
      <c r="AN324" s="2">
        <f t="shared" si="799"/>
        <v>0</v>
      </c>
      <c r="AO324" s="2">
        <f t="shared" si="799"/>
        <v>0</v>
      </c>
      <c r="AP324" s="2"/>
      <c r="AQ324" s="61" t="str">
        <f>E$1&amp;$A324&amp;"*      """</f>
        <v>E324*      "</v>
      </c>
      <c r="AS324" s="2">
        <f t="shared" si="800"/>
        <v>0</v>
      </c>
      <c r="AT324" s="2">
        <f t="shared" si="801"/>
        <v>0</v>
      </c>
      <c r="AU324" s="2">
        <f t="shared" si="801"/>
        <v>0</v>
      </c>
      <c r="AV324" s="2">
        <f t="shared" si="801"/>
        <v>0</v>
      </c>
      <c r="AW324" s="2">
        <f t="shared" si="801"/>
        <v>0</v>
      </c>
      <c r="AX324" s="2">
        <f t="shared" si="801"/>
        <v>0</v>
      </c>
      <c r="AY324" s="2">
        <f t="shared" si="801"/>
        <v>0</v>
      </c>
      <c r="BA324" s="2">
        <f t="shared" si="802"/>
        <v>0</v>
      </c>
      <c r="BB324" s="2">
        <f t="shared" si="803"/>
        <v>0</v>
      </c>
      <c r="BC324" s="2">
        <f t="shared" si="803"/>
        <v>0</v>
      </c>
      <c r="BD324" s="2">
        <f t="shared" si="803"/>
        <v>0</v>
      </c>
      <c r="BE324" s="2">
        <f t="shared" si="803"/>
        <v>0</v>
      </c>
      <c r="BF324" s="2">
        <f t="shared" si="803"/>
        <v>0</v>
      </c>
      <c r="BG324" s="2">
        <f t="shared" si="803"/>
        <v>0</v>
      </c>
      <c r="BI324" s="2">
        <f t="shared" si="804"/>
        <v>0</v>
      </c>
      <c r="BJ324" s="2">
        <f t="shared" si="805"/>
        <v>0</v>
      </c>
      <c r="BK324" s="2">
        <f t="shared" si="805"/>
        <v>0</v>
      </c>
      <c r="BL324" s="2">
        <f t="shared" si="805"/>
        <v>0</v>
      </c>
      <c r="BM324" s="2">
        <f t="shared" si="805"/>
        <v>0</v>
      </c>
      <c r="BN324" s="2">
        <f t="shared" si="805"/>
        <v>0</v>
      </c>
      <c r="BO324" s="2">
        <f t="shared" si="805"/>
        <v>0</v>
      </c>
      <c r="BQ324" s="28" t="s">
        <v>351</v>
      </c>
      <c r="BR324" s="23">
        <v>0</v>
      </c>
      <c r="BS324" s="14">
        <f t="shared" si="813"/>
        <v>0</v>
      </c>
      <c r="BT324" s="14">
        <f t="shared" si="813"/>
        <v>0</v>
      </c>
      <c r="BU324" s="14">
        <f t="shared" si="813"/>
        <v>0</v>
      </c>
      <c r="BV324" s="14">
        <f t="shared" si="814"/>
        <v>0</v>
      </c>
      <c r="BW324" s="14">
        <f t="shared" si="814"/>
        <v>0</v>
      </c>
      <c r="BX324" s="14">
        <f t="shared" si="814"/>
        <v>0</v>
      </c>
      <c r="BY324" s="14">
        <f t="shared" si="814"/>
        <v>0</v>
      </c>
      <c r="BZ324" s="14">
        <f t="shared" si="814"/>
        <v>0</v>
      </c>
      <c r="CA324" s="14">
        <f t="shared" si="814"/>
        <v>0</v>
      </c>
      <c r="CB324" s="14">
        <f t="shared" si="814"/>
        <v>0</v>
      </c>
      <c r="CC324" s="14">
        <f t="shared" si="815"/>
        <v>0</v>
      </c>
      <c r="CD324" s="14">
        <f t="shared" si="815"/>
        <v>0</v>
      </c>
      <c r="CE324" s="14">
        <f t="shared" si="815"/>
        <v>0</v>
      </c>
      <c r="CF324" s="14">
        <f t="shared" si="815"/>
        <v>0</v>
      </c>
      <c r="CG324" s="14">
        <f t="shared" si="816"/>
        <v>0</v>
      </c>
      <c r="CH324" s="14">
        <f t="shared" si="816"/>
        <v>0</v>
      </c>
      <c r="CI324" s="14">
        <f t="shared" si="816"/>
        <v>1</v>
      </c>
      <c r="CJ324" s="14"/>
      <c r="CK324" s="120" t="str">
        <f t="shared" si="809"/>
        <v>Input - 100% Rev</v>
      </c>
      <c r="CL324" s="76">
        <f t="shared" si="745"/>
        <v>0</v>
      </c>
      <c r="CM324" s="2">
        <f t="shared" si="810"/>
        <v>0</v>
      </c>
      <c r="CN324" s="2">
        <f t="shared" si="810"/>
        <v>0</v>
      </c>
      <c r="CO324" s="2">
        <f t="shared" si="810"/>
        <v>0</v>
      </c>
      <c r="CP324" s="2">
        <f t="shared" si="810"/>
        <v>0</v>
      </c>
      <c r="CQ324" s="2">
        <f t="shared" si="810"/>
        <v>0</v>
      </c>
      <c r="CR324" s="2">
        <f t="shared" si="810"/>
        <v>0</v>
      </c>
    </row>
    <row r="325" spans="1:96">
      <c r="A325" s="50">
        <f t="shared" si="616"/>
        <v>325</v>
      </c>
      <c r="C325" s="36" t="s">
        <v>152</v>
      </c>
      <c r="D325" s="28" t="s">
        <v>356</v>
      </c>
      <c r="E325" s="23">
        <v>0</v>
      </c>
      <c r="F325" s="60" t="str">
        <f>"as Labor O&amp;M Exp. ("&amp;BS$1&amp;A$342&amp;")"</f>
        <v>as Labor O&amp;M Exp. (BS342)</v>
      </c>
      <c r="G325" s="60"/>
      <c r="H325" s="2">
        <f t="shared" si="795"/>
        <v>0</v>
      </c>
      <c r="I325" s="21">
        <f t="shared" ref="I325:N325" si="817">$E325*CM$342/$BR$342</f>
        <v>0</v>
      </c>
      <c r="J325" s="21">
        <f t="shared" si="817"/>
        <v>0</v>
      </c>
      <c r="K325" s="21">
        <f t="shared" si="817"/>
        <v>0</v>
      </c>
      <c r="L325" s="21">
        <f t="shared" si="817"/>
        <v>0</v>
      </c>
      <c r="M325" s="21">
        <f t="shared" si="817"/>
        <v>0</v>
      </c>
      <c r="N325" s="21">
        <f t="shared" si="817"/>
        <v>0</v>
      </c>
      <c r="O325" s="2"/>
      <c r="P325" s="61" t="str">
        <f>E$1&amp;$A325&amp;"* "&amp;CM$1&amp;A$342&amp;" / "&amp;BR$1&amp;A$342</f>
        <v>E325* CM342 / BR342</v>
      </c>
      <c r="Q325" s="61"/>
      <c r="R325" s="14">
        <f>BS$342</f>
        <v>9.4011197840194252E-2</v>
      </c>
      <c r="S325" s="14">
        <f>BT$342</f>
        <v>2.771484723001123E-2</v>
      </c>
      <c r="T325" s="14">
        <f t="shared" ref="T325:AH325" si="818">BU$342</f>
        <v>2.025083303615954E-3</v>
      </c>
      <c r="U325" s="14">
        <f t="shared" si="818"/>
        <v>1.3552480570352927E-2</v>
      </c>
      <c r="V325" s="14">
        <f t="shared" si="818"/>
        <v>0</v>
      </c>
      <c r="W325" s="14">
        <f t="shared" si="818"/>
        <v>0.1576905706846389</v>
      </c>
      <c r="X325" s="14">
        <f t="shared" si="818"/>
        <v>0</v>
      </c>
      <c r="Y325" s="14">
        <f t="shared" si="818"/>
        <v>0</v>
      </c>
      <c r="Z325" s="14">
        <f t="shared" si="818"/>
        <v>0</v>
      </c>
      <c r="AA325" s="14">
        <f t="shared" si="818"/>
        <v>0</v>
      </c>
      <c r="AB325" s="14">
        <f t="shared" si="818"/>
        <v>0.43643287397616143</v>
      </c>
      <c r="AC325" s="14">
        <f t="shared" si="818"/>
        <v>0.1792970882068218</v>
      </c>
      <c r="AD325" s="14">
        <f t="shared" si="818"/>
        <v>8.7076406980020227E-2</v>
      </c>
      <c r="AE325" s="14">
        <f t="shared" si="818"/>
        <v>0</v>
      </c>
      <c r="AF325" s="14">
        <f t="shared" si="818"/>
        <v>2.1994512081833085E-3</v>
      </c>
      <c r="AG325" s="14">
        <f t="shared" si="818"/>
        <v>0</v>
      </c>
      <c r="AH325" s="14">
        <f t="shared" si="818"/>
        <v>0</v>
      </c>
      <c r="AI325" s="76">
        <f t="shared" si="794"/>
        <v>0</v>
      </c>
      <c r="AK325" s="2">
        <f t="shared" si="798"/>
        <v>0</v>
      </c>
      <c r="AL325" s="2">
        <f t="shared" si="799"/>
        <v>0</v>
      </c>
      <c r="AM325" s="2">
        <f t="shared" si="799"/>
        <v>0</v>
      </c>
      <c r="AN325" s="2">
        <f t="shared" si="799"/>
        <v>0</v>
      </c>
      <c r="AO325" s="2">
        <f t="shared" si="799"/>
        <v>0</v>
      </c>
      <c r="AP325" s="2"/>
      <c r="AQ325" s="61" t="str">
        <f>E$1&amp;$A325&amp;"*      """</f>
        <v>E325*      "</v>
      </c>
      <c r="AS325" s="2">
        <f t="shared" si="800"/>
        <v>0</v>
      </c>
      <c r="AT325" s="2">
        <f t="shared" si="801"/>
        <v>0</v>
      </c>
      <c r="AU325" s="2">
        <f t="shared" si="801"/>
        <v>0</v>
      </c>
      <c r="AV325" s="2">
        <f t="shared" si="801"/>
        <v>0</v>
      </c>
      <c r="AW325" s="2">
        <f t="shared" si="801"/>
        <v>0</v>
      </c>
      <c r="AX325" s="2">
        <f t="shared" si="801"/>
        <v>0</v>
      </c>
      <c r="AY325" s="2">
        <f t="shared" si="801"/>
        <v>0</v>
      </c>
      <c r="BA325" s="2">
        <f t="shared" si="802"/>
        <v>0</v>
      </c>
      <c r="BB325" s="2">
        <f t="shared" si="803"/>
        <v>0</v>
      </c>
      <c r="BC325" s="2">
        <f t="shared" si="803"/>
        <v>0</v>
      </c>
      <c r="BD325" s="2">
        <f t="shared" si="803"/>
        <v>0</v>
      </c>
      <c r="BE325" s="2">
        <f t="shared" si="803"/>
        <v>0</v>
      </c>
      <c r="BF325" s="2">
        <f t="shared" si="803"/>
        <v>0</v>
      </c>
      <c r="BG325" s="2">
        <f t="shared" si="803"/>
        <v>0</v>
      </c>
      <c r="BI325" s="2">
        <f t="shared" si="804"/>
        <v>0</v>
      </c>
      <c r="BJ325" s="2">
        <f t="shared" si="805"/>
        <v>0</v>
      </c>
      <c r="BK325" s="2">
        <f t="shared" si="805"/>
        <v>0</v>
      </c>
      <c r="BL325" s="2">
        <f t="shared" si="805"/>
        <v>0</v>
      </c>
      <c r="BM325" s="2">
        <f t="shared" si="805"/>
        <v>0</v>
      </c>
      <c r="BN325" s="2">
        <f t="shared" si="805"/>
        <v>0</v>
      </c>
      <c r="BO325" s="2">
        <f t="shared" si="805"/>
        <v>0</v>
      </c>
      <c r="BQ325" s="28" t="s">
        <v>356</v>
      </c>
      <c r="BR325" s="23">
        <v>0</v>
      </c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120" t="str">
        <f t="shared" si="809"/>
        <v>as Labor O&amp;M Exp. (BS342)</v>
      </c>
      <c r="CL325" s="76">
        <f t="shared" si="745"/>
        <v>0</v>
      </c>
      <c r="CM325" s="2"/>
      <c r="CN325" s="2"/>
      <c r="CO325" s="2"/>
      <c r="CP325" s="2"/>
      <c r="CQ325" s="2"/>
      <c r="CR325" s="2"/>
    </row>
    <row r="326" spans="1:96">
      <c r="A326" s="50">
        <f t="shared" si="616"/>
        <v>326</v>
      </c>
      <c r="B326" t="s">
        <v>61</v>
      </c>
      <c r="D326" t="s">
        <v>2</v>
      </c>
      <c r="E326" s="2"/>
      <c r="F326" s="60"/>
      <c r="G326" s="60"/>
      <c r="I326" s="49"/>
      <c r="P326" s="61"/>
      <c r="Q326" s="61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76">
        <f t="shared" si="794"/>
        <v>0</v>
      </c>
      <c r="AQ326" s="61"/>
      <c r="BQ326" t="s">
        <v>2</v>
      </c>
      <c r="BR326" s="49"/>
      <c r="CK326" s="120"/>
      <c r="CL326" s="76">
        <f t="shared" si="745"/>
        <v>0</v>
      </c>
      <c r="CM326" s="49"/>
    </row>
    <row r="327" spans="1:96">
      <c r="A327" s="50">
        <f t="shared" si="616"/>
        <v>327</v>
      </c>
      <c r="C327" s="36" t="s">
        <v>152</v>
      </c>
      <c r="D327" s="56" t="s">
        <v>148</v>
      </c>
      <c r="E327" s="436">
        <f>PROFORMA!AV138</f>
        <v>72000</v>
      </c>
      <c r="F327" s="61" t="s">
        <v>1159</v>
      </c>
      <c r="G327" s="60"/>
      <c r="H327" s="2">
        <f t="shared" ref="H327:H332" si="819">SUM(I327:N327)</f>
        <v>72000.000000000015</v>
      </c>
      <c r="I327" s="21">
        <f t="shared" ref="I327:N331" si="820">$E327*SUMPRODUCT($R327:$AH327,INDEX(AllocFactors,I$4,0))</f>
        <v>63016.183249149239</v>
      </c>
      <c r="J327" s="2">
        <f t="shared" si="820"/>
        <v>6825.6423127485041</v>
      </c>
      <c r="K327" s="2">
        <f t="shared" si="820"/>
        <v>0</v>
      </c>
      <c r="L327" s="2">
        <f t="shared" si="820"/>
        <v>84.511328708973892</v>
      </c>
      <c r="M327" s="2">
        <f t="shared" si="820"/>
        <v>2073.6631093932901</v>
      </c>
      <c r="N327" s="2">
        <f t="shared" si="820"/>
        <v>0</v>
      </c>
      <c r="O327" s="2"/>
      <c r="P327" s="61" t="s">
        <v>1160</v>
      </c>
      <c r="Q327" s="61"/>
      <c r="R327" s="14">
        <f>R$257</f>
        <v>8.8133437743971782E-2</v>
      </c>
      <c r="S327" s="14">
        <f t="shared" ref="S327:AH328" si="821">S$257</f>
        <v>1.48122630432825E-2</v>
      </c>
      <c r="T327" s="14">
        <f t="shared" si="821"/>
        <v>6.2152272453224224E-3</v>
      </c>
      <c r="U327" s="14">
        <f t="shared" si="821"/>
        <v>4.15942131033116E-2</v>
      </c>
      <c r="V327" s="14">
        <f t="shared" si="821"/>
        <v>0</v>
      </c>
      <c r="W327" s="14">
        <f t="shared" si="821"/>
        <v>0.15413680450310352</v>
      </c>
      <c r="X327" s="14">
        <f t="shared" si="821"/>
        <v>0</v>
      </c>
      <c r="Y327" s="14">
        <f t="shared" si="821"/>
        <v>0</v>
      </c>
      <c r="Z327" s="14">
        <f t="shared" si="821"/>
        <v>0</v>
      </c>
      <c r="AA327" s="14">
        <f t="shared" si="821"/>
        <v>0</v>
      </c>
      <c r="AB327" s="14">
        <f t="shared" si="821"/>
        <v>0.45505508837908676</v>
      </c>
      <c r="AC327" s="14">
        <f t="shared" si="821"/>
        <v>0.16681683403029823</v>
      </c>
      <c r="AD327" s="14">
        <f t="shared" si="821"/>
        <v>7.1278348815059178E-2</v>
      </c>
      <c r="AE327" s="14">
        <f t="shared" si="821"/>
        <v>0</v>
      </c>
      <c r="AF327" s="14">
        <f t="shared" si="821"/>
        <v>1.9577831365640468E-3</v>
      </c>
      <c r="AG327" s="14">
        <f t="shared" si="821"/>
        <v>0</v>
      </c>
      <c r="AH327" s="14">
        <f t="shared" si="821"/>
        <v>0</v>
      </c>
      <c r="AI327" s="76">
        <f t="shared" si="794"/>
        <v>0</v>
      </c>
      <c r="AK327" s="2">
        <f t="shared" ref="AK327:AK332" si="822">SUM(AL327:AO327)</f>
        <v>72000</v>
      </c>
      <c r="AL327" s="2">
        <f t="shared" ref="AL327:AO332" si="823">SUMIF($R$4:$AH$4,AL$5,$R327:$AH327)*$E327</f>
        <v>10854.370161783956</v>
      </c>
      <c r="AM327" s="2">
        <f t="shared" si="823"/>
        <v>11097.849924223454</v>
      </c>
      <c r="AN327" s="2">
        <f t="shared" si="823"/>
        <v>50047.779913992592</v>
      </c>
      <c r="AO327" s="2">
        <f t="shared" si="823"/>
        <v>0</v>
      </c>
      <c r="AP327" s="2"/>
      <c r="AQ327" s="61" t="str">
        <f>E$1&amp;$A327&amp;"*["&amp;R$1&amp;$A327&amp;":"&amp;$AH$1&amp;$A327&amp;" when "&amp;R$1&amp;$A$4&amp;":"&amp;$AH$1&amp;$A$4&amp;" = E,D,C,or R]"</f>
        <v>E327*[R327:AH327 when R4:AH4 = E,D,C,or R]</v>
      </c>
      <c r="AS327" s="2">
        <f t="shared" ref="AS327:AS332" si="824">SUM(AT327:AY327)</f>
        <v>10854.370161783958</v>
      </c>
      <c r="AT327" s="2">
        <f t="shared" ref="AT327:AY332" si="825">$E327*SUMPRODUCT($R327:$V327,INDEX(AllocFactors_E,AT$4,0))</f>
        <v>6916.0630559392675</v>
      </c>
      <c r="AU327" s="2">
        <f t="shared" si="825"/>
        <v>2851.8297825710333</v>
      </c>
      <c r="AV327" s="2">
        <f t="shared" si="825"/>
        <v>0</v>
      </c>
      <c r="AW327" s="2">
        <f t="shared" si="825"/>
        <v>44.527677047913045</v>
      </c>
      <c r="AX327" s="2">
        <f t="shared" si="825"/>
        <v>1041.9496462257443</v>
      </c>
      <c r="AY327" s="2">
        <f t="shared" si="825"/>
        <v>0</v>
      </c>
      <c r="BA327" s="2">
        <f t="shared" ref="BA327:BA332" si="826">SUM(BB327:BG327)</f>
        <v>11097.849924223452</v>
      </c>
      <c r="BB327" s="2">
        <f t="shared" ref="BB327:BG332" si="827">$E327*SUMPRODUCT($W327:$AA327,INDEX(AllocFactors_D,BB$4,0))</f>
        <v>7577.7032180622055</v>
      </c>
      <c r="BC327" s="2">
        <f t="shared" si="827"/>
        <v>2564.8615660842079</v>
      </c>
      <c r="BD327" s="2">
        <f t="shared" si="827"/>
        <v>0</v>
      </c>
      <c r="BE327" s="2">
        <f t="shared" si="827"/>
        <v>32.22179936539473</v>
      </c>
      <c r="BF327" s="2">
        <f t="shared" si="827"/>
        <v>923.06334071164542</v>
      </c>
      <c r="BG327" s="2">
        <f t="shared" si="827"/>
        <v>0</v>
      </c>
      <c r="BI327" s="2">
        <f t="shared" ref="BI327:BI332" si="828">SUM(BJ327:BO327)</f>
        <v>50047.779913992599</v>
      </c>
      <c r="BJ327" s="2">
        <f t="shared" ref="BJ327:BO332" si="829">$E327*SUMPRODUCT($AB327:$AG327,INDEX(AllocFactors_C,BJ$4,0))</f>
        <v>48522.416975147768</v>
      </c>
      <c r="BK327" s="2">
        <f t="shared" si="829"/>
        <v>1408.950964093262</v>
      </c>
      <c r="BL327" s="2">
        <f t="shared" si="829"/>
        <v>0</v>
      </c>
      <c r="BM327" s="2">
        <f t="shared" si="829"/>
        <v>7.7618522956661202</v>
      </c>
      <c r="BN327" s="2">
        <f t="shared" si="829"/>
        <v>108.65012245589998</v>
      </c>
      <c r="BO327" s="2">
        <f t="shared" si="829"/>
        <v>0</v>
      </c>
      <c r="BQ327" s="28" t="s">
        <v>352</v>
      </c>
      <c r="BR327" s="23">
        <v>0</v>
      </c>
      <c r="BS327" s="14">
        <f t="shared" ref="BS327:BU328" si="830">R327</f>
        <v>8.8133437743971782E-2</v>
      </c>
      <c r="BT327" s="14">
        <f t="shared" si="830"/>
        <v>1.48122630432825E-2</v>
      </c>
      <c r="BU327" s="14">
        <f t="shared" si="830"/>
        <v>6.2152272453224224E-3</v>
      </c>
      <c r="BV327" s="14">
        <f t="shared" ref="BV327:CB328" si="831">U327</f>
        <v>4.15942131033116E-2</v>
      </c>
      <c r="BW327" s="14">
        <f t="shared" si="831"/>
        <v>0</v>
      </c>
      <c r="BX327" s="14">
        <f t="shared" si="831"/>
        <v>0.15413680450310352</v>
      </c>
      <c r="BY327" s="14">
        <f t="shared" si="831"/>
        <v>0</v>
      </c>
      <c r="BZ327" s="14">
        <f t="shared" si="831"/>
        <v>0</v>
      </c>
      <c r="CA327" s="14">
        <f t="shared" si="831"/>
        <v>0</v>
      </c>
      <c r="CB327" s="14">
        <f t="shared" si="831"/>
        <v>0</v>
      </c>
      <c r="CC327" s="14">
        <f t="shared" ref="CC327:CI328" si="832">AB327</f>
        <v>0.45505508837908676</v>
      </c>
      <c r="CD327" s="14">
        <f t="shared" si="832"/>
        <v>0.16681683403029823</v>
      </c>
      <c r="CE327" s="14">
        <f t="shared" si="832"/>
        <v>7.1278348815059178E-2</v>
      </c>
      <c r="CF327" s="14">
        <f t="shared" si="832"/>
        <v>0</v>
      </c>
      <c r="CG327" s="14">
        <f t="shared" si="832"/>
        <v>1.9577831365640468E-3</v>
      </c>
      <c r="CH327" s="14">
        <f t="shared" si="832"/>
        <v>0</v>
      </c>
      <c r="CI327" s="14">
        <f t="shared" si="832"/>
        <v>0</v>
      </c>
      <c r="CJ327" s="14"/>
      <c r="CK327" s="120" t="str">
        <f t="shared" ref="CK327:CK332" si="833">F327</f>
        <v>4-Factor</v>
      </c>
      <c r="CL327" s="76">
        <f t="shared" si="745"/>
        <v>0</v>
      </c>
      <c r="CM327" s="2">
        <f t="shared" ref="CM327:CR331" si="834">$BR327*SUMPRODUCT($BS327:$CI327,INDEX(AllocFactors,CM$170,0))</f>
        <v>0</v>
      </c>
      <c r="CN327" s="2">
        <f t="shared" si="834"/>
        <v>0</v>
      </c>
      <c r="CO327" s="2">
        <f t="shared" si="834"/>
        <v>0</v>
      </c>
      <c r="CP327" s="2">
        <f t="shared" si="834"/>
        <v>0</v>
      </c>
      <c r="CQ327" s="2">
        <f t="shared" si="834"/>
        <v>0</v>
      </c>
      <c r="CR327" s="2">
        <f t="shared" si="834"/>
        <v>0</v>
      </c>
    </row>
    <row r="328" spans="1:96">
      <c r="A328" s="50">
        <f t="shared" si="616"/>
        <v>328</v>
      </c>
      <c r="C328" s="36" t="s">
        <v>152</v>
      </c>
      <c r="D328" s="56" t="s">
        <v>353</v>
      </c>
      <c r="E328" s="150">
        <v>0</v>
      </c>
      <c r="F328" s="524" t="s">
        <v>445</v>
      </c>
      <c r="G328" s="60"/>
      <c r="H328" s="2">
        <f t="shared" si="819"/>
        <v>0</v>
      </c>
      <c r="I328" s="21">
        <f t="shared" si="820"/>
        <v>0</v>
      </c>
      <c r="J328" s="2">
        <f t="shared" si="820"/>
        <v>0</v>
      </c>
      <c r="K328" s="2">
        <f t="shared" si="820"/>
        <v>0</v>
      </c>
      <c r="L328" s="2">
        <f t="shared" si="820"/>
        <v>0</v>
      </c>
      <c r="M328" s="2">
        <f t="shared" si="820"/>
        <v>0</v>
      </c>
      <c r="N328" s="2">
        <f t="shared" si="820"/>
        <v>0</v>
      </c>
      <c r="O328" s="2"/>
      <c r="P328" s="61" t="str">
        <f>E$1&amp;$A328&amp;"*     """</f>
        <v>E328*     "</v>
      </c>
      <c r="Q328" s="61"/>
      <c r="R328" s="523">
        <v>1</v>
      </c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>
        <f t="shared" si="821"/>
        <v>0</v>
      </c>
      <c r="AI328" s="76">
        <f t="shared" si="794"/>
        <v>0</v>
      </c>
      <c r="AK328" s="2">
        <f t="shared" si="822"/>
        <v>0</v>
      </c>
      <c r="AL328" s="2">
        <f t="shared" si="823"/>
        <v>0</v>
      </c>
      <c r="AM328" s="2">
        <f t="shared" si="823"/>
        <v>0</v>
      </c>
      <c r="AN328" s="2">
        <f t="shared" si="823"/>
        <v>0</v>
      </c>
      <c r="AO328" s="2">
        <f t="shared" si="823"/>
        <v>0</v>
      </c>
      <c r="AP328" s="2"/>
      <c r="AQ328" s="61" t="str">
        <f>E$1&amp;$A328&amp;"*      """</f>
        <v>E328*      "</v>
      </c>
      <c r="AS328" s="2">
        <f t="shared" si="824"/>
        <v>0</v>
      </c>
      <c r="AT328" s="2">
        <f t="shared" si="825"/>
        <v>0</v>
      </c>
      <c r="AU328" s="2">
        <f t="shared" si="825"/>
        <v>0</v>
      </c>
      <c r="AV328" s="2">
        <f t="shared" si="825"/>
        <v>0</v>
      </c>
      <c r="AW328" s="2">
        <f t="shared" si="825"/>
        <v>0</v>
      </c>
      <c r="AX328" s="2">
        <f t="shared" si="825"/>
        <v>0</v>
      </c>
      <c r="AY328" s="2">
        <f t="shared" si="825"/>
        <v>0</v>
      </c>
      <c r="BA328" s="2">
        <f t="shared" si="826"/>
        <v>0</v>
      </c>
      <c r="BB328" s="2">
        <f t="shared" si="827"/>
        <v>0</v>
      </c>
      <c r="BC328" s="2">
        <f t="shared" si="827"/>
        <v>0</v>
      </c>
      <c r="BD328" s="2">
        <f t="shared" si="827"/>
        <v>0</v>
      </c>
      <c r="BE328" s="2">
        <f t="shared" si="827"/>
        <v>0</v>
      </c>
      <c r="BF328" s="2">
        <f t="shared" si="827"/>
        <v>0</v>
      </c>
      <c r="BG328" s="2">
        <f t="shared" si="827"/>
        <v>0</v>
      </c>
      <c r="BI328" s="2">
        <f t="shared" si="828"/>
        <v>0</v>
      </c>
      <c r="BJ328" s="2">
        <f t="shared" si="829"/>
        <v>0</v>
      </c>
      <c r="BK328" s="2">
        <f t="shared" si="829"/>
        <v>0</v>
      </c>
      <c r="BL328" s="2">
        <f t="shared" si="829"/>
        <v>0</v>
      </c>
      <c r="BM328" s="2">
        <f t="shared" si="829"/>
        <v>0</v>
      </c>
      <c r="BN328" s="2">
        <f t="shared" si="829"/>
        <v>0</v>
      </c>
      <c r="BO328" s="2">
        <f t="shared" si="829"/>
        <v>0</v>
      </c>
      <c r="BQ328" s="28" t="s">
        <v>353</v>
      </c>
      <c r="BR328" s="23">
        <v>0</v>
      </c>
      <c r="BS328" s="14">
        <f t="shared" si="830"/>
        <v>1</v>
      </c>
      <c r="BT328" s="14">
        <f t="shared" si="830"/>
        <v>0</v>
      </c>
      <c r="BU328" s="14">
        <f t="shared" si="830"/>
        <v>0</v>
      </c>
      <c r="BV328" s="14">
        <f t="shared" si="831"/>
        <v>0</v>
      </c>
      <c r="BW328" s="14">
        <f t="shared" si="831"/>
        <v>0</v>
      </c>
      <c r="BX328" s="14">
        <f t="shared" si="831"/>
        <v>0</v>
      </c>
      <c r="BY328" s="14">
        <f t="shared" si="831"/>
        <v>0</v>
      </c>
      <c r="BZ328" s="14">
        <f t="shared" si="831"/>
        <v>0</v>
      </c>
      <c r="CA328" s="14">
        <f t="shared" si="831"/>
        <v>0</v>
      </c>
      <c r="CB328" s="14">
        <f t="shared" si="831"/>
        <v>0</v>
      </c>
      <c r="CC328" s="14">
        <f t="shared" si="832"/>
        <v>0</v>
      </c>
      <c r="CD328" s="14">
        <f t="shared" si="832"/>
        <v>0</v>
      </c>
      <c r="CE328" s="14">
        <f t="shared" si="832"/>
        <v>0</v>
      </c>
      <c r="CF328" s="14">
        <f t="shared" si="832"/>
        <v>0</v>
      </c>
      <c r="CG328" s="14">
        <f t="shared" si="832"/>
        <v>0</v>
      </c>
      <c r="CH328" s="14">
        <f t="shared" si="832"/>
        <v>0</v>
      </c>
      <c r="CI328" s="14">
        <f t="shared" si="832"/>
        <v>0</v>
      </c>
      <c r="CJ328" s="14"/>
      <c r="CK328" s="120" t="str">
        <f t="shared" si="833"/>
        <v>Input - 100% Throughput</v>
      </c>
      <c r="CL328" s="76">
        <f t="shared" si="745"/>
        <v>0</v>
      </c>
      <c r="CM328" s="2">
        <f t="shared" si="834"/>
        <v>0</v>
      </c>
      <c r="CN328" s="2">
        <f t="shared" si="834"/>
        <v>0</v>
      </c>
      <c r="CO328" s="2">
        <f t="shared" si="834"/>
        <v>0</v>
      </c>
      <c r="CP328" s="2">
        <f t="shared" si="834"/>
        <v>0</v>
      </c>
      <c r="CQ328" s="2">
        <f t="shared" si="834"/>
        <v>0</v>
      </c>
      <c r="CR328" s="2">
        <f t="shared" si="834"/>
        <v>0</v>
      </c>
    </row>
    <row r="329" spans="1:96">
      <c r="A329" s="50">
        <f t="shared" si="616"/>
        <v>329</v>
      </c>
      <c r="C329" s="36" t="s">
        <v>152</v>
      </c>
      <c r="D329" s="28" t="s">
        <v>354</v>
      </c>
      <c r="E329" s="23">
        <v>0</v>
      </c>
      <c r="F329" s="60" t="str">
        <f>"as Plant in Service ("&amp;A$58&amp;")"</f>
        <v>as Plant in Service (58)</v>
      </c>
      <c r="G329" s="60"/>
      <c r="H329" s="2">
        <f t="shared" si="819"/>
        <v>0</v>
      </c>
      <c r="I329" s="21">
        <f t="shared" si="820"/>
        <v>0</v>
      </c>
      <c r="J329" s="2">
        <f t="shared" si="820"/>
        <v>0</v>
      </c>
      <c r="K329" s="2">
        <f t="shared" si="820"/>
        <v>0</v>
      </c>
      <c r="L329" s="2">
        <f t="shared" si="820"/>
        <v>0</v>
      </c>
      <c r="M329" s="2">
        <f t="shared" si="820"/>
        <v>0</v>
      </c>
      <c r="N329" s="2">
        <f t="shared" si="820"/>
        <v>0</v>
      </c>
      <c r="O329" s="2"/>
      <c r="P329" s="61" t="str">
        <f>E$1&amp;$A329&amp;"*     """</f>
        <v>E329*     "</v>
      </c>
      <c r="Q329" s="61"/>
      <c r="R329" s="14">
        <f>R$58</f>
        <v>0.15278530527507739</v>
      </c>
      <c r="S329" s="14">
        <f t="shared" ref="S329:AH329" si="835">S$58</f>
        <v>3.164969422787912E-3</v>
      </c>
      <c r="T329" s="14">
        <f t="shared" si="835"/>
        <v>6.9829362297418388E-3</v>
      </c>
      <c r="U329" s="14">
        <f t="shared" si="835"/>
        <v>4.673195784519539E-2</v>
      </c>
      <c r="V329" s="14">
        <f t="shared" si="835"/>
        <v>0</v>
      </c>
      <c r="W329" s="14">
        <f t="shared" si="835"/>
        <v>0.27991526808724082</v>
      </c>
      <c r="X329" s="14">
        <f t="shared" si="835"/>
        <v>0</v>
      </c>
      <c r="Y329" s="14">
        <f t="shared" si="835"/>
        <v>0</v>
      </c>
      <c r="Z329" s="14">
        <f t="shared" si="835"/>
        <v>0</v>
      </c>
      <c r="AA329" s="14">
        <f t="shared" si="835"/>
        <v>0</v>
      </c>
      <c r="AB329" s="14">
        <f t="shared" si="835"/>
        <v>9.7232640022350991E-2</v>
      </c>
      <c r="AC329" s="14">
        <f t="shared" si="835"/>
        <v>0.29403559958561315</v>
      </c>
      <c r="AD329" s="14">
        <f t="shared" si="835"/>
        <v>0.1147688867063851</v>
      </c>
      <c r="AE329" s="14">
        <f t="shared" si="835"/>
        <v>0</v>
      </c>
      <c r="AF329" s="14">
        <f t="shared" si="835"/>
        <v>4.3824368256074331E-3</v>
      </c>
      <c r="AG329" s="14">
        <f t="shared" si="835"/>
        <v>0</v>
      </c>
      <c r="AH329" s="14">
        <f t="shared" si="835"/>
        <v>0</v>
      </c>
      <c r="AI329" s="76">
        <f t="shared" si="794"/>
        <v>0</v>
      </c>
      <c r="AK329" s="2">
        <f t="shared" si="822"/>
        <v>0</v>
      </c>
      <c r="AL329" s="2">
        <f t="shared" si="823"/>
        <v>0</v>
      </c>
      <c r="AM329" s="2">
        <f t="shared" si="823"/>
        <v>0</v>
      </c>
      <c r="AN329" s="2">
        <f t="shared" si="823"/>
        <v>0</v>
      </c>
      <c r="AO329" s="2">
        <f t="shared" si="823"/>
        <v>0</v>
      </c>
      <c r="AP329" s="2"/>
      <c r="AQ329" s="61" t="str">
        <f>E$1&amp;$A329&amp;"*      """</f>
        <v>E329*      "</v>
      </c>
      <c r="AS329" s="2">
        <f t="shared" si="824"/>
        <v>0</v>
      </c>
      <c r="AT329" s="2">
        <f t="shared" si="825"/>
        <v>0</v>
      </c>
      <c r="AU329" s="2">
        <f t="shared" si="825"/>
        <v>0</v>
      </c>
      <c r="AV329" s="2">
        <f t="shared" si="825"/>
        <v>0</v>
      </c>
      <c r="AW329" s="2">
        <f t="shared" si="825"/>
        <v>0</v>
      </c>
      <c r="AX329" s="2">
        <f t="shared" si="825"/>
        <v>0</v>
      </c>
      <c r="AY329" s="2">
        <f t="shared" si="825"/>
        <v>0</v>
      </c>
      <c r="BA329" s="2">
        <f t="shared" si="826"/>
        <v>0</v>
      </c>
      <c r="BB329" s="2">
        <f t="shared" si="827"/>
        <v>0</v>
      </c>
      <c r="BC329" s="2">
        <f t="shared" si="827"/>
        <v>0</v>
      </c>
      <c r="BD329" s="2">
        <f t="shared" si="827"/>
        <v>0</v>
      </c>
      <c r="BE329" s="2">
        <f t="shared" si="827"/>
        <v>0</v>
      </c>
      <c r="BF329" s="2">
        <f t="shared" si="827"/>
        <v>0</v>
      </c>
      <c r="BG329" s="2">
        <f t="shared" si="827"/>
        <v>0</v>
      </c>
      <c r="BI329" s="2">
        <f t="shared" si="828"/>
        <v>0</v>
      </c>
      <c r="BJ329" s="2">
        <f t="shared" si="829"/>
        <v>0</v>
      </c>
      <c r="BK329" s="2">
        <f t="shared" si="829"/>
        <v>0</v>
      </c>
      <c r="BL329" s="2">
        <f t="shared" si="829"/>
        <v>0</v>
      </c>
      <c r="BM329" s="2">
        <f t="shared" si="829"/>
        <v>0</v>
      </c>
      <c r="BN329" s="2">
        <f t="shared" si="829"/>
        <v>0</v>
      </c>
      <c r="BO329" s="2">
        <f t="shared" si="829"/>
        <v>0</v>
      </c>
      <c r="BQ329" s="28" t="s">
        <v>354</v>
      </c>
      <c r="BR329" s="23">
        <v>0</v>
      </c>
      <c r="BS329" s="14">
        <f>R$58</f>
        <v>0.15278530527507739</v>
      </c>
      <c r="BT329" s="14">
        <f>S$58</f>
        <v>3.164969422787912E-3</v>
      </c>
      <c r="BU329" s="14">
        <f>T$58</f>
        <v>6.9829362297418388E-3</v>
      </c>
      <c r="BV329" s="14">
        <f t="shared" ref="BV329:CI329" si="836">U$58</f>
        <v>4.673195784519539E-2</v>
      </c>
      <c r="BW329" s="14">
        <f t="shared" si="836"/>
        <v>0</v>
      </c>
      <c r="BX329" s="14">
        <f t="shared" si="836"/>
        <v>0.27991526808724082</v>
      </c>
      <c r="BY329" s="14">
        <f t="shared" si="836"/>
        <v>0</v>
      </c>
      <c r="BZ329" s="14">
        <f t="shared" si="836"/>
        <v>0</v>
      </c>
      <c r="CA329" s="14">
        <f t="shared" si="836"/>
        <v>0</v>
      </c>
      <c r="CB329" s="14">
        <f t="shared" si="836"/>
        <v>0</v>
      </c>
      <c r="CC329" s="14">
        <f t="shared" si="836"/>
        <v>9.7232640022350991E-2</v>
      </c>
      <c r="CD329" s="14">
        <f t="shared" si="836"/>
        <v>0.29403559958561315</v>
      </c>
      <c r="CE329" s="14">
        <f t="shared" si="836"/>
        <v>0.1147688867063851</v>
      </c>
      <c r="CF329" s="14">
        <f t="shared" si="836"/>
        <v>0</v>
      </c>
      <c r="CG329" s="14">
        <f t="shared" si="836"/>
        <v>4.3824368256074331E-3</v>
      </c>
      <c r="CH329" s="14">
        <f t="shared" si="836"/>
        <v>0</v>
      </c>
      <c r="CI329" s="14">
        <f t="shared" si="836"/>
        <v>0</v>
      </c>
      <c r="CJ329" s="14"/>
      <c r="CK329" s="120" t="str">
        <f t="shared" si="833"/>
        <v>as Plant in Service (58)</v>
      </c>
      <c r="CL329" s="76">
        <f t="shared" si="745"/>
        <v>0</v>
      </c>
      <c r="CM329" s="2">
        <f t="shared" si="834"/>
        <v>0</v>
      </c>
      <c r="CN329" s="2">
        <f t="shared" si="834"/>
        <v>0</v>
      </c>
      <c r="CO329" s="2">
        <f t="shared" si="834"/>
        <v>0</v>
      </c>
      <c r="CP329" s="2">
        <f t="shared" si="834"/>
        <v>0</v>
      </c>
      <c r="CQ329" s="2">
        <f t="shared" si="834"/>
        <v>0</v>
      </c>
      <c r="CR329" s="2">
        <f t="shared" si="834"/>
        <v>0</v>
      </c>
    </row>
    <row r="330" spans="1:96">
      <c r="A330" s="50">
        <f t="shared" si="616"/>
        <v>330</v>
      </c>
      <c r="C330" s="36" t="s">
        <v>157</v>
      </c>
      <c r="D330" s="28" t="s">
        <v>355</v>
      </c>
      <c r="E330" s="23">
        <v>0</v>
      </c>
      <c r="F330" s="60" t="s">
        <v>451</v>
      </c>
      <c r="G330" s="60"/>
      <c r="H330" s="2">
        <f t="shared" si="819"/>
        <v>0</v>
      </c>
      <c r="I330" s="21">
        <f t="shared" si="820"/>
        <v>0</v>
      </c>
      <c r="J330" s="2">
        <f t="shared" si="820"/>
        <v>0</v>
      </c>
      <c r="K330" s="2">
        <f t="shared" si="820"/>
        <v>0</v>
      </c>
      <c r="L330" s="2">
        <f t="shared" si="820"/>
        <v>0</v>
      </c>
      <c r="M330" s="2">
        <f t="shared" si="820"/>
        <v>0</v>
      </c>
      <c r="N330" s="2">
        <f t="shared" si="820"/>
        <v>0</v>
      </c>
      <c r="O330" s="2"/>
      <c r="P330" s="61" t="str">
        <f>E$1&amp;$A330&amp;"*     """</f>
        <v>E330*     "</v>
      </c>
      <c r="Q330" s="61"/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1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76">
        <f t="shared" si="794"/>
        <v>0</v>
      </c>
      <c r="AK330" s="2">
        <f t="shared" si="822"/>
        <v>0</v>
      </c>
      <c r="AL330" s="2">
        <f t="shared" si="823"/>
        <v>0</v>
      </c>
      <c r="AM330" s="2">
        <f t="shared" si="823"/>
        <v>0</v>
      </c>
      <c r="AN330" s="2">
        <f t="shared" si="823"/>
        <v>0</v>
      </c>
      <c r="AO330" s="2">
        <f t="shared" si="823"/>
        <v>0</v>
      </c>
      <c r="AP330" s="2"/>
      <c r="AQ330" s="61" t="str">
        <f>E$1&amp;$A330&amp;"*      """</f>
        <v>E330*      "</v>
      </c>
      <c r="AS330" s="2">
        <f t="shared" si="824"/>
        <v>0</v>
      </c>
      <c r="AT330" s="2">
        <f t="shared" si="825"/>
        <v>0</v>
      </c>
      <c r="AU330" s="2">
        <f t="shared" si="825"/>
        <v>0</v>
      </c>
      <c r="AV330" s="2">
        <f t="shared" si="825"/>
        <v>0</v>
      </c>
      <c r="AW330" s="2">
        <f t="shared" si="825"/>
        <v>0</v>
      </c>
      <c r="AX330" s="2">
        <f t="shared" si="825"/>
        <v>0</v>
      </c>
      <c r="AY330" s="2">
        <f t="shared" si="825"/>
        <v>0</v>
      </c>
      <c r="BA330" s="2">
        <f t="shared" si="826"/>
        <v>0</v>
      </c>
      <c r="BB330" s="2">
        <f t="shared" si="827"/>
        <v>0</v>
      </c>
      <c r="BC330" s="2">
        <f t="shared" si="827"/>
        <v>0</v>
      </c>
      <c r="BD330" s="2">
        <f t="shared" si="827"/>
        <v>0</v>
      </c>
      <c r="BE330" s="2">
        <f t="shared" si="827"/>
        <v>0</v>
      </c>
      <c r="BF330" s="2">
        <f t="shared" si="827"/>
        <v>0</v>
      </c>
      <c r="BG330" s="2">
        <f t="shared" si="827"/>
        <v>0</v>
      </c>
      <c r="BI330" s="2">
        <f t="shared" si="828"/>
        <v>0</v>
      </c>
      <c r="BJ330" s="2">
        <f t="shared" si="829"/>
        <v>0</v>
      </c>
      <c r="BK330" s="2">
        <f t="shared" si="829"/>
        <v>0</v>
      </c>
      <c r="BL330" s="2">
        <f t="shared" si="829"/>
        <v>0</v>
      </c>
      <c r="BM330" s="2">
        <f t="shared" si="829"/>
        <v>0</v>
      </c>
      <c r="BN330" s="2">
        <f t="shared" si="829"/>
        <v>0</v>
      </c>
      <c r="BO330" s="2">
        <f t="shared" si="829"/>
        <v>0</v>
      </c>
      <c r="BQ330" s="28" t="s">
        <v>355</v>
      </c>
      <c r="BR330" s="23">
        <v>0</v>
      </c>
      <c r="BS330" s="14">
        <f t="shared" ref="BS330:BU331" si="837">R330</f>
        <v>0</v>
      </c>
      <c r="BT330" s="14">
        <f t="shared" si="837"/>
        <v>0</v>
      </c>
      <c r="BU330" s="14">
        <f t="shared" si="837"/>
        <v>0</v>
      </c>
      <c r="BV330" s="14">
        <f t="shared" ref="BV330:CB331" si="838">U330</f>
        <v>0</v>
      </c>
      <c r="BW330" s="14">
        <f t="shared" si="838"/>
        <v>0</v>
      </c>
      <c r="BX330" s="14">
        <f t="shared" si="838"/>
        <v>0</v>
      </c>
      <c r="BY330" s="14">
        <f t="shared" si="838"/>
        <v>0</v>
      </c>
      <c r="BZ330" s="14">
        <f t="shared" si="838"/>
        <v>0</v>
      </c>
      <c r="CA330" s="14">
        <f t="shared" si="838"/>
        <v>0</v>
      </c>
      <c r="CB330" s="14">
        <f t="shared" si="838"/>
        <v>0</v>
      </c>
      <c r="CC330" s="14">
        <f t="shared" ref="CC330:CF331" si="839">AB330</f>
        <v>1</v>
      </c>
      <c r="CD330" s="14">
        <f t="shared" si="839"/>
        <v>0</v>
      </c>
      <c r="CE330" s="14">
        <f t="shared" si="839"/>
        <v>0</v>
      </c>
      <c r="CF330" s="14">
        <f t="shared" si="839"/>
        <v>0</v>
      </c>
      <c r="CG330" s="14">
        <f t="shared" ref="CG330:CI331" si="840">AF330</f>
        <v>0</v>
      </c>
      <c r="CH330" s="14">
        <f t="shared" si="840"/>
        <v>0</v>
      </c>
      <c r="CI330" s="14">
        <f t="shared" si="840"/>
        <v>0</v>
      </c>
      <c r="CJ330" s="14"/>
      <c r="CK330" s="120" t="str">
        <f t="shared" si="833"/>
        <v>Input - 100% Cust</v>
      </c>
      <c r="CL330" s="76">
        <f t="shared" si="745"/>
        <v>0</v>
      </c>
      <c r="CM330" s="2">
        <f t="shared" si="834"/>
        <v>0</v>
      </c>
      <c r="CN330" s="2">
        <f t="shared" si="834"/>
        <v>0</v>
      </c>
      <c r="CO330" s="2">
        <f t="shared" si="834"/>
        <v>0</v>
      </c>
      <c r="CP330" s="2">
        <f t="shared" si="834"/>
        <v>0</v>
      </c>
      <c r="CQ330" s="2">
        <f t="shared" si="834"/>
        <v>0</v>
      </c>
      <c r="CR330" s="2">
        <f t="shared" si="834"/>
        <v>0</v>
      </c>
    </row>
    <row r="331" spans="1:96">
      <c r="A331" s="50">
        <f t="shared" ref="A331:A394" si="841">RowHdr</f>
        <v>331</v>
      </c>
      <c r="C331" s="36" t="s">
        <v>156</v>
      </c>
      <c r="D331" s="28" t="s">
        <v>351</v>
      </c>
      <c r="E331" s="23">
        <v>0</v>
      </c>
      <c r="F331" s="60" t="s">
        <v>452</v>
      </c>
      <c r="G331" s="60"/>
      <c r="H331" s="2">
        <f t="shared" si="819"/>
        <v>0</v>
      </c>
      <c r="I331" s="21">
        <f t="shared" si="820"/>
        <v>0</v>
      </c>
      <c r="J331" s="2">
        <f t="shared" si="820"/>
        <v>0</v>
      </c>
      <c r="K331" s="2">
        <f t="shared" si="820"/>
        <v>0</v>
      </c>
      <c r="L331" s="2">
        <f t="shared" si="820"/>
        <v>0</v>
      </c>
      <c r="M331" s="2">
        <f t="shared" si="820"/>
        <v>0</v>
      </c>
      <c r="N331" s="2">
        <f t="shared" si="820"/>
        <v>0</v>
      </c>
      <c r="O331" s="2"/>
      <c r="P331" s="61" t="str">
        <f>E$1&amp;$A331&amp;"*     """</f>
        <v>E331*     "</v>
      </c>
      <c r="Q331" s="61"/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1</v>
      </c>
      <c r="AI331" s="76">
        <f t="shared" si="794"/>
        <v>0</v>
      </c>
      <c r="AK331" s="2">
        <f t="shared" si="822"/>
        <v>0</v>
      </c>
      <c r="AL331" s="2">
        <f t="shared" si="823"/>
        <v>0</v>
      </c>
      <c r="AM331" s="2">
        <f t="shared" si="823"/>
        <v>0</v>
      </c>
      <c r="AN331" s="2">
        <f t="shared" si="823"/>
        <v>0</v>
      </c>
      <c r="AO331" s="2">
        <f t="shared" si="823"/>
        <v>0</v>
      </c>
      <c r="AP331" s="2"/>
      <c r="AQ331" s="61" t="str">
        <f>E$1&amp;$A331&amp;"*      """</f>
        <v>E331*      "</v>
      </c>
      <c r="AS331" s="2">
        <f t="shared" si="824"/>
        <v>0</v>
      </c>
      <c r="AT331" s="2">
        <f t="shared" si="825"/>
        <v>0</v>
      </c>
      <c r="AU331" s="2">
        <f t="shared" si="825"/>
        <v>0</v>
      </c>
      <c r="AV331" s="2">
        <f t="shared" si="825"/>
        <v>0</v>
      </c>
      <c r="AW331" s="2">
        <f t="shared" si="825"/>
        <v>0</v>
      </c>
      <c r="AX331" s="2">
        <f t="shared" si="825"/>
        <v>0</v>
      </c>
      <c r="AY331" s="2">
        <f t="shared" si="825"/>
        <v>0</v>
      </c>
      <c r="BA331" s="2">
        <f t="shared" si="826"/>
        <v>0</v>
      </c>
      <c r="BB331" s="2">
        <f t="shared" si="827"/>
        <v>0</v>
      </c>
      <c r="BC331" s="2">
        <f t="shared" si="827"/>
        <v>0</v>
      </c>
      <c r="BD331" s="2">
        <f t="shared" si="827"/>
        <v>0</v>
      </c>
      <c r="BE331" s="2">
        <f t="shared" si="827"/>
        <v>0</v>
      </c>
      <c r="BF331" s="2">
        <f t="shared" si="827"/>
        <v>0</v>
      </c>
      <c r="BG331" s="2">
        <f t="shared" si="827"/>
        <v>0</v>
      </c>
      <c r="BI331" s="2">
        <f t="shared" si="828"/>
        <v>0</v>
      </c>
      <c r="BJ331" s="2">
        <f t="shared" si="829"/>
        <v>0</v>
      </c>
      <c r="BK331" s="2">
        <f t="shared" si="829"/>
        <v>0</v>
      </c>
      <c r="BL331" s="2">
        <f t="shared" si="829"/>
        <v>0</v>
      </c>
      <c r="BM331" s="2">
        <f t="shared" si="829"/>
        <v>0</v>
      </c>
      <c r="BN331" s="2">
        <f t="shared" si="829"/>
        <v>0</v>
      </c>
      <c r="BO331" s="2">
        <f t="shared" si="829"/>
        <v>0</v>
      </c>
      <c r="BQ331" s="28" t="s">
        <v>351</v>
      </c>
      <c r="BR331" s="23">
        <v>0</v>
      </c>
      <c r="BS331" s="14">
        <f t="shared" si="837"/>
        <v>0</v>
      </c>
      <c r="BT331" s="14">
        <f t="shared" si="837"/>
        <v>0</v>
      </c>
      <c r="BU331" s="14">
        <f t="shared" si="837"/>
        <v>0</v>
      </c>
      <c r="BV331" s="14">
        <f t="shared" si="838"/>
        <v>0</v>
      </c>
      <c r="BW331" s="14">
        <f t="shared" si="838"/>
        <v>0</v>
      </c>
      <c r="BX331" s="14">
        <f t="shared" si="838"/>
        <v>0</v>
      </c>
      <c r="BY331" s="14">
        <f t="shared" si="838"/>
        <v>0</v>
      </c>
      <c r="BZ331" s="14">
        <f t="shared" si="838"/>
        <v>0</v>
      </c>
      <c r="CA331" s="14">
        <f t="shared" si="838"/>
        <v>0</v>
      </c>
      <c r="CB331" s="14">
        <f t="shared" si="838"/>
        <v>0</v>
      </c>
      <c r="CC331" s="14">
        <f t="shared" si="839"/>
        <v>0</v>
      </c>
      <c r="CD331" s="14">
        <f t="shared" si="839"/>
        <v>0</v>
      </c>
      <c r="CE331" s="14">
        <f t="shared" si="839"/>
        <v>0</v>
      </c>
      <c r="CF331" s="14">
        <f t="shared" si="839"/>
        <v>0</v>
      </c>
      <c r="CG331" s="14">
        <f t="shared" si="840"/>
        <v>0</v>
      </c>
      <c r="CH331" s="14">
        <f t="shared" si="840"/>
        <v>0</v>
      </c>
      <c r="CI331" s="14">
        <f t="shared" si="840"/>
        <v>1</v>
      </c>
      <c r="CJ331" s="14"/>
      <c r="CK331" s="120" t="str">
        <f t="shared" si="833"/>
        <v>Input - 100% Rev</v>
      </c>
      <c r="CL331" s="76">
        <f t="shared" si="745"/>
        <v>0</v>
      </c>
      <c r="CM331" s="2">
        <f t="shared" si="834"/>
        <v>0</v>
      </c>
      <c r="CN331" s="2">
        <f t="shared" si="834"/>
        <v>0</v>
      </c>
      <c r="CO331" s="2">
        <f t="shared" si="834"/>
        <v>0</v>
      </c>
      <c r="CP331" s="2">
        <f t="shared" si="834"/>
        <v>0</v>
      </c>
      <c r="CQ331" s="2">
        <f t="shared" si="834"/>
        <v>0</v>
      </c>
      <c r="CR331" s="2">
        <f t="shared" si="834"/>
        <v>0</v>
      </c>
    </row>
    <row r="332" spans="1:96">
      <c r="A332" s="50">
        <f t="shared" si="841"/>
        <v>332</v>
      </c>
      <c r="C332" s="36" t="s">
        <v>152</v>
      </c>
      <c r="D332" s="28" t="s">
        <v>356</v>
      </c>
      <c r="E332" s="23">
        <v>0</v>
      </c>
      <c r="F332" s="60" t="str">
        <f>"as Labor O&amp;M Exp. ("&amp;BS$1&amp;A$342&amp;")"</f>
        <v>as Labor O&amp;M Exp. (BS342)</v>
      </c>
      <c r="G332" s="60"/>
      <c r="H332" s="2">
        <f t="shared" si="819"/>
        <v>0</v>
      </c>
      <c r="I332" s="21">
        <f t="shared" ref="I332:N332" si="842">$E332*CM$342/$BR$342</f>
        <v>0</v>
      </c>
      <c r="J332" s="21">
        <f t="shared" si="842"/>
        <v>0</v>
      </c>
      <c r="K332" s="21">
        <f t="shared" si="842"/>
        <v>0</v>
      </c>
      <c r="L332" s="21">
        <f t="shared" si="842"/>
        <v>0</v>
      </c>
      <c r="M332" s="21">
        <f t="shared" si="842"/>
        <v>0</v>
      </c>
      <c r="N332" s="21">
        <f t="shared" si="842"/>
        <v>0</v>
      </c>
      <c r="O332" s="2"/>
      <c r="P332" s="61" t="str">
        <f>E$1&amp;$A332&amp;"* "&amp;CM$1&amp;A$342&amp;" / "&amp;BR$1&amp;A$342</f>
        <v>E332* CM342 / BR342</v>
      </c>
      <c r="Q332" s="61"/>
      <c r="R332" s="14">
        <f>BS$342</f>
        <v>9.4011197840194252E-2</v>
      </c>
      <c r="S332" s="14">
        <f>BT$342</f>
        <v>2.771484723001123E-2</v>
      </c>
      <c r="T332" s="14">
        <f t="shared" ref="T332:AH332" si="843">BU$342</f>
        <v>2.025083303615954E-3</v>
      </c>
      <c r="U332" s="14">
        <f t="shared" si="843"/>
        <v>1.3552480570352927E-2</v>
      </c>
      <c r="V332" s="14">
        <f t="shared" si="843"/>
        <v>0</v>
      </c>
      <c r="W332" s="14">
        <f t="shared" si="843"/>
        <v>0.1576905706846389</v>
      </c>
      <c r="X332" s="14">
        <f t="shared" si="843"/>
        <v>0</v>
      </c>
      <c r="Y332" s="14">
        <f t="shared" si="843"/>
        <v>0</v>
      </c>
      <c r="Z332" s="14">
        <f t="shared" si="843"/>
        <v>0</v>
      </c>
      <c r="AA332" s="14">
        <f t="shared" si="843"/>
        <v>0</v>
      </c>
      <c r="AB332" s="14">
        <f t="shared" si="843"/>
        <v>0.43643287397616143</v>
      </c>
      <c r="AC332" s="14">
        <f t="shared" si="843"/>
        <v>0.1792970882068218</v>
      </c>
      <c r="AD332" s="14">
        <f t="shared" si="843"/>
        <v>8.7076406980020227E-2</v>
      </c>
      <c r="AE332" s="14">
        <f t="shared" si="843"/>
        <v>0</v>
      </c>
      <c r="AF332" s="14">
        <f t="shared" si="843"/>
        <v>2.1994512081833085E-3</v>
      </c>
      <c r="AG332" s="14">
        <f t="shared" si="843"/>
        <v>0</v>
      </c>
      <c r="AH332" s="14">
        <f t="shared" si="843"/>
        <v>0</v>
      </c>
      <c r="AI332" s="76">
        <f t="shared" si="794"/>
        <v>0</v>
      </c>
      <c r="AK332" s="2">
        <f t="shared" si="822"/>
        <v>0</v>
      </c>
      <c r="AL332" s="2">
        <f t="shared" si="823"/>
        <v>0</v>
      </c>
      <c r="AM332" s="2">
        <f t="shared" si="823"/>
        <v>0</v>
      </c>
      <c r="AN332" s="2">
        <f t="shared" si="823"/>
        <v>0</v>
      </c>
      <c r="AO332" s="2">
        <f t="shared" si="823"/>
        <v>0</v>
      </c>
      <c r="AP332" s="2"/>
      <c r="AQ332" s="61" t="str">
        <f>E$1&amp;$A332&amp;"*      """</f>
        <v>E332*      "</v>
      </c>
      <c r="AS332" s="2">
        <f t="shared" si="824"/>
        <v>0</v>
      </c>
      <c r="AT332" s="2">
        <f t="shared" si="825"/>
        <v>0</v>
      </c>
      <c r="AU332" s="2">
        <f t="shared" si="825"/>
        <v>0</v>
      </c>
      <c r="AV332" s="2">
        <f t="shared" si="825"/>
        <v>0</v>
      </c>
      <c r="AW332" s="2">
        <f t="shared" si="825"/>
        <v>0</v>
      </c>
      <c r="AX332" s="2">
        <f t="shared" si="825"/>
        <v>0</v>
      </c>
      <c r="AY332" s="2">
        <f t="shared" si="825"/>
        <v>0</v>
      </c>
      <c r="BA332" s="2">
        <f t="shared" si="826"/>
        <v>0</v>
      </c>
      <c r="BB332" s="2">
        <f t="shared" si="827"/>
        <v>0</v>
      </c>
      <c r="BC332" s="2">
        <f t="shared" si="827"/>
        <v>0</v>
      </c>
      <c r="BD332" s="2">
        <f t="shared" si="827"/>
        <v>0</v>
      </c>
      <c r="BE332" s="2">
        <f t="shared" si="827"/>
        <v>0</v>
      </c>
      <c r="BF332" s="2">
        <f t="shared" si="827"/>
        <v>0</v>
      </c>
      <c r="BG332" s="2">
        <f t="shared" si="827"/>
        <v>0</v>
      </c>
      <c r="BI332" s="2">
        <f t="shared" si="828"/>
        <v>0</v>
      </c>
      <c r="BJ332" s="2">
        <f t="shared" si="829"/>
        <v>0</v>
      </c>
      <c r="BK332" s="2">
        <f t="shared" si="829"/>
        <v>0</v>
      </c>
      <c r="BL332" s="2">
        <f t="shared" si="829"/>
        <v>0</v>
      </c>
      <c r="BM332" s="2">
        <f t="shared" si="829"/>
        <v>0</v>
      </c>
      <c r="BN332" s="2">
        <f t="shared" si="829"/>
        <v>0</v>
      </c>
      <c r="BO332" s="2">
        <f t="shared" si="829"/>
        <v>0</v>
      </c>
      <c r="BQ332" s="28" t="s">
        <v>356</v>
      </c>
      <c r="BR332" s="23">
        <v>0</v>
      </c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120" t="str">
        <f t="shared" si="833"/>
        <v>as Labor O&amp;M Exp. (BS342)</v>
      </c>
      <c r="CL332" s="76">
        <f t="shared" si="745"/>
        <v>0</v>
      </c>
      <c r="CM332" s="2"/>
      <c r="CN332" s="2"/>
      <c r="CO332" s="2"/>
      <c r="CP332" s="2"/>
      <c r="CQ332" s="2"/>
      <c r="CR332" s="2"/>
    </row>
    <row r="333" spans="1:96">
      <c r="A333" s="50">
        <f t="shared" si="841"/>
        <v>333</v>
      </c>
      <c r="B333" t="s">
        <v>62</v>
      </c>
      <c r="D333" t="s">
        <v>63</v>
      </c>
      <c r="E333" s="2"/>
      <c r="F333" s="60"/>
      <c r="G333" s="60"/>
      <c r="I333" s="49"/>
      <c r="P333" s="61"/>
      <c r="Q333" s="61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76">
        <f t="shared" si="794"/>
        <v>0</v>
      </c>
      <c r="AQ333" s="61"/>
      <c r="BQ333" t="s">
        <v>63</v>
      </c>
      <c r="BR333" s="49"/>
      <c r="CK333" s="120"/>
      <c r="CL333" s="76">
        <f t="shared" si="745"/>
        <v>0</v>
      </c>
      <c r="CM333" s="49"/>
    </row>
    <row r="334" spans="1:96">
      <c r="A334" s="50">
        <f t="shared" si="841"/>
        <v>334</v>
      </c>
      <c r="C334" s="36" t="s">
        <v>152</v>
      </c>
      <c r="D334" s="56" t="s">
        <v>148</v>
      </c>
      <c r="E334" s="436">
        <f>PROFORMA!AV139</f>
        <v>2745000</v>
      </c>
      <c r="F334" s="61" t="s">
        <v>1159</v>
      </c>
      <c r="G334" s="60"/>
      <c r="H334" s="2">
        <f t="shared" ref="H334:H339" si="844">SUM(I334:N334)</f>
        <v>2745000.0000000005</v>
      </c>
      <c r="I334" s="21">
        <f t="shared" ref="I334:N338" si="845">$E334*SUMPRODUCT($R334:$AH334,INDEX(AllocFactors,I$4,0))</f>
        <v>2402491.9863738148</v>
      </c>
      <c r="J334" s="2">
        <f t="shared" si="845"/>
        <v>260227.61317353669</v>
      </c>
      <c r="K334" s="2">
        <f t="shared" si="845"/>
        <v>0</v>
      </c>
      <c r="L334" s="2">
        <f t="shared" si="845"/>
        <v>3221.9944070296292</v>
      </c>
      <c r="M334" s="2">
        <f t="shared" si="845"/>
        <v>79058.40604561918</v>
      </c>
      <c r="N334" s="2">
        <f t="shared" si="845"/>
        <v>0</v>
      </c>
      <c r="O334" s="2"/>
      <c r="P334" s="61" t="s">
        <v>1160</v>
      </c>
      <c r="Q334" s="61"/>
      <c r="R334" s="14">
        <f>R$257</f>
        <v>8.8133437743971782E-2</v>
      </c>
      <c r="S334" s="14">
        <f t="shared" ref="S334:AH334" si="846">S$257</f>
        <v>1.48122630432825E-2</v>
      </c>
      <c r="T334" s="14">
        <f t="shared" si="846"/>
        <v>6.2152272453224224E-3</v>
      </c>
      <c r="U334" s="14">
        <f t="shared" si="846"/>
        <v>4.15942131033116E-2</v>
      </c>
      <c r="V334" s="14">
        <f t="shared" si="846"/>
        <v>0</v>
      </c>
      <c r="W334" s="14">
        <f t="shared" si="846"/>
        <v>0.15413680450310352</v>
      </c>
      <c r="X334" s="14">
        <f t="shared" si="846"/>
        <v>0</v>
      </c>
      <c r="Y334" s="14">
        <f t="shared" si="846"/>
        <v>0</v>
      </c>
      <c r="Z334" s="14">
        <f t="shared" si="846"/>
        <v>0</v>
      </c>
      <c r="AA334" s="14">
        <f t="shared" si="846"/>
        <v>0</v>
      </c>
      <c r="AB334" s="14">
        <f t="shared" si="846"/>
        <v>0.45505508837908676</v>
      </c>
      <c r="AC334" s="14">
        <f t="shared" si="846"/>
        <v>0.16681683403029823</v>
      </c>
      <c r="AD334" s="14">
        <f t="shared" si="846"/>
        <v>7.1278348815059178E-2</v>
      </c>
      <c r="AE334" s="14">
        <f t="shared" si="846"/>
        <v>0</v>
      </c>
      <c r="AF334" s="14">
        <f t="shared" si="846"/>
        <v>1.9577831365640468E-3</v>
      </c>
      <c r="AG334" s="14">
        <f t="shared" si="846"/>
        <v>0</v>
      </c>
      <c r="AH334" s="14">
        <f t="shared" si="846"/>
        <v>0</v>
      </c>
      <c r="AI334" s="76">
        <f t="shared" si="794"/>
        <v>0</v>
      </c>
      <c r="AK334" s="2">
        <f t="shared" ref="AK334:AK339" si="847">SUM(AL334:AO334)</f>
        <v>2745000</v>
      </c>
      <c r="AL334" s="2">
        <f t="shared" ref="AL334:AO339" si="848">SUMIF($R$4:$AH$4,AL$5,$R334:$AH334)*$E334</f>
        <v>413822.86241801333</v>
      </c>
      <c r="AM334" s="2">
        <f t="shared" si="848"/>
        <v>423105.52836101915</v>
      </c>
      <c r="AN334" s="2">
        <f t="shared" si="848"/>
        <v>1908071.6092209674</v>
      </c>
      <c r="AO334" s="2">
        <f t="shared" si="848"/>
        <v>0</v>
      </c>
      <c r="AP334" s="2"/>
      <c r="AQ334" s="61" t="str">
        <f>E$1&amp;$A334&amp;"*["&amp;R$1&amp;$A334&amp;":"&amp;$AH$1&amp;$A334&amp;" when "&amp;R$1&amp;$A$4&amp;":"&amp;$AH$1&amp;$A$4&amp;" = E,D,C,or R]"</f>
        <v>E334*[R334:AH334 when R4:AH4 = E,D,C,or R]</v>
      </c>
      <c r="AS334" s="2">
        <f t="shared" ref="AS334:AS339" si="849">SUM(AT334:AY334)</f>
        <v>413822.86241801339</v>
      </c>
      <c r="AT334" s="2">
        <f t="shared" ref="AT334:AY339" si="850">$E334*SUMPRODUCT($R334:$V334,INDEX(AllocFactors_E,AT$4,0))</f>
        <v>263674.90400768456</v>
      </c>
      <c r="AU334" s="2">
        <f t="shared" si="850"/>
        <v>108726.01046052066</v>
      </c>
      <c r="AV334" s="2">
        <f t="shared" si="850"/>
        <v>0</v>
      </c>
      <c r="AW334" s="2">
        <f t="shared" si="850"/>
        <v>1697.6176874516848</v>
      </c>
      <c r="AX334" s="2">
        <f t="shared" si="850"/>
        <v>39724.330262356503</v>
      </c>
      <c r="AY334" s="2">
        <f t="shared" si="850"/>
        <v>0</v>
      </c>
      <c r="BA334" s="2">
        <f t="shared" ref="BA334:BA339" si="851">SUM(BB334:BG334)</f>
        <v>423105.52836101915</v>
      </c>
      <c r="BB334" s="2">
        <f t="shared" ref="BB334:BG339" si="852">$E334*SUMPRODUCT($W334:$AA334,INDEX(AllocFactors_D,BB$4,0))</f>
        <v>288899.93518862157</v>
      </c>
      <c r="BC334" s="2">
        <f t="shared" si="852"/>
        <v>97785.347206960418</v>
      </c>
      <c r="BD334" s="2">
        <f t="shared" si="852"/>
        <v>0</v>
      </c>
      <c r="BE334" s="2">
        <f t="shared" si="852"/>
        <v>1228.4561008056739</v>
      </c>
      <c r="BF334" s="2">
        <f t="shared" si="852"/>
        <v>35191.789864631479</v>
      </c>
      <c r="BG334" s="2">
        <f t="shared" si="852"/>
        <v>0</v>
      </c>
      <c r="BI334" s="2">
        <f t="shared" ref="BI334:BI339" si="853">SUM(BJ334:BO334)</f>
        <v>1908071.6092209676</v>
      </c>
      <c r="BJ334" s="2">
        <f t="shared" ref="BJ334:BO339" si="854">$E334*SUMPRODUCT($AB334:$AG334,INDEX(AllocFactors_C,BJ$4,0))</f>
        <v>1849917.1471775086</v>
      </c>
      <c r="BK334" s="2">
        <f t="shared" si="854"/>
        <v>53716.255506055611</v>
      </c>
      <c r="BL334" s="2">
        <f t="shared" si="854"/>
        <v>0</v>
      </c>
      <c r="BM334" s="2">
        <f t="shared" si="854"/>
        <v>295.92061877227081</v>
      </c>
      <c r="BN334" s="2">
        <f t="shared" si="854"/>
        <v>4142.2859186311871</v>
      </c>
      <c r="BO334" s="2">
        <f t="shared" si="854"/>
        <v>0</v>
      </c>
      <c r="BQ334" s="28" t="s">
        <v>352</v>
      </c>
      <c r="BR334" s="23">
        <v>0</v>
      </c>
      <c r="BS334" s="14">
        <f t="shared" ref="BS334:BU335" si="855">R334</f>
        <v>8.8133437743971782E-2</v>
      </c>
      <c r="BT334" s="14">
        <f t="shared" si="855"/>
        <v>1.48122630432825E-2</v>
      </c>
      <c r="BU334" s="14">
        <f t="shared" si="855"/>
        <v>6.2152272453224224E-3</v>
      </c>
      <c r="BV334" s="14">
        <f t="shared" ref="BV334:CB335" si="856">U334</f>
        <v>4.15942131033116E-2</v>
      </c>
      <c r="BW334" s="14">
        <f t="shared" si="856"/>
        <v>0</v>
      </c>
      <c r="BX334" s="14">
        <f t="shared" si="856"/>
        <v>0.15413680450310352</v>
      </c>
      <c r="BY334" s="14">
        <f t="shared" si="856"/>
        <v>0</v>
      </c>
      <c r="BZ334" s="14">
        <f t="shared" si="856"/>
        <v>0</v>
      </c>
      <c r="CA334" s="14">
        <f t="shared" si="856"/>
        <v>0</v>
      </c>
      <c r="CB334" s="14">
        <f t="shared" si="856"/>
        <v>0</v>
      </c>
      <c r="CC334" s="14">
        <f t="shared" ref="CC334:CI335" si="857">AB334</f>
        <v>0.45505508837908676</v>
      </c>
      <c r="CD334" s="14">
        <f t="shared" si="857"/>
        <v>0.16681683403029823</v>
      </c>
      <c r="CE334" s="14">
        <f t="shared" si="857"/>
        <v>7.1278348815059178E-2</v>
      </c>
      <c r="CF334" s="14">
        <f t="shared" si="857"/>
        <v>0</v>
      </c>
      <c r="CG334" s="14">
        <f t="shared" si="857"/>
        <v>1.9577831365640468E-3</v>
      </c>
      <c r="CH334" s="14">
        <f t="shared" si="857"/>
        <v>0</v>
      </c>
      <c r="CI334" s="14">
        <f t="shared" si="857"/>
        <v>0</v>
      </c>
      <c r="CJ334" s="14"/>
      <c r="CK334" s="120" t="str">
        <f t="shared" ref="CK334:CK339" si="858">F334</f>
        <v>4-Factor</v>
      </c>
      <c r="CL334" s="76">
        <f t="shared" si="745"/>
        <v>0</v>
      </c>
      <c r="CM334" s="2">
        <f t="shared" ref="CM334:CR338" si="859">$BR334*SUMPRODUCT($BS334:$CI334,INDEX(AllocFactors,CM$170,0))</f>
        <v>0</v>
      </c>
      <c r="CN334" s="2">
        <f t="shared" si="859"/>
        <v>0</v>
      </c>
      <c r="CO334" s="2">
        <f t="shared" si="859"/>
        <v>0</v>
      </c>
      <c r="CP334" s="2">
        <f t="shared" si="859"/>
        <v>0</v>
      </c>
      <c r="CQ334" s="2">
        <f t="shared" si="859"/>
        <v>0</v>
      </c>
      <c r="CR334" s="2">
        <f t="shared" si="859"/>
        <v>0</v>
      </c>
    </row>
    <row r="335" spans="1:96">
      <c r="A335" s="50">
        <f t="shared" si="841"/>
        <v>335</v>
      </c>
      <c r="C335" s="36" t="s">
        <v>152</v>
      </c>
      <c r="D335" s="56" t="s">
        <v>353</v>
      </c>
      <c r="E335" s="23">
        <v>0</v>
      </c>
      <c r="F335" s="524" t="s">
        <v>445</v>
      </c>
      <c r="G335" s="60"/>
      <c r="H335" s="2">
        <f t="shared" si="844"/>
        <v>0</v>
      </c>
      <c r="I335" s="21">
        <f t="shared" si="845"/>
        <v>0</v>
      </c>
      <c r="J335" s="2">
        <f t="shared" si="845"/>
        <v>0</v>
      </c>
      <c r="K335" s="2">
        <f t="shared" si="845"/>
        <v>0</v>
      </c>
      <c r="L335" s="2">
        <f t="shared" si="845"/>
        <v>0</v>
      </c>
      <c r="M335" s="2">
        <f t="shared" si="845"/>
        <v>0</v>
      </c>
      <c r="N335" s="2">
        <f t="shared" si="845"/>
        <v>0</v>
      </c>
      <c r="O335" s="2"/>
      <c r="P335" s="61" t="str">
        <f>E$1&amp;$A335&amp;"*     """</f>
        <v>E335*     "</v>
      </c>
      <c r="Q335" s="61"/>
      <c r="R335" s="523">
        <v>1</v>
      </c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76">
        <f t="shared" si="794"/>
        <v>0</v>
      </c>
      <c r="AK335" s="2">
        <f t="shared" si="847"/>
        <v>0</v>
      </c>
      <c r="AL335" s="2">
        <f t="shared" si="848"/>
        <v>0</v>
      </c>
      <c r="AM335" s="2">
        <f t="shared" si="848"/>
        <v>0</v>
      </c>
      <c r="AN335" s="2">
        <f t="shared" si="848"/>
        <v>0</v>
      </c>
      <c r="AO335" s="2">
        <f t="shared" si="848"/>
        <v>0</v>
      </c>
      <c r="AP335" s="2"/>
      <c r="AQ335" s="61" t="str">
        <f>E$1&amp;$A335&amp;"*      """</f>
        <v>E335*      "</v>
      </c>
      <c r="AS335" s="2">
        <f t="shared" si="849"/>
        <v>0</v>
      </c>
      <c r="AT335" s="2">
        <f t="shared" si="850"/>
        <v>0</v>
      </c>
      <c r="AU335" s="2">
        <f t="shared" si="850"/>
        <v>0</v>
      </c>
      <c r="AV335" s="2">
        <f t="shared" si="850"/>
        <v>0</v>
      </c>
      <c r="AW335" s="2">
        <f t="shared" si="850"/>
        <v>0</v>
      </c>
      <c r="AX335" s="2">
        <f t="shared" si="850"/>
        <v>0</v>
      </c>
      <c r="AY335" s="2">
        <f t="shared" si="850"/>
        <v>0</v>
      </c>
      <c r="BA335" s="2">
        <f t="shared" si="851"/>
        <v>0</v>
      </c>
      <c r="BB335" s="2">
        <f t="shared" si="852"/>
        <v>0</v>
      </c>
      <c r="BC335" s="2">
        <f t="shared" si="852"/>
        <v>0</v>
      </c>
      <c r="BD335" s="2">
        <f t="shared" si="852"/>
        <v>0</v>
      </c>
      <c r="BE335" s="2">
        <f t="shared" si="852"/>
        <v>0</v>
      </c>
      <c r="BF335" s="2">
        <f t="shared" si="852"/>
        <v>0</v>
      </c>
      <c r="BG335" s="2">
        <f t="shared" si="852"/>
        <v>0</v>
      </c>
      <c r="BI335" s="2">
        <f t="shared" si="853"/>
        <v>0</v>
      </c>
      <c r="BJ335" s="2">
        <f t="shared" si="854"/>
        <v>0</v>
      </c>
      <c r="BK335" s="2">
        <f t="shared" si="854"/>
        <v>0</v>
      </c>
      <c r="BL335" s="2">
        <f t="shared" si="854"/>
        <v>0</v>
      </c>
      <c r="BM335" s="2">
        <f t="shared" si="854"/>
        <v>0</v>
      </c>
      <c r="BN335" s="2">
        <f t="shared" si="854"/>
        <v>0</v>
      </c>
      <c r="BO335" s="2">
        <f t="shared" si="854"/>
        <v>0</v>
      </c>
      <c r="BQ335" s="28" t="s">
        <v>353</v>
      </c>
      <c r="BR335" s="23">
        <v>0</v>
      </c>
      <c r="BS335" s="14">
        <f t="shared" si="855"/>
        <v>1</v>
      </c>
      <c r="BT335" s="14">
        <f t="shared" si="855"/>
        <v>0</v>
      </c>
      <c r="BU335" s="14">
        <f t="shared" si="855"/>
        <v>0</v>
      </c>
      <c r="BV335" s="14">
        <f t="shared" si="856"/>
        <v>0</v>
      </c>
      <c r="BW335" s="14">
        <f t="shared" si="856"/>
        <v>0</v>
      </c>
      <c r="BX335" s="14">
        <f t="shared" si="856"/>
        <v>0</v>
      </c>
      <c r="BY335" s="14">
        <f t="shared" si="856"/>
        <v>0</v>
      </c>
      <c r="BZ335" s="14">
        <f t="shared" si="856"/>
        <v>0</v>
      </c>
      <c r="CA335" s="14">
        <f t="shared" si="856"/>
        <v>0</v>
      </c>
      <c r="CB335" s="14">
        <f t="shared" si="856"/>
        <v>0</v>
      </c>
      <c r="CC335" s="14">
        <f t="shared" si="857"/>
        <v>0</v>
      </c>
      <c r="CD335" s="14">
        <f t="shared" si="857"/>
        <v>0</v>
      </c>
      <c r="CE335" s="14">
        <f t="shared" si="857"/>
        <v>0</v>
      </c>
      <c r="CF335" s="14">
        <f t="shared" si="857"/>
        <v>0</v>
      </c>
      <c r="CG335" s="14">
        <f t="shared" si="857"/>
        <v>0</v>
      </c>
      <c r="CH335" s="14">
        <f t="shared" si="857"/>
        <v>0</v>
      </c>
      <c r="CI335" s="14">
        <f t="shared" si="857"/>
        <v>0</v>
      </c>
      <c r="CJ335" s="14"/>
      <c r="CK335" s="120" t="str">
        <f t="shared" si="858"/>
        <v>Input - 100% Throughput</v>
      </c>
      <c r="CL335" s="76">
        <f t="shared" si="745"/>
        <v>0</v>
      </c>
      <c r="CM335" s="2">
        <f t="shared" si="859"/>
        <v>0</v>
      </c>
      <c r="CN335" s="2">
        <f t="shared" si="859"/>
        <v>0</v>
      </c>
      <c r="CO335" s="2">
        <f t="shared" si="859"/>
        <v>0</v>
      </c>
      <c r="CP335" s="2">
        <f t="shared" si="859"/>
        <v>0</v>
      </c>
      <c r="CQ335" s="2">
        <f t="shared" si="859"/>
        <v>0</v>
      </c>
      <c r="CR335" s="2">
        <f t="shared" si="859"/>
        <v>0</v>
      </c>
    </row>
    <row r="336" spans="1:96" s="49" customFormat="1">
      <c r="A336" s="145">
        <f t="shared" si="841"/>
        <v>336</v>
      </c>
      <c r="C336" s="525" t="s">
        <v>152</v>
      </c>
      <c r="D336" s="56" t="s">
        <v>354</v>
      </c>
      <c r="E336" s="436">
        <v>0</v>
      </c>
      <c r="F336" s="134" t="str">
        <f>"as Plant in Service ("&amp;A$58&amp;")"</f>
        <v>as Plant in Service (58)</v>
      </c>
      <c r="G336" s="134"/>
      <c r="H336" s="21">
        <f t="shared" si="844"/>
        <v>0</v>
      </c>
      <c r="I336" s="21">
        <f t="shared" si="845"/>
        <v>0</v>
      </c>
      <c r="J336" s="21">
        <f t="shared" si="845"/>
        <v>0</v>
      </c>
      <c r="K336" s="21">
        <f t="shared" si="845"/>
        <v>0</v>
      </c>
      <c r="L336" s="21">
        <f t="shared" si="845"/>
        <v>0</v>
      </c>
      <c r="M336" s="21">
        <f t="shared" si="845"/>
        <v>0</v>
      </c>
      <c r="N336" s="21">
        <f t="shared" si="845"/>
        <v>0</v>
      </c>
      <c r="O336" s="21"/>
      <c r="P336" s="148" t="str">
        <f>E$1&amp;$A336&amp;"*     """</f>
        <v>E336*     "</v>
      </c>
      <c r="Q336" s="148"/>
      <c r="R336" s="526">
        <f>R$58</f>
        <v>0.15278530527507739</v>
      </c>
      <c r="S336" s="526">
        <f t="shared" ref="S336:AH336" si="860">S$58</f>
        <v>3.164969422787912E-3</v>
      </c>
      <c r="T336" s="526">
        <f t="shared" si="860"/>
        <v>6.9829362297418388E-3</v>
      </c>
      <c r="U336" s="526">
        <f t="shared" si="860"/>
        <v>4.673195784519539E-2</v>
      </c>
      <c r="V336" s="526">
        <f t="shared" si="860"/>
        <v>0</v>
      </c>
      <c r="W336" s="526">
        <f t="shared" si="860"/>
        <v>0.27991526808724082</v>
      </c>
      <c r="X336" s="526">
        <f t="shared" si="860"/>
        <v>0</v>
      </c>
      <c r="Y336" s="526">
        <f t="shared" si="860"/>
        <v>0</v>
      </c>
      <c r="Z336" s="526">
        <f t="shared" si="860"/>
        <v>0</v>
      </c>
      <c r="AA336" s="526">
        <f t="shared" si="860"/>
        <v>0</v>
      </c>
      <c r="AB336" s="526">
        <f t="shared" si="860"/>
        <v>9.7232640022350991E-2</v>
      </c>
      <c r="AC336" s="526">
        <f t="shared" si="860"/>
        <v>0.29403559958561315</v>
      </c>
      <c r="AD336" s="526">
        <f t="shared" si="860"/>
        <v>0.1147688867063851</v>
      </c>
      <c r="AE336" s="526">
        <f t="shared" si="860"/>
        <v>0</v>
      </c>
      <c r="AF336" s="526">
        <f t="shared" si="860"/>
        <v>4.3824368256074331E-3</v>
      </c>
      <c r="AG336" s="526">
        <f t="shared" si="860"/>
        <v>0</v>
      </c>
      <c r="AH336" s="526">
        <f t="shared" si="860"/>
        <v>0</v>
      </c>
      <c r="AI336" s="131">
        <f t="shared" si="794"/>
        <v>0</v>
      </c>
      <c r="AK336" s="21">
        <f t="shared" si="847"/>
        <v>0</v>
      </c>
      <c r="AL336" s="21">
        <f t="shared" si="848"/>
        <v>0</v>
      </c>
      <c r="AM336" s="21">
        <f t="shared" si="848"/>
        <v>0</v>
      </c>
      <c r="AN336" s="21">
        <f t="shared" si="848"/>
        <v>0</v>
      </c>
      <c r="AO336" s="21">
        <f t="shared" si="848"/>
        <v>0</v>
      </c>
      <c r="AP336" s="21"/>
      <c r="AQ336" s="148" t="str">
        <f>E$1&amp;$A336&amp;"*      """</f>
        <v>E336*      "</v>
      </c>
      <c r="AS336" s="21">
        <f t="shared" si="849"/>
        <v>0</v>
      </c>
      <c r="AT336" s="21">
        <f t="shared" si="850"/>
        <v>0</v>
      </c>
      <c r="AU336" s="21">
        <f t="shared" si="850"/>
        <v>0</v>
      </c>
      <c r="AV336" s="21">
        <f t="shared" si="850"/>
        <v>0</v>
      </c>
      <c r="AW336" s="21">
        <f t="shared" si="850"/>
        <v>0</v>
      </c>
      <c r="AX336" s="21">
        <f t="shared" si="850"/>
        <v>0</v>
      </c>
      <c r="AY336" s="21">
        <f t="shared" si="850"/>
        <v>0</v>
      </c>
      <c r="BA336" s="21">
        <f t="shared" si="851"/>
        <v>0</v>
      </c>
      <c r="BB336" s="21">
        <f t="shared" si="852"/>
        <v>0</v>
      </c>
      <c r="BC336" s="21">
        <f t="shared" si="852"/>
        <v>0</v>
      </c>
      <c r="BD336" s="21">
        <f t="shared" si="852"/>
        <v>0</v>
      </c>
      <c r="BE336" s="21">
        <f t="shared" si="852"/>
        <v>0</v>
      </c>
      <c r="BF336" s="21">
        <f t="shared" si="852"/>
        <v>0</v>
      </c>
      <c r="BG336" s="21">
        <f t="shared" si="852"/>
        <v>0</v>
      </c>
      <c r="BI336" s="21">
        <f t="shared" si="853"/>
        <v>0</v>
      </c>
      <c r="BJ336" s="21">
        <f t="shared" si="854"/>
        <v>0</v>
      </c>
      <c r="BK336" s="21">
        <f t="shared" si="854"/>
        <v>0</v>
      </c>
      <c r="BL336" s="21">
        <f t="shared" si="854"/>
        <v>0</v>
      </c>
      <c r="BM336" s="21">
        <f t="shared" si="854"/>
        <v>0</v>
      </c>
      <c r="BN336" s="21">
        <f t="shared" si="854"/>
        <v>0</v>
      </c>
      <c r="BO336" s="21">
        <f t="shared" si="854"/>
        <v>0</v>
      </c>
      <c r="BQ336" s="56" t="s">
        <v>354</v>
      </c>
      <c r="BR336" s="23">
        <v>332016</v>
      </c>
      <c r="BS336" s="526">
        <f>R$58</f>
        <v>0.15278530527507739</v>
      </c>
      <c r="BT336" s="526">
        <f>S$58</f>
        <v>3.164969422787912E-3</v>
      </c>
      <c r="BU336" s="526">
        <f>T$58</f>
        <v>6.9829362297418388E-3</v>
      </c>
      <c r="BV336" s="526">
        <f t="shared" ref="BV336:CI336" si="861">U$58</f>
        <v>4.673195784519539E-2</v>
      </c>
      <c r="BW336" s="526">
        <f t="shared" si="861"/>
        <v>0</v>
      </c>
      <c r="BX336" s="526">
        <f t="shared" si="861"/>
        <v>0.27991526808724082</v>
      </c>
      <c r="BY336" s="526">
        <f t="shared" si="861"/>
        <v>0</v>
      </c>
      <c r="BZ336" s="526">
        <f t="shared" si="861"/>
        <v>0</v>
      </c>
      <c r="CA336" s="526">
        <f t="shared" si="861"/>
        <v>0</v>
      </c>
      <c r="CB336" s="526">
        <f t="shared" si="861"/>
        <v>0</v>
      </c>
      <c r="CC336" s="526">
        <f t="shared" si="861"/>
        <v>9.7232640022350991E-2</v>
      </c>
      <c r="CD336" s="526">
        <f t="shared" si="861"/>
        <v>0.29403559958561315</v>
      </c>
      <c r="CE336" s="526">
        <f t="shared" si="861"/>
        <v>0.1147688867063851</v>
      </c>
      <c r="CF336" s="526">
        <f t="shared" si="861"/>
        <v>0</v>
      </c>
      <c r="CG336" s="526">
        <f t="shared" si="861"/>
        <v>4.3824368256074331E-3</v>
      </c>
      <c r="CH336" s="526">
        <f t="shared" si="861"/>
        <v>0</v>
      </c>
      <c r="CI336" s="526">
        <f t="shared" si="861"/>
        <v>0</v>
      </c>
      <c r="CJ336" s="526"/>
      <c r="CK336" s="440" t="str">
        <f t="shared" si="858"/>
        <v>as Plant in Service (58)</v>
      </c>
      <c r="CL336" s="131">
        <f t="shared" ref="CL336:CL342" si="862">IF(SUM(BS336:CI336)&lt;&gt;0,(ROUND(SUM(BS336:CI336),4)&lt;&gt;1)+0,0)</f>
        <v>0</v>
      </c>
      <c r="CM336" s="21">
        <f>$BR336*SUMPRODUCT($BS336:$CI336,INDEX(AllocFactors,CM$170,0))</f>
        <v>268044.83300058934</v>
      </c>
      <c r="CN336" s="21">
        <f t="shared" si="859"/>
        <v>46596.074379956415</v>
      </c>
      <c r="CO336" s="21">
        <f t="shared" si="859"/>
        <v>0</v>
      </c>
      <c r="CP336" s="21">
        <f t="shared" si="859"/>
        <v>614.16075392632933</v>
      </c>
      <c r="CQ336" s="21">
        <f t="shared" si="859"/>
        <v>16760.931865527891</v>
      </c>
      <c r="CR336" s="21">
        <f t="shared" si="859"/>
        <v>0</v>
      </c>
    </row>
    <row r="337" spans="1:96">
      <c r="A337" s="50">
        <f t="shared" si="841"/>
        <v>337</v>
      </c>
      <c r="C337" s="36" t="s">
        <v>157</v>
      </c>
      <c r="D337" s="28" t="s">
        <v>355</v>
      </c>
      <c r="E337" s="23">
        <v>0</v>
      </c>
      <c r="F337" s="60" t="s">
        <v>451</v>
      </c>
      <c r="G337" s="60"/>
      <c r="H337" s="2">
        <f t="shared" si="844"/>
        <v>0</v>
      </c>
      <c r="I337" s="21">
        <f t="shared" si="845"/>
        <v>0</v>
      </c>
      <c r="J337" s="2">
        <f t="shared" si="845"/>
        <v>0</v>
      </c>
      <c r="K337" s="2">
        <f t="shared" si="845"/>
        <v>0</v>
      </c>
      <c r="L337" s="2">
        <f t="shared" si="845"/>
        <v>0</v>
      </c>
      <c r="M337" s="2">
        <f t="shared" si="845"/>
        <v>0</v>
      </c>
      <c r="N337" s="2">
        <f t="shared" si="845"/>
        <v>0</v>
      </c>
      <c r="O337" s="2"/>
      <c r="P337" s="61" t="str">
        <f>E$1&amp;$A337&amp;"*     """</f>
        <v>E337*     "</v>
      </c>
      <c r="Q337" s="61"/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1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76">
        <f t="shared" si="794"/>
        <v>0</v>
      </c>
      <c r="AK337" s="2">
        <f t="shared" si="847"/>
        <v>0</v>
      </c>
      <c r="AL337" s="2">
        <f t="shared" si="848"/>
        <v>0</v>
      </c>
      <c r="AM337" s="2">
        <f t="shared" si="848"/>
        <v>0</v>
      </c>
      <c r="AN337" s="2">
        <f t="shared" si="848"/>
        <v>0</v>
      </c>
      <c r="AO337" s="2">
        <f t="shared" si="848"/>
        <v>0</v>
      </c>
      <c r="AP337" s="2"/>
      <c r="AQ337" s="61" t="str">
        <f>E$1&amp;$A337&amp;"*      """</f>
        <v>E337*      "</v>
      </c>
      <c r="AS337" s="2">
        <f t="shared" si="849"/>
        <v>0</v>
      </c>
      <c r="AT337" s="2">
        <f t="shared" si="850"/>
        <v>0</v>
      </c>
      <c r="AU337" s="2">
        <f t="shared" si="850"/>
        <v>0</v>
      </c>
      <c r="AV337" s="2">
        <f t="shared" si="850"/>
        <v>0</v>
      </c>
      <c r="AW337" s="2">
        <f t="shared" si="850"/>
        <v>0</v>
      </c>
      <c r="AX337" s="2">
        <f t="shared" si="850"/>
        <v>0</v>
      </c>
      <c r="AY337" s="2">
        <f t="shared" si="850"/>
        <v>0</v>
      </c>
      <c r="BA337" s="2">
        <f t="shared" si="851"/>
        <v>0</v>
      </c>
      <c r="BB337" s="2">
        <f t="shared" si="852"/>
        <v>0</v>
      </c>
      <c r="BC337" s="2">
        <f t="shared" si="852"/>
        <v>0</v>
      </c>
      <c r="BD337" s="2">
        <f t="shared" si="852"/>
        <v>0</v>
      </c>
      <c r="BE337" s="2">
        <f t="shared" si="852"/>
        <v>0</v>
      </c>
      <c r="BF337" s="2">
        <f t="shared" si="852"/>
        <v>0</v>
      </c>
      <c r="BG337" s="2">
        <f t="shared" si="852"/>
        <v>0</v>
      </c>
      <c r="BI337" s="2">
        <f t="shared" si="853"/>
        <v>0</v>
      </c>
      <c r="BJ337" s="2">
        <f t="shared" si="854"/>
        <v>0</v>
      </c>
      <c r="BK337" s="2">
        <f t="shared" si="854"/>
        <v>0</v>
      </c>
      <c r="BL337" s="2">
        <f t="shared" si="854"/>
        <v>0</v>
      </c>
      <c r="BM337" s="2">
        <f t="shared" si="854"/>
        <v>0</v>
      </c>
      <c r="BN337" s="2">
        <f t="shared" si="854"/>
        <v>0</v>
      </c>
      <c r="BO337" s="2">
        <f t="shared" si="854"/>
        <v>0</v>
      </c>
      <c r="BQ337" s="28" t="s">
        <v>355</v>
      </c>
      <c r="BR337" s="23">
        <v>0</v>
      </c>
      <c r="BS337" s="14">
        <f t="shared" ref="BS337:BU338" si="863">R337</f>
        <v>0</v>
      </c>
      <c r="BT337" s="14">
        <f t="shared" si="863"/>
        <v>0</v>
      </c>
      <c r="BU337" s="14">
        <f t="shared" si="863"/>
        <v>0</v>
      </c>
      <c r="BV337" s="14">
        <f t="shared" ref="BV337:CB338" si="864">U337</f>
        <v>0</v>
      </c>
      <c r="BW337" s="14">
        <f t="shared" si="864"/>
        <v>0</v>
      </c>
      <c r="BX337" s="14">
        <f t="shared" si="864"/>
        <v>0</v>
      </c>
      <c r="BY337" s="14">
        <f t="shared" si="864"/>
        <v>0</v>
      </c>
      <c r="BZ337" s="14">
        <f t="shared" si="864"/>
        <v>0</v>
      </c>
      <c r="CA337" s="14">
        <f t="shared" si="864"/>
        <v>0</v>
      </c>
      <c r="CB337" s="14">
        <f t="shared" si="864"/>
        <v>0</v>
      </c>
      <c r="CC337" s="14">
        <f t="shared" ref="CC337:CF338" si="865">AB337</f>
        <v>1</v>
      </c>
      <c r="CD337" s="14">
        <f t="shared" si="865"/>
        <v>0</v>
      </c>
      <c r="CE337" s="14">
        <f t="shared" si="865"/>
        <v>0</v>
      </c>
      <c r="CF337" s="14">
        <f t="shared" si="865"/>
        <v>0</v>
      </c>
      <c r="CG337" s="14">
        <f t="shared" ref="CG337:CI338" si="866">AF337</f>
        <v>0</v>
      </c>
      <c r="CH337" s="14">
        <f t="shared" si="866"/>
        <v>0</v>
      </c>
      <c r="CI337" s="14">
        <f t="shared" si="866"/>
        <v>0</v>
      </c>
      <c r="CJ337" s="14"/>
      <c r="CK337" s="120" t="str">
        <f t="shared" si="858"/>
        <v>Input - 100% Cust</v>
      </c>
      <c r="CL337" s="76">
        <f t="shared" si="862"/>
        <v>0</v>
      </c>
      <c r="CM337" s="2">
        <f t="shared" si="859"/>
        <v>0</v>
      </c>
      <c r="CN337" s="2">
        <f t="shared" si="859"/>
        <v>0</v>
      </c>
      <c r="CO337" s="2">
        <f t="shared" si="859"/>
        <v>0</v>
      </c>
      <c r="CP337" s="2">
        <f t="shared" si="859"/>
        <v>0</v>
      </c>
      <c r="CQ337" s="2">
        <f t="shared" si="859"/>
        <v>0</v>
      </c>
      <c r="CR337" s="2">
        <f t="shared" si="859"/>
        <v>0</v>
      </c>
    </row>
    <row r="338" spans="1:96">
      <c r="A338" s="50">
        <f t="shared" si="841"/>
        <v>338</v>
      </c>
      <c r="C338" s="36" t="s">
        <v>156</v>
      </c>
      <c r="D338" s="28" t="s">
        <v>351</v>
      </c>
      <c r="E338" s="23">
        <v>0</v>
      </c>
      <c r="F338" s="60" t="s">
        <v>452</v>
      </c>
      <c r="G338" s="60"/>
      <c r="H338" s="2">
        <f t="shared" si="844"/>
        <v>0</v>
      </c>
      <c r="I338" s="21">
        <f t="shared" si="845"/>
        <v>0</v>
      </c>
      <c r="J338" s="2">
        <f t="shared" si="845"/>
        <v>0</v>
      </c>
      <c r="K338" s="2">
        <f t="shared" si="845"/>
        <v>0</v>
      </c>
      <c r="L338" s="2">
        <f t="shared" si="845"/>
        <v>0</v>
      </c>
      <c r="M338" s="2">
        <f t="shared" si="845"/>
        <v>0</v>
      </c>
      <c r="N338" s="2">
        <f t="shared" si="845"/>
        <v>0</v>
      </c>
      <c r="O338" s="2"/>
      <c r="P338" s="61" t="str">
        <f>E$1&amp;$A338&amp;"*     """</f>
        <v>E338*     "</v>
      </c>
      <c r="Q338" s="61"/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1</v>
      </c>
      <c r="AI338" s="76">
        <f t="shared" si="794"/>
        <v>0</v>
      </c>
      <c r="AK338" s="2">
        <f t="shared" si="847"/>
        <v>0</v>
      </c>
      <c r="AL338" s="2">
        <f t="shared" si="848"/>
        <v>0</v>
      </c>
      <c r="AM338" s="2">
        <f t="shared" si="848"/>
        <v>0</v>
      </c>
      <c r="AN338" s="2">
        <f t="shared" si="848"/>
        <v>0</v>
      </c>
      <c r="AO338" s="2">
        <f t="shared" si="848"/>
        <v>0</v>
      </c>
      <c r="AP338" s="2"/>
      <c r="AQ338" s="61" t="str">
        <f>E$1&amp;$A338&amp;"*      """</f>
        <v>E338*      "</v>
      </c>
      <c r="AS338" s="2">
        <f t="shared" si="849"/>
        <v>0</v>
      </c>
      <c r="AT338" s="2">
        <f t="shared" si="850"/>
        <v>0</v>
      </c>
      <c r="AU338" s="2">
        <f t="shared" si="850"/>
        <v>0</v>
      </c>
      <c r="AV338" s="2">
        <f t="shared" si="850"/>
        <v>0</v>
      </c>
      <c r="AW338" s="2">
        <f t="shared" si="850"/>
        <v>0</v>
      </c>
      <c r="AX338" s="2">
        <f t="shared" si="850"/>
        <v>0</v>
      </c>
      <c r="AY338" s="2">
        <f t="shared" si="850"/>
        <v>0</v>
      </c>
      <c r="BA338" s="2">
        <f t="shared" si="851"/>
        <v>0</v>
      </c>
      <c r="BB338" s="2">
        <f t="shared" si="852"/>
        <v>0</v>
      </c>
      <c r="BC338" s="2">
        <f t="shared" si="852"/>
        <v>0</v>
      </c>
      <c r="BD338" s="2">
        <f t="shared" si="852"/>
        <v>0</v>
      </c>
      <c r="BE338" s="2">
        <f t="shared" si="852"/>
        <v>0</v>
      </c>
      <c r="BF338" s="2">
        <f t="shared" si="852"/>
        <v>0</v>
      </c>
      <c r="BG338" s="2">
        <f t="shared" si="852"/>
        <v>0</v>
      </c>
      <c r="BI338" s="2">
        <f t="shared" si="853"/>
        <v>0</v>
      </c>
      <c r="BJ338" s="2">
        <f t="shared" si="854"/>
        <v>0</v>
      </c>
      <c r="BK338" s="2">
        <f t="shared" si="854"/>
        <v>0</v>
      </c>
      <c r="BL338" s="2">
        <f t="shared" si="854"/>
        <v>0</v>
      </c>
      <c r="BM338" s="2">
        <f t="shared" si="854"/>
        <v>0</v>
      </c>
      <c r="BN338" s="2">
        <f t="shared" si="854"/>
        <v>0</v>
      </c>
      <c r="BO338" s="2">
        <f t="shared" si="854"/>
        <v>0</v>
      </c>
      <c r="BQ338" s="28" t="s">
        <v>351</v>
      </c>
      <c r="BR338" s="23">
        <v>0</v>
      </c>
      <c r="BS338" s="14">
        <f t="shared" si="863"/>
        <v>0</v>
      </c>
      <c r="BT338" s="14">
        <f t="shared" si="863"/>
        <v>0</v>
      </c>
      <c r="BU338" s="14">
        <f t="shared" si="863"/>
        <v>0</v>
      </c>
      <c r="BV338" s="14">
        <f t="shared" si="864"/>
        <v>0</v>
      </c>
      <c r="BW338" s="14">
        <f t="shared" si="864"/>
        <v>0</v>
      </c>
      <c r="BX338" s="14">
        <f t="shared" si="864"/>
        <v>0</v>
      </c>
      <c r="BY338" s="14">
        <f t="shared" si="864"/>
        <v>0</v>
      </c>
      <c r="BZ338" s="14">
        <f t="shared" si="864"/>
        <v>0</v>
      </c>
      <c r="CA338" s="14">
        <f t="shared" si="864"/>
        <v>0</v>
      </c>
      <c r="CB338" s="14">
        <f t="shared" si="864"/>
        <v>0</v>
      </c>
      <c r="CC338" s="14">
        <f t="shared" si="865"/>
        <v>0</v>
      </c>
      <c r="CD338" s="14">
        <f t="shared" si="865"/>
        <v>0</v>
      </c>
      <c r="CE338" s="14">
        <f t="shared" si="865"/>
        <v>0</v>
      </c>
      <c r="CF338" s="14">
        <f t="shared" si="865"/>
        <v>0</v>
      </c>
      <c r="CG338" s="14">
        <f t="shared" si="866"/>
        <v>0</v>
      </c>
      <c r="CH338" s="14">
        <f t="shared" si="866"/>
        <v>0</v>
      </c>
      <c r="CI338" s="14">
        <f t="shared" si="866"/>
        <v>1</v>
      </c>
      <c r="CJ338" s="14"/>
      <c r="CK338" s="120" t="str">
        <f t="shared" si="858"/>
        <v>Input - 100% Rev</v>
      </c>
      <c r="CL338" s="76">
        <f t="shared" si="862"/>
        <v>0</v>
      </c>
      <c r="CM338" s="2">
        <f t="shared" si="859"/>
        <v>0</v>
      </c>
      <c r="CN338" s="2">
        <f t="shared" si="859"/>
        <v>0</v>
      </c>
      <c r="CO338" s="2">
        <f t="shared" si="859"/>
        <v>0</v>
      </c>
      <c r="CP338" s="2">
        <f t="shared" si="859"/>
        <v>0</v>
      </c>
      <c r="CQ338" s="2">
        <f t="shared" si="859"/>
        <v>0</v>
      </c>
      <c r="CR338" s="2">
        <f t="shared" si="859"/>
        <v>0</v>
      </c>
    </row>
    <row r="339" spans="1:96">
      <c r="A339" s="50">
        <f t="shared" si="841"/>
        <v>339</v>
      </c>
      <c r="C339" s="36" t="s">
        <v>152</v>
      </c>
      <c r="D339" s="28" t="s">
        <v>356</v>
      </c>
      <c r="E339" s="23">
        <v>0</v>
      </c>
      <c r="F339" s="60" t="str">
        <f>"as Labor O&amp;M Exp. ("&amp;BS$1&amp;A$342&amp;")"</f>
        <v>as Labor O&amp;M Exp. (BS342)</v>
      </c>
      <c r="G339" s="60"/>
      <c r="H339" s="2">
        <f t="shared" si="844"/>
        <v>0</v>
      </c>
      <c r="I339" s="21">
        <f t="shared" ref="I339:N339" si="867">$E339*CM$342/$BR$342</f>
        <v>0</v>
      </c>
      <c r="J339" s="21">
        <f t="shared" si="867"/>
        <v>0</v>
      </c>
      <c r="K339" s="21">
        <f t="shared" si="867"/>
        <v>0</v>
      </c>
      <c r="L339" s="21">
        <f t="shared" si="867"/>
        <v>0</v>
      </c>
      <c r="M339" s="21">
        <f t="shared" si="867"/>
        <v>0</v>
      </c>
      <c r="N339" s="21">
        <f t="shared" si="867"/>
        <v>0</v>
      </c>
      <c r="O339" s="2"/>
      <c r="P339" s="61" t="str">
        <f>E$1&amp;$A339&amp;"* "&amp;CM$1&amp;A$342&amp;" / "&amp;BR$1&amp;A$342</f>
        <v>E339* CM342 / BR342</v>
      </c>
      <c r="Q339" s="61"/>
      <c r="R339" s="14">
        <f>BS$342</f>
        <v>9.4011197840194252E-2</v>
      </c>
      <c r="S339" s="14">
        <f>BT$342</f>
        <v>2.771484723001123E-2</v>
      </c>
      <c r="T339" s="14">
        <f t="shared" ref="T339:AH339" si="868">BU$342</f>
        <v>2.025083303615954E-3</v>
      </c>
      <c r="U339" s="14">
        <f t="shared" si="868"/>
        <v>1.3552480570352927E-2</v>
      </c>
      <c r="V339" s="14">
        <f t="shared" si="868"/>
        <v>0</v>
      </c>
      <c r="W339" s="14">
        <f t="shared" si="868"/>
        <v>0.1576905706846389</v>
      </c>
      <c r="X339" s="14">
        <f t="shared" si="868"/>
        <v>0</v>
      </c>
      <c r="Y339" s="14">
        <f t="shared" si="868"/>
        <v>0</v>
      </c>
      <c r="Z339" s="14">
        <f t="shared" si="868"/>
        <v>0</v>
      </c>
      <c r="AA339" s="14">
        <f t="shared" si="868"/>
        <v>0</v>
      </c>
      <c r="AB339" s="14">
        <f t="shared" si="868"/>
        <v>0.43643287397616143</v>
      </c>
      <c r="AC339" s="14">
        <f t="shared" si="868"/>
        <v>0.1792970882068218</v>
      </c>
      <c r="AD339" s="14">
        <f t="shared" si="868"/>
        <v>8.7076406980020227E-2</v>
      </c>
      <c r="AE339" s="14">
        <f t="shared" si="868"/>
        <v>0</v>
      </c>
      <c r="AF339" s="14">
        <f t="shared" si="868"/>
        <v>2.1994512081833085E-3</v>
      </c>
      <c r="AG339" s="14">
        <f t="shared" si="868"/>
        <v>0</v>
      </c>
      <c r="AH339" s="14">
        <f t="shared" si="868"/>
        <v>0</v>
      </c>
      <c r="AI339" s="76">
        <f t="shared" si="794"/>
        <v>0</v>
      </c>
      <c r="AK339" s="2">
        <f t="shared" si="847"/>
        <v>0</v>
      </c>
      <c r="AL339" s="2">
        <f t="shared" si="848"/>
        <v>0</v>
      </c>
      <c r="AM339" s="2">
        <f t="shared" si="848"/>
        <v>0</v>
      </c>
      <c r="AN339" s="2">
        <f t="shared" si="848"/>
        <v>0</v>
      </c>
      <c r="AO339" s="2">
        <f t="shared" si="848"/>
        <v>0</v>
      </c>
      <c r="AP339" s="2"/>
      <c r="AQ339" s="61" t="str">
        <f>E$1&amp;$A339&amp;"*      """</f>
        <v>E339*      "</v>
      </c>
      <c r="AS339" s="2">
        <f t="shared" si="849"/>
        <v>0</v>
      </c>
      <c r="AT339" s="2">
        <f t="shared" si="850"/>
        <v>0</v>
      </c>
      <c r="AU339" s="2">
        <f t="shared" si="850"/>
        <v>0</v>
      </c>
      <c r="AV339" s="2">
        <f t="shared" si="850"/>
        <v>0</v>
      </c>
      <c r="AW339" s="2">
        <f t="shared" si="850"/>
        <v>0</v>
      </c>
      <c r="AX339" s="2">
        <f t="shared" si="850"/>
        <v>0</v>
      </c>
      <c r="AY339" s="2">
        <f t="shared" si="850"/>
        <v>0</v>
      </c>
      <c r="BA339" s="2">
        <f t="shared" si="851"/>
        <v>0</v>
      </c>
      <c r="BB339" s="2">
        <f t="shared" si="852"/>
        <v>0</v>
      </c>
      <c r="BC339" s="2">
        <f t="shared" si="852"/>
        <v>0</v>
      </c>
      <c r="BD339" s="2">
        <f t="shared" si="852"/>
        <v>0</v>
      </c>
      <c r="BE339" s="2">
        <f t="shared" si="852"/>
        <v>0</v>
      </c>
      <c r="BF339" s="2">
        <f t="shared" si="852"/>
        <v>0</v>
      </c>
      <c r="BG339" s="2">
        <f t="shared" si="852"/>
        <v>0</v>
      </c>
      <c r="BI339" s="2">
        <f t="shared" si="853"/>
        <v>0</v>
      </c>
      <c r="BJ339" s="2">
        <f t="shared" si="854"/>
        <v>0</v>
      </c>
      <c r="BK339" s="2">
        <f t="shared" si="854"/>
        <v>0</v>
      </c>
      <c r="BL339" s="2">
        <f t="shared" si="854"/>
        <v>0</v>
      </c>
      <c r="BM339" s="2">
        <f t="shared" si="854"/>
        <v>0</v>
      </c>
      <c r="BN339" s="2">
        <f t="shared" si="854"/>
        <v>0</v>
      </c>
      <c r="BO339" s="2">
        <f t="shared" si="854"/>
        <v>0</v>
      </c>
      <c r="BQ339" s="28" t="s">
        <v>356</v>
      </c>
      <c r="BR339" s="23">
        <v>0</v>
      </c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120" t="str">
        <f t="shared" si="858"/>
        <v>as Labor O&amp;M Exp. (BS342)</v>
      </c>
      <c r="CL339" s="76">
        <f t="shared" si="862"/>
        <v>0</v>
      </c>
      <c r="CM339" s="2"/>
      <c r="CN339" s="2"/>
      <c r="CO339" s="2"/>
      <c r="CP339" s="2"/>
      <c r="CQ339" s="2"/>
      <c r="CR339" s="2"/>
    </row>
    <row r="340" spans="1:96">
      <c r="A340" s="50">
        <f t="shared" si="841"/>
        <v>340</v>
      </c>
      <c r="D340" t="s">
        <v>64</v>
      </c>
      <c r="E340" s="4">
        <f>SUM(E256:E339)</f>
        <v>17365000</v>
      </c>
      <c r="F340" s="62"/>
      <c r="G340" s="62"/>
      <c r="H340" s="4">
        <f>IF(ROUND(SUM(H254:H339),3)&lt;&gt;ROUND(SUM(I340:N340),3),#VALUE!,SUM(H254:H339))</f>
        <v>17365000.029313046</v>
      </c>
      <c r="I340" s="4">
        <f t="shared" ref="I340:N340" si="869">SUM(I254:I339)</f>
        <v>15160796.661911283</v>
      </c>
      <c r="J340" s="4">
        <f t="shared" si="869"/>
        <v>1676365.2161482349</v>
      </c>
      <c r="K340" s="4">
        <f t="shared" si="869"/>
        <v>0</v>
      </c>
      <c r="L340" s="4">
        <f t="shared" si="869"/>
        <v>20725.620482396724</v>
      </c>
      <c r="M340" s="4">
        <f t="shared" si="869"/>
        <v>507112.53077113139</v>
      </c>
      <c r="N340" s="4">
        <f t="shared" si="869"/>
        <v>0</v>
      </c>
      <c r="O340" s="5"/>
      <c r="P340" s="61" t="str">
        <f>$A255&amp;":"&amp;$A339</f>
        <v>255:339</v>
      </c>
      <c r="Q340" s="61"/>
      <c r="R340" s="16">
        <f>SUMPRODUCT($E$257:$E$339,R257:R339)/$E340</f>
        <v>8.8265893186165359E-2</v>
      </c>
      <c r="S340" s="16">
        <f t="shared" ref="S340:AH340" si="870">SUMPRODUCT($E$257:$E$339,S257:S339)/$E340</f>
        <v>1.4869105254688594E-2</v>
      </c>
      <c r="T340" s="16">
        <f t="shared" si="870"/>
        <v>6.0327958745070558E-3</v>
      </c>
      <c r="U340" s="16">
        <f t="shared" si="870"/>
        <v>4.0373326237085672E-2</v>
      </c>
      <c r="V340" s="16">
        <f t="shared" si="870"/>
        <v>0</v>
      </c>
      <c r="W340" s="16">
        <f t="shared" si="870"/>
        <v>0.15434893525850299</v>
      </c>
      <c r="X340" s="16">
        <f t="shared" si="870"/>
        <v>0</v>
      </c>
      <c r="Y340" s="16">
        <f t="shared" si="870"/>
        <v>0</v>
      </c>
      <c r="Z340" s="16">
        <f t="shared" si="870"/>
        <v>0</v>
      </c>
      <c r="AA340" s="16">
        <f t="shared" si="870"/>
        <v>0</v>
      </c>
      <c r="AB340" s="16">
        <f t="shared" si="870"/>
        <v>0.44439769779466393</v>
      </c>
      <c r="AC340" s="16">
        <f t="shared" si="870"/>
        <v>0.16717726638863989</v>
      </c>
      <c r="AD340" s="16">
        <f t="shared" si="870"/>
        <v>7.1589929398780672E-2</v>
      </c>
      <c r="AE340" s="16">
        <f t="shared" si="870"/>
        <v>0</v>
      </c>
      <c r="AF340" s="16">
        <f t="shared" si="870"/>
        <v>1.9781631897472255E-3</v>
      </c>
      <c r="AG340" s="16">
        <f t="shared" si="870"/>
        <v>0</v>
      </c>
      <c r="AH340" s="16">
        <f t="shared" si="870"/>
        <v>1.0966887417218543E-2</v>
      </c>
      <c r="AI340" s="76">
        <f t="shared" si="794"/>
        <v>0</v>
      </c>
      <c r="AK340" s="4">
        <f>IF(ROUND(SUM(AK255:AK339),3)&lt;&gt;ROUND(SUM(AL340:AO340),3),#VALUE!,SUM(AK255:AK339))</f>
        <v>17365000</v>
      </c>
      <c r="AL340" s="4">
        <f>SUM(AL255:AL339)</f>
        <v>2596781.5583932367</v>
      </c>
      <c r="AM340" s="4">
        <f>SUM(AM255:AM339)</f>
        <v>2680269.2607639045</v>
      </c>
      <c r="AN340" s="4">
        <f>SUM(AN255:AN339)</f>
        <v>11897509.180842858</v>
      </c>
      <c r="AO340" s="4">
        <f>SUM(AO255:AO339)</f>
        <v>190440</v>
      </c>
      <c r="AP340" s="5"/>
      <c r="AQ340" s="61" t="str">
        <f>$A255&amp;":"&amp;$A339</f>
        <v>255:339</v>
      </c>
      <c r="AS340" s="4">
        <f>IF(ROUND(SUM(AS255:AS339),3)&lt;&gt;ROUND(SUM(AT340:AY340),3),#VALUE!,SUM(AS255:AS339))</f>
        <v>2596781.5583932372</v>
      </c>
      <c r="AT340" s="4">
        <f t="shared" ref="AT340:AY340" si="871">SUM(AT255:AT339)</f>
        <v>1652293.1499387715</v>
      </c>
      <c r="AU340" s="4">
        <f t="shared" si="871"/>
        <v>682507.89548376738</v>
      </c>
      <c r="AV340" s="4">
        <f t="shared" si="871"/>
        <v>0</v>
      </c>
      <c r="AW340" s="4">
        <f t="shared" si="871"/>
        <v>10663.932895760594</v>
      </c>
      <c r="AX340" s="4">
        <f t="shared" si="871"/>
        <v>251316.58007493764</v>
      </c>
      <c r="AY340" s="4">
        <f t="shared" si="871"/>
        <v>0</v>
      </c>
      <c r="BA340" s="4">
        <f>IF(ROUND(SUM(BA255:BA339),3)&lt;&gt;ROUND(SUM(BB340:BG340),3),#VALUE!,SUM(BA255:BA339))</f>
        <v>2680269.2607639041</v>
      </c>
      <c r="BB340" s="4">
        <f t="shared" ref="BB340:BG340" si="872">SUM(BB255:BB339)</f>
        <v>1830109.8988762018</v>
      </c>
      <c r="BC340" s="4">
        <f t="shared" si="872"/>
        <v>619446.07835118996</v>
      </c>
      <c r="BD340" s="4">
        <f t="shared" si="872"/>
        <v>0</v>
      </c>
      <c r="BE340" s="4">
        <f t="shared" si="872"/>
        <v>7781.9666832098064</v>
      </c>
      <c r="BF340" s="4">
        <f t="shared" si="872"/>
        <v>222931.31685330288</v>
      </c>
      <c r="BG340" s="4">
        <f t="shared" si="872"/>
        <v>0</v>
      </c>
      <c r="BI340" s="4">
        <f>IF(ROUND(SUM(BI255:BI339),3)&lt;&gt;ROUND(SUM(BJ340:BO340),3),#VALUE!,SUM(BI255:BI339))</f>
        <v>11897509.180842858</v>
      </c>
      <c r="BJ340" s="4">
        <f t="shared" ref="BJ340:BO340" si="873">SUM(BJ255:BJ339)</f>
        <v>11532046.912638217</v>
      </c>
      <c r="BK340" s="4">
        <f t="shared" si="873"/>
        <v>337311.91237615229</v>
      </c>
      <c r="BL340" s="4">
        <f t="shared" si="873"/>
        <v>0</v>
      </c>
      <c r="BM340" s="4">
        <f t="shared" si="873"/>
        <v>1880.1305442620073</v>
      </c>
      <c r="BN340" s="4">
        <f t="shared" si="873"/>
        <v>26270.225284226319</v>
      </c>
      <c r="BO340" s="4">
        <f t="shared" si="873"/>
        <v>0</v>
      </c>
      <c r="BQ340" t="s">
        <v>64</v>
      </c>
      <c r="BR340" s="4">
        <f>SUM(BR256:BR339)</f>
        <v>4836527</v>
      </c>
      <c r="BS340" s="16">
        <f>SUMPRODUCT($BR$257:$BR$339,BS$257:BS$339)/SUM($BR$257:$BR$339)</f>
        <v>9.2571633674689749E-2</v>
      </c>
      <c r="BT340" s="16">
        <f t="shared" ref="BT340:CI340" si="874">SUMPRODUCT($BR$257:$BR$339,BT$257:BT$339)/SUM($BR$257:$BR$339)</f>
        <v>1.401270421962616E-2</v>
      </c>
      <c r="BU340" s="16">
        <f t="shared" si="874"/>
        <v>6.2679286292226868E-3</v>
      </c>
      <c r="BV340" s="16">
        <f t="shared" si="874"/>
        <v>4.1946906980182608E-2</v>
      </c>
      <c r="BW340" s="16">
        <f t="shared" si="874"/>
        <v>0</v>
      </c>
      <c r="BX340" s="16">
        <f t="shared" si="874"/>
        <v>0.1627711949169999</v>
      </c>
      <c r="BY340" s="16">
        <f t="shared" si="874"/>
        <v>0</v>
      </c>
      <c r="BZ340" s="16">
        <f t="shared" si="874"/>
        <v>0</v>
      </c>
      <c r="CA340" s="16">
        <f t="shared" si="874"/>
        <v>0</v>
      </c>
      <c r="CB340" s="16">
        <f t="shared" si="874"/>
        <v>0</v>
      </c>
      <c r="CC340" s="16">
        <f t="shared" si="874"/>
        <v>0.43049143391926264</v>
      </c>
      <c r="CD340" s="16">
        <f t="shared" si="874"/>
        <v>0.17555009772646152</v>
      </c>
      <c r="CE340" s="16">
        <f t="shared" si="874"/>
        <v>7.4263870125810968E-2</v>
      </c>
      <c r="CF340" s="16">
        <f t="shared" si="874"/>
        <v>0</v>
      </c>
      <c r="CG340" s="16">
        <f t="shared" si="874"/>
        <v>2.1242298077438892E-3</v>
      </c>
      <c r="CH340" s="16">
        <f t="shared" si="874"/>
        <v>0</v>
      </c>
      <c r="CI340" s="16">
        <f t="shared" si="874"/>
        <v>0</v>
      </c>
      <c r="CJ340" s="42"/>
      <c r="CK340" s="42"/>
      <c r="CL340" s="76">
        <f t="shared" si="862"/>
        <v>0</v>
      </c>
      <c r="CM340" s="4">
        <f t="shared" ref="CM340:CR340" si="875">SUM(CM254:CM339)</f>
        <v>4210505.3014621334</v>
      </c>
      <c r="CN340" s="4">
        <f t="shared" si="875"/>
        <v>473626.36437774909</v>
      </c>
      <c r="CO340" s="4">
        <f t="shared" si="875"/>
        <v>0</v>
      </c>
      <c r="CP340" s="4">
        <f t="shared" si="875"/>
        <v>5901.413667734505</v>
      </c>
      <c r="CQ340" s="4">
        <f t="shared" si="875"/>
        <v>146494.79695658729</v>
      </c>
      <c r="CR340" s="4">
        <f t="shared" si="875"/>
        <v>0</v>
      </c>
    </row>
    <row r="341" spans="1:96">
      <c r="A341" s="50">
        <f t="shared" si="841"/>
        <v>341</v>
      </c>
      <c r="E341" s="2"/>
      <c r="F341" s="60"/>
      <c r="G341" s="60"/>
      <c r="P341" s="61"/>
      <c r="Q341" s="61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76">
        <f t="shared" si="794"/>
        <v>0</v>
      </c>
      <c r="AQ341" s="61"/>
      <c r="CL341" s="76">
        <f t="shared" si="862"/>
        <v>0</v>
      </c>
    </row>
    <row r="342" spans="1:96">
      <c r="A342" s="50">
        <f t="shared" si="841"/>
        <v>342</v>
      </c>
      <c r="D342" t="s">
        <v>65</v>
      </c>
      <c r="E342" s="2">
        <f>E251+E340</f>
        <v>41496000</v>
      </c>
      <c r="F342" s="60" t="str">
        <f>"("&amp;A$251&amp;"+"&amp;A$340&amp;")"</f>
        <v>(251+340)</v>
      </c>
      <c r="G342" s="60"/>
      <c r="H342" s="2">
        <f t="shared" ref="H342:N342" si="876">H251+H340</f>
        <v>41496000.029313043</v>
      </c>
      <c r="I342" s="2">
        <f t="shared" si="876"/>
        <v>36032566.921427995</v>
      </c>
      <c r="J342" s="2">
        <f t="shared" si="876"/>
        <v>4216009.90598334</v>
      </c>
      <c r="K342" s="2">
        <f t="shared" si="876"/>
        <v>0</v>
      </c>
      <c r="L342" s="2">
        <f t="shared" si="876"/>
        <v>53083.498471635787</v>
      </c>
      <c r="M342" s="2">
        <f t="shared" si="876"/>
        <v>1194339.7034300729</v>
      </c>
      <c r="N342" s="2">
        <f t="shared" si="876"/>
        <v>0</v>
      </c>
      <c r="O342" s="2"/>
      <c r="P342" s="61" t="str">
        <f>$A251&amp;"+"&amp;$A340</f>
        <v>251+340</v>
      </c>
      <c r="Q342" s="61"/>
      <c r="R342" s="14">
        <f>($E251*R251+$E340*R340)/$E342</f>
        <v>8.7705702557055676E-2</v>
      </c>
      <c r="S342" s="14">
        <f t="shared" ref="S342:AH342" si="877">($E251*S251+$E340*S340)/$E342</f>
        <v>2.3030258645355392E-2</v>
      </c>
      <c r="T342" s="14">
        <f t="shared" si="877"/>
        <v>8.4236914488339844E-3</v>
      </c>
      <c r="U342" s="14">
        <f>($E251*U251+$E340*U340)/$E342</f>
        <v>5.6398033788967433E-2</v>
      </c>
      <c r="V342" s="14">
        <f>($E251*V251+$E340*V340)/$E342</f>
        <v>2.0242914979757085E-3</v>
      </c>
      <c r="W342" s="14">
        <f t="shared" si="877"/>
        <v>0.14870909897829263</v>
      </c>
      <c r="X342" s="14">
        <f t="shared" si="877"/>
        <v>0</v>
      </c>
      <c r="Y342" s="14">
        <f>($E251*Y251+$E340*Y340)/$E342</f>
        <v>0</v>
      </c>
      <c r="Z342" s="14">
        <f t="shared" si="877"/>
        <v>0</v>
      </c>
      <c r="AA342" s="14">
        <f t="shared" si="877"/>
        <v>0</v>
      </c>
      <c r="AB342" s="14">
        <f t="shared" si="877"/>
        <v>0.42052140710092106</v>
      </c>
      <c r="AC342" s="14">
        <f t="shared" si="877"/>
        <v>0.17384810705639397</v>
      </c>
      <c r="AD342" s="14">
        <f t="shared" si="877"/>
        <v>6.9700407188424726E-2</v>
      </c>
      <c r="AE342" s="14">
        <f t="shared" si="877"/>
        <v>0</v>
      </c>
      <c r="AF342" s="14">
        <f t="shared" si="877"/>
        <v>1.8445155222405352E-3</v>
      </c>
      <c r="AG342" s="14">
        <f>($E251*AG251+$E340*AG340)/$E342</f>
        <v>0</v>
      </c>
      <c r="AH342" s="14">
        <f t="shared" si="877"/>
        <v>7.794486215538847E-3</v>
      </c>
      <c r="AI342" s="76">
        <f t="shared" si="794"/>
        <v>0</v>
      </c>
      <c r="AK342" s="2">
        <f>AK251+AK340</f>
        <v>41496000</v>
      </c>
      <c r="AL342" s="2">
        <f>AL251+AL340</f>
        <v>7368941.7565230578</v>
      </c>
      <c r="AM342" s="2">
        <f>AM251+AM340</f>
        <v>6170832.7712032301</v>
      </c>
      <c r="AN342" s="2">
        <f>AN251+AN340</f>
        <v>27632785.472273711</v>
      </c>
      <c r="AO342" s="2">
        <f>AO251+AO340</f>
        <v>323440</v>
      </c>
      <c r="AP342" s="2"/>
      <c r="AQ342" s="61" t="str">
        <f>$A251&amp;"+"&amp;$A340</f>
        <v>251+340</v>
      </c>
      <c r="AS342" s="2">
        <f t="shared" ref="AS342:AY342" si="878">AS251+AS340</f>
        <v>7368941.7565230578</v>
      </c>
      <c r="AT342" s="2">
        <f t="shared" si="878"/>
        <v>4785341.2960616983</v>
      </c>
      <c r="AU342" s="2">
        <f t="shared" si="878"/>
        <v>1945841.6372293956</v>
      </c>
      <c r="AV342" s="2">
        <f t="shared" si="878"/>
        <v>0</v>
      </c>
      <c r="AW342" s="2">
        <f t="shared" si="878"/>
        <v>30146.117915591632</v>
      </c>
      <c r="AX342" s="2">
        <f t="shared" si="878"/>
        <v>607612.70531637256</v>
      </c>
      <c r="AY342" s="2">
        <f t="shared" si="878"/>
        <v>0</v>
      </c>
      <c r="BA342" s="2">
        <f t="shared" ref="BA342:BG342" si="879">BA251+BA340</f>
        <v>6170832.7712032292</v>
      </c>
      <c r="BB342" s="2">
        <f t="shared" si="879"/>
        <v>4213495.3768301569</v>
      </c>
      <c r="BC342" s="2">
        <f t="shared" si="879"/>
        <v>1426161.9965724619</v>
      </c>
      <c r="BD342" s="2">
        <f t="shared" si="879"/>
        <v>0</v>
      </c>
      <c r="BE342" s="2">
        <f t="shared" si="879"/>
        <v>17916.56373340499</v>
      </c>
      <c r="BF342" s="2">
        <f t="shared" si="879"/>
        <v>513258.83406720549</v>
      </c>
      <c r="BG342" s="2">
        <f t="shared" si="879"/>
        <v>0</v>
      </c>
      <c r="BI342" s="2">
        <f t="shared" ref="BI342:BO342" si="880">BI251+BI340</f>
        <v>27632785.472273711</v>
      </c>
      <c r="BJ342" s="2">
        <f t="shared" si="880"/>
        <v>26785177.565814391</v>
      </c>
      <c r="BK342" s="2">
        <f t="shared" si="880"/>
        <v>780997.41230507102</v>
      </c>
      <c r="BL342" s="2">
        <f t="shared" si="880"/>
        <v>0</v>
      </c>
      <c r="BM342" s="2">
        <f t="shared" si="880"/>
        <v>4342.1594724600654</v>
      </c>
      <c r="BN342" s="2">
        <f t="shared" si="880"/>
        <v>62268.334681789653</v>
      </c>
      <c r="BO342" s="2">
        <f t="shared" si="880"/>
        <v>0</v>
      </c>
      <c r="BQ342" t="s">
        <v>65</v>
      </c>
      <c r="BR342" s="2">
        <f>BR251+BR340</f>
        <v>15518174.483585691</v>
      </c>
      <c r="BS342" s="14">
        <f>($BR251*BS251+$BR340*BS340)/$BR342</f>
        <v>9.4011197840194252E-2</v>
      </c>
      <c r="BT342" s="14">
        <f t="shared" ref="BT342:CI342" si="881">($BR251*BT251+$BR340*BT340)/$BR342</f>
        <v>2.771484723001123E-2</v>
      </c>
      <c r="BU342" s="14">
        <f t="shared" si="881"/>
        <v>2.025083303615954E-3</v>
      </c>
      <c r="BV342" s="14">
        <f t="shared" si="881"/>
        <v>1.3552480570352927E-2</v>
      </c>
      <c r="BW342" s="14">
        <f t="shared" si="881"/>
        <v>0</v>
      </c>
      <c r="BX342" s="14">
        <f t="shared" si="881"/>
        <v>0.1576905706846389</v>
      </c>
      <c r="BY342" s="14">
        <f t="shared" si="881"/>
        <v>0</v>
      </c>
      <c r="BZ342" s="14">
        <f t="shared" si="881"/>
        <v>0</v>
      </c>
      <c r="CA342" s="14">
        <f t="shared" si="881"/>
        <v>0</v>
      </c>
      <c r="CB342" s="14">
        <f t="shared" si="881"/>
        <v>0</v>
      </c>
      <c r="CC342" s="14">
        <f t="shared" si="881"/>
        <v>0.43643287397616143</v>
      </c>
      <c r="CD342" s="14">
        <f t="shared" si="881"/>
        <v>0.1792970882068218</v>
      </c>
      <c r="CE342" s="14">
        <f t="shared" si="881"/>
        <v>8.7076406980020227E-2</v>
      </c>
      <c r="CF342" s="14">
        <f t="shared" si="881"/>
        <v>0</v>
      </c>
      <c r="CG342" s="14">
        <f t="shared" si="881"/>
        <v>2.1994512081833085E-3</v>
      </c>
      <c r="CH342" s="14">
        <f t="shared" si="881"/>
        <v>0</v>
      </c>
      <c r="CI342" s="14">
        <f t="shared" si="881"/>
        <v>0</v>
      </c>
      <c r="CJ342" s="14"/>
      <c r="CK342" s="14"/>
      <c r="CL342" s="76">
        <f t="shared" si="862"/>
        <v>0</v>
      </c>
      <c r="CM342" s="2">
        <f t="shared" ref="CM342:CR342" si="882">CM251+CM340</f>
        <v>13572586.951534636</v>
      </c>
      <c r="CN342" s="2">
        <f t="shared" si="882"/>
        <v>1465541.3931053341</v>
      </c>
      <c r="CO342" s="2">
        <f t="shared" si="882"/>
        <v>0</v>
      </c>
      <c r="CP342" s="2">
        <f t="shared" si="882"/>
        <v>18197.383063846646</v>
      </c>
      <c r="CQ342" s="2">
        <f t="shared" si="882"/>
        <v>461849.63234607602</v>
      </c>
      <c r="CR342" s="2">
        <f t="shared" si="882"/>
        <v>0</v>
      </c>
    </row>
    <row r="343" spans="1:96" ht="13.8" thickBot="1">
      <c r="A343" s="50">
        <f t="shared" si="841"/>
        <v>343</v>
      </c>
      <c r="E343" s="2">
        <f>E342/1000-PROFORMA!AV142</f>
        <v>0</v>
      </c>
      <c r="F343" s="60"/>
      <c r="G343" s="60"/>
      <c r="H343" s="33"/>
      <c r="I343" s="33"/>
      <c r="P343" s="61"/>
      <c r="Q343" s="61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76">
        <f t="shared" si="794"/>
        <v>0</v>
      </c>
      <c r="AQ343" s="61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</row>
    <row r="344" spans="1:96">
      <c r="A344" s="50">
        <f t="shared" si="841"/>
        <v>344</v>
      </c>
      <c r="C344" s="34"/>
      <c r="D344" s="1" t="s">
        <v>66</v>
      </c>
      <c r="E344" s="2"/>
      <c r="F344" s="60"/>
      <c r="G344" s="60"/>
      <c r="P344" s="61"/>
      <c r="Q344" s="61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76">
        <f t="shared" si="794"/>
        <v>0</v>
      </c>
      <c r="AQ344" s="61"/>
      <c r="CK344" s="590" t="s">
        <v>1171</v>
      </c>
      <c r="CL344" s="591">
        <f>SUM(CM344:CR344)</f>
        <v>4836527</v>
      </c>
      <c r="CM344" s="591">
        <f t="shared" ref="CM344:CR344" si="883">$BR340*SUMPRODUCT($R340:$AH340,INDEX(AllocFactors,CM$170,0))</f>
        <v>4222608.8255151426</v>
      </c>
      <c r="CN344" s="591">
        <f t="shared" si="883"/>
        <v>466903.865808337</v>
      </c>
      <c r="CO344" s="591">
        <f t="shared" si="883"/>
        <v>0</v>
      </c>
      <c r="CP344" s="591">
        <f t="shared" si="883"/>
        <v>5772.5322807293287</v>
      </c>
      <c r="CQ344" s="591">
        <f t="shared" si="883"/>
        <v>141241.77639579083</v>
      </c>
      <c r="CR344" s="592">
        <f t="shared" si="883"/>
        <v>0</v>
      </c>
    </row>
    <row r="345" spans="1:96">
      <c r="A345" s="50">
        <f t="shared" si="841"/>
        <v>345</v>
      </c>
      <c r="C345" s="36" t="s">
        <v>395</v>
      </c>
      <c r="D345" s="28" t="s">
        <v>357</v>
      </c>
      <c r="E345" s="432">
        <f>PROFORMA!AV147*1000</f>
        <v>292000</v>
      </c>
      <c r="F345" s="60" t="str">
        <f>"as UG Storage Plant ("&amp;A$24&amp;")"</f>
        <v>as UG Storage Plant (24)</v>
      </c>
      <c r="G345" s="60"/>
      <c r="H345" s="2">
        <f>SUM(I345:N345)</f>
        <v>292000</v>
      </c>
      <c r="I345" s="2">
        <f t="shared" ref="I345:N347" si="884">$E345*SUMPRODUCT($R345:$AH345,INDEX(AllocFactors,I$4,0))</f>
        <v>212548.38144446001</v>
      </c>
      <c r="J345" s="2">
        <f t="shared" si="884"/>
        <v>74282.349979832623</v>
      </c>
      <c r="K345" s="2">
        <f t="shared" si="884"/>
        <v>0</v>
      </c>
      <c r="L345" s="2">
        <f t="shared" si="884"/>
        <v>1076.0185923977633</v>
      </c>
      <c r="M345" s="2">
        <f t="shared" si="884"/>
        <v>4093.2499833095762</v>
      </c>
      <c r="N345" s="2">
        <f t="shared" si="884"/>
        <v>0</v>
      </c>
      <c r="O345" s="2"/>
      <c r="P345" s="61" t="str">
        <f>E$1&amp;$A345&amp;"* Sum["&amp;$R$1&amp;$A345&amp;":"&amp;$AH$1&amp;$A345&amp;"* "&amp;Factors!D$1&amp;Factors!$A$58&amp;":"&amp;Factors!S$1&amp;Factors!$A$64&amp;"]"</f>
        <v>E345* Sum[R345:AH345* D1040:S1046]</v>
      </c>
      <c r="Q345" s="61"/>
      <c r="R345" s="14">
        <f t="shared" ref="R345:AH345" si="885">R$24</f>
        <v>0</v>
      </c>
      <c r="S345" s="14">
        <f t="shared" si="885"/>
        <v>0</v>
      </c>
      <c r="T345" s="14">
        <f t="shared" si="885"/>
        <v>0.13</v>
      </c>
      <c r="U345" s="14">
        <f t="shared" si="885"/>
        <v>0.87</v>
      </c>
      <c r="V345" s="14">
        <f t="shared" si="885"/>
        <v>0</v>
      </c>
      <c r="W345" s="14">
        <f t="shared" si="885"/>
        <v>0</v>
      </c>
      <c r="X345" s="14">
        <f t="shared" si="885"/>
        <v>0</v>
      </c>
      <c r="Y345" s="14">
        <f t="shared" si="885"/>
        <v>0</v>
      </c>
      <c r="Z345" s="14">
        <f t="shared" si="885"/>
        <v>0</v>
      </c>
      <c r="AA345" s="14">
        <f t="shared" si="885"/>
        <v>0</v>
      </c>
      <c r="AB345" s="14">
        <f t="shared" si="885"/>
        <v>0</v>
      </c>
      <c r="AC345" s="14">
        <f t="shared" si="885"/>
        <v>0</v>
      </c>
      <c r="AD345" s="14">
        <f t="shared" si="885"/>
        <v>0</v>
      </c>
      <c r="AE345" s="14">
        <f t="shared" si="885"/>
        <v>0</v>
      </c>
      <c r="AF345" s="14">
        <f t="shared" si="885"/>
        <v>0</v>
      </c>
      <c r="AG345" s="14">
        <f t="shared" si="885"/>
        <v>0</v>
      </c>
      <c r="AH345" s="14">
        <f t="shared" si="885"/>
        <v>0</v>
      </c>
      <c r="AI345" s="76">
        <f t="shared" si="794"/>
        <v>0</v>
      </c>
      <c r="AK345" s="2">
        <f>SUM(AL345:AO345)</f>
        <v>292000</v>
      </c>
      <c r="AL345" s="2">
        <f t="shared" ref="AL345:AO347" si="886">SUMIF($R$4:$AH$4,AL$5,$R345:$AH345)*$E345</f>
        <v>292000</v>
      </c>
      <c r="AM345" s="2">
        <f t="shared" si="886"/>
        <v>0</v>
      </c>
      <c r="AN345" s="2">
        <f t="shared" si="886"/>
        <v>0</v>
      </c>
      <c r="AO345" s="2">
        <f t="shared" si="886"/>
        <v>0</v>
      </c>
      <c r="AP345" s="2"/>
      <c r="AQ345" s="61" t="str">
        <f>E$1&amp;$A345&amp;"*["&amp;R$1&amp;$A345&amp;":"&amp;$AH$1&amp;$A345&amp;" when "&amp;R$1&amp;$A$4&amp;":"&amp;$AH$1&amp;$A$4&amp;" = E,D,C,or R]"</f>
        <v>E345*[R345:AH345 when R4:AH4 = E,D,C,or R]</v>
      </c>
      <c r="AS345" s="2">
        <f>SUM(AT345:AY345)</f>
        <v>292000</v>
      </c>
      <c r="AT345" s="2">
        <f t="shared" ref="AT345:AY347" si="887">$E345*SUMPRODUCT($R345:$V345,INDEX(AllocFactors_E,AT$4,0))</f>
        <v>212548.38144446001</v>
      </c>
      <c r="AU345" s="2">
        <f t="shared" si="887"/>
        <v>74282.349979832623</v>
      </c>
      <c r="AV345" s="2">
        <f t="shared" si="887"/>
        <v>0</v>
      </c>
      <c r="AW345" s="2">
        <f t="shared" si="887"/>
        <v>1076.0185923977633</v>
      </c>
      <c r="AX345" s="2">
        <f t="shared" si="887"/>
        <v>4093.2499833095762</v>
      </c>
      <c r="AY345" s="2">
        <f t="shared" si="887"/>
        <v>0</v>
      </c>
      <c r="BA345" s="2">
        <f>SUM(BB345:BG345)</f>
        <v>0</v>
      </c>
      <c r="BB345" s="2">
        <f t="shared" ref="BB345:BG347" si="888">$E345*SUMPRODUCT($W345:$AA345,INDEX(AllocFactors_D,BB$4,0))</f>
        <v>0</v>
      </c>
      <c r="BC345" s="2">
        <f t="shared" si="888"/>
        <v>0</v>
      </c>
      <c r="BD345" s="2">
        <f t="shared" si="888"/>
        <v>0</v>
      </c>
      <c r="BE345" s="2">
        <f t="shared" si="888"/>
        <v>0</v>
      </c>
      <c r="BF345" s="2">
        <f t="shared" si="888"/>
        <v>0</v>
      </c>
      <c r="BG345" s="2">
        <f t="shared" si="888"/>
        <v>0</v>
      </c>
      <c r="BI345" s="2">
        <f>SUM(BJ345:BO345)</f>
        <v>0</v>
      </c>
      <c r="BJ345" s="2">
        <f t="shared" ref="BJ345:BO347" si="889">$E345*SUMPRODUCT($AB345:$AG345,INDEX(AllocFactors_C,BJ$4,0))</f>
        <v>0</v>
      </c>
      <c r="BK345" s="2">
        <f t="shared" si="889"/>
        <v>0</v>
      </c>
      <c r="BL345" s="2">
        <f t="shared" si="889"/>
        <v>0</v>
      </c>
      <c r="BM345" s="2">
        <f t="shared" si="889"/>
        <v>0</v>
      </c>
      <c r="BN345" s="2">
        <f t="shared" si="889"/>
        <v>0</v>
      </c>
      <c r="BO345" s="2">
        <f t="shared" si="889"/>
        <v>0</v>
      </c>
      <c r="CK345" s="593" t="s">
        <v>826</v>
      </c>
      <c r="CL345" s="594">
        <f>SUM(CM345:CR345)</f>
        <v>10681647.483585691</v>
      </c>
      <c r="CM345" s="594">
        <f t="shared" ref="CM345:CR345" si="890">$BR251*SUMPRODUCT($R252:$AH252,INDEX(AllocFactors,CM$170,0))</f>
        <v>9249723.9128105082</v>
      </c>
      <c r="CN345" s="594">
        <f t="shared" si="890"/>
        <v>1112795.2238198218</v>
      </c>
      <c r="CO345" s="594">
        <f t="shared" si="890"/>
        <v>0</v>
      </c>
      <c r="CP345" s="594">
        <f t="shared" si="890"/>
        <v>14209.477808019012</v>
      </c>
      <c r="CQ345" s="594">
        <f t="shared" si="890"/>
        <v>304918.86914734228</v>
      </c>
      <c r="CR345" s="595">
        <f t="shared" si="890"/>
        <v>0</v>
      </c>
    </row>
    <row r="346" spans="1:96">
      <c r="A346" s="50">
        <f t="shared" si="841"/>
        <v>346</v>
      </c>
      <c r="C346" s="36" t="s">
        <v>155</v>
      </c>
      <c r="D346" s="28" t="s">
        <v>118</v>
      </c>
      <c r="E346" s="432">
        <f>PROFORMA!AV148*1000</f>
        <v>3585000</v>
      </c>
      <c r="F346" s="60" t="str">
        <f>"as Distrib Plant ("&amp;A$41&amp;")"</f>
        <v>as Distrib Plant (41)</v>
      </c>
      <c r="G346" s="60"/>
      <c r="H346" s="2">
        <f>SUM(I346:N346)</f>
        <v>3584999.9999999995</v>
      </c>
      <c r="I346" s="2">
        <f t="shared" si="884"/>
        <v>2840914.0646104179</v>
      </c>
      <c r="J346" s="2">
        <f t="shared" si="884"/>
        <v>526150.22580278316</v>
      </c>
      <c r="K346" s="2">
        <f t="shared" si="884"/>
        <v>0</v>
      </c>
      <c r="L346" s="2">
        <f t="shared" si="884"/>
        <v>6943.3602338772744</v>
      </c>
      <c r="M346" s="2">
        <f t="shared" si="884"/>
        <v>210992.3493529213</v>
      </c>
      <c r="N346" s="2">
        <f t="shared" si="884"/>
        <v>0</v>
      </c>
      <c r="O346" s="2"/>
      <c r="P346" s="61" t="str">
        <f>E$1&amp;$A346&amp;"*     """</f>
        <v>E346*     "</v>
      </c>
      <c r="Q346" s="61"/>
      <c r="R346" s="14">
        <f>R$41</f>
        <v>0.18032917602090978</v>
      </c>
      <c r="S346" s="14">
        <f>S$41</f>
        <v>0</v>
      </c>
      <c r="T346" s="14">
        <f t="shared" ref="T346:AH346" si="891">T$41</f>
        <v>0</v>
      </c>
      <c r="U346" s="14">
        <f t="shared" si="891"/>
        <v>0</v>
      </c>
      <c r="V346" s="14">
        <f t="shared" si="891"/>
        <v>0</v>
      </c>
      <c r="W346" s="14">
        <f t="shared" si="891"/>
        <v>0.33248662332325996</v>
      </c>
      <c r="X346" s="14">
        <f t="shared" si="891"/>
        <v>0</v>
      </c>
      <c r="Y346" s="14">
        <f t="shared" si="891"/>
        <v>0</v>
      </c>
      <c r="Z346" s="14">
        <f>Z$41</f>
        <v>0</v>
      </c>
      <c r="AA346" s="14">
        <f t="shared" si="891"/>
        <v>0</v>
      </c>
      <c r="AB346" s="14">
        <f>AB$41</f>
        <v>0</v>
      </c>
      <c r="AC346" s="14">
        <f t="shared" si="891"/>
        <v>0.34784812665025233</v>
      </c>
      <c r="AD346" s="14">
        <f t="shared" si="891"/>
        <v>0.13399956178953271</v>
      </c>
      <c r="AE346" s="14">
        <f>AE$41</f>
        <v>0</v>
      </c>
      <c r="AF346" s="14">
        <f t="shared" si="891"/>
        <v>5.3365122160451877E-3</v>
      </c>
      <c r="AG346" s="14">
        <f t="shared" si="891"/>
        <v>0</v>
      </c>
      <c r="AH346" s="14">
        <f t="shared" si="891"/>
        <v>0</v>
      </c>
      <c r="AI346" s="76">
        <f t="shared" si="794"/>
        <v>0</v>
      </c>
      <c r="AK346" s="2">
        <f>SUM(AL346:AO346)</f>
        <v>3585000</v>
      </c>
      <c r="AL346" s="2">
        <f t="shared" si="886"/>
        <v>646480.09603496152</v>
      </c>
      <c r="AM346" s="2">
        <f t="shared" si="886"/>
        <v>1191964.5446138869</v>
      </c>
      <c r="AN346" s="2">
        <f t="shared" si="886"/>
        <v>1746555.3593511514</v>
      </c>
      <c r="AO346" s="2">
        <f t="shared" si="886"/>
        <v>0</v>
      </c>
      <c r="AP346" s="2"/>
      <c r="AQ346" s="61" t="str">
        <f>E$1&amp;$A346&amp;"*      """</f>
        <v>E346*      "</v>
      </c>
      <c r="AS346" s="2">
        <f>SUM(AT346:AY346)</f>
        <v>646480.09603496164</v>
      </c>
      <c r="AT346" s="2">
        <f t="shared" si="887"/>
        <v>374665.18687215628</v>
      </c>
      <c r="AU346" s="2">
        <f t="shared" si="887"/>
        <v>167873.74467102886</v>
      </c>
      <c r="AV346" s="2">
        <f t="shared" si="887"/>
        <v>0</v>
      </c>
      <c r="AW346" s="2">
        <f t="shared" si="887"/>
        <v>2705.0605482434166</v>
      </c>
      <c r="AX346" s="2">
        <f t="shared" si="887"/>
        <v>101236.10394353307</v>
      </c>
      <c r="AY346" s="2">
        <f t="shared" si="887"/>
        <v>0</v>
      </c>
      <c r="BA346" s="2">
        <f>SUM(BB346:BG346)</f>
        <v>1191964.5446138869</v>
      </c>
      <c r="BB346" s="2">
        <f t="shared" si="888"/>
        <v>813883.19604337413</v>
      </c>
      <c r="BC346" s="2">
        <f t="shared" si="888"/>
        <v>275478.95038138621</v>
      </c>
      <c r="BD346" s="2">
        <f t="shared" si="888"/>
        <v>0</v>
      </c>
      <c r="BE346" s="2">
        <f t="shared" si="888"/>
        <v>3460.7822839071437</v>
      </c>
      <c r="BF346" s="2">
        <f t="shared" si="888"/>
        <v>99141.615905219383</v>
      </c>
      <c r="BG346" s="2">
        <f t="shared" si="888"/>
        <v>0</v>
      </c>
      <c r="BI346" s="2">
        <f>SUM(BJ346:BO346)</f>
        <v>1746555.3593511514</v>
      </c>
      <c r="BJ346" s="2">
        <f t="shared" si="889"/>
        <v>1652365.6816948876</v>
      </c>
      <c r="BK346" s="2">
        <f t="shared" si="889"/>
        <v>82797.530750368183</v>
      </c>
      <c r="BL346" s="2">
        <f t="shared" si="889"/>
        <v>0</v>
      </c>
      <c r="BM346" s="2">
        <f t="shared" si="889"/>
        <v>777.5174017267135</v>
      </c>
      <c r="BN346" s="2">
        <f t="shared" si="889"/>
        <v>10614.629504168857</v>
      </c>
      <c r="BO346" s="2">
        <f t="shared" si="889"/>
        <v>0</v>
      </c>
      <c r="BQ346" s="28"/>
      <c r="CK346" s="593" t="s">
        <v>120</v>
      </c>
      <c r="CL346" s="78">
        <f>SUM(CL344:CL345)</f>
        <v>15518174.483585691</v>
      </c>
      <c r="CM346" s="78">
        <f t="shared" ref="CM346:CR346" si="892">SUM(CM344:CM345)</f>
        <v>13472332.738325652</v>
      </c>
      <c r="CN346" s="78">
        <f t="shared" si="892"/>
        <v>1579699.0896281588</v>
      </c>
      <c r="CO346" s="78">
        <f t="shared" si="892"/>
        <v>0</v>
      </c>
      <c r="CP346" s="78">
        <f t="shared" si="892"/>
        <v>19982.010088748342</v>
      </c>
      <c r="CQ346" s="78">
        <f t="shared" si="892"/>
        <v>446160.64554313314</v>
      </c>
      <c r="CR346" s="596">
        <f t="shared" si="892"/>
        <v>0</v>
      </c>
    </row>
    <row r="347" spans="1:96" s="49" customFormat="1" ht="13.8" thickBot="1">
      <c r="A347" s="145">
        <f t="shared" si="841"/>
        <v>347</v>
      </c>
      <c r="C347" s="525" t="s">
        <v>152</v>
      </c>
      <c r="D347" s="56" t="s">
        <v>161</v>
      </c>
      <c r="E347" s="436">
        <f>PROFORMA!AV149*1000</f>
        <v>0</v>
      </c>
      <c r="F347" s="134" t="str">
        <f>"as Intang/Genl Plant ("&amp;A$13&amp;"+"&amp;A$56&amp;")"</f>
        <v>as Intang/Genl Plant (13+56)</v>
      </c>
      <c r="G347" s="134"/>
      <c r="H347" s="21">
        <f>SUM(I347:N347)</f>
        <v>0</v>
      </c>
      <c r="I347" s="21">
        <f t="shared" si="884"/>
        <v>0</v>
      </c>
      <c r="J347" s="21">
        <f t="shared" si="884"/>
        <v>0</v>
      </c>
      <c r="K347" s="21">
        <f t="shared" si="884"/>
        <v>0</v>
      </c>
      <c r="L347" s="21">
        <f t="shared" si="884"/>
        <v>0</v>
      </c>
      <c r="M347" s="21">
        <f t="shared" si="884"/>
        <v>0</v>
      </c>
      <c r="N347" s="21">
        <f t="shared" si="884"/>
        <v>0</v>
      </c>
      <c r="O347" s="21"/>
      <c r="P347" s="148" t="str">
        <f>E$1&amp;$A347&amp;"*     """</f>
        <v>E347*     "</v>
      </c>
      <c r="Q347" s="148"/>
      <c r="R347" s="526">
        <f>($E$13*R$13+$E$56*R$56)/($E$13+$E$56)</f>
        <v>8.960033353562176E-2</v>
      </c>
      <c r="S347" s="526">
        <f t="shared" ref="S347:AH347" si="893">($E$13*S$13+$E$56*S$56)/($E$13+$E$56)</f>
        <v>1.4576590042240555E-2</v>
      </c>
      <c r="T347" s="526">
        <f t="shared" si="893"/>
        <v>6.1163388274768403E-3</v>
      </c>
      <c r="U347" s="526">
        <f t="shared" si="893"/>
        <v>4.0932421383883477E-2</v>
      </c>
      <c r="V347" s="526">
        <f t="shared" si="893"/>
        <v>0</v>
      </c>
      <c r="W347" s="526">
        <f t="shared" si="893"/>
        <v>0.15697446927544872</v>
      </c>
      <c r="X347" s="526">
        <f t="shared" si="893"/>
        <v>0</v>
      </c>
      <c r="Y347" s="526">
        <f t="shared" si="893"/>
        <v>0</v>
      </c>
      <c r="Z347" s="526">
        <f t="shared" si="893"/>
        <v>0</v>
      </c>
      <c r="AA347" s="526">
        <f t="shared" si="893"/>
        <v>0</v>
      </c>
      <c r="AB347" s="526">
        <f t="shared" si="893"/>
        <v>0.44781485790219533</v>
      </c>
      <c r="AC347" s="526">
        <f t="shared" si="893"/>
        <v>0.16969716284228184</v>
      </c>
      <c r="AD347" s="526">
        <f t="shared" si="893"/>
        <v>7.2276285217315342E-2</v>
      </c>
      <c r="AE347" s="526">
        <f t="shared" si="893"/>
        <v>0</v>
      </c>
      <c r="AF347" s="526">
        <f t="shared" si="893"/>
        <v>2.011540973536171E-3</v>
      </c>
      <c r="AG347" s="526">
        <f t="shared" si="893"/>
        <v>0</v>
      </c>
      <c r="AH347" s="526">
        <f t="shared" si="893"/>
        <v>0</v>
      </c>
      <c r="AI347" s="131">
        <f t="shared" si="794"/>
        <v>0</v>
      </c>
      <c r="AK347" s="21">
        <f>SUM(AL347:AO347)</f>
        <v>0</v>
      </c>
      <c r="AL347" s="21">
        <f t="shared" si="886"/>
        <v>0</v>
      </c>
      <c r="AM347" s="21">
        <f t="shared" si="886"/>
        <v>0</v>
      </c>
      <c r="AN347" s="21">
        <f t="shared" si="886"/>
        <v>0</v>
      </c>
      <c r="AO347" s="21">
        <f t="shared" si="886"/>
        <v>0</v>
      </c>
      <c r="AP347" s="21"/>
      <c r="AQ347" s="148" t="str">
        <f>E$1&amp;$A347&amp;"*      """</f>
        <v>E347*      "</v>
      </c>
      <c r="AS347" s="21">
        <f>SUM(AT347:AY347)</f>
        <v>0</v>
      </c>
      <c r="AT347" s="21">
        <f t="shared" si="887"/>
        <v>0</v>
      </c>
      <c r="AU347" s="21">
        <f t="shared" si="887"/>
        <v>0</v>
      </c>
      <c r="AV347" s="21">
        <f t="shared" si="887"/>
        <v>0</v>
      </c>
      <c r="AW347" s="21">
        <f t="shared" si="887"/>
        <v>0</v>
      </c>
      <c r="AX347" s="21">
        <f t="shared" si="887"/>
        <v>0</v>
      </c>
      <c r="AY347" s="21">
        <f t="shared" si="887"/>
        <v>0</v>
      </c>
      <c r="BA347" s="21">
        <f>SUM(BB347:BG347)</f>
        <v>0</v>
      </c>
      <c r="BB347" s="21">
        <f t="shared" si="888"/>
        <v>0</v>
      </c>
      <c r="BC347" s="21">
        <f t="shared" si="888"/>
        <v>0</v>
      </c>
      <c r="BD347" s="21">
        <f t="shared" si="888"/>
        <v>0</v>
      </c>
      <c r="BE347" s="21">
        <f t="shared" si="888"/>
        <v>0</v>
      </c>
      <c r="BF347" s="21">
        <f t="shared" si="888"/>
        <v>0</v>
      </c>
      <c r="BG347" s="21">
        <f t="shared" si="888"/>
        <v>0</v>
      </c>
      <c r="BI347" s="21">
        <f>SUM(BJ347:BO347)</f>
        <v>0</v>
      </c>
      <c r="BJ347" s="21">
        <f t="shared" si="889"/>
        <v>0</v>
      </c>
      <c r="BK347" s="21">
        <f t="shared" si="889"/>
        <v>0</v>
      </c>
      <c r="BL347" s="21">
        <f t="shared" si="889"/>
        <v>0</v>
      </c>
      <c r="BM347" s="21">
        <f t="shared" si="889"/>
        <v>0</v>
      </c>
      <c r="BN347" s="21">
        <f t="shared" si="889"/>
        <v>0</v>
      </c>
      <c r="BO347" s="21">
        <f t="shared" si="889"/>
        <v>0</v>
      </c>
      <c r="BQ347" s="56"/>
      <c r="CK347" s="527"/>
      <c r="CL347" s="528"/>
      <c r="CM347" s="528"/>
      <c r="CN347" s="528"/>
      <c r="CO347" s="528"/>
      <c r="CP347" s="528"/>
      <c r="CQ347" s="528"/>
      <c r="CR347" s="529"/>
    </row>
    <row r="348" spans="1:96">
      <c r="A348" s="50">
        <f t="shared" si="841"/>
        <v>348</v>
      </c>
      <c r="D348" s="28"/>
      <c r="E348" s="432"/>
      <c r="F348" s="60"/>
      <c r="G348" s="60"/>
      <c r="P348" s="61"/>
      <c r="Q348" s="61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76">
        <f t="shared" si="794"/>
        <v>0</v>
      </c>
      <c r="AQ348" s="61"/>
      <c r="BQ348" s="28"/>
      <c r="CK348" s="49"/>
      <c r="CL348" s="49"/>
      <c r="CM348" s="49"/>
      <c r="CN348" s="49"/>
      <c r="CO348" s="49"/>
      <c r="CP348" s="49"/>
      <c r="CQ348" s="49"/>
      <c r="CR348" s="49"/>
    </row>
    <row r="349" spans="1:96">
      <c r="A349" s="50">
        <f t="shared" si="841"/>
        <v>349</v>
      </c>
      <c r="B349" t="s">
        <v>67</v>
      </c>
      <c r="C349" s="36" t="s">
        <v>156</v>
      </c>
      <c r="D349" s="28" t="s">
        <v>118</v>
      </c>
      <c r="E349" s="432">
        <f>PROFORMA!AV153*1000+PROFORMA!AV156*1000</f>
        <v>4220000</v>
      </c>
      <c r="F349" s="60" t="s">
        <v>452</v>
      </c>
      <c r="G349" s="60"/>
      <c r="H349" s="2">
        <f>SUM(I349:N349)</f>
        <v>4220000</v>
      </c>
      <c r="I349" s="2">
        <f t="shared" ref="I349:N349" si="894">$E349*SUMPRODUCT($R349:$AH349,INDEX(AllocFactors,I$4,0))</f>
        <v>3242926.6552830003</v>
      </c>
      <c r="J349" s="2">
        <f t="shared" si="894"/>
        <v>822091.85220892495</v>
      </c>
      <c r="K349" s="2">
        <f t="shared" si="894"/>
        <v>0</v>
      </c>
      <c r="L349" s="2">
        <f t="shared" si="894"/>
        <v>8854.6067825742048</v>
      </c>
      <c r="M349" s="2">
        <f t="shared" si="894"/>
        <v>146126.88572550059</v>
      </c>
      <c r="N349" s="2">
        <f t="shared" si="894"/>
        <v>0</v>
      </c>
      <c r="O349" s="2"/>
      <c r="P349" s="61" t="str">
        <f>E$1&amp;$A349&amp;"*     """</f>
        <v>E349*     "</v>
      </c>
      <c r="Q349" s="61"/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1</v>
      </c>
      <c r="AI349" s="76">
        <f t="shared" si="794"/>
        <v>0</v>
      </c>
      <c r="AK349" s="2">
        <f>SUM(AL349:AO349)</f>
        <v>4220000</v>
      </c>
      <c r="AL349" s="2">
        <f>SUMIF($R$4:$AH$4,AL$5,$R349:$AH349)*$E349</f>
        <v>0</v>
      </c>
      <c r="AM349" s="2">
        <f>SUMIF($R$4:$AH$4,AM$5,$R349:$AH349)*$E349</f>
        <v>0</v>
      </c>
      <c r="AN349" s="2">
        <f>SUMIF($R$4:$AH$4,AN$5,$R349:$AH349)*$E349</f>
        <v>0</v>
      </c>
      <c r="AO349" s="2">
        <f>SUMIF($R$4:$AH$4,AO$5,$R349:$AH349)*$E349</f>
        <v>4220000</v>
      </c>
      <c r="AP349" s="2"/>
      <c r="AQ349" s="61" t="str">
        <f>E$1&amp;$A349&amp;"*["&amp;R$1&amp;$A349&amp;":"&amp;$AH$1&amp;$A349&amp;" when "&amp;R$1&amp;$A$4&amp;":"&amp;$AH$1&amp;$A$4&amp;" = E,D,C,or R]"</f>
        <v>E349*[R349:AH349 when R4:AH4 = E,D,C,or R]</v>
      </c>
      <c r="AS349" s="2">
        <f>SUM(AT349:AY349)</f>
        <v>0</v>
      </c>
      <c r="AT349" s="2">
        <f t="shared" ref="AT349:AY349" si="895">$E349*SUMPRODUCT($R349:$V349,INDEX(AllocFactors_E,AT$4,0))</f>
        <v>0</v>
      </c>
      <c r="AU349" s="2">
        <f t="shared" si="895"/>
        <v>0</v>
      </c>
      <c r="AV349" s="2">
        <f t="shared" si="895"/>
        <v>0</v>
      </c>
      <c r="AW349" s="2">
        <f t="shared" si="895"/>
        <v>0</v>
      </c>
      <c r="AX349" s="2">
        <f t="shared" si="895"/>
        <v>0</v>
      </c>
      <c r="AY349" s="2">
        <f t="shared" si="895"/>
        <v>0</v>
      </c>
      <c r="BA349" s="2">
        <f>SUM(BB349:BG349)</f>
        <v>0</v>
      </c>
      <c r="BB349" s="2">
        <f t="shared" ref="BB349:BG349" si="896">$E349*SUMPRODUCT($W349:$AA349,INDEX(AllocFactors_D,BB$4,0))</f>
        <v>0</v>
      </c>
      <c r="BC349" s="2">
        <f t="shared" si="896"/>
        <v>0</v>
      </c>
      <c r="BD349" s="2">
        <f t="shared" si="896"/>
        <v>0</v>
      </c>
      <c r="BE349" s="2">
        <f t="shared" si="896"/>
        <v>0</v>
      </c>
      <c r="BF349" s="2">
        <f t="shared" si="896"/>
        <v>0</v>
      </c>
      <c r="BG349" s="2">
        <f t="shared" si="896"/>
        <v>0</v>
      </c>
      <c r="BI349" s="2">
        <f>SUM(BJ349:BO349)</f>
        <v>0</v>
      </c>
      <c r="BJ349" s="2">
        <f t="shared" ref="BJ349:BO349" si="897">$E349*SUMPRODUCT($AB349:$AG349,INDEX(AllocFactors_C,BJ$4,0))</f>
        <v>0</v>
      </c>
      <c r="BK349" s="2">
        <f t="shared" si="897"/>
        <v>0</v>
      </c>
      <c r="BL349" s="2">
        <f t="shared" si="897"/>
        <v>0</v>
      </c>
      <c r="BM349" s="2">
        <f t="shared" si="897"/>
        <v>0</v>
      </c>
      <c r="BN349" s="2">
        <f t="shared" si="897"/>
        <v>0</v>
      </c>
      <c r="BO349" s="2">
        <f t="shared" si="897"/>
        <v>0</v>
      </c>
      <c r="BQ349" s="28"/>
      <c r="CK349" s="120"/>
    </row>
    <row r="350" spans="1:96">
      <c r="A350" s="50">
        <f t="shared" si="841"/>
        <v>350</v>
      </c>
      <c r="D350" s="52" t="s">
        <v>68</v>
      </c>
      <c r="E350" s="4">
        <f>SUM(E345:E349)</f>
        <v>8097000</v>
      </c>
      <c r="H350" s="4">
        <f>IF(ROUND(SUM(H345:H349),3)&lt;&gt;ROUND(SUM(I350:N350),3),#VALUE!,SUM(H345:H349))</f>
        <v>8097000</v>
      </c>
      <c r="I350" s="4">
        <f t="shared" ref="I350:N350" si="898">SUM(I345:I349)</f>
        <v>6296389.101337878</v>
      </c>
      <c r="J350" s="4">
        <f t="shared" si="898"/>
        <v>1422524.4279915406</v>
      </c>
      <c r="K350" s="4">
        <f t="shared" si="898"/>
        <v>0</v>
      </c>
      <c r="L350" s="4">
        <f t="shared" si="898"/>
        <v>16873.985608849242</v>
      </c>
      <c r="M350" s="4">
        <f t="shared" si="898"/>
        <v>361212.48506173142</v>
      </c>
      <c r="N350" s="4">
        <f t="shared" si="898"/>
        <v>0</v>
      </c>
      <c r="O350" s="5"/>
      <c r="P350" s="61" t="str">
        <f>A345&amp;":"&amp;$A349</f>
        <v>345:349</v>
      </c>
      <c r="Q350" s="61"/>
      <c r="R350" s="16">
        <f t="shared" ref="R350:AH350" si="899">SUMPRODUCT($E$345:$E$349,R$345:R$349)/$E350</f>
        <v>7.9841928619854452E-2</v>
      </c>
      <c r="S350" s="16">
        <f t="shared" si="899"/>
        <v>0</v>
      </c>
      <c r="T350" s="16">
        <f t="shared" si="899"/>
        <v>4.6881561072001973E-3</v>
      </c>
      <c r="U350" s="16">
        <f t="shared" si="899"/>
        <v>3.1374583178955168E-2</v>
      </c>
      <c r="V350" s="16">
        <f t="shared" si="899"/>
        <v>0</v>
      </c>
      <c r="W350" s="16">
        <f t="shared" si="899"/>
        <v>0.14721063907791612</v>
      </c>
      <c r="X350" s="16">
        <f t="shared" si="899"/>
        <v>0</v>
      </c>
      <c r="Y350" s="16">
        <f t="shared" si="899"/>
        <v>0</v>
      </c>
      <c r="Z350" s="16">
        <f t="shared" si="899"/>
        <v>0</v>
      </c>
      <c r="AA350" s="16">
        <f t="shared" si="899"/>
        <v>0</v>
      </c>
      <c r="AB350" s="16">
        <f t="shared" si="899"/>
        <v>0</v>
      </c>
      <c r="AC350" s="16">
        <f t="shared" si="899"/>
        <v>0.15401204570101948</v>
      </c>
      <c r="AD350" s="16">
        <f t="shared" si="899"/>
        <v>5.9329187231749382E-2</v>
      </c>
      <c r="AE350" s="16">
        <f t="shared" si="899"/>
        <v>0</v>
      </c>
      <c r="AF350" s="16">
        <f t="shared" si="899"/>
        <v>2.3627758792789917E-3</v>
      </c>
      <c r="AG350" s="16">
        <f t="shared" si="899"/>
        <v>0</v>
      </c>
      <c r="AH350" s="16">
        <f t="shared" si="899"/>
        <v>0.52118068420402619</v>
      </c>
      <c r="AI350" s="76">
        <f t="shared" ref="AI350:AI381" si="900">IF(SUM(R350:AH350)&lt;&gt;0,(ROUND(SUM(R350:AH350),8)&lt;&gt;1)+0,0)</f>
        <v>0</v>
      </c>
      <c r="AK350" s="4">
        <f>IF(ROUND(SUM(AK345:AK349),3)&lt;&gt;ROUND(SUM(AL350:AO350),3),#VALUE!,SUM(AK345:AK349))</f>
        <v>8097000</v>
      </c>
      <c r="AL350" s="4">
        <f>SUM(AL345:AL349)</f>
        <v>938480.09603496152</v>
      </c>
      <c r="AM350" s="4">
        <f>SUM(AM345:AM349)</f>
        <v>1191964.5446138869</v>
      </c>
      <c r="AN350" s="4">
        <f>SUM(AN345:AN349)</f>
        <v>1746555.3593511514</v>
      </c>
      <c r="AO350" s="4">
        <f>SUM(AO345:AO349)</f>
        <v>4220000</v>
      </c>
      <c r="AP350" s="5"/>
      <c r="AQ350" s="61" t="str">
        <f>A345&amp;":"&amp;$A349</f>
        <v>345:349</v>
      </c>
      <c r="AS350" s="4">
        <f>IF(ROUND(SUM(AS345:AS349),3)&lt;&gt;ROUND(SUM(AT350:AY350),3),#VALUE!,SUM(AS345:AS349))</f>
        <v>938480.09603496164</v>
      </c>
      <c r="AT350" s="4">
        <f t="shared" ref="AT350:AY350" si="901">SUM(AT345:AT349)</f>
        <v>587213.56831661635</v>
      </c>
      <c r="AU350" s="4">
        <f t="shared" si="901"/>
        <v>242156.09465086149</v>
      </c>
      <c r="AV350" s="4">
        <f t="shared" si="901"/>
        <v>0</v>
      </c>
      <c r="AW350" s="4">
        <f t="shared" si="901"/>
        <v>3781.0791406411799</v>
      </c>
      <c r="AX350" s="4">
        <f t="shared" si="901"/>
        <v>105329.35392684265</v>
      </c>
      <c r="AY350" s="4">
        <f t="shared" si="901"/>
        <v>0</v>
      </c>
      <c r="BA350" s="4">
        <f>IF(ROUND(SUM(BA345:BA349),3)&lt;&gt;ROUND(SUM(BB350:BG350),3),#VALUE!,SUM(BA345:BA349))</f>
        <v>1191964.5446138869</v>
      </c>
      <c r="BB350" s="4">
        <f t="shared" ref="BB350:BG350" si="902">SUM(BB345:BB349)</f>
        <v>813883.19604337413</v>
      </c>
      <c r="BC350" s="4">
        <f t="shared" si="902"/>
        <v>275478.95038138621</v>
      </c>
      <c r="BD350" s="4">
        <f t="shared" si="902"/>
        <v>0</v>
      </c>
      <c r="BE350" s="4">
        <f t="shared" si="902"/>
        <v>3460.7822839071437</v>
      </c>
      <c r="BF350" s="4">
        <f t="shared" si="902"/>
        <v>99141.615905219383</v>
      </c>
      <c r="BG350" s="4">
        <f t="shared" si="902"/>
        <v>0</v>
      </c>
      <c r="BI350" s="4">
        <f>IF(ROUND(SUM(BI345:BI349),3)&lt;&gt;ROUND(SUM(BJ350:BO350),3),#VALUE!,SUM(BI345:BI349))</f>
        <v>1746555.3593511514</v>
      </c>
      <c r="BJ350" s="4">
        <f t="shared" ref="BJ350:BO350" si="903">SUM(BJ345:BJ349)</f>
        <v>1652365.6816948876</v>
      </c>
      <c r="BK350" s="4">
        <f t="shared" si="903"/>
        <v>82797.530750368183</v>
      </c>
      <c r="BL350" s="4">
        <f t="shared" si="903"/>
        <v>0</v>
      </c>
      <c r="BM350" s="4">
        <f t="shared" si="903"/>
        <v>777.5174017267135</v>
      </c>
      <c r="BN350" s="4">
        <f t="shared" si="903"/>
        <v>10614.629504168857</v>
      </c>
      <c r="BO350" s="4">
        <f t="shared" si="903"/>
        <v>0</v>
      </c>
      <c r="BQ350" s="28"/>
      <c r="CM350" s="5"/>
      <c r="CN350" s="5"/>
      <c r="CO350" s="5"/>
      <c r="CP350" s="5"/>
      <c r="CQ350" s="5"/>
      <c r="CR350" s="5"/>
    </row>
    <row r="351" spans="1:96">
      <c r="A351" s="50">
        <f t="shared" si="841"/>
        <v>351</v>
      </c>
      <c r="E351" s="5">
        <f>E350/1000-PROFORMA!AV164</f>
        <v>0</v>
      </c>
      <c r="F351" s="62"/>
      <c r="G351" s="62"/>
      <c r="H351" s="33">
        <f>H350-E350</f>
        <v>0</v>
      </c>
      <c r="P351" s="61"/>
      <c r="Q351" s="61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76">
        <f t="shared" si="900"/>
        <v>0</v>
      </c>
      <c r="AQ351" s="61"/>
      <c r="BQ351" s="28"/>
    </row>
    <row r="352" spans="1:96">
      <c r="A352" s="50">
        <f t="shared" si="841"/>
        <v>352</v>
      </c>
      <c r="C352" s="34"/>
      <c r="D352" s="1" t="s">
        <v>69</v>
      </c>
      <c r="E352" s="9"/>
      <c r="F352" s="60"/>
      <c r="G352" s="60"/>
      <c r="P352" s="61"/>
      <c r="Q352" s="61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76">
        <f t="shared" si="900"/>
        <v>0</v>
      </c>
      <c r="AQ352" s="61"/>
    </row>
    <row r="353" spans="1:89">
      <c r="A353" s="50">
        <f t="shared" si="841"/>
        <v>353</v>
      </c>
      <c r="B353" s="51"/>
      <c r="D353" t="s">
        <v>358</v>
      </c>
      <c r="E353" s="2"/>
      <c r="F353" s="60"/>
      <c r="G353" s="60"/>
      <c r="P353" s="61"/>
      <c r="Q353" s="61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76">
        <f t="shared" si="900"/>
        <v>0</v>
      </c>
      <c r="AQ353" s="61"/>
      <c r="CK353" s="120"/>
    </row>
    <row r="354" spans="1:89">
      <c r="A354" s="50">
        <f t="shared" si="841"/>
        <v>354</v>
      </c>
      <c r="B354" s="51">
        <v>350</v>
      </c>
      <c r="C354" s="36" t="s">
        <v>395</v>
      </c>
      <c r="D354" s="28" t="s">
        <v>359</v>
      </c>
      <c r="E354" s="432">
        <f>PROFORMA!AV168</f>
        <v>1000</v>
      </c>
      <c r="F354" s="60" t="str">
        <f t="shared" ref="F354:F361" si="904">"as Transm Plant ("&amp;A$24&amp;")"</f>
        <v>as Transm Plant (24)</v>
      </c>
      <c r="G354" s="60"/>
      <c r="H354" s="2">
        <f t="shared" ref="H354:H361" si="905">SUM(I354:N354)</f>
        <v>1000</v>
      </c>
      <c r="I354" s="2">
        <f t="shared" ref="I354:N361" si="906">$E354*SUMPRODUCT($R354:$AH354,INDEX(AllocFactors,I$4,0))</f>
        <v>727.905415905685</v>
      </c>
      <c r="J354" s="2">
        <f t="shared" si="906"/>
        <v>254.39160951997474</v>
      </c>
      <c r="K354" s="2">
        <f t="shared" si="906"/>
        <v>0</v>
      </c>
      <c r="L354" s="2">
        <f t="shared" si="906"/>
        <v>3.6849951794443951</v>
      </c>
      <c r="M354" s="2">
        <f t="shared" si="906"/>
        <v>14.017979394895809</v>
      </c>
      <c r="N354" s="2">
        <f t="shared" si="906"/>
        <v>0</v>
      </c>
      <c r="O354" s="2"/>
      <c r="P354" s="61" t="str">
        <f>E$1&amp;$A354&amp;"* Sum["&amp;$R$1&amp;$A354&amp;":"&amp;$AH$1&amp;$A354&amp;"* "&amp;Factors!D$1&amp;Factors!$A$58&amp;":"&amp;Factors!S$1&amp;Factors!$A$64&amp;"]"</f>
        <v>E354* Sum[R354:AH354* D1040:S1046]</v>
      </c>
      <c r="Q354" s="61"/>
      <c r="R354" s="14">
        <f>R$24</f>
        <v>0</v>
      </c>
      <c r="S354" s="14">
        <f t="shared" ref="S354:AH354" si="907">S$24</f>
        <v>0</v>
      </c>
      <c r="T354" s="14">
        <f t="shared" si="907"/>
        <v>0.13</v>
      </c>
      <c r="U354" s="14">
        <f t="shared" si="907"/>
        <v>0.87</v>
      </c>
      <c r="V354" s="14">
        <f t="shared" si="907"/>
        <v>0</v>
      </c>
      <c r="W354" s="14">
        <f t="shared" si="907"/>
        <v>0</v>
      </c>
      <c r="X354" s="14">
        <f t="shared" si="907"/>
        <v>0</v>
      </c>
      <c r="Y354" s="14">
        <f t="shared" si="907"/>
        <v>0</v>
      </c>
      <c r="Z354" s="14">
        <f t="shared" si="907"/>
        <v>0</v>
      </c>
      <c r="AA354" s="14">
        <f t="shared" si="907"/>
        <v>0</v>
      </c>
      <c r="AB354" s="14">
        <f t="shared" si="907"/>
        <v>0</v>
      </c>
      <c r="AC354" s="14">
        <f t="shared" si="907"/>
        <v>0</v>
      </c>
      <c r="AD354" s="14">
        <f t="shared" si="907"/>
        <v>0</v>
      </c>
      <c r="AE354" s="14">
        <f t="shared" si="907"/>
        <v>0</v>
      </c>
      <c r="AF354" s="14">
        <f t="shared" si="907"/>
        <v>0</v>
      </c>
      <c r="AG354" s="14">
        <f t="shared" si="907"/>
        <v>0</v>
      </c>
      <c r="AH354" s="14">
        <f t="shared" si="907"/>
        <v>0</v>
      </c>
      <c r="AI354" s="76">
        <f t="shared" si="900"/>
        <v>0</v>
      </c>
      <c r="AK354" s="2">
        <f t="shared" ref="AK354:AK361" si="908">SUM(AL354:AO354)</f>
        <v>1000</v>
      </c>
      <c r="AL354" s="2">
        <f t="shared" ref="AL354:AO361" si="909">SUMIF($R$4:$AH$4,AL$5,$R354:$AH354)*$E354</f>
        <v>1000</v>
      </c>
      <c r="AM354" s="2">
        <f t="shared" si="909"/>
        <v>0</v>
      </c>
      <c r="AN354" s="2">
        <f t="shared" si="909"/>
        <v>0</v>
      </c>
      <c r="AO354" s="2">
        <f t="shared" si="909"/>
        <v>0</v>
      </c>
      <c r="AP354" s="2"/>
      <c r="AQ354" s="61" t="str">
        <f>E$1&amp;$A354&amp;"*["&amp;R$1&amp;$A354&amp;":"&amp;$AH$1&amp;$A354&amp;" when "&amp;R$1&amp;$A$4&amp;":"&amp;$AH$1&amp;$A$4&amp;" = E,D,C,or R]"</f>
        <v>E354*[R354:AH354 when R4:AH4 = E,D,C,or R]</v>
      </c>
      <c r="AS354" s="2">
        <f t="shared" ref="AS354:AS361" si="910">SUM(AT354:AY354)</f>
        <v>1000</v>
      </c>
      <c r="AT354" s="2">
        <f t="shared" ref="AT354:AY361" si="911">$E354*SUMPRODUCT($R354:$V354,INDEX(AllocFactors_E,AT$4,0))</f>
        <v>727.905415905685</v>
      </c>
      <c r="AU354" s="2">
        <f t="shared" si="911"/>
        <v>254.39160951997474</v>
      </c>
      <c r="AV354" s="2">
        <f t="shared" si="911"/>
        <v>0</v>
      </c>
      <c r="AW354" s="2">
        <f t="shared" si="911"/>
        <v>3.6849951794443951</v>
      </c>
      <c r="AX354" s="2">
        <f t="shared" si="911"/>
        <v>14.017979394895809</v>
      </c>
      <c r="AY354" s="2">
        <f t="shared" si="911"/>
        <v>0</v>
      </c>
      <c r="BA354" s="2">
        <f t="shared" ref="BA354:BA361" si="912">SUM(BB354:BG354)</f>
        <v>0</v>
      </c>
      <c r="BB354" s="2">
        <f t="shared" ref="BB354:BG361" si="913">$E354*SUMPRODUCT($W354:$AA354,INDEX(AllocFactors_D,BB$4,0))</f>
        <v>0</v>
      </c>
      <c r="BC354" s="2">
        <f t="shared" si="913"/>
        <v>0</v>
      </c>
      <c r="BD354" s="2">
        <f t="shared" si="913"/>
        <v>0</v>
      </c>
      <c r="BE354" s="2">
        <f t="shared" si="913"/>
        <v>0</v>
      </c>
      <c r="BF354" s="2">
        <f t="shared" si="913"/>
        <v>0</v>
      </c>
      <c r="BG354" s="2">
        <f t="shared" si="913"/>
        <v>0</v>
      </c>
      <c r="BI354" s="2">
        <f t="shared" ref="BI354:BI361" si="914">SUM(BJ354:BO354)</f>
        <v>0</v>
      </c>
      <c r="BJ354" s="2">
        <f t="shared" ref="BJ354:BO361" si="915">$E354*SUMPRODUCT($AB354:$AG354,INDEX(AllocFactors_C,BJ$4,0))</f>
        <v>0</v>
      </c>
      <c r="BK354" s="2">
        <f t="shared" si="915"/>
        <v>0</v>
      </c>
      <c r="BL354" s="2">
        <f t="shared" si="915"/>
        <v>0</v>
      </c>
      <c r="BM354" s="2">
        <f t="shared" si="915"/>
        <v>0</v>
      </c>
      <c r="BN354" s="2">
        <f t="shared" si="915"/>
        <v>0</v>
      </c>
      <c r="BO354" s="2">
        <f t="shared" si="915"/>
        <v>0</v>
      </c>
      <c r="CK354" s="120"/>
    </row>
    <row r="355" spans="1:89">
      <c r="A355" s="50">
        <f t="shared" si="841"/>
        <v>355</v>
      </c>
      <c r="B355" s="51">
        <v>351</v>
      </c>
      <c r="C355" s="36" t="s">
        <v>395</v>
      </c>
      <c r="D355" s="28" t="s">
        <v>360</v>
      </c>
      <c r="E355" s="432">
        <f>PROFORMA!AV169</f>
        <v>20000</v>
      </c>
      <c r="F355" s="60" t="str">
        <f t="shared" si="904"/>
        <v>as Transm Plant (24)</v>
      </c>
      <c r="G355" s="60"/>
      <c r="H355" s="2">
        <f t="shared" si="905"/>
        <v>20000</v>
      </c>
      <c r="I355" s="2">
        <f t="shared" si="906"/>
        <v>14558.1083181137</v>
      </c>
      <c r="J355" s="2">
        <f t="shared" si="906"/>
        <v>5087.8321903994947</v>
      </c>
      <c r="K355" s="2">
        <f t="shared" si="906"/>
        <v>0</v>
      </c>
      <c r="L355" s="2">
        <f t="shared" si="906"/>
        <v>73.699903588887906</v>
      </c>
      <c r="M355" s="2">
        <f t="shared" si="906"/>
        <v>280.35958789791619</v>
      </c>
      <c r="N355" s="2">
        <f t="shared" si="906"/>
        <v>0</v>
      </c>
      <c r="O355" s="2"/>
      <c r="P355" s="61" t="str">
        <f t="shared" ref="P355:P361" si="916">E$1&amp;$A355&amp;"*     """</f>
        <v>E355*     "</v>
      </c>
      <c r="Q355" s="61"/>
      <c r="R355" s="14">
        <f t="shared" ref="R355:AH361" si="917">R$24</f>
        <v>0</v>
      </c>
      <c r="S355" s="14">
        <f t="shared" si="917"/>
        <v>0</v>
      </c>
      <c r="T355" s="14">
        <f t="shared" si="917"/>
        <v>0.13</v>
      </c>
      <c r="U355" s="14">
        <f t="shared" si="917"/>
        <v>0.87</v>
      </c>
      <c r="V355" s="14">
        <f t="shared" si="917"/>
        <v>0</v>
      </c>
      <c r="W355" s="14">
        <f t="shared" si="917"/>
        <v>0</v>
      </c>
      <c r="X355" s="14">
        <f t="shared" si="917"/>
        <v>0</v>
      </c>
      <c r="Y355" s="14">
        <f t="shared" si="917"/>
        <v>0</v>
      </c>
      <c r="Z355" s="14">
        <f t="shared" si="917"/>
        <v>0</v>
      </c>
      <c r="AA355" s="14">
        <f t="shared" si="917"/>
        <v>0</v>
      </c>
      <c r="AB355" s="14">
        <f t="shared" si="917"/>
        <v>0</v>
      </c>
      <c r="AC355" s="14">
        <f t="shared" si="917"/>
        <v>0</v>
      </c>
      <c r="AD355" s="14">
        <f t="shared" si="917"/>
        <v>0</v>
      </c>
      <c r="AE355" s="14">
        <f t="shared" si="917"/>
        <v>0</v>
      </c>
      <c r="AF355" s="14">
        <f t="shared" si="917"/>
        <v>0</v>
      </c>
      <c r="AG355" s="14">
        <f t="shared" si="917"/>
        <v>0</v>
      </c>
      <c r="AH355" s="14">
        <f t="shared" si="917"/>
        <v>0</v>
      </c>
      <c r="AI355" s="76">
        <f t="shared" si="900"/>
        <v>0</v>
      </c>
      <c r="AK355" s="2">
        <f t="shared" si="908"/>
        <v>20000</v>
      </c>
      <c r="AL355" s="2">
        <f t="shared" si="909"/>
        <v>20000</v>
      </c>
      <c r="AM355" s="2">
        <f t="shared" si="909"/>
        <v>0</v>
      </c>
      <c r="AN355" s="2">
        <f t="shared" si="909"/>
        <v>0</v>
      </c>
      <c r="AO355" s="2">
        <f t="shared" si="909"/>
        <v>0</v>
      </c>
      <c r="AP355" s="2"/>
      <c r="AQ355" s="61" t="str">
        <f t="shared" ref="AQ355:AQ361" si="918">E$1&amp;$A355&amp;"*      """</f>
        <v>E355*      "</v>
      </c>
      <c r="AS355" s="2">
        <f t="shared" si="910"/>
        <v>20000</v>
      </c>
      <c r="AT355" s="2">
        <f t="shared" si="911"/>
        <v>14558.1083181137</v>
      </c>
      <c r="AU355" s="2">
        <f t="shared" si="911"/>
        <v>5087.8321903994947</v>
      </c>
      <c r="AV355" s="2">
        <f t="shared" si="911"/>
        <v>0</v>
      </c>
      <c r="AW355" s="2">
        <f t="shared" si="911"/>
        <v>73.699903588887906</v>
      </c>
      <c r="AX355" s="2">
        <f t="shared" si="911"/>
        <v>280.35958789791619</v>
      </c>
      <c r="AY355" s="2">
        <f t="shared" si="911"/>
        <v>0</v>
      </c>
      <c r="BA355" s="2">
        <f t="shared" si="912"/>
        <v>0</v>
      </c>
      <c r="BB355" s="2">
        <f t="shared" si="913"/>
        <v>0</v>
      </c>
      <c r="BC355" s="2">
        <f t="shared" si="913"/>
        <v>0</v>
      </c>
      <c r="BD355" s="2">
        <f t="shared" si="913"/>
        <v>0</v>
      </c>
      <c r="BE355" s="2">
        <f t="shared" si="913"/>
        <v>0</v>
      </c>
      <c r="BF355" s="2">
        <f t="shared" si="913"/>
        <v>0</v>
      </c>
      <c r="BG355" s="2">
        <f t="shared" si="913"/>
        <v>0</v>
      </c>
      <c r="BI355" s="2">
        <f t="shared" si="914"/>
        <v>0</v>
      </c>
      <c r="BJ355" s="2">
        <f t="shared" si="915"/>
        <v>0</v>
      </c>
      <c r="BK355" s="2">
        <f t="shared" si="915"/>
        <v>0</v>
      </c>
      <c r="BL355" s="2">
        <f t="shared" si="915"/>
        <v>0</v>
      </c>
      <c r="BM355" s="2">
        <f t="shared" si="915"/>
        <v>0</v>
      </c>
      <c r="BN355" s="2">
        <f t="shared" si="915"/>
        <v>0</v>
      </c>
      <c r="BO355" s="2">
        <f t="shared" si="915"/>
        <v>0</v>
      </c>
      <c r="CK355" s="120"/>
    </row>
    <row r="356" spans="1:89">
      <c r="A356" s="50">
        <f t="shared" si="841"/>
        <v>356</v>
      </c>
      <c r="B356" s="51">
        <v>352</v>
      </c>
      <c r="C356" s="36" t="s">
        <v>395</v>
      </c>
      <c r="D356" s="28" t="s">
        <v>361</v>
      </c>
      <c r="E356" s="432">
        <f>PROFORMA!AV170</f>
        <v>112000</v>
      </c>
      <c r="F356" s="60" t="str">
        <f t="shared" si="904"/>
        <v>as Transm Plant (24)</v>
      </c>
      <c r="G356" s="60"/>
      <c r="H356" s="2">
        <f t="shared" si="905"/>
        <v>111999.99999999999</v>
      </c>
      <c r="I356" s="2">
        <f t="shared" si="906"/>
        <v>81525.40658143672</v>
      </c>
      <c r="J356" s="2">
        <f t="shared" si="906"/>
        <v>28491.86026623717</v>
      </c>
      <c r="K356" s="2">
        <f t="shared" si="906"/>
        <v>0</v>
      </c>
      <c r="L356" s="2">
        <f t="shared" si="906"/>
        <v>412.71946009777224</v>
      </c>
      <c r="M356" s="2">
        <f t="shared" si="906"/>
        <v>1570.0136922283305</v>
      </c>
      <c r="N356" s="2">
        <f t="shared" si="906"/>
        <v>0</v>
      </c>
      <c r="O356" s="2"/>
      <c r="P356" s="61" t="str">
        <f t="shared" si="916"/>
        <v>E356*     "</v>
      </c>
      <c r="Q356" s="61"/>
      <c r="R356" s="14">
        <f t="shared" si="917"/>
        <v>0</v>
      </c>
      <c r="S356" s="14">
        <f t="shared" si="917"/>
        <v>0</v>
      </c>
      <c r="T356" s="14">
        <f t="shared" si="917"/>
        <v>0.13</v>
      </c>
      <c r="U356" s="14">
        <f t="shared" si="917"/>
        <v>0.87</v>
      </c>
      <c r="V356" s="14">
        <f t="shared" si="917"/>
        <v>0</v>
      </c>
      <c r="W356" s="14">
        <f t="shared" si="917"/>
        <v>0</v>
      </c>
      <c r="X356" s="14">
        <f t="shared" si="917"/>
        <v>0</v>
      </c>
      <c r="Y356" s="14">
        <f t="shared" si="917"/>
        <v>0</v>
      </c>
      <c r="Z356" s="14">
        <f t="shared" si="917"/>
        <v>0</v>
      </c>
      <c r="AA356" s="14">
        <f t="shared" si="917"/>
        <v>0</v>
      </c>
      <c r="AB356" s="14">
        <f t="shared" si="917"/>
        <v>0</v>
      </c>
      <c r="AC356" s="14">
        <f t="shared" si="917"/>
        <v>0</v>
      </c>
      <c r="AD356" s="14">
        <f t="shared" si="917"/>
        <v>0</v>
      </c>
      <c r="AE356" s="14">
        <f t="shared" si="917"/>
        <v>0</v>
      </c>
      <c r="AF356" s="14">
        <f t="shared" si="917"/>
        <v>0</v>
      </c>
      <c r="AG356" s="14">
        <f t="shared" si="917"/>
        <v>0</v>
      </c>
      <c r="AH356" s="14">
        <f t="shared" si="917"/>
        <v>0</v>
      </c>
      <c r="AI356" s="76">
        <f t="shared" si="900"/>
        <v>0</v>
      </c>
      <c r="AK356" s="2">
        <f t="shared" si="908"/>
        <v>112000</v>
      </c>
      <c r="AL356" s="2">
        <f t="shared" si="909"/>
        <v>112000</v>
      </c>
      <c r="AM356" s="2">
        <f t="shared" si="909"/>
        <v>0</v>
      </c>
      <c r="AN356" s="2">
        <f t="shared" si="909"/>
        <v>0</v>
      </c>
      <c r="AO356" s="2">
        <f t="shared" si="909"/>
        <v>0</v>
      </c>
      <c r="AP356" s="2"/>
      <c r="AQ356" s="61" t="str">
        <f t="shared" si="918"/>
        <v>E356*      "</v>
      </c>
      <c r="AS356" s="2">
        <f t="shared" si="910"/>
        <v>111999.99999999999</v>
      </c>
      <c r="AT356" s="2">
        <f t="shared" si="911"/>
        <v>81525.40658143672</v>
      </c>
      <c r="AU356" s="2">
        <f t="shared" si="911"/>
        <v>28491.86026623717</v>
      </c>
      <c r="AV356" s="2">
        <f t="shared" si="911"/>
        <v>0</v>
      </c>
      <c r="AW356" s="2">
        <f t="shared" si="911"/>
        <v>412.71946009777224</v>
      </c>
      <c r="AX356" s="2">
        <f t="shared" si="911"/>
        <v>1570.0136922283305</v>
      </c>
      <c r="AY356" s="2">
        <f t="shared" si="911"/>
        <v>0</v>
      </c>
      <c r="BA356" s="2">
        <f t="shared" si="912"/>
        <v>0</v>
      </c>
      <c r="BB356" s="2">
        <f t="shared" si="913"/>
        <v>0</v>
      </c>
      <c r="BC356" s="2">
        <f t="shared" si="913"/>
        <v>0</v>
      </c>
      <c r="BD356" s="2">
        <f t="shared" si="913"/>
        <v>0</v>
      </c>
      <c r="BE356" s="2">
        <f t="shared" si="913"/>
        <v>0</v>
      </c>
      <c r="BF356" s="2">
        <f t="shared" si="913"/>
        <v>0</v>
      </c>
      <c r="BG356" s="2">
        <f t="shared" si="913"/>
        <v>0</v>
      </c>
      <c r="BI356" s="2">
        <f t="shared" si="914"/>
        <v>0</v>
      </c>
      <c r="BJ356" s="2">
        <f t="shared" si="915"/>
        <v>0</v>
      </c>
      <c r="BK356" s="2">
        <f t="shared" si="915"/>
        <v>0</v>
      </c>
      <c r="BL356" s="2">
        <f t="shared" si="915"/>
        <v>0</v>
      </c>
      <c r="BM356" s="2">
        <f t="shared" si="915"/>
        <v>0</v>
      </c>
      <c r="BN356" s="2">
        <f t="shared" si="915"/>
        <v>0</v>
      </c>
      <c r="BO356" s="2">
        <f t="shared" si="915"/>
        <v>0</v>
      </c>
      <c r="CK356" s="120"/>
    </row>
    <row r="357" spans="1:89">
      <c r="A357" s="50">
        <f t="shared" si="841"/>
        <v>357</v>
      </c>
      <c r="B357" s="51">
        <v>353</v>
      </c>
      <c r="C357" s="36" t="s">
        <v>395</v>
      </c>
      <c r="D357" s="28" t="s">
        <v>362</v>
      </c>
      <c r="E357" s="432">
        <f>PROFORMA!AV171</f>
        <v>7000</v>
      </c>
      <c r="F357" s="60" t="str">
        <f t="shared" si="904"/>
        <v>as Transm Plant (24)</v>
      </c>
      <c r="G357" s="60"/>
      <c r="H357" s="2">
        <f t="shared" si="905"/>
        <v>6999.9999999999991</v>
      </c>
      <c r="I357" s="2">
        <f t="shared" si="906"/>
        <v>5095.337911339795</v>
      </c>
      <c r="J357" s="2">
        <f t="shared" si="906"/>
        <v>1780.7412666398232</v>
      </c>
      <c r="K357" s="2">
        <f t="shared" si="906"/>
        <v>0</v>
      </c>
      <c r="L357" s="2">
        <f t="shared" si="906"/>
        <v>25.794966256110765</v>
      </c>
      <c r="M357" s="2">
        <f t="shared" si="906"/>
        <v>98.125855764270653</v>
      </c>
      <c r="N357" s="2">
        <f t="shared" si="906"/>
        <v>0</v>
      </c>
      <c r="O357" s="2"/>
      <c r="P357" s="61" t="str">
        <f t="shared" si="916"/>
        <v>E357*     "</v>
      </c>
      <c r="Q357" s="61"/>
      <c r="R357" s="14">
        <f t="shared" si="917"/>
        <v>0</v>
      </c>
      <c r="S357" s="14">
        <f t="shared" si="917"/>
        <v>0</v>
      </c>
      <c r="T357" s="14">
        <f t="shared" si="917"/>
        <v>0.13</v>
      </c>
      <c r="U357" s="14">
        <f t="shared" si="917"/>
        <v>0.87</v>
      </c>
      <c r="V357" s="14">
        <f t="shared" si="917"/>
        <v>0</v>
      </c>
      <c r="W357" s="14">
        <f t="shared" si="917"/>
        <v>0</v>
      </c>
      <c r="X357" s="14">
        <f t="shared" si="917"/>
        <v>0</v>
      </c>
      <c r="Y357" s="14">
        <f t="shared" si="917"/>
        <v>0</v>
      </c>
      <c r="Z357" s="14">
        <f t="shared" si="917"/>
        <v>0</v>
      </c>
      <c r="AA357" s="14">
        <f t="shared" si="917"/>
        <v>0</v>
      </c>
      <c r="AB357" s="14">
        <f t="shared" si="917"/>
        <v>0</v>
      </c>
      <c r="AC357" s="14">
        <f t="shared" si="917"/>
        <v>0</v>
      </c>
      <c r="AD357" s="14">
        <f t="shared" si="917"/>
        <v>0</v>
      </c>
      <c r="AE357" s="14">
        <f t="shared" si="917"/>
        <v>0</v>
      </c>
      <c r="AF357" s="14">
        <f t="shared" si="917"/>
        <v>0</v>
      </c>
      <c r="AG357" s="14">
        <f t="shared" si="917"/>
        <v>0</v>
      </c>
      <c r="AH357" s="14">
        <f t="shared" si="917"/>
        <v>0</v>
      </c>
      <c r="AI357" s="76">
        <f t="shared" si="900"/>
        <v>0</v>
      </c>
      <c r="AK357" s="2">
        <f t="shared" si="908"/>
        <v>7000</v>
      </c>
      <c r="AL357" s="2">
        <f t="shared" si="909"/>
        <v>7000</v>
      </c>
      <c r="AM357" s="2">
        <f t="shared" si="909"/>
        <v>0</v>
      </c>
      <c r="AN357" s="2">
        <f t="shared" si="909"/>
        <v>0</v>
      </c>
      <c r="AO357" s="2">
        <f t="shared" si="909"/>
        <v>0</v>
      </c>
      <c r="AP357" s="2"/>
      <c r="AQ357" s="61" t="str">
        <f t="shared" si="918"/>
        <v>E357*      "</v>
      </c>
      <c r="AS357" s="2">
        <f t="shared" si="910"/>
        <v>6999.9999999999991</v>
      </c>
      <c r="AT357" s="2">
        <f t="shared" si="911"/>
        <v>5095.337911339795</v>
      </c>
      <c r="AU357" s="2">
        <f t="shared" si="911"/>
        <v>1780.7412666398232</v>
      </c>
      <c r="AV357" s="2">
        <f t="shared" si="911"/>
        <v>0</v>
      </c>
      <c r="AW357" s="2">
        <f t="shared" si="911"/>
        <v>25.794966256110765</v>
      </c>
      <c r="AX357" s="2">
        <f t="shared" si="911"/>
        <v>98.125855764270653</v>
      </c>
      <c r="AY357" s="2">
        <f t="shared" si="911"/>
        <v>0</v>
      </c>
      <c r="BA357" s="2">
        <f t="shared" si="912"/>
        <v>0</v>
      </c>
      <c r="BB357" s="2">
        <f t="shared" si="913"/>
        <v>0</v>
      </c>
      <c r="BC357" s="2">
        <f t="shared" si="913"/>
        <v>0</v>
      </c>
      <c r="BD357" s="2">
        <f t="shared" si="913"/>
        <v>0</v>
      </c>
      <c r="BE357" s="2">
        <f t="shared" si="913"/>
        <v>0</v>
      </c>
      <c r="BF357" s="2">
        <f t="shared" si="913"/>
        <v>0</v>
      </c>
      <c r="BG357" s="2">
        <f t="shared" si="913"/>
        <v>0</v>
      </c>
      <c r="BI357" s="2">
        <f t="shared" si="914"/>
        <v>0</v>
      </c>
      <c r="BJ357" s="2">
        <f t="shared" si="915"/>
        <v>0</v>
      </c>
      <c r="BK357" s="2">
        <f t="shared" si="915"/>
        <v>0</v>
      </c>
      <c r="BL357" s="2">
        <f t="shared" si="915"/>
        <v>0</v>
      </c>
      <c r="BM357" s="2">
        <f t="shared" si="915"/>
        <v>0</v>
      </c>
      <c r="BN357" s="2">
        <f t="shared" si="915"/>
        <v>0</v>
      </c>
      <c r="BO357" s="2">
        <f t="shared" si="915"/>
        <v>0</v>
      </c>
      <c r="CK357" s="120"/>
    </row>
    <row r="358" spans="1:89">
      <c r="A358" s="50">
        <f t="shared" si="841"/>
        <v>358</v>
      </c>
      <c r="B358" s="51">
        <v>354</v>
      </c>
      <c r="C358" s="36" t="s">
        <v>395</v>
      </c>
      <c r="D358" s="28" t="s">
        <v>363</v>
      </c>
      <c r="E358" s="432">
        <f>PROFORMA!AV172</f>
        <v>110000</v>
      </c>
      <c r="F358" s="60" t="str">
        <f t="shared" si="904"/>
        <v>as Transm Plant (24)</v>
      </c>
      <c r="G358" s="60"/>
      <c r="H358" s="2">
        <f t="shared" si="905"/>
        <v>110000</v>
      </c>
      <c r="I358" s="2">
        <f t="shared" si="906"/>
        <v>80069.595749625354</v>
      </c>
      <c r="J358" s="2">
        <f t="shared" si="906"/>
        <v>27983.077047197221</v>
      </c>
      <c r="K358" s="2">
        <f t="shared" si="906"/>
        <v>0</v>
      </c>
      <c r="L358" s="2">
        <f t="shared" si="906"/>
        <v>405.34946973888344</v>
      </c>
      <c r="M358" s="2">
        <f t="shared" si="906"/>
        <v>1541.977733438539</v>
      </c>
      <c r="N358" s="2">
        <f t="shared" si="906"/>
        <v>0</v>
      </c>
      <c r="O358" s="2"/>
      <c r="P358" s="61" t="str">
        <f t="shared" si="916"/>
        <v>E358*     "</v>
      </c>
      <c r="Q358" s="61"/>
      <c r="R358" s="14">
        <f t="shared" si="917"/>
        <v>0</v>
      </c>
      <c r="S358" s="14">
        <f t="shared" si="917"/>
        <v>0</v>
      </c>
      <c r="T358" s="14">
        <f t="shared" si="917"/>
        <v>0.13</v>
      </c>
      <c r="U358" s="14">
        <f t="shared" si="917"/>
        <v>0.87</v>
      </c>
      <c r="V358" s="14">
        <f t="shared" si="917"/>
        <v>0</v>
      </c>
      <c r="W358" s="14">
        <f t="shared" si="917"/>
        <v>0</v>
      </c>
      <c r="X358" s="14">
        <f t="shared" si="917"/>
        <v>0</v>
      </c>
      <c r="Y358" s="14">
        <f t="shared" si="917"/>
        <v>0</v>
      </c>
      <c r="Z358" s="14">
        <f t="shared" si="917"/>
        <v>0</v>
      </c>
      <c r="AA358" s="14">
        <f t="shared" si="917"/>
        <v>0</v>
      </c>
      <c r="AB358" s="14">
        <f t="shared" si="917"/>
        <v>0</v>
      </c>
      <c r="AC358" s="14">
        <f t="shared" si="917"/>
        <v>0</v>
      </c>
      <c r="AD358" s="14">
        <f t="shared" si="917"/>
        <v>0</v>
      </c>
      <c r="AE358" s="14">
        <f t="shared" si="917"/>
        <v>0</v>
      </c>
      <c r="AF358" s="14">
        <f t="shared" si="917"/>
        <v>0</v>
      </c>
      <c r="AG358" s="14">
        <f t="shared" si="917"/>
        <v>0</v>
      </c>
      <c r="AH358" s="14">
        <f t="shared" si="917"/>
        <v>0</v>
      </c>
      <c r="AI358" s="76">
        <f t="shared" si="900"/>
        <v>0</v>
      </c>
      <c r="AK358" s="2">
        <f t="shared" si="908"/>
        <v>110000</v>
      </c>
      <c r="AL358" s="2">
        <f t="shared" si="909"/>
        <v>110000</v>
      </c>
      <c r="AM358" s="2">
        <f t="shared" si="909"/>
        <v>0</v>
      </c>
      <c r="AN358" s="2">
        <f t="shared" si="909"/>
        <v>0</v>
      </c>
      <c r="AO358" s="2">
        <f t="shared" si="909"/>
        <v>0</v>
      </c>
      <c r="AP358" s="2"/>
      <c r="AQ358" s="61" t="str">
        <f t="shared" si="918"/>
        <v>E358*      "</v>
      </c>
      <c r="AS358" s="2">
        <f t="shared" si="910"/>
        <v>110000</v>
      </c>
      <c r="AT358" s="2">
        <f t="shared" si="911"/>
        <v>80069.595749625354</v>
      </c>
      <c r="AU358" s="2">
        <f t="shared" si="911"/>
        <v>27983.077047197221</v>
      </c>
      <c r="AV358" s="2">
        <f t="shared" si="911"/>
        <v>0</v>
      </c>
      <c r="AW358" s="2">
        <f t="shared" si="911"/>
        <v>405.34946973888344</v>
      </c>
      <c r="AX358" s="2">
        <f t="shared" si="911"/>
        <v>1541.977733438539</v>
      </c>
      <c r="AY358" s="2">
        <f t="shared" si="911"/>
        <v>0</v>
      </c>
      <c r="BA358" s="2">
        <f t="shared" si="912"/>
        <v>0</v>
      </c>
      <c r="BB358" s="2">
        <f t="shared" si="913"/>
        <v>0</v>
      </c>
      <c r="BC358" s="2">
        <f t="shared" si="913"/>
        <v>0</v>
      </c>
      <c r="BD358" s="2">
        <f t="shared" si="913"/>
        <v>0</v>
      </c>
      <c r="BE358" s="2">
        <f t="shared" si="913"/>
        <v>0</v>
      </c>
      <c r="BF358" s="2">
        <f t="shared" si="913"/>
        <v>0</v>
      </c>
      <c r="BG358" s="2">
        <f t="shared" si="913"/>
        <v>0</v>
      </c>
      <c r="BI358" s="2">
        <f t="shared" si="914"/>
        <v>0</v>
      </c>
      <c r="BJ358" s="2">
        <f t="shared" si="915"/>
        <v>0</v>
      </c>
      <c r="BK358" s="2">
        <f t="shared" si="915"/>
        <v>0</v>
      </c>
      <c r="BL358" s="2">
        <f t="shared" si="915"/>
        <v>0</v>
      </c>
      <c r="BM358" s="2">
        <f t="shared" si="915"/>
        <v>0</v>
      </c>
      <c r="BN358" s="2">
        <f t="shared" si="915"/>
        <v>0</v>
      </c>
      <c r="BO358" s="2">
        <f t="shared" si="915"/>
        <v>0</v>
      </c>
      <c r="CK358" s="120"/>
    </row>
    <row r="359" spans="1:89">
      <c r="A359" s="50">
        <f t="shared" si="841"/>
        <v>359</v>
      </c>
      <c r="B359" s="51">
        <v>355</v>
      </c>
      <c r="C359" s="36" t="s">
        <v>395</v>
      </c>
      <c r="D359" s="28" t="s">
        <v>364</v>
      </c>
      <c r="E359" s="432">
        <f>PROFORMA!AV173</f>
        <v>72000</v>
      </c>
      <c r="F359" s="60" t="str">
        <f t="shared" si="904"/>
        <v>as Transm Plant (24)</v>
      </c>
      <c r="G359" s="60"/>
      <c r="H359" s="2">
        <f t="shared" si="905"/>
        <v>71999.999999999985</v>
      </c>
      <c r="I359" s="2">
        <f t="shared" si="906"/>
        <v>52409.18994520932</v>
      </c>
      <c r="J359" s="2">
        <f t="shared" si="906"/>
        <v>18316.195885438181</v>
      </c>
      <c r="K359" s="2">
        <f t="shared" si="906"/>
        <v>0</v>
      </c>
      <c r="L359" s="2">
        <f t="shared" si="906"/>
        <v>265.31965291999643</v>
      </c>
      <c r="M359" s="2">
        <f t="shared" si="906"/>
        <v>1009.2945164324982</v>
      </c>
      <c r="N359" s="2">
        <f t="shared" si="906"/>
        <v>0</v>
      </c>
      <c r="O359" s="2"/>
      <c r="P359" s="61" t="str">
        <f t="shared" si="916"/>
        <v>E359*     "</v>
      </c>
      <c r="Q359" s="61"/>
      <c r="R359" s="14">
        <f t="shared" si="917"/>
        <v>0</v>
      </c>
      <c r="S359" s="14">
        <f t="shared" si="917"/>
        <v>0</v>
      </c>
      <c r="T359" s="14">
        <f t="shared" si="917"/>
        <v>0.13</v>
      </c>
      <c r="U359" s="14">
        <f t="shared" si="917"/>
        <v>0.87</v>
      </c>
      <c r="V359" s="14">
        <f t="shared" si="917"/>
        <v>0</v>
      </c>
      <c r="W359" s="14">
        <f t="shared" si="917"/>
        <v>0</v>
      </c>
      <c r="X359" s="14">
        <f t="shared" si="917"/>
        <v>0</v>
      </c>
      <c r="Y359" s="14">
        <f t="shared" si="917"/>
        <v>0</v>
      </c>
      <c r="Z359" s="14">
        <f t="shared" si="917"/>
        <v>0</v>
      </c>
      <c r="AA359" s="14">
        <f t="shared" si="917"/>
        <v>0</v>
      </c>
      <c r="AB359" s="14">
        <f t="shared" si="917"/>
        <v>0</v>
      </c>
      <c r="AC359" s="14">
        <f t="shared" si="917"/>
        <v>0</v>
      </c>
      <c r="AD359" s="14">
        <f t="shared" si="917"/>
        <v>0</v>
      </c>
      <c r="AE359" s="14">
        <f t="shared" si="917"/>
        <v>0</v>
      </c>
      <c r="AF359" s="14">
        <f t="shared" si="917"/>
        <v>0</v>
      </c>
      <c r="AG359" s="14">
        <f t="shared" si="917"/>
        <v>0</v>
      </c>
      <c r="AH359" s="14">
        <f t="shared" si="917"/>
        <v>0</v>
      </c>
      <c r="AI359" s="76">
        <f t="shared" si="900"/>
        <v>0</v>
      </c>
      <c r="AK359" s="2">
        <f t="shared" si="908"/>
        <v>72000</v>
      </c>
      <c r="AL359" s="2">
        <f t="shared" si="909"/>
        <v>72000</v>
      </c>
      <c r="AM359" s="2">
        <f t="shared" si="909"/>
        <v>0</v>
      </c>
      <c r="AN359" s="2">
        <f t="shared" si="909"/>
        <v>0</v>
      </c>
      <c r="AO359" s="2">
        <f t="shared" si="909"/>
        <v>0</v>
      </c>
      <c r="AP359" s="2"/>
      <c r="AQ359" s="61" t="str">
        <f t="shared" si="918"/>
        <v>E359*      "</v>
      </c>
      <c r="AS359" s="2">
        <f t="shared" si="910"/>
        <v>71999.999999999985</v>
      </c>
      <c r="AT359" s="2">
        <f t="shared" si="911"/>
        <v>52409.18994520932</v>
      </c>
      <c r="AU359" s="2">
        <f t="shared" si="911"/>
        <v>18316.195885438181</v>
      </c>
      <c r="AV359" s="2">
        <f t="shared" si="911"/>
        <v>0</v>
      </c>
      <c r="AW359" s="2">
        <f t="shared" si="911"/>
        <v>265.31965291999643</v>
      </c>
      <c r="AX359" s="2">
        <f t="shared" si="911"/>
        <v>1009.2945164324982</v>
      </c>
      <c r="AY359" s="2">
        <f t="shared" si="911"/>
        <v>0</v>
      </c>
      <c r="BA359" s="2">
        <f t="shared" si="912"/>
        <v>0</v>
      </c>
      <c r="BB359" s="2">
        <f t="shared" si="913"/>
        <v>0</v>
      </c>
      <c r="BC359" s="2">
        <f t="shared" si="913"/>
        <v>0</v>
      </c>
      <c r="BD359" s="2">
        <f t="shared" si="913"/>
        <v>0</v>
      </c>
      <c r="BE359" s="2">
        <f t="shared" si="913"/>
        <v>0</v>
      </c>
      <c r="BF359" s="2">
        <f t="shared" si="913"/>
        <v>0</v>
      </c>
      <c r="BG359" s="2">
        <f t="shared" si="913"/>
        <v>0</v>
      </c>
      <c r="BI359" s="2">
        <f t="shared" si="914"/>
        <v>0</v>
      </c>
      <c r="BJ359" s="2">
        <f t="shared" si="915"/>
        <v>0</v>
      </c>
      <c r="BK359" s="2">
        <f t="shared" si="915"/>
        <v>0</v>
      </c>
      <c r="BL359" s="2">
        <f t="shared" si="915"/>
        <v>0</v>
      </c>
      <c r="BM359" s="2">
        <f t="shared" si="915"/>
        <v>0</v>
      </c>
      <c r="BN359" s="2">
        <f t="shared" si="915"/>
        <v>0</v>
      </c>
      <c r="BO359" s="2">
        <f t="shared" si="915"/>
        <v>0</v>
      </c>
      <c r="CK359" s="120"/>
    </row>
    <row r="360" spans="1:89">
      <c r="A360" s="50">
        <f t="shared" si="841"/>
        <v>360</v>
      </c>
      <c r="B360" s="51">
        <v>356</v>
      </c>
      <c r="C360" s="36" t="s">
        <v>395</v>
      </c>
      <c r="D360" s="28" t="s">
        <v>365</v>
      </c>
      <c r="E360" s="432">
        <f>PROFORMA!AV174</f>
        <v>1000</v>
      </c>
      <c r="F360" s="60" t="str">
        <f t="shared" si="904"/>
        <v>as Transm Plant (24)</v>
      </c>
      <c r="G360" s="60"/>
      <c r="H360" s="2">
        <f t="shared" si="905"/>
        <v>1000</v>
      </c>
      <c r="I360" s="2">
        <f t="shared" si="906"/>
        <v>727.905415905685</v>
      </c>
      <c r="J360" s="2">
        <f t="shared" si="906"/>
        <v>254.39160951997474</v>
      </c>
      <c r="K360" s="2">
        <f t="shared" si="906"/>
        <v>0</v>
      </c>
      <c r="L360" s="2">
        <f t="shared" si="906"/>
        <v>3.6849951794443951</v>
      </c>
      <c r="M360" s="2">
        <f t="shared" si="906"/>
        <v>14.017979394895809</v>
      </c>
      <c r="N360" s="2">
        <f t="shared" si="906"/>
        <v>0</v>
      </c>
      <c r="O360" s="2"/>
      <c r="P360" s="61" t="str">
        <f t="shared" si="916"/>
        <v>E360*     "</v>
      </c>
      <c r="Q360" s="61"/>
      <c r="R360" s="14">
        <f t="shared" si="917"/>
        <v>0</v>
      </c>
      <c r="S360" s="14">
        <f t="shared" si="917"/>
        <v>0</v>
      </c>
      <c r="T360" s="14">
        <f t="shared" si="917"/>
        <v>0.13</v>
      </c>
      <c r="U360" s="14">
        <f t="shared" si="917"/>
        <v>0.87</v>
      </c>
      <c r="V360" s="14">
        <f t="shared" si="917"/>
        <v>0</v>
      </c>
      <c r="W360" s="14">
        <f t="shared" si="917"/>
        <v>0</v>
      </c>
      <c r="X360" s="14">
        <f t="shared" si="917"/>
        <v>0</v>
      </c>
      <c r="Y360" s="14">
        <f t="shared" si="917"/>
        <v>0</v>
      </c>
      <c r="Z360" s="14">
        <f t="shared" si="917"/>
        <v>0</v>
      </c>
      <c r="AA360" s="14">
        <f t="shared" si="917"/>
        <v>0</v>
      </c>
      <c r="AB360" s="14">
        <f t="shared" si="917"/>
        <v>0</v>
      </c>
      <c r="AC360" s="14">
        <f t="shared" si="917"/>
        <v>0</v>
      </c>
      <c r="AD360" s="14">
        <f t="shared" si="917"/>
        <v>0</v>
      </c>
      <c r="AE360" s="14">
        <f t="shared" si="917"/>
        <v>0</v>
      </c>
      <c r="AF360" s="14">
        <f t="shared" si="917"/>
        <v>0</v>
      </c>
      <c r="AG360" s="14">
        <f t="shared" si="917"/>
        <v>0</v>
      </c>
      <c r="AH360" s="14">
        <f t="shared" si="917"/>
        <v>0</v>
      </c>
      <c r="AI360" s="76">
        <f t="shared" si="900"/>
        <v>0</v>
      </c>
      <c r="AK360" s="2">
        <f t="shared" si="908"/>
        <v>1000</v>
      </c>
      <c r="AL360" s="2">
        <f t="shared" si="909"/>
        <v>1000</v>
      </c>
      <c r="AM360" s="2">
        <f t="shared" si="909"/>
        <v>0</v>
      </c>
      <c r="AN360" s="2">
        <f t="shared" si="909"/>
        <v>0</v>
      </c>
      <c r="AO360" s="2">
        <f t="shared" si="909"/>
        <v>0</v>
      </c>
      <c r="AP360" s="2"/>
      <c r="AQ360" s="61" t="str">
        <f t="shared" si="918"/>
        <v>E360*      "</v>
      </c>
      <c r="AS360" s="2">
        <f t="shared" si="910"/>
        <v>1000</v>
      </c>
      <c r="AT360" s="2">
        <f t="shared" si="911"/>
        <v>727.905415905685</v>
      </c>
      <c r="AU360" s="2">
        <f t="shared" si="911"/>
        <v>254.39160951997474</v>
      </c>
      <c r="AV360" s="2">
        <f t="shared" si="911"/>
        <v>0</v>
      </c>
      <c r="AW360" s="2">
        <f t="shared" si="911"/>
        <v>3.6849951794443951</v>
      </c>
      <c r="AX360" s="2">
        <f t="shared" si="911"/>
        <v>14.017979394895809</v>
      </c>
      <c r="AY360" s="2">
        <f t="shared" si="911"/>
        <v>0</v>
      </c>
      <c r="BA360" s="2">
        <f t="shared" si="912"/>
        <v>0</v>
      </c>
      <c r="BB360" s="2">
        <f t="shared" si="913"/>
        <v>0</v>
      </c>
      <c r="BC360" s="2">
        <f t="shared" si="913"/>
        <v>0</v>
      </c>
      <c r="BD360" s="2">
        <f t="shared" si="913"/>
        <v>0</v>
      </c>
      <c r="BE360" s="2">
        <f t="shared" si="913"/>
        <v>0</v>
      </c>
      <c r="BF360" s="2">
        <f t="shared" si="913"/>
        <v>0</v>
      </c>
      <c r="BG360" s="2">
        <f t="shared" si="913"/>
        <v>0</v>
      </c>
      <c r="BI360" s="2">
        <f t="shared" si="914"/>
        <v>0</v>
      </c>
      <c r="BJ360" s="2">
        <f t="shared" si="915"/>
        <v>0</v>
      </c>
      <c r="BK360" s="2">
        <f t="shared" si="915"/>
        <v>0</v>
      </c>
      <c r="BL360" s="2">
        <f t="shared" si="915"/>
        <v>0</v>
      </c>
      <c r="BM360" s="2">
        <f t="shared" si="915"/>
        <v>0</v>
      </c>
      <c r="BN360" s="2">
        <f t="shared" si="915"/>
        <v>0</v>
      </c>
      <c r="BO360" s="2">
        <f t="shared" si="915"/>
        <v>0</v>
      </c>
      <c r="CK360" s="120"/>
    </row>
    <row r="361" spans="1:89">
      <c r="A361" s="50">
        <f t="shared" si="841"/>
        <v>361</v>
      </c>
      <c r="B361" s="51">
        <v>357</v>
      </c>
      <c r="C361" s="36" t="s">
        <v>395</v>
      </c>
      <c r="D361" s="28" t="s">
        <v>366</v>
      </c>
      <c r="E361" s="432">
        <f>PROFORMA!AV175</f>
        <v>26000</v>
      </c>
      <c r="F361" s="60" t="str">
        <f t="shared" si="904"/>
        <v>as Transm Plant (24)</v>
      </c>
      <c r="G361" s="60"/>
      <c r="H361" s="2">
        <f t="shared" si="905"/>
        <v>26000</v>
      </c>
      <c r="I361" s="2">
        <f t="shared" si="906"/>
        <v>18925.54081354781</v>
      </c>
      <c r="J361" s="2">
        <f t="shared" si="906"/>
        <v>6614.1818475193431</v>
      </c>
      <c r="K361" s="2">
        <f t="shared" si="906"/>
        <v>0</v>
      </c>
      <c r="L361" s="2">
        <f t="shared" si="906"/>
        <v>95.809874665554275</v>
      </c>
      <c r="M361" s="2">
        <f t="shared" si="906"/>
        <v>364.46746426729101</v>
      </c>
      <c r="N361" s="2">
        <f t="shared" si="906"/>
        <v>0</v>
      </c>
      <c r="O361" s="2"/>
      <c r="P361" s="61" t="str">
        <f t="shared" si="916"/>
        <v>E361*     "</v>
      </c>
      <c r="Q361" s="61"/>
      <c r="R361" s="14">
        <f t="shared" si="917"/>
        <v>0</v>
      </c>
      <c r="S361" s="14">
        <f t="shared" si="917"/>
        <v>0</v>
      </c>
      <c r="T361" s="14">
        <f t="shared" si="917"/>
        <v>0.13</v>
      </c>
      <c r="U361" s="14">
        <f t="shared" si="917"/>
        <v>0.87</v>
      </c>
      <c r="V361" s="14">
        <f t="shared" si="917"/>
        <v>0</v>
      </c>
      <c r="W361" s="14">
        <f t="shared" si="917"/>
        <v>0</v>
      </c>
      <c r="X361" s="14">
        <f t="shared" si="917"/>
        <v>0</v>
      </c>
      <c r="Y361" s="14">
        <f t="shared" si="917"/>
        <v>0</v>
      </c>
      <c r="Z361" s="14">
        <f t="shared" si="917"/>
        <v>0</v>
      </c>
      <c r="AA361" s="14">
        <f t="shared" si="917"/>
        <v>0</v>
      </c>
      <c r="AB361" s="14">
        <f t="shared" si="917"/>
        <v>0</v>
      </c>
      <c r="AC361" s="14">
        <f t="shared" si="917"/>
        <v>0</v>
      </c>
      <c r="AD361" s="14">
        <f t="shared" si="917"/>
        <v>0</v>
      </c>
      <c r="AE361" s="14">
        <f t="shared" si="917"/>
        <v>0</v>
      </c>
      <c r="AF361" s="14">
        <f t="shared" si="917"/>
        <v>0</v>
      </c>
      <c r="AG361" s="14">
        <f t="shared" si="917"/>
        <v>0</v>
      </c>
      <c r="AH361" s="14">
        <f t="shared" si="917"/>
        <v>0</v>
      </c>
      <c r="AI361" s="76">
        <f t="shared" si="900"/>
        <v>0</v>
      </c>
      <c r="AK361" s="2">
        <f t="shared" si="908"/>
        <v>26000</v>
      </c>
      <c r="AL361" s="2">
        <f t="shared" si="909"/>
        <v>26000</v>
      </c>
      <c r="AM361" s="2">
        <f t="shared" si="909"/>
        <v>0</v>
      </c>
      <c r="AN361" s="2">
        <f t="shared" si="909"/>
        <v>0</v>
      </c>
      <c r="AO361" s="2">
        <f t="shared" si="909"/>
        <v>0</v>
      </c>
      <c r="AP361" s="2"/>
      <c r="AQ361" s="61" t="str">
        <f t="shared" si="918"/>
        <v>E361*      "</v>
      </c>
      <c r="AS361" s="2">
        <f t="shared" si="910"/>
        <v>26000</v>
      </c>
      <c r="AT361" s="2">
        <f t="shared" si="911"/>
        <v>18925.54081354781</v>
      </c>
      <c r="AU361" s="2">
        <f t="shared" si="911"/>
        <v>6614.1818475193431</v>
      </c>
      <c r="AV361" s="2">
        <f t="shared" si="911"/>
        <v>0</v>
      </c>
      <c r="AW361" s="2">
        <f t="shared" si="911"/>
        <v>95.809874665554275</v>
      </c>
      <c r="AX361" s="2">
        <f t="shared" si="911"/>
        <v>364.46746426729101</v>
      </c>
      <c r="AY361" s="2">
        <f t="shared" si="911"/>
        <v>0</v>
      </c>
      <c r="BA361" s="2">
        <f t="shared" si="912"/>
        <v>0</v>
      </c>
      <c r="BB361" s="2">
        <f t="shared" si="913"/>
        <v>0</v>
      </c>
      <c r="BC361" s="2">
        <f t="shared" si="913"/>
        <v>0</v>
      </c>
      <c r="BD361" s="2">
        <f t="shared" si="913"/>
        <v>0</v>
      </c>
      <c r="BE361" s="2">
        <f t="shared" si="913"/>
        <v>0</v>
      </c>
      <c r="BF361" s="2">
        <f t="shared" si="913"/>
        <v>0</v>
      </c>
      <c r="BG361" s="2">
        <f t="shared" si="913"/>
        <v>0</v>
      </c>
      <c r="BI361" s="2">
        <f t="shared" si="914"/>
        <v>0</v>
      </c>
      <c r="BJ361" s="2">
        <f t="shared" si="915"/>
        <v>0</v>
      </c>
      <c r="BK361" s="2">
        <f t="shared" si="915"/>
        <v>0</v>
      </c>
      <c r="BL361" s="2">
        <f t="shared" si="915"/>
        <v>0</v>
      </c>
      <c r="BM361" s="2">
        <f t="shared" si="915"/>
        <v>0</v>
      </c>
      <c r="BN361" s="2">
        <f t="shared" si="915"/>
        <v>0</v>
      </c>
      <c r="BO361" s="2">
        <f t="shared" si="915"/>
        <v>0</v>
      </c>
      <c r="CK361" s="120"/>
    </row>
    <row r="362" spans="1:89">
      <c r="A362" s="50">
        <f t="shared" si="841"/>
        <v>362</v>
      </c>
      <c r="B362" s="51"/>
      <c r="D362" s="52" t="s">
        <v>223</v>
      </c>
      <c r="E362" s="4">
        <f>SUM(E353:E361)</f>
        <v>349000</v>
      </c>
      <c r="F362" s="60"/>
      <c r="G362" s="60"/>
      <c r="H362" s="4">
        <f>IF(ROUND(SUM(H353:H361),3)&lt;&gt;ROUND(SUM(I362:N362),3),#VALUE!,SUM(H353:H361))</f>
        <v>349000</v>
      </c>
      <c r="I362" s="4">
        <f t="shared" ref="I362:N362" si="919">SUM(I353:I361)</f>
        <v>254038.99015108412</v>
      </c>
      <c r="J362" s="4">
        <f t="shared" si="919"/>
        <v>88782.671722471176</v>
      </c>
      <c r="K362" s="4">
        <f t="shared" si="919"/>
        <v>0</v>
      </c>
      <c r="L362" s="4">
        <f t="shared" si="919"/>
        <v>1286.0633176260935</v>
      </c>
      <c r="M362" s="4">
        <f t="shared" si="919"/>
        <v>4892.2748088186363</v>
      </c>
      <c r="N362" s="4">
        <f t="shared" si="919"/>
        <v>0</v>
      </c>
      <c r="O362" s="5"/>
      <c r="P362" s="61" t="str">
        <f>$A353&amp;":"&amp;A361</f>
        <v>353:361</v>
      </c>
      <c r="Q362" s="61"/>
      <c r="R362" s="16">
        <f t="shared" ref="R362:AH362" si="920">SUMPRODUCT($E$354:$E$361,R$354:R$361)/$E362</f>
        <v>0</v>
      </c>
      <c r="S362" s="16">
        <f t="shared" si="920"/>
        <v>0</v>
      </c>
      <c r="T362" s="16">
        <f t="shared" si="920"/>
        <v>0.13</v>
      </c>
      <c r="U362" s="16">
        <f t="shared" si="920"/>
        <v>0.87</v>
      </c>
      <c r="V362" s="16">
        <f t="shared" si="920"/>
        <v>0</v>
      </c>
      <c r="W362" s="16">
        <f t="shared" si="920"/>
        <v>0</v>
      </c>
      <c r="X362" s="16">
        <f t="shared" si="920"/>
        <v>0</v>
      </c>
      <c r="Y362" s="16">
        <f t="shared" si="920"/>
        <v>0</v>
      </c>
      <c r="Z362" s="16">
        <f t="shared" si="920"/>
        <v>0</v>
      </c>
      <c r="AA362" s="16">
        <f t="shared" si="920"/>
        <v>0</v>
      </c>
      <c r="AB362" s="16">
        <f t="shared" si="920"/>
        <v>0</v>
      </c>
      <c r="AC362" s="16">
        <f t="shared" si="920"/>
        <v>0</v>
      </c>
      <c r="AD362" s="16">
        <f t="shared" si="920"/>
        <v>0</v>
      </c>
      <c r="AE362" s="16">
        <f t="shared" si="920"/>
        <v>0</v>
      </c>
      <c r="AF362" s="16">
        <f t="shared" si="920"/>
        <v>0</v>
      </c>
      <c r="AG362" s="16">
        <f t="shared" si="920"/>
        <v>0</v>
      </c>
      <c r="AH362" s="16">
        <f t="shared" si="920"/>
        <v>0</v>
      </c>
      <c r="AI362" s="76">
        <f t="shared" si="900"/>
        <v>0</v>
      </c>
      <c r="AK362" s="4">
        <f>IF(ROUND(SUM(AK353:AK361),3)&lt;&gt;ROUND(SUM(AL362:AO362),3),#VALUE!,SUM(AK353:AK361))</f>
        <v>349000</v>
      </c>
      <c r="AL362" s="4">
        <f>SUM(AL353:AL361)</f>
        <v>349000</v>
      </c>
      <c r="AM362" s="4">
        <f>SUM(AM353:AM361)</f>
        <v>0</v>
      </c>
      <c r="AN362" s="4">
        <f>SUM(AN353:AN361)</f>
        <v>0</v>
      </c>
      <c r="AO362" s="4">
        <f>SUM(AO353:AO361)</f>
        <v>0</v>
      </c>
      <c r="AP362" s="5"/>
      <c r="AQ362" s="61" t="str">
        <f>$A353&amp;":"&amp;A361</f>
        <v>353:361</v>
      </c>
      <c r="AS362" s="4">
        <f>IF(ROUND(SUM(AS353:AS361),3)&lt;&gt;ROUND(SUM(AT362:AY362),3),#VALUE!,SUM(AS353:AS361))</f>
        <v>349000</v>
      </c>
      <c r="AT362" s="4">
        <f t="shared" ref="AT362:AY362" si="921">SUM(AT353:AT361)</f>
        <v>254038.99015108412</v>
      </c>
      <c r="AU362" s="4">
        <f t="shared" si="921"/>
        <v>88782.671722471176</v>
      </c>
      <c r="AV362" s="4">
        <f t="shared" si="921"/>
        <v>0</v>
      </c>
      <c r="AW362" s="4">
        <f t="shared" si="921"/>
        <v>1286.0633176260935</v>
      </c>
      <c r="AX362" s="4">
        <f t="shared" si="921"/>
        <v>4892.2748088186363</v>
      </c>
      <c r="AY362" s="4">
        <f t="shared" si="921"/>
        <v>0</v>
      </c>
      <c r="BA362" s="4">
        <f>IF(ROUND(SUM(BA353:BA361),3)&lt;&gt;ROUND(SUM(BB362:BG362),3),#VALUE!,SUM(BA353:BA361))</f>
        <v>0</v>
      </c>
      <c r="BB362" s="4">
        <f t="shared" ref="BB362:BG362" si="922">SUM(BB353:BB361)</f>
        <v>0</v>
      </c>
      <c r="BC362" s="4">
        <f t="shared" si="922"/>
        <v>0</v>
      </c>
      <c r="BD362" s="4">
        <f t="shared" si="922"/>
        <v>0</v>
      </c>
      <c r="BE362" s="4">
        <f t="shared" si="922"/>
        <v>0</v>
      </c>
      <c r="BF362" s="4">
        <f t="shared" si="922"/>
        <v>0</v>
      </c>
      <c r="BG362" s="4">
        <f t="shared" si="922"/>
        <v>0</v>
      </c>
      <c r="BI362" s="4">
        <f>IF(ROUND(SUM(BI353:BI361),3)&lt;&gt;ROUND(SUM(BJ362:BO362),3),#VALUE!,SUM(BI353:BI361))</f>
        <v>0</v>
      </c>
      <c r="BJ362" s="4">
        <f t="shared" ref="BJ362:BO362" si="923">SUM(BJ353:BJ361)</f>
        <v>0</v>
      </c>
      <c r="BK362" s="4">
        <f t="shared" si="923"/>
        <v>0</v>
      </c>
      <c r="BL362" s="4">
        <f t="shared" si="923"/>
        <v>0</v>
      </c>
      <c r="BM362" s="4">
        <f t="shared" si="923"/>
        <v>0</v>
      </c>
      <c r="BN362" s="4">
        <f t="shared" si="923"/>
        <v>0</v>
      </c>
      <c r="BO362" s="4">
        <f t="shared" si="923"/>
        <v>0</v>
      </c>
    </row>
    <row r="363" spans="1:89">
      <c r="A363" s="50">
        <f t="shared" si="841"/>
        <v>363</v>
      </c>
      <c r="B363" s="51"/>
      <c r="E363" s="2"/>
      <c r="F363" s="60"/>
      <c r="G363" s="60"/>
      <c r="P363" s="61"/>
      <c r="Q363" s="61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76">
        <f t="shared" si="900"/>
        <v>0</v>
      </c>
      <c r="AQ363" s="61"/>
    </row>
    <row r="364" spans="1:89">
      <c r="A364" s="50">
        <f t="shared" si="841"/>
        <v>364</v>
      </c>
      <c r="B364" s="51"/>
      <c r="D364" t="s">
        <v>70</v>
      </c>
      <c r="E364" s="2"/>
      <c r="F364" s="60"/>
      <c r="G364" s="60"/>
      <c r="P364" s="61"/>
      <c r="Q364" s="61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76">
        <f t="shared" si="900"/>
        <v>0</v>
      </c>
      <c r="AQ364" s="61"/>
    </row>
    <row r="365" spans="1:89">
      <c r="A365" s="50">
        <f t="shared" si="841"/>
        <v>365</v>
      </c>
      <c r="B365" s="51">
        <v>374</v>
      </c>
      <c r="C365" s="36" t="s">
        <v>155</v>
      </c>
      <c r="D365" s="28" t="s">
        <v>359</v>
      </c>
      <c r="E365" s="432">
        <f>PROFORMA!AV187</f>
        <v>6000</v>
      </c>
      <c r="F365" s="60" t="str">
        <f>"as 360 Plant ("&amp;A$27&amp;")"</f>
        <v>as 360 Plant (27)</v>
      </c>
      <c r="G365" s="60"/>
      <c r="H365" s="2">
        <f t="shared" ref="H365:H377" si="924">SUM(I365:N365)</f>
        <v>5999.9999999999991</v>
      </c>
      <c r="I365" s="2">
        <f t="shared" ref="I365:N377" si="925">$E365*SUMPRODUCT($R365:$AH365,INDEX(AllocFactors,I$4,0))</f>
        <v>4754.6678905613689</v>
      </c>
      <c r="J365" s="2">
        <f t="shared" si="925"/>
        <v>880.58615197118525</v>
      </c>
      <c r="K365" s="2">
        <f t="shared" si="925"/>
        <v>0</v>
      </c>
      <c r="L365" s="2">
        <f t="shared" si="925"/>
        <v>11.620686583895019</v>
      </c>
      <c r="M365" s="2">
        <f t="shared" si="925"/>
        <v>353.12527088355029</v>
      </c>
      <c r="N365" s="2">
        <f t="shared" si="925"/>
        <v>0</v>
      </c>
      <c r="O365" s="2"/>
      <c r="P365" s="61" t="str">
        <f>E$1&amp;$A365&amp;"* Sum["&amp;$R$1&amp;$A365&amp;":"&amp;$AH$1&amp;$A365&amp;"* "&amp;Factors!D$1&amp;Factors!$A$58&amp;":"&amp;Factors!S$1&amp;Factors!$A$64&amp;"]"</f>
        <v>E365* Sum[R365:AH365* D1040:S1046]</v>
      </c>
      <c r="Q365" s="61"/>
      <c r="R365" s="14">
        <f>R$27</f>
        <v>0.18032917602090975</v>
      </c>
      <c r="S365" s="14">
        <f t="shared" ref="S365:AH365" si="926">S$27</f>
        <v>0</v>
      </c>
      <c r="T365" s="14">
        <f t="shared" si="926"/>
        <v>0</v>
      </c>
      <c r="U365" s="14">
        <f t="shared" si="926"/>
        <v>0</v>
      </c>
      <c r="V365" s="14">
        <f t="shared" si="926"/>
        <v>0</v>
      </c>
      <c r="W365" s="14">
        <f t="shared" si="926"/>
        <v>0.33248662332325996</v>
      </c>
      <c r="X365" s="14">
        <f t="shared" si="926"/>
        <v>0</v>
      </c>
      <c r="Y365" s="14">
        <f t="shared" si="926"/>
        <v>0</v>
      </c>
      <c r="Z365" s="14">
        <f t="shared" si="926"/>
        <v>0</v>
      </c>
      <c r="AA365" s="14">
        <f t="shared" si="926"/>
        <v>0</v>
      </c>
      <c r="AB365" s="14">
        <f t="shared" si="926"/>
        <v>0</v>
      </c>
      <c r="AC365" s="14">
        <f t="shared" si="926"/>
        <v>0.34784812665025233</v>
      </c>
      <c r="AD365" s="14">
        <f t="shared" si="926"/>
        <v>0.13399956178953271</v>
      </c>
      <c r="AE365" s="14">
        <f t="shared" si="926"/>
        <v>0</v>
      </c>
      <c r="AF365" s="14">
        <f t="shared" si="926"/>
        <v>5.3365122160451877E-3</v>
      </c>
      <c r="AG365" s="14">
        <f t="shared" si="926"/>
        <v>0</v>
      </c>
      <c r="AH365" s="14">
        <f t="shared" si="926"/>
        <v>0</v>
      </c>
      <c r="AI365" s="76">
        <f t="shared" si="900"/>
        <v>0</v>
      </c>
      <c r="AK365" s="2">
        <f t="shared" ref="AK365:AK377" si="927">SUM(AL365:AO365)</f>
        <v>6000</v>
      </c>
      <c r="AL365" s="2">
        <f t="shared" ref="AL365:AO377" si="928">SUMIF($R$4:$AH$4,AL$5,$R365:$AH365)*$E365</f>
        <v>1081.9750561254584</v>
      </c>
      <c r="AM365" s="2">
        <f t="shared" si="928"/>
        <v>1994.9197399395598</v>
      </c>
      <c r="AN365" s="2">
        <f t="shared" si="928"/>
        <v>2923.1052039349815</v>
      </c>
      <c r="AO365" s="2">
        <f t="shared" si="928"/>
        <v>0</v>
      </c>
      <c r="AP365" s="2"/>
      <c r="AQ365" s="61" t="str">
        <f>E$1&amp;$A365&amp;"*["&amp;R$1&amp;$A365&amp;":"&amp;$AH$1&amp;$A365&amp;" when "&amp;R$1&amp;$A$4&amp;":"&amp;$AH$1&amp;$A$4&amp;" = E,D,C,or R]"</f>
        <v>E365*[R365:AH365 when R4:AH4 = E,D,C,or R]</v>
      </c>
      <c r="AS365" s="2">
        <f t="shared" ref="AS365:AS377" si="929">SUM(AT365:AY365)</f>
        <v>1081.9750561254584</v>
      </c>
      <c r="AT365" s="2">
        <f t="shared" ref="AT365:AY377" si="930">$E365*SUMPRODUCT($R365:$V365,INDEX(AllocFactors_E,AT$4,0))</f>
        <v>627.05470606218603</v>
      </c>
      <c r="AU365" s="2">
        <f t="shared" si="930"/>
        <v>280.96024212724495</v>
      </c>
      <c r="AV365" s="2">
        <f t="shared" si="930"/>
        <v>0</v>
      </c>
      <c r="AW365" s="2">
        <f t="shared" si="930"/>
        <v>4.5272979886919096</v>
      </c>
      <c r="AX365" s="2">
        <f t="shared" si="930"/>
        <v>169.43280994733564</v>
      </c>
      <c r="AY365" s="2">
        <f t="shared" si="930"/>
        <v>0</v>
      </c>
      <c r="BA365" s="2">
        <f t="shared" ref="BA365:BA377" si="931">SUM(BB365:BG365)</f>
        <v>1994.9197399395598</v>
      </c>
      <c r="BB365" s="2">
        <f t="shared" ref="BB365:BG377" si="932">$E365*SUMPRODUCT($W365:$AA365,INDEX(AllocFactors_D,BB$4,0))</f>
        <v>1362.1476084407934</v>
      </c>
      <c r="BC365" s="2">
        <f t="shared" si="932"/>
        <v>461.05263662156693</v>
      </c>
      <c r="BD365" s="2">
        <f t="shared" si="932"/>
        <v>0</v>
      </c>
      <c r="BE365" s="2">
        <f t="shared" si="932"/>
        <v>5.7921042408487757</v>
      </c>
      <c r="BF365" s="2">
        <f t="shared" si="932"/>
        <v>165.92739063635042</v>
      </c>
      <c r="BG365" s="2">
        <f t="shared" si="932"/>
        <v>0</v>
      </c>
      <c r="BI365" s="2">
        <f t="shared" ref="BI365:BI377" si="933">SUM(BJ365:BO365)</f>
        <v>2923.1052039349815</v>
      </c>
      <c r="BJ365" s="2">
        <f t="shared" ref="BJ365:BO377" si="934">$E365*SUMPRODUCT($AB365:$AG365,INDEX(AllocFactors_C,BJ$4,0))</f>
        <v>2765.4655760583892</v>
      </c>
      <c r="BK365" s="2">
        <f t="shared" si="934"/>
        <v>138.57327322237353</v>
      </c>
      <c r="BL365" s="2">
        <f t="shared" si="934"/>
        <v>0</v>
      </c>
      <c r="BM365" s="2">
        <f t="shared" si="934"/>
        <v>1.3012843543543322</v>
      </c>
      <c r="BN365" s="2">
        <f t="shared" si="934"/>
        <v>17.765070299864195</v>
      </c>
      <c r="BO365" s="2">
        <f t="shared" si="934"/>
        <v>0</v>
      </c>
      <c r="CK365" s="120"/>
    </row>
    <row r="366" spans="1:89">
      <c r="A366" s="50">
        <f t="shared" si="841"/>
        <v>366</v>
      </c>
      <c r="B366" s="51">
        <v>375</v>
      </c>
      <c r="C366" s="36" t="s">
        <v>155</v>
      </c>
      <c r="D366" s="28" t="s">
        <v>360</v>
      </c>
      <c r="E366" s="432">
        <f>PROFORMA!AV188</f>
        <v>15000</v>
      </c>
      <c r="F366" s="60" t="str">
        <f>"as 361 Plant ("&amp;A$28&amp;")"</f>
        <v>as 361 Plant (28)</v>
      </c>
      <c r="G366" s="60"/>
      <c r="H366" s="2">
        <f t="shared" si="924"/>
        <v>14999.999999999998</v>
      </c>
      <c r="I366" s="2">
        <f t="shared" si="925"/>
        <v>11886.669726403421</v>
      </c>
      <c r="J366" s="2">
        <f t="shared" si="925"/>
        <v>2201.4653799279631</v>
      </c>
      <c r="K366" s="2">
        <f t="shared" si="925"/>
        <v>0</v>
      </c>
      <c r="L366" s="2">
        <f t="shared" si="925"/>
        <v>29.051716459737545</v>
      </c>
      <c r="M366" s="2">
        <f t="shared" si="925"/>
        <v>882.81317720887569</v>
      </c>
      <c r="N366" s="2">
        <f t="shared" si="925"/>
        <v>0</v>
      </c>
      <c r="O366" s="2"/>
      <c r="P366" s="61" t="str">
        <f t="shared" ref="P366:P377" si="935">E$1&amp;$A366&amp;"*     """</f>
        <v>E366*     "</v>
      </c>
      <c r="Q366" s="61"/>
      <c r="R366" s="14">
        <f>R$28</f>
        <v>0.18032917602090975</v>
      </c>
      <c r="S366" s="14">
        <f t="shared" ref="S366:AH366" si="936">S$28</f>
        <v>0</v>
      </c>
      <c r="T366" s="14">
        <f t="shared" si="936"/>
        <v>0</v>
      </c>
      <c r="U366" s="14">
        <f t="shared" si="936"/>
        <v>0</v>
      </c>
      <c r="V366" s="14">
        <f t="shared" si="936"/>
        <v>0</v>
      </c>
      <c r="W366" s="14">
        <f t="shared" si="936"/>
        <v>0.33248662332325996</v>
      </c>
      <c r="X366" s="14">
        <f t="shared" si="936"/>
        <v>0</v>
      </c>
      <c r="Y366" s="14">
        <f t="shared" si="936"/>
        <v>0</v>
      </c>
      <c r="Z366" s="14">
        <f t="shared" si="936"/>
        <v>0</v>
      </c>
      <c r="AA366" s="14">
        <f t="shared" si="936"/>
        <v>0</v>
      </c>
      <c r="AB366" s="14">
        <f t="shared" si="936"/>
        <v>0</v>
      </c>
      <c r="AC366" s="14">
        <f t="shared" si="936"/>
        <v>0.34784812665025233</v>
      </c>
      <c r="AD366" s="14">
        <f t="shared" si="936"/>
        <v>0.13399956178953271</v>
      </c>
      <c r="AE366" s="14">
        <f t="shared" si="936"/>
        <v>0</v>
      </c>
      <c r="AF366" s="14">
        <f t="shared" si="936"/>
        <v>5.3365122160451877E-3</v>
      </c>
      <c r="AG366" s="14">
        <f t="shared" si="936"/>
        <v>0</v>
      </c>
      <c r="AH366" s="14">
        <f t="shared" si="936"/>
        <v>0</v>
      </c>
      <c r="AI366" s="76">
        <f t="shared" si="900"/>
        <v>0</v>
      </c>
      <c r="AK366" s="2">
        <f t="shared" si="927"/>
        <v>15000</v>
      </c>
      <c r="AL366" s="2">
        <f t="shared" si="928"/>
        <v>2704.9376403136462</v>
      </c>
      <c r="AM366" s="2">
        <f t="shared" si="928"/>
        <v>4987.2993498488995</v>
      </c>
      <c r="AN366" s="2">
        <f t="shared" si="928"/>
        <v>7307.7630098374539</v>
      </c>
      <c r="AO366" s="2">
        <f t="shared" si="928"/>
        <v>0</v>
      </c>
      <c r="AP366" s="2"/>
      <c r="AQ366" s="61" t="str">
        <f t="shared" ref="AQ366:AQ377" si="937">E$1&amp;$A366&amp;"*      """</f>
        <v>E366*      "</v>
      </c>
      <c r="AS366" s="2">
        <f t="shared" si="929"/>
        <v>2704.9376403136462</v>
      </c>
      <c r="AT366" s="2">
        <f t="shared" si="930"/>
        <v>1567.6367651554651</v>
      </c>
      <c r="AU366" s="2">
        <f t="shared" si="930"/>
        <v>702.4006053181123</v>
      </c>
      <c r="AV366" s="2">
        <f t="shared" si="930"/>
        <v>0</v>
      </c>
      <c r="AW366" s="2">
        <f t="shared" si="930"/>
        <v>11.318244971729774</v>
      </c>
      <c r="AX366" s="2">
        <f t="shared" si="930"/>
        <v>423.58202486833915</v>
      </c>
      <c r="AY366" s="2">
        <f t="shared" si="930"/>
        <v>0</v>
      </c>
      <c r="BA366" s="2">
        <f t="shared" si="931"/>
        <v>4987.2993498488995</v>
      </c>
      <c r="BB366" s="2">
        <f t="shared" si="932"/>
        <v>3405.3690211019839</v>
      </c>
      <c r="BC366" s="2">
        <f t="shared" si="932"/>
        <v>1152.6315915539174</v>
      </c>
      <c r="BD366" s="2">
        <f t="shared" si="932"/>
        <v>0</v>
      </c>
      <c r="BE366" s="2">
        <f t="shared" si="932"/>
        <v>14.480260602121939</v>
      </c>
      <c r="BF366" s="2">
        <f t="shared" si="932"/>
        <v>414.81847659087606</v>
      </c>
      <c r="BG366" s="2">
        <f t="shared" si="932"/>
        <v>0</v>
      </c>
      <c r="BI366" s="2">
        <f t="shared" si="933"/>
        <v>7307.7630098374539</v>
      </c>
      <c r="BJ366" s="2">
        <f t="shared" si="934"/>
        <v>6913.6639401459734</v>
      </c>
      <c r="BK366" s="2">
        <f t="shared" si="934"/>
        <v>346.4331830559338</v>
      </c>
      <c r="BL366" s="2">
        <f t="shared" si="934"/>
        <v>0</v>
      </c>
      <c r="BM366" s="2">
        <f t="shared" si="934"/>
        <v>3.2532108858858306</v>
      </c>
      <c r="BN366" s="2">
        <f t="shared" si="934"/>
        <v>44.412675749660494</v>
      </c>
      <c r="BO366" s="2">
        <f t="shared" si="934"/>
        <v>0</v>
      </c>
      <c r="CK366" s="120"/>
    </row>
    <row r="367" spans="1:89">
      <c r="A367" s="50">
        <f t="shared" si="841"/>
        <v>367</v>
      </c>
      <c r="B367" s="51" t="s">
        <v>1151</v>
      </c>
      <c r="C367" s="36" t="s">
        <v>155</v>
      </c>
      <c r="D367" s="28" t="s">
        <v>367</v>
      </c>
      <c r="E367" s="432">
        <f>PROFORMA!AV189+PROFORMA!AV190</f>
        <v>5769000</v>
      </c>
      <c r="F367" s="60" t="str">
        <f>"as 362 Plant ("&amp;A$29&amp;")"</f>
        <v>as 362 Plant (29)</v>
      </c>
      <c r="G367" s="60"/>
      <c r="H367" s="2">
        <f t="shared" si="924"/>
        <v>5768999.9999999991</v>
      </c>
      <c r="I367" s="2">
        <f t="shared" si="925"/>
        <v>3729639.4296755781</v>
      </c>
      <c r="J367" s="2">
        <f t="shared" si="925"/>
        <v>1391231.2838828175</v>
      </c>
      <c r="K367" s="2">
        <f t="shared" si="925"/>
        <v>0</v>
      </c>
      <c r="L367" s="2">
        <f t="shared" si="925"/>
        <v>19348.283060686816</v>
      </c>
      <c r="M367" s="2">
        <f t="shared" si="925"/>
        <v>628781.00338091725</v>
      </c>
      <c r="N367" s="2">
        <f t="shared" si="925"/>
        <v>0</v>
      </c>
      <c r="O367" s="2"/>
      <c r="P367" s="61" t="str">
        <f t="shared" si="935"/>
        <v>E367*     "</v>
      </c>
      <c r="Q367" s="61"/>
      <c r="R367" s="14">
        <f>R$29</f>
        <v>0.35164512530918368</v>
      </c>
      <c r="S367" s="14">
        <f t="shared" ref="S367:AH367" si="938">S$29</f>
        <v>0</v>
      </c>
      <c r="T367" s="14">
        <f t="shared" si="938"/>
        <v>0</v>
      </c>
      <c r="U367" s="14">
        <f t="shared" si="938"/>
        <v>0</v>
      </c>
      <c r="V367" s="14">
        <f t="shared" si="938"/>
        <v>0</v>
      </c>
      <c r="W367" s="14">
        <f t="shared" si="938"/>
        <v>0.64835487469081621</v>
      </c>
      <c r="X367" s="14">
        <f t="shared" si="938"/>
        <v>0</v>
      </c>
      <c r="Y367" s="14">
        <f t="shared" si="938"/>
        <v>0</v>
      </c>
      <c r="Z367" s="14">
        <f t="shared" si="938"/>
        <v>0</v>
      </c>
      <c r="AA367" s="14">
        <f t="shared" si="938"/>
        <v>0</v>
      </c>
      <c r="AB367" s="14">
        <f t="shared" si="938"/>
        <v>0</v>
      </c>
      <c r="AC367" s="14">
        <f t="shared" si="938"/>
        <v>0</v>
      </c>
      <c r="AD367" s="14">
        <f t="shared" si="938"/>
        <v>0</v>
      </c>
      <c r="AE367" s="14">
        <f t="shared" si="938"/>
        <v>0</v>
      </c>
      <c r="AF367" s="14">
        <f t="shared" si="938"/>
        <v>0</v>
      </c>
      <c r="AG367" s="14">
        <f t="shared" si="938"/>
        <v>0</v>
      </c>
      <c r="AH367" s="14">
        <f t="shared" si="938"/>
        <v>0</v>
      </c>
      <c r="AI367" s="76">
        <f t="shared" si="900"/>
        <v>0</v>
      </c>
      <c r="AK367" s="2">
        <f t="shared" si="927"/>
        <v>5769000</v>
      </c>
      <c r="AL367" s="2">
        <f t="shared" si="928"/>
        <v>2028640.7279086807</v>
      </c>
      <c r="AM367" s="2">
        <f t="shared" si="928"/>
        <v>3740359.2720913189</v>
      </c>
      <c r="AN367" s="2">
        <f t="shared" si="928"/>
        <v>0</v>
      </c>
      <c r="AO367" s="2">
        <f t="shared" si="928"/>
        <v>0</v>
      </c>
      <c r="AP367" s="2"/>
      <c r="AQ367" s="61" t="str">
        <f t="shared" si="937"/>
        <v>E367*      "</v>
      </c>
      <c r="AS367" s="2">
        <f t="shared" si="929"/>
        <v>2028640.7279086807</v>
      </c>
      <c r="AT367" s="2">
        <f t="shared" si="930"/>
        <v>1175691.3508707141</v>
      </c>
      <c r="AU367" s="2">
        <f t="shared" si="930"/>
        <v>526784.22379112942</v>
      </c>
      <c r="AV367" s="2">
        <f t="shared" si="930"/>
        <v>0</v>
      </c>
      <c r="AW367" s="2">
        <f t="shared" si="930"/>
        <v>8488.4222009037858</v>
      </c>
      <c r="AX367" s="2">
        <f t="shared" si="930"/>
        <v>317676.73104593356</v>
      </c>
      <c r="AY367" s="2">
        <f t="shared" si="930"/>
        <v>0</v>
      </c>
      <c r="BA367" s="2">
        <f t="shared" si="931"/>
        <v>3740359.2720913184</v>
      </c>
      <c r="BB367" s="2">
        <f t="shared" si="932"/>
        <v>2553948.0788048641</v>
      </c>
      <c r="BC367" s="2">
        <f t="shared" si="932"/>
        <v>864447.06009168806</v>
      </c>
      <c r="BD367" s="2">
        <f t="shared" si="932"/>
        <v>0</v>
      </c>
      <c r="BE367" s="2">
        <f t="shared" si="932"/>
        <v>10859.86085978303</v>
      </c>
      <c r="BF367" s="2">
        <f t="shared" si="932"/>
        <v>311104.27233498369</v>
      </c>
      <c r="BG367" s="2">
        <f t="shared" si="932"/>
        <v>0</v>
      </c>
      <c r="BI367" s="2">
        <f t="shared" si="933"/>
        <v>0</v>
      </c>
      <c r="BJ367" s="2">
        <f t="shared" si="934"/>
        <v>0</v>
      </c>
      <c r="BK367" s="2">
        <f t="shared" si="934"/>
        <v>0</v>
      </c>
      <c r="BL367" s="2">
        <f t="shared" si="934"/>
        <v>0</v>
      </c>
      <c r="BM367" s="2">
        <f t="shared" si="934"/>
        <v>0</v>
      </c>
      <c r="BN367" s="2">
        <f t="shared" si="934"/>
        <v>0</v>
      </c>
      <c r="BO367" s="2">
        <f t="shared" si="934"/>
        <v>0</v>
      </c>
      <c r="CK367" s="120"/>
    </row>
    <row r="368" spans="1:89" s="146" customFormat="1">
      <c r="A368" s="145">
        <f t="shared" si="841"/>
        <v>368</v>
      </c>
      <c r="B368" s="430">
        <v>376</v>
      </c>
      <c r="C368" s="147" t="s">
        <v>155</v>
      </c>
      <c r="D368" s="431" t="s">
        <v>367</v>
      </c>
      <c r="E368" s="432"/>
      <c r="F368" s="134" t="str">
        <f>"as 363 Plant ("&amp;A$31&amp;")"</f>
        <v>as 363 Plant (31)</v>
      </c>
      <c r="G368" s="134"/>
      <c r="H368" s="82">
        <f>SUM(I368:N368)</f>
        <v>0</v>
      </c>
      <c r="I368" s="82">
        <f t="shared" si="925"/>
        <v>0</v>
      </c>
      <c r="J368" s="82">
        <f t="shared" si="925"/>
        <v>0</v>
      </c>
      <c r="K368" s="82">
        <f t="shared" si="925"/>
        <v>0</v>
      </c>
      <c r="L368" s="82">
        <f t="shared" si="925"/>
        <v>0</v>
      </c>
      <c r="M368" s="82">
        <f t="shared" si="925"/>
        <v>0</v>
      </c>
      <c r="N368" s="82">
        <f t="shared" si="925"/>
        <v>0</v>
      </c>
      <c r="O368" s="82"/>
      <c r="P368" s="148" t="str">
        <f>E$1&amp;$A368&amp;"*     """</f>
        <v>E368*     "</v>
      </c>
      <c r="Q368" s="148"/>
      <c r="R368" s="108">
        <f>R$30</f>
        <v>0</v>
      </c>
      <c r="S368" s="108">
        <f t="shared" ref="S368:AH368" si="939">S$30</f>
        <v>0</v>
      </c>
      <c r="T368" s="108">
        <f t="shared" si="939"/>
        <v>0</v>
      </c>
      <c r="U368" s="108">
        <f t="shared" si="939"/>
        <v>0</v>
      </c>
      <c r="V368" s="108">
        <f t="shared" si="939"/>
        <v>0</v>
      </c>
      <c r="W368" s="108">
        <f t="shared" si="939"/>
        <v>0</v>
      </c>
      <c r="X368" s="108">
        <f t="shared" si="939"/>
        <v>0</v>
      </c>
      <c r="Y368" s="108">
        <f t="shared" si="939"/>
        <v>0</v>
      </c>
      <c r="Z368" s="108">
        <f t="shared" si="939"/>
        <v>0</v>
      </c>
      <c r="AA368" s="108">
        <f t="shared" si="939"/>
        <v>0</v>
      </c>
      <c r="AB368" s="108">
        <f t="shared" si="939"/>
        <v>0</v>
      </c>
      <c r="AC368" s="108">
        <f t="shared" si="939"/>
        <v>0</v>
      </c>
      <c r="AD368" s="108">
        <f t="shared" si="939"/>
        <v>0</v>
      </c>
      <c r="AE368" s="108">
        <f t="shared" si="939"/>
        <v>0</v>
      </c>
      <c r="AF368" s="108">
        <f t="shared" si="939"/>
        <v>0</v>
      </c>
      <c r="AG368" s="108">
        <f t="shared" si="939"/>
        <v>0</v>
      </c>
      <c r="AH368" s="108">
        <f t="shared" si="939"/>
        <v>0</v>
      </c>
      <c r="AI368" s="149">
        <f t="shared" si="900"/>
        <v>0</v>
      </c>
      <c r="AK368" s="82">
        <f>SUM(AL368:AO368)</f>
        <v>0</v>
      </c>
      <c r="AL368" s="82">
        <f t="shared" si="928"/>
        <v>0</v>
      </c>
      <c r="AM368" s="82">
        <f t="shared" si="928"/>
        <v>0</v>
      </c>
      <c r="AN368" s="82">
        <f t="shared" si="928"/>
        <v>0</v>
      </c>
      <c r="AO368" s="82">
        <f t="shared" si="928"/>
        <v>0</v>
      </c>
      <c r="AP368" s="82"/>
      <c r="AQ368" s="148" t="str">
        <f t="shared" si="937"/>
        <v>E368*      "</v>
      </c>
      <c r="AS368" s="82">
        <f>SUM(AT368:AY368)</f>
        <v>0</v>
      </c>
      <c r="AT368" s="82">
        <f t="shared" si="930"/>
        <v>0</v>
      </c>
      <c r="AU368" s="82">
        <f t="shared" si="930"/>
        <v>0</v>
      </c>
      <c r="AV368" s="82">
        <f t="shared" si="930"/>
        <v>0</v>
      </c>
      <c r="AW368" s="82">
        <f t="shared" si="930"/>
        <v>0</v>
      </c>
      <c r="AX368" s="82">
        <f t="shared" si="930"/>
        <v>0</v>
      </c>
      <c r="AY368" s="82">
        <f t="shared" si="930"/>
        <v>0</v>
      </c>
      <c r="BA368" s="82">
        <f>SUM(BB368:BG368)</f>
        <v>0</v>
      </c>
      <c r="BB368" s="82">
        <f t="shared" si="932"/>
        <v>0</v>
      </c>
      <c r="BC368" s="82">
        <f t="shared" si="932"/>
        <v>0</v>
      </c>
      <c r="BD368" s="82">
        <f t="shared" si="932"/>
        <v>0</v>
      </c>
      <c r="BE368" s="82">
        <f t="shared" si="932"/>
        <v>0</v>
      </c>
      <c r="BF368" s="82">
        <f t="shared" si="932"/>
        <v>0</v>
      </c>
      <c r="BG368" s="82">
        <f t="shared" si="932"/>
        <v>0</v>
      </c>
      <c r="BI368" s="82">
        <f>SUM(BJ368:BO368)</f>
        <v>0</v>
      </c>
      <c r="BJ368" s="82">
        <f t="shared" si="934"/>
        <v>0</v>
      </c>
      <c r="BK368" s="82">
        <f t="shared" si="934"/>
        <v>0</v>
      </c>
      <c r="BL368" s="82">
        <f t="shared" si="934"/>
        <v>0</v>
      </c>
      <c r="BM368" s="82">
        <f t="shared" si="934"/>
        <v>0</v>
      </c>
      <c r="BN368" s="82">
        <f t="shared" si="934"/>
        <v>0</v>
      </c>
      <c r="BO368" s="82">
        <f t="shared" si="934"/>
        <v>0</v>
      </c>
      <c r="CK368" s="440"/>
    </row>
    <row r="369" spans="1:89">
      <c r="A369" s="50">
        <f t="shared" si="841"/>
        <v>369</v>
      </c>
      <c r="B369" s="51">
        <v>378</v>
      </c>
      <c r="C369" s="36" t="s">
        <v>155</v>
      </c>
      <c r="D369" s="28" t="s">
        <v>368</v>
      </c>
      <c r="E369" s="432">
        <f>PROFORMA!AV191</f>
        <v>144000</v>
      </c>
      <c r="F369" s="60" t="str">
        <f>"as 364 Plant ("&amp;A$32&amp;")"</f>
        <v>as 364 Plant (32)</v>
      </c>
      <c r="G369" s="60"/>
      <c r="H369" s="2">
        <f t="shared" si="924"/>
        <v>144000</v>
      </c>
      <c r="I369" s="2">
        <f t="shared" si="925"/>
        <v>93095.523985661857</v>
      </c>
      <c r="J369" s="2">
        <f t="shared" si="925"/>
        <v>34726.521906591384</v>
      </c>
      <c r="K369" s="2">
        <f t="shared" si="925"/>
        <v>0</v>
      </c>
      <c r="L369" s="2">
        <f t="shared" si="925"/>
        <v>482.95246329327466</v>
      </c>
      <c r="M369" s="2">
        <f t="shared" si="925"/>
        <v>15695.001644453472</v>
      </c>
      <c r="N369" s="2">
        <f t="shared" si="925"/>
        <v>0</v>
      </c>
      <c r="O369" s="2"/>
      <c r="P369" s="61" t="str">
        <f t="shared" si="935"/>
        <v>E369*     "</v>
      </c>
      <c r="Q369" s="61"/>
      <c r="R369" s="14">
        <f>R$32</f>
        <v>0.35164512530918368</v>
      </c>
      <c r="S369" s="14">
        <f t="shared" ref="S369:AH369" si="940">S$32</f>
        <v>0</v>
      </c>
      <c r="T369" s="14">
        <f t="shared" si="940"/>
        <v>0</v>
      </c>
      <c r="U369" s="14">
        <f t="shared" si="940"/>
        <v>0</v>
      </c>
      <c r="V369" s="14">
        <f t="shared" si="940"/>
        <v>0</v>
      </c>
      <c r="W369" s="14">
        <f t="shared" si="940"/>
        <v>0.64835487469081621</v>
      </c>
      <c r="X369" s="14">
        <f t="shared" si="940"/>
        <v>0</v>
      </c>
      <c r="Y369" s="14">
        <f t="shared" si="940"/>
        <v>0</v>
      </c>
      <c r="Z369" s="14">
        <f t="shared" si="940"/>
        <v>0</v>
      </c>
      <c r="AA369" s="14">
        <f t="shared" si="940"/>
        <v>0</v>
      </c>
      <c r="AB369" s="14">
        <f t="shared" si="940"/>
        <v>0</v>
      </c>
      <c r="AC369" s="14">
        <f t="shared" si="940"/>
        <v>0</v>
      </c>
      <c r="AD369" s="14">
        <f t="shared" si="940"/>
        <v>0</v>
      </c>
      <c r="AE369" s="14">
        <f t="shared" si="940"/>
        <v>0</v>
      </c>
      <c r="AF369" s="14">
        <f t="shared" si="940"/>
        <v>0</v>
      </c>
      <c r="AG369" s="14">
        <f t="shared" si="940"/>
        <v>0</v>
      </c>
      <c r="AH369" s="14">
        <f t="shared" si="940"/>
        <v>0</v>
      </c>
      <c r="AI369" s="76">
        <f t="shared" si="900"/>
        <v>0</v>
      </c>
      <c r="AK369" s="2">
        <f t="shared" si="927"/>
        <v>143999.99999999997</v>
      </c>
      <c r="AL369" s="2">
        <f t="shared" si="928"/>
        <v>50636.898044522452</v>
      </c>
      <c r="AM369" s="2">
        <f t="shared" si="928"/>
        <v>93363.101955477527</v>
      </c>
      <c r="AN369" s="2">
        <f t="shared" si="928"/>
        <v>0</v>
      </c>
      <c r="AO369" s="2">
        <f t="shared" si="928"/>
        <v>0</v>
      </c>
      <c r="AP369" s="2"/>
      <c r="AQ369" s="61" t="str">
        <f t="shared" si="937"/>
        <v>E369*      "</v>
      </c>
      <c r="AS369" s="2">
        <f t="shared" si="929"/>
        <v>50636.898044522459</v>
      </c>
      <c r="AT369" s="2">
        <f t="shared" si="930"/>
        <v>29346.42997493202</v>
      </c>
      <c r="AU369" s="2">
        <f t="shared" si="930"/>
        <v>13149.06018823412</v>
      </c>
      <c r="AV369" s="2">
        <f t="shared" si="930"/>
        <v>0</v>
      </c>
      <c r="AW369" s="2">
        <f t="shared" si="930"/>
        <v>211.87949331429107</v>
      </c>
      <c r="AX369" s="2">
        <f t="shared" si="930"/>
        <v>7929.5283880420238</v>
      </c>
      <c r="AY369" s="2">
        <f t="shared" si="930"/>
        <v>0</v>
      </c>
      <c r="BA369" s="2">
        <f t="shared" si="931"/>
        <v>93363.101955477527</v>
      </c>
      <c r="BB369" s="2">
        <f t="shared" si="932"/>
        <v>63749.09401072983</v>
      </c>
      <c r="BC369" s="2">
        <f t="shared" si="932"/>
        <v>21577.461718357266</v>
      </c>
      <c r="BD369" s="2">
        <f t="shared" si="932"/>
        <v>0</v>
      </c>
      <c r="BE369" s="2">
        <f t="shared" si="932"/>
        <v>271.07296997898362</v>
      </c>
      <c r="BF369" s="2">
        <f t="shared" si="932"/>
        <v>7765.4732564114493</v>
      </c>
      <c r="BG369" s="2">
        <f t="shared" si="932"/>
        <v>0</v>
      </c>
      <c r="BI369" s="2">
        <f t="shared" si="933"/>
        <v>0</v>
      </c>
      <c r="BJ369" s="2">
        <f t="shared" si="934"/>
        <v>0</v>
      </c>
      <c r="BK369" s="2">
        <f t="shared" si="934"/>
        <v>0</v>
      </c>
      <c r="BL369" s="2">
        <f t="shared" si="934"/>
        <v>0</v>
      </c>
      <c r="BM369" s="2">
        <f t="shared" si="934"/>
        <v>0</v>
      </c>
      <c r="BN369" s="2">
        <f t="shared" si="934"/>
        <v>0</v>
      </c>
      <c r="BO369" s="2">
        <f t="shared" si="934"/>
        <v>0</v>
      </c>
      <c r="CK369" s="120"/>
    </row>
    <row r="370" spans="1:89">
      <c r="A370" s="50">
        <f t="shared" si="841"/>
        <v>370</v>
      </c>
      <c r="B370" s="51">
        <v>379</v>
      </c>
      <c r="C370" s="36" t="s">
        <v>155</v>
      </c>
      <c r="D370" s="28" t="s">
        <v>369</v>
      </c>
      <c r="E370" s="432">
        <f>PROFORMA!AV192</f>
        <v>51000</v>
      </c>
      <c r="F370" s="60" t="str">
        <f>"as 365 Plant ("&amp;A$33&amp;")"</f>
        <v>as 365 Plant (33)</v>
      </c>
      <c r="G370" s="60"/>
      <c r="H370" s="2">
        <f t="shared" si="924"/>
        <v>51000</v>
      </c>
      <c r="I370" s="2">
        <f t="shared" si="925"/>
        <v>32971.331411588573</v>
      </c>
      <c r="J370" s="2">
        <f t="shared" si="925"/>
        <v>12298.97650858445</v>
      </c>
      <c r="K370" s="2">
        <f t="shared" si="925"/>
        <v>0</v>
      </c>
      <c r="L370" s="2">
        <f t="shared" si="925"/>
        <v>171.04566408303478</v>
      </c>
      <c r="M370" s="2">
        <f t="shared" si="925"/>
        <v>5558.6464157439386</v>
      </c>
      <c r="N370" s="2">
        <f t="shared" si="925"/>
        <v>0</v>
      </c>
      <c r="O370" s="2"/>
      <c r="P370" s="61" t="str">
        <f t="shared" si="935"/>
        <v>E370*     "</v>
      </c>
      <c r="Q370" s="61"/>
      <c r="R370" s="14">
        <f>R$33</f>
        <v>0.35164512530918368</v>
      </c>
      <c r="S370" s="14">
        <f t="shared" ref="S370:AH370" si="941">S$33</f>
        <v>0</v>
      </c>
      <c r="T370" s="14">
        <f t="shared" si="941"/>
        <v>0</v>
      </c>
      <c r="U370" s="14">
        <f t="shared" si="941"/>
        <v>0</v>
      </c>
      <c r="V370" s="14">
        <f t="shared" si="941"/>
        <v>0</v>
      </c>
      <c r="W370" s="14">
        <f t="shared" si="941"/>
        <v>0.64835487469081621</v>
      </c>
      <c r="X370" s="14">
        <f t="shared" si="941"/>
        <v>0</v>
      </c>
      <c r="Y370" s="14">
        <f t="shared" si="941"/>
        <v>0</v>
      </c>
      <c r="Z370" s="14">
        <f t="shared" si="941"/>
        <v>0</v>
      </c>
      <c r="AA370" s="14">
        <f t="shared" si="941"/>
        <v>0</v>
      </c>
      <c r="AB370" s="14">
        <f t="shared" si="941"/>
        <v>0</v>
      </c>
      <c r="AC370" s="14">
        <f t="shared" si="941"/>
        <v>0</v>
      </c>
      <c r="AD370" s="14">
        <f t="shared" si="941"/>
        <v>0</v>
      </c>
      <c r="AE370" s="14">
        <f t="shared" si="941"/>
        <v>0</v>
      </c>
      <c r="AF370" s="14">
        <f t="shared" si="941"/>
        <v>0</v>
      </c>
      <c r="AG370" s="14">
        <f t="shared" si="941"/>
        <v>0</v>
      </c>
      <c r="AH370" s="14">
        <f t="shared" si="941"/>
        <v>0</v>
      </c>
      <c r="AI370" s="76">
        <f t="shared" si="900"/>
        <v>0</v>
      </c>
      <c r="AK370" s="2">
        <f t="shared" si="927"/>
        <v>50999.999999999993</v>
      </c>
      <c r="AL370" s="2">
        <f t="shared" si="928"/>
        <v>17933.901390768369</v>
      </c>
      <c r="AM370" s="2">
        <f t="shared" si="928"/>
        <v>33066.098609231623</v>
      </c>
      <c r="AN370" s="2">
        <f t="shared" si="928"/>
        <v>0</v>
      </c>
      <c r="AO370" s="2">
        <f t="shared" si="928"/>
        <v>0</v>
      </c>
      <c r="AP370" s="2"/>
      <c r="AQ370" s="61" t="str">
        <f t="shared" si="937"/>
        <v>E370*      "</v>
      </c>
      <c r="AS370" s="2">
        <f t="shared" si="929"/>
        <v>17933.901390768369</v>
      </c>
      <c r="AT370" s="2">
        <f t="shared" si="930"/>
        <v>10393.527282788424</v>
      </c>
      <c r="AU370" s="2">
        <f t="shared" si="930"/>
        <v>4656.9588166662506</v>
      </c>
      <c r="AV370" s="2">
        <f t="shared" si="930"/>
        <v>0</v>
      </c>
      <c r="AW370" s="2">
        <f t="shared" si="930"/>
        <v>75.040653882144753</v>
      </c>
      <c r="AX370" s="2">
        <f t="shared" si="930"/>
        <v>2808.3746374315501</v>
      </c>
      <c r="AY370" s="2">
        <f t="shared" si="930"/>
        <v>0</v>
      </c>
      <c r="BA370" s="2">
        <f t="shared" si="931"/>
        <v>33066.098609231623</v>
      </c>
      <c r="BB370" s="2">
        <f t="shared" si="932"/>
        <v>22577.804128800148</v>
      </c>
      <c r="BC370" s="2">
        <f t="shared" si="932"/>
        <v>7642.0176919181995</v>
      </c>
      <c r="BD370" s="2">
        <f t="shared" si="932"/>
        <v>0</v>
      </c>
      <c r="BE370" s="2">
        <f t="shared" si="932"/>
        <v>96.005010200890027</v>
      </c>
      <c r="BF370" s="2">
        <f t="shared" si="932"/>
        <v>2750.2717783123885</v>
      </c>
      <c r="BG370" s="2">
        <f t="shared" si="932"/>
        <v>0</v>
      </c>
      <c r="BI370" s="2">
        <f t="shared" si="933"/>
        <v>0</v>
      </c>
      <c r="BJ370" s="2">
        <f t="shared" si="934"/>
        <v>0</v>
      </c>
      <c r="BK370" s="2">
        <f t="shared" si="934"/>
        <v>0</v>
      </c>
      <c r="BL370" s="2">
        <f t="shared" si="934"/>
        <v>0</v>
      </c>
      <c r="BM370" s="2">
        <f t="shared" si="934"/>
        <v>0</v>
      </c>
      <c r="BN370" s="2">
        <f t="shared" si="934"/>
        <v>0</v>
      </c>
      <c r="BO370" s="2">
        <f t="shared" si="934"/>
        <v>0</v>
      </c>
      <c r="CK370" s="120"/>
    </row>
    <row r="371" spans="1:89">
      <c r="A371" s="50">
        <f t="shared" si="841"/>
        <v>371</v>
      </c>
      <c r="B371" s="51">
        <v>380</v>
      </c>
      <c r="C371" s="36" t="s">
        <v>155</v>
      </c>
      <c r="D371" s="28" t="s">
        <v>370</v>
      </c>
      <c r="E371" s="432">
        <f>PROFORMA!AV193</f>
        <v>4447000</v>
      </c>
      <c r="F371" s="60" t="str">
        <f>"as 366 Plant ("&amp;A$34&amp;")"</f>
        <v>as 366 Plant (34)</v>
      </c>
      <c r="G371" s="60"/>
      <c r="H371" s="2">
        <f t="shared" si="924"/>
        <v>4447000</v>
      </c>
      <c r="I371" s="2">
        <f t="shared" si="925"/>
        <v>4349124.6485840045</v>
      </c>
      <c r="J371" s="2">
        <f t="shared" si="925"/>
        <v>81650.509141002869</v>
      </c>
      <c r="K371" s="2">
        <f t="shared" si="925"/>
        <v>0</v>
      </c>
      <c r="L371" s="2">
        <f t="shared" si="925"/>
        <v>198.34576643981592</v>
      </c>
      <c r="M371" s="2">
        <f t="shared" si="925"/>
        <v>16026.496508553118</v>
      </c>
      <c r="N371" s="2">
        <f t="shared" si="925"/>
        <v>0</v>
      </c>
      <c r="O371" s="2"/>
      <c r="P371" s="61" t="str">
        <f t="shared" si="935"/>
        <v>E371*     "</v>
      </c>
      <c r="Q371" s="61"/>
      <c r="R371" s="14">
        <f>R$34</f>
        <v>0</v>
      </c>
      <c r="S371" s="14">
        <f t="shared" ref="S371:AH371" si="942">S$34</f>
        <v>0</v>
      </c>
      <c r="T371" s="14">
        <f t="shared" si="942"/>
        <v>0</v>
      </c>
      <c r="U371" s="14">
        <f t="shared" si="942"/>
        <v>0</v>
      </c>
      <c r="V371" s="14">
        <f t="shared" si="942"/>
        <v>0</v>
      </c>
      <c r="W371" s="14">
        <f t="shared" si="942"/>
        <v>0</v>
      </c>
      <c r="X371" s="14">
        <f t="shared" si="942"/>
        <v>0</v>
      </c>
      <c r="Y371" s="14">
        <f t="shared" si="942"/>
        <v>0</v>
      </c>
      <c r="Z371" s="14">
        <f t="shared" si="942"/>
        <v>0</v>
      </c>
      <c r="AA371" s="14">
        <f t="shared" si="942"/>
        <v>0</v>
      </c>
      <c r="AB371" s="14">
        <f t="shared" si="942"/>
        <v>0</v>
      </c>
      <c r="AC371" s="14">
        <f t="shared" si="942"/>
        <v>1</v>
      </c>
      <c r="AD371" s="14">
        <f t="shared" si="942"/>
        <v>0</v>
      </c>
      <c r="AE371" s="14">
        <f t="shared" si="942"/>
        <v>0</v>
      </c>
      <c r="AF371" s="14">
        <f t="shared" si="942"/>
        <v>0</v>
      </c>
      <c r="AG371" s="14">
        <f t="shared" si="942"/>
        <v>0</v>
      </c>
      <c r="AH371" s="14">
        <f t="shared" si="942"/>
        <v>0</v>
      </c>
      <c r="AI371" s="76">
        <f t="shared" si="900"/>
        <v>0</v>
      </c>
      <c r="AK371" s="2">
        <f t="shared" si="927"/>
        <v>4447000</v>
      </c>
      <c r="AL371" s="2">
        <f t="shared" si="928"/>
        <v>0</v>
      </c>
      <c r="AM371" s="2">
        <f t="shared" si="928"/>
        <v>0</v>
      </c>
      <c r="AN371" s="2">
        <f t="shared" si="928"/>
        <v>4447000</v>
      </c>
      <c r="AO371" s="2">
        <f t="shared" si="928"/>
        <v>0</v>
      </c>
      <c r="AP371" s="2"/>
      <c r="AQ371" s="61" t="str">
        <f t="shared" si="937"/>
        <v>E371*      "</v>
      </c>
      <c r="AS371" s="2">
        <f t="shared" si="929"/>
        <v>0</v>
      </c>
      <c r="AT371" s="2">
        <f t="shared" si="930"/>
        <v>0</v>
      </c>
      <c r="AU371" s="2">
        <f t="shared" si="930"/>
        <v>0</v>
      </c>
      <c r="AV371" s="2">
        <f t="shared" si="930"/>
        <v>0</v>
      </c>
      <c r="AW371" s="2">
        <f t="shared" si="930"/>
        <v>0</v>
      </c>
      <c r="AX371" s="2">
        <f t="shared" si="930"/>
        <v>0</v>
      </c>
      <c r="AY371" s="2">
        <f t="shared" si="930"/>
        <v>0</v>
      </c>
      <c r="BA371" s="2">
        <f t="shared" si="931"/>
        <v>0</v>
      </c>
      <c r="BB371" s="2">
        <f t="shared" si="932"/>
        <v>0</v>
      </c>
      <c r="BC371" s="2">
        <f t="shared" si="932"/>
        <v>0</v>
      </c>
      <c r="BD371" s="2">
        <f t="shared" si="932"/>
        <v>0</v>
      </c>
      <c r="BE371" s="2">
        <f t="shared" si="932"/>
        <v>0</v>
      </c>
      <c r="BF371" s="2">
        <f t="shared" si="932"/>
        <v>0</v>
      </c>
      <c r="BG371" s="2">
        <f t="shared" si="932"/>
        <v>0</v>
      </c>
      <c r="BI371" s="2">
        <f t="shared" si="933"/>
        <v>4447000</v>
      </c>
      <c r="BJ371" s="2">
        <f t="shared" si="934"/>
        <v>4349124.6485840045</v>
      </c>
      <c r="BK371" s="2">
        <f t="shared" si="934"/>
        <v>81650.509141002869</v>
      </c>
      <c r="BL371" s="2">
        <f t="shared" si="934"/>
        <v>0</v>
      </c>
      <c r="BM371" s="2">
        <f t="shared" si="934"/>
        <v>198.34576643981592</v>
      </c>
      <c r="BN371" s="2">
        <f t="shared" si="934"/>
        <v>16026.496508553118</v>
      </c>
      <c r="BO371" s="2">
        <f t="shared" si="934"/>
        <v>0</v>
      </c>
      <c r="CK371" s="120"/>
    </row>
    <row r="372" spans="1:89">
      <c r="A372" s="50">
        <f t="shared" si="841"/>
        <v>372</v>
      </c>
      <c r="B372" s="51">
        <v>381</v>
      </c>
      <c r="C372" s="36" t="s">
        <v>155</v>
      </c>
      <c r="D372" s="28" t="s">
        <v>371</v>
      </c>
      <c r="E372" s="432">
        <f>PROFORMA!AV194</f>
        <v>3207000</v>
      </c>
      <c r="F372" s="60" t="str">
        <f>"as 367 Plant ("&amp;A$35&amp;")"</f>
        <v>as 367 Plant (35)</v>
      </c>
      <c r="G372" s="60"/>
      <c r="H372" s="2">
        <f t="shared" si="924"/>
        <v>3206999.9999999995</v>
      </c>
      <c r="I372" s="2">
        <f t="shared" si="925"/>
        <v>2889150.1805872233</v>
      </c>
      <c r="J372" s="2">
        <f t="shared" si="925"/>
        <v>288854.30479858362</v>
      </c>
      <c r="K372" s="2">
        <f t="shared" si="925"/>
        <v>0</v>
      </c>
      <c r="L372" s="2">
        <f t="shared" si="925"/>
        <v>3057.5567350655292</v>
      </c>
      <c r="M372" s="2">
        <f t="shared" si="925"/>
        <v>25937.957879127687</v>
      </c>
      <c r="N372" s="2">
        <f t="shared" si="925"/>
        <v>0</v>
      </c>
      <c r="O372" s="2"/>
      <c r="P372" s="61" t="str">
        <f t="shared" si="935"/>
        <v>E372*     "</v>
      </c>
      <c r="Q372" s="61"/>
      <c r="R372" s="14">
        <f>R$35</f>
        <v>0</v>
      </c>
      <c r="S372" s="14">
        <f t="shared" ref="S372:AH372" si="943">S$35</f>
        <v>0</v>
      </c>
      <c r="T372" s="14">
        <f t="shared" si="943"/>
        <v>0</v>
      </c>
      <c r="U372" s="14">
        <f t="shared" si="943"/>
        <v>0</v>
      </c>
      <c r="V372" s="14">
        <f t="shared" si="943"/>
        <v>0</v>
      </c>
      <c r="W372" s="14">
        <f t="shared" si="943"/>
        <v>0</v>
      </c>
      <c r="X372" s="14">
        <f t="shared" si="943"/>
        <v>0</v>
      </c>
      <c r="Y372" s="14">
        <f t="shared" si="943"/>
        <v>0</v>
      </c>
      <c r="Z372" s="14">
        <f t="shared" si="943"/>
        <v>0</v>
      </c>
      <c r="AA372" s="14">
        <f t="shared" si="943"/>
        <v>0</v>
      </c>
      <c r="AB372" s="14">
        <f t="shared" si="943"/>
        <v>0</v>
      </c>
      <c r="AC372" s="14">
        <f t="shared" si="943"/>
        <v>0</v>
      </c>
      <c r="AD372" s="14">
        <f t="shared" si="943"/>
        <v>1</v>
      </c>
      <c r="AE372" s="14">
        <f t="shared" si="943"/>
        <v>0</v>
      </c>
      <c r="AF372" s="14">
        <f t="shared" si="943"/>
        <v>0</v>
      </c>
      <c r="AG372" s="14">
        <f t="shared" si="943"/>
        <v>0</v>
      </c>
      <c r="AH372" s="14">
        <f t="shared" si="943"/>
        <v>0</v>
      </c>
      <c r="AI372" s="76">
        <f t="shared" si="900"/>
        <v>0</v>
      </c>
      <c r="AK372" s="2">
        <f t="shared" si="927"/>
        <v>3207000</v>
      </c>
      <c r="AL372" s="2">
        <f t="shared" si="928"/>
        <v>0</v>
      </c>
      <c r="AM372" s="2">
        <f t="shared" si="928"/>
        <v>0</v>
      </c>
      <c r="AN372" s="2">
        <f t="shared" si="928"/>
        <v>3207000</v>
      </c>
      <c r="AO372" s="2">
        <f t="shared" si="928"/>
        <v>0</v>
      </c>
      <c r="AP372" s="2"/>
      <c r="AQ372" s="61" t="str">
        <f t="shared" si="937"/>
        <v>E372*      "</v>
      </c>
      <c r="AS372" s="2">
        <f t="shared" si="929"/>
        <v>0</v>
      </c>
      <c r="AT372" s="2">
        <f t="shared" si="930"/>
        <v>0</v>
      </c>
      <c r="AU372" s="2">
        <f t="shared" si="930"/>
        <v>0</v>
      </c>
      <c r="AV372" s="2">
        <f t="shared" si="930"/>
        <v>0</v>
      </c>
      <c r="AW372" s="2">
        <f t="shared" si="930"/>
        <v>0</v>
      </c>
      <c r="AX372" s="2">
        <f t="shared" si="930"/>
        <v>0</v>
      </c>
      <c r="AY372" s="2">
        <f t="shared" si="930"/>
        <v>0</v>
      </c>
      <c r="BA372" s="2">
        <f t="shared" si="931"/>
        <v>0</v>
      </c>
      <c r="BB372" s="2">
        <f t="shared" si="932"/>
        <v>0</v>
      </c>
      <c r="BC372" s="2">
        <f t="shared" si="932"/>
        <v>0</v>
      </c>
      <c r="BD372" s="2">
        <f t="shared" si="932"/>
        <v>0</v>
      </c>
      <c r="BE372" s="2">
        <f t="shared" si="932"/>
        <v>0</v>
      </c>
      <c r="BF372" s="2">
        <f t="shared" si="932"/>
        <v>0</v>
      </c>
      <c r="BG372" s="2">
        <f t="shared" si="932"/>
        <v>0</v>
      </c>
      <c r="BI372" s="2">
        <f t="shared" si="933"/>
        <v>3206999.9999999995</v>
      </c>
      <c r="BJ372" s="2">
        <f t="shared" si="934"/>
        <v>2889150.1805872233</v>
      </c>
      <c r="BK372" s="2">
        <f t="shared" si="934"/>
        <v>288854.30479858362</v>
      </c>
      <c r="BL372" s="2">
        <f t="shared" si="934"/>
        <v>0</v>
      </c>
      <c r="BM372" s="2">
        <f t="shared" si="934"/>
        <v>3057.5567350655292</v>
      </c>
      <c r="BN372" s="2">
        <f t="shared" si="934"/>
        <v>25937.957879127687</v>
      </c>
      <c r="BO372" s="2">
        <f t="shared" si="934"/>
        <v>0</v>
      </c>
      <c r="CK372" s="120"/>
    </row>
    <row r="373" spans="1:89">
      <c r="A373" s="50">
        <f t="shared" si="841"/>
        <v>373</v>
      </c>
      <c r="B373" s="51">
        <v>382</v>
      </c>
      <c r="C373" s="36" t="s">
        <v>155</v>
      </c>
      <c r="D373" s="28" t="s">
        <v>372</v>
      </c>
      <c r="E373" s="432">
        <f>PROFORMA!AV195</f>
        <v>0</v>
      </c>
      <c r="F373" s="60" t="str">
        <f>"as 368 Plant ("&amp;A$36&amp;")"</f>
        <v>as 368 Plant (36)</v>
      </c>
      <c r="G373" s="60"/>
      <c r="H373" s="2">
        <f t="shared" si="924"/>
        <v>0</v>
      </c>
      <c r="I373" s="2">
        <f t="shared" si="925"/>
        <v>0</v>
      </c>
      <c r="J373" s="2">
        <f t="shared" si="925"/>
        <v>0</v>
      </c>
      <c r="K373" s="2">
        <f t="shared" si="925"/>
        <v>0</v>
      </c>
      <c r="L373" s="2">
        <f t="shared" si="925"/>
        <v>0</v>
      </c>
      <c r="M373" s="2">
        <f t="shared" si="925"/>
        <v>0</v>
      </c>
      <c r="N373" s="2">
        <f t="shared" si="925"/>
        <v>0</v>
      </c>
      <c r="O373" s="2"/>
      <c r="P373" s="61" t="str">
        <f t="shared" si="935"/>
        <v>E373*     "</v>
      </c>
      <c r="Q373" s="61"/>
      <c r="R373" s="14">
        <f>R$36</f>
        <v>0</v>
      </c>
      <c r="S373" s="14">
        <f t="shared" ref="S373:AH373" si="944">S$36</f>
        <v>0</v>
      </c>
      <c r="T373" s="14">
        <f t="shared" si="944"/>
        <v>0</v>
      </c>
      <c r="U373" s="14">
        <f t="shared" si="944"/>
        <v>0</v>
      </c>
      <c r="V373" s="14">
        <f t="shared" si="944"/>
        <v>0</v>
      </c>
      <c r="W373" s="14">
        <f t="shared" si="944"/>
        <v>0</v>
      </c>
      <c r="X373" s="14">
        <f t="shared" si="944"/>
        <v>0</v>
      </c>
      <c r="Y373" s="14">
        <f t="shared" si="944"/>
        <v>0</v>
      </c>
      <c r="Z373" s="14">
        <f t="shared" si="944"/>
        <v>0</v>
      </c>
      <c r="AA373" s="14">
        <f t="shared" si="944"/>
        <v>0</v>
      </c>
      <c r="AB373" s="14">
        <f t="shared" si="944"/>
        <v>1</v>
      </c>
      <c r="AC373" s="14">
        <f t="shared" si="944"/>
        <v>0</v>
      </c>
      <c r="AD373" s="14">
        <f t="shared" si="944"/>
        <v>0</v>
      </c>
      <c r="AE373" s="14">
        <f t="shared" si="944"/>
        <v>0</v>
      </c>
      <c r="AF373" s="14">
        <f t="shared" si="944"/>
        <v>0</v>
      </c>
      <c r="AG373" s="14">
        <f t="shared" si="944"/>
        <v>0</v>
      </c>
      <c r="AH373" s="14">
        <f t="shared" si="944"/>
        <v>0</v>
      </c>
      <c r="AI373" s="76">
        <f t="shared" si="900"/>
        <v>0</v>
      </c>
      <c r="AK373" s="2">
        <f t="shared" si="927"/>
        <v>0</v>
      </c>
      <c r="AL373" s="2">
        <f t="shared" si="928"/>
        <v>0</v>
      </c>
      <c r="AM373" s="2">
        <f t="shared" si="928"/>
        <v>0</v>
      </c>
      <c r="AN373" s="2">
        <f t="shared" si="928"/>
        <v>0</v>
      </c>
      <c r="AO373" s="2">
        <f t="shared" si="928"/>
        <v>0</v>
      </c>
      <c r="AP373" s="2"/>
      <c r="AQ373" s="61" t="str">
        <f t="shared" si="937"/>
        <v>E373*      "</v>
      </c>
      <c r="AS373" s="2">
        <f t="shared" si="929"/>
        <v>0</v>
      </c>
      <c r="AT373" s="2">
        <f t="shared" si="930"/>
        <v>0</v>
      </c>
      <c r="AU373" s="2">
        <f t="shared" si="930"/>
        <v>0</v>
      </c>
      <c r="AV373" s="2">
        <f t="shared" si="930"/>
        <v>0</v>
      </c>
      <c r="AW373" s="2">
        <f t="shared" si="930"/>
        <v>0</v>
      </c>
      <c r="AX373" s="2">
        <f t="shared" si="930"/>
        <v>0</v>
      </c>
      <c r="AY373" s="2">
        <f t="shared" si="930"/>
        <v>0</v>
      </c>
      <c r="BA373" s="2">
        <f t="shared" si="931"/>
        <v>0</v>
      </c>
      <c r="BB373" s="2">
        <f t="shared" si="932"/>
        <v>0</v>
      </c>
      <c r="BC373" s="2">
        <f t="shared" si="932"/>
        <v>0</v>
      </c>
      <c r="BD373" s="2">
        <f t="shared" si="932"/>
        <v>0</v>
      </c>
      <c r="BE373" s="2">
        <f t="shared" si="932"/>
        <v>0</v>
      </c>
      <c r="BF373" s="2">
        <f t="shared" si="932"/>
        <v>0</v>
      </c>
      <c r="BG373" s="2">
        <f t="shared" si="932"/>
        <v>0</v>
      </c>
      <c r="BI373" s="2">
        <f t="shared" si="933"/>
        <v>0</v>
      </c>
      <c r="BJ373" s="2">
        <f t="shared" si="934"/>
        <v>0</v>
      </c>
      <c r="BK373" s="2">
        <f t="shared" si="934"/>
        <v>0</v>
      </c>
      <c r="BL373" s="2">
        <f t="shared" si="934"/>
        <v>0</v>
      </c>
      <c r="BM373" s="2">
        <f t="shared" si="934"/>
        <v>0</v>
      </c>
      <c r="BN373" s="2">
        <f t="shared" si="934"/>
        <v>0</v>
      </c>
      <c r="BO373" s="2">
        <f t="shared" si="934"/>
        <v>0</v>
      </c>
      <c r="CK373" s="120"/>
    </row>
    <row r="374" spans="1:89">
      <c r="A374" s="50">
        <f t="shared" si="841"/>
        <v>374</v>
      </c>
      <c r="B374" s="51">
        <v>383</v>
      </c>
      <c r="C374" s="36" t="s">
        <v>155</v>
      </c>
      <c r="D374" s="28" t="s">
        <v>373</v>
      </c>
      <c r="E374" s="432">
        <f>PROFORMA!AV196</f>
        <v>0</v>
      </c>
      <c r="F374" s="60" t="str">
        <f>"as 369 Plant ("&amp;A$37&amp;")"</f>
        <v>as 369 Plant (37)</v>
      </c>
      <c r="G374" s="60"/>
      <c r="H374" s="2">
        <f t="shared" si="924"/>
        <v>0</v>
      </c>
      <c r="I374" s="2">
        <f t="shared" si="925"/>
        <v>0</v>
      </c>
      <c r="J374" s="2">
        <f t="shared" si="925"/>
        <v>0</v>
      </c>
      <c r="K374" s="2">
        <f t="shared" si="925"/>
        <v>0</v>
      </c>
      <c r="L374" s="2">
        <f t="shared" si="925"/>
        <v>0</v>
      </c>
      <c r="M374" s="2">
        <f t="shared" si="925"/>
        <v>0</v>
      </c>
      <c r="N374" s="2">
        <f t="shared" si="925"/>
        <v>0</v>
      </c>
      <c r="O374" s="2"/>
      <c r="P374" s="61" t="str">
        <f t="shared" si="935"/>
        <v>E374*     "</v>
      </c>
      <c r="Q374" s="61"/>
      <c r="R374" s="14">
        <f>R$37</f>
        <v>0</v>
      </c>
      <c r="S374" s="14">
        <f t="shared" ref="S374:AH374" si="945">S$37</f>
        <v>0</v>
      </c>
      <c r="T374" s="14">
        <f t="shared" si="945"/>
        <v>0</v>
      </c>
      <c r="U374" s="14">
        <f t="shared" si="945"/>
        <v>0</v>
      </c>
      <c r="V374" s="14">
        <f t="shared" si="945"/>
        <v>0</v>
      </c>
      <c r="W374" s="14">
        <f t="shared" si="945"/>
        <v>0</v>
      </c>
      <c r="X374" s="14">
        <f t="shared" si="945"/>
        <v>0</v>
      </c>
      <c r="Y374" s="14">
        <f t="shared" si="945"/>
        <v>0</v>
      </c>
      <c r="Z374" s="14">
        <f t="shared" si="945"/>
        <v>0</v>
      </c>
      <c r="AA374" s="14">
        <f t="shared" si="945"/>
        <v>0</v>
      </c>
      <c r="AB374" s="14">
        <f t="shared" si="945"/>
        <v>0</v>
      </c>
      <c r="AC374" s="14">
        <f t="shared" si="945"/>
        <v>0</v>
      </c>
      <c r="AD374" s="14">
        <f t="shared" si="945"/>
        <v>0</v>
      </c>
      <c r="AE374" s="14">
        <f t="shared" si="945"/>
        <v>0</v>
      </c>
      <c r="AF374" s="14">
        <f t="shared" si="945"/>
        <v>0</v>
      </c>
      <c r="AG374" s="14">
        <f t="shared" si="945"/>
        <v>0</v>
      </c>
      <c r="AH374" s="14">
        <f t="shared" si="945"/>
        <v>0</v>
      </c>
      <c r="AI374" s="76">
        <f t="shared" si="900"/>
        <v>0</v>
      </c>
      <c r="AK374" s="2">
        <f t="shared" si="927"/>
        <v>0</v>
      </c>
      <c r="AL374" s="2">
        <f t="shared" si="928"/>
        <v>0</v>
      </c>
      <c r="AM374" s="2">
        <f t="shared" si="928"/>
        <v>0</v>
      </c>
      <c r="AN374" s="2">
        <f t="shared" si="928"/>
        <v>0</v>
      </c>
      <c r="AO374" s="2">
        <f t="shared" si="928"/>
        <v>0</v>
      </c>
      <c r="AP374" s="2"/>
      <c r="AQ374" s="61" t="str">
        <f t="shared" si="937"/>
        <v>E374*      "</v>
      </c>
      <c r="AS374" s="2">
        <f t="shared" si="929"/>
        <v>0</v>
      </c>
      <c r="AT374" s="2">
        <f t="shared" si="930"/>
        <v>0</v>
      </c>
      <c r="AU374" s="2">
        <f t="shared" si="930"/>
        <v>0</v>
      </c>
      <c r="AV374" s="2">
        <f t="shared" si="930"/>
        <v>0</v>
      </c>
      <c r="AW374" s="2">
        <f t="shared" si="930"/>
        <v>0</v>
      </c>
      <c r="AX374" s="2">
        <f t="shared" si="930"/>
        <v>0</v>
      </c>
      <c r="AY374" s="2">
        <f t="shared" si="930"/>
        <v>0</v>
      </c>
      <c r="BA374" s="2">
        <f t="shared" si="931"/>
        <v>0</v>
      </c>
      <c r="BB374" s="2">
        <f t="shared" si="932"/>
        <v>0</v>
      </c>
      <c r="BC374" s="2">
        <f t="shared" si="932"/>
        <v>0</v>
      </c>
      <c r="BD374" s="2">
        <f t="shared" si="932"/>
        <v>0</v>
      </c>
      <c r="BE374" s="2">
        <f t="shared" si="932"/>
        <v>0</v>
      </c>
      <c r="BF374" s="2">
        <f t="shared" si="932"/>
        <v>0</v>
      </c>
      <c r="BG374" s="2">
        <f t="shared" si="932"/>
        <v>0</v>
      </c>
      <c r="BI374" s="2">
        <f t="shared" si="933"/>
        <v>0</v>
      </c>
      <c r="BJ374" s="2">
        <f t="shared" si="934"/>
        <v>0</v>
      </c>
      <c r="BK374" s="2">
        <f t="shared" si="934"/>
        <v>0</v>
      </c>
      <c r="BL374" s="2">
        <f t="shared" si="934"/>
        <v>0</v>
      </c>
      <c r="BM374" s="2">
        <f t="shared" si="934"/>
        <v>0</v>
      </c>
      <c r="BN374" s="2">
        <f t="shared" si="934"/>
        <v>0</v>
      </c>
      <c r="BO374" s="2">
        <f t="shared" si="934"/>
        <v>0</v>
      </c>
      <c r="CK374" s="120"/>
    </row>
    <row r="375" spans="1:89">
      <c r="A375" s="50">
        <f t="shared" si="841"/>
        <v>375</v>
      </c>
      <c r="B375" s="51">
        <v>384</v>
      </c>
      <c r="C375" s="36" t="s">
        <v>155</v>
      </c>
      <c r="D375" s="28" t="s">
        <v>374</v>
      </c>
      <c r="E375" s="432">
        <f>PROFORMA!AV197</f>
        <v>0</v>
      </c>
      <c r="F375" s="60" t="str">
        <f>"as 370 Plant ("&amp;A$38&amp;")"</f>
        <v>as 370 Plant (38)</v>
      </c>
      <c r="G375" s="60"/>
      <c r="H375" s="2">
        <f t="shared" si="924"/>
        <v>0</v>
      </c>
      <c r="I375" s="2">
        <f t="shared" si="925"/>
        <v>0</v>
      </c>
      <c r="J375" s="2">
        <f t="shared" si="925"/>
        <v>0</v>
      </c>
      <c r="K375" s="2">
        <f t="shared" si="925"/>
        <v>0</v>
      </c>
      <c r="L375" s="2">
        <f t="shared" si="925"/>
        <v>0</v>
      </c>
      <c r="M375" s="2">
        <f t="shared" si="925"/>
        <v>0</v>
      </c>
      <c r="N375" s="2">
        <f t="shared" si="925"/>
        <v>0</v>
      </c>
      <c r="O375" s="2"/>
      <c r="P375" s="61" t="str">
        <f t="shared" si="935"/>
        <v>E375*     "</v>
      </c>
      <c r="Q375" s="61"/>
      <c r="R375" s="14">
        <f>R$38</f>
        <v>0</v>
      </c>
      <c r="S375" s="14">
        <f t="shared" ref="S375:AH375" si="946">S$38</f>
        <v>0</v>
      </c>
      <c r="T375" s="14">
        <f t="shared" si="946"/>
        <v>0</v>
      </c>
      <c r="U375" s="14">
        <f t="shared" si="946"/>
        <v>0</v>
      </c>
      <c r="V375" s="14">
        <f t="shared" si="946"/>
        <v>0</v>
      </c>
      <c r="W375" s="14">
        <f t="shared" si="946"/>
        <v>0</v>
      </c>
      <c r="X375" s="14">
        <f t="shared" si="946"/>
        <v>0</v>
      </c>
      <c r="Y375" s="14">
        <f t="shared" si="946"/>
        <v>0</v>
      </c>
      <c r="Z375" s="14">
        <f t="shared" si="946"/>
        <v>0</v>
      </c>
      <c r="AA375" s="14">
        <f t="shared" si="946"/>
        <v>0</v>
      </c>
      <c r="AB375" s="14">
        <f t="shared" si="946"/>
        <v>1</v>
      </c>
      <c r="AC375" s="14">
        <f t="shared" si="946"/>
        <v>0</v>
      </c>
      <c r="AD375" s="14">
        <f t="shared" si="946"/>
        <v>0</v>
      </c>
      <c r="AE375" s="14">
        <f t="shared" si="946"/>
        <v>0</v>
      </c>
      <c r="AF375" s="14">
        <f t="shared" si="946"/>
        <v>0</v>
      </c>
      <c r="AG375" s="14">
        <f t="shared" si="946"/>
        <v>0</v>
      </c>
      <c r="AH375" s="14">
        <f t="shared" si="946"/>
        <v>0</v>
      </c>
      <c r="AI375" s="76">
        <f t="shared" si="900"/>
        <v>0</v>
      </c>
      <c r="AK375" s="2">
        <f t="shared" si="927"/>
        <v>0</v>
      </c>
      <c r="AL375" s="2">
        <f t="shared" si="928"/>
        <v>0</v>
      </c>
      <c r="AM375" s="2">
        <f t="shared" si="928"/>
        <v>0</v>
      </c>
      <c r="AN375" s="2">
        <f t="shared" si="928"/>
        <v>0</v>
      </c>
      <c r="AO375" s="2">
        <f t="shared" si="928"/>
        <v>0</v>
      </c>
      <c r="AP375" s="2"/>
      <c r="AQ375" s="61" t="str">
        <f t="shared" si="937"/>
        <v>E375*      "</v>
      </c>
      <c r="AS375" s="2">
        <f t="shared" si="929"/>
        <v>0</v>
      </c>
      <c r="AT375" s="2">
        <f t="shared" si="930"/>
        <v>0</v>
      </c>
      <c r="AU375" s="2">
        <f t="shared" si="930"/>
        <v>0</v>
      </c>
      <c r="AV375" s="2">
        <f t="shared" si="930"/>
        <v>0</v>
      </c>
      <c r="AW375" s="2">
        <f t="shared" si="930"/>
        <v>0</v>
      </c>
      <c r="AX375" s="2">
        <f t="shared" si="930"/>
        <v>0</v>
      </c>
      <c r="AY375" s="2">
        <f t="shared" si="930"/>
        <v>0</v>
      </c>
      <c r="BA375" s="2">
        <f t="shared" si="931"/>
        <v>0</v>
      </c>
      <c r="BB375" s="2">
        <f t="shared" si="932"/>
        <v>0</v>
      </c>
      <c r="BC375" s="2">
        <f t="shared" si="932"/>
        <v>0</v>
      </c>
      <c r="BD375" s="2">
        <f t="shared" si="932"/>
        <v>0</v>
      </c>
      <c r="BE375" s="2">
        <f t="shared" si="932"/>
        <v>0</v>
      </c>
      <c r="BF375" s="2">
        <f t="shared" si="932"/>
        <v>0</v>
      </c>
      <c r="BG375" s="2">
        <f t="shared" si="932"/>
        <v>0</v>
      </c>
      <c r="BI375" s="2">
        <f t="shared" si="933"/>
        <v>0</v>
      </c>
      <c r="BJ375" s="2">
        <f t="shared" si="934"/>
        <v>0</v>
      </c>
      <c r="BK375" s="2">
        <f t="shared" si="934"/>
        <v>0</v>
      </c>
      <c r="BL375" s="2">
        <f t="shared" si="934"/>
        <v>0</v>
      </c>
      <c r="BM375" s="2">
        <f t="shared" si="934"/>
        <v>0</v>
      </c>
      <c r="BN375" s="2">
        <f t="shared" si="934"/>
        <v>0</v>
      </c>
      <c r="BO375" s="2">
        <f t="shared" si="934"/>
        <v>0</v>
      </c>
      <c r="CK375" s="120"/>
    </row>
    <row r="376" spans="1:89">
      <c r="A376" s="50">
        <f t="shared" si="841"/>
        <v>376</v>
      </c>
      <c r="B376" s="51">
        <v>385</v>
      </c>
      <c r="C376" s="36" t="s">
        <v>155</v>
      </c>
      <c r="D376" s="28" t="s">
        <v>375</v>
      </c>
      <c r="E376" s="432">
        <f>PROFORMA!AV198</f>
        <v>42000</v>
      </c>
      <c r="F376" s="60" t="str">
        <f>"as 371 Plant ("&amp;A$39&amp;")"</f>
        <v>as 371 Plant (39)</v>
      </c>
      <c r="G376" s="60"/>
      <c r="H376" s="2">
        <f t="shared" si="924"/>
        <v>42000</v>
      </c>
      <c r="I376" s="2">
        <f t="shared" si="925"/>
        <v>0</v>
      </c>
      <c r="J376" s="2">
        <f t="shared" si="925"/>
        <v>36513.829381880292</v>
      </c>
      <c r="K376" s="2">
        <f t="shared" si="925"/>
        <v>0</v>
      </c>
      <c r="L376" s="2">
        <f t="shared" si="925"/>
        <v>579.33852907942071</v>
      </c>
      <c r="M376" s="2">
        <f t="shared" si="925"/>
        <v>4906.8320890402865</v>
      </c>
      <c r="N376" s="2">
        <f t="shared" si="925"/>
        <v>0</v>
      </c>
      <c r="O376" s="2"/>
      <c r="P376" s="61" t="str">
        <f t="shared" si="935"/>
        <v>E376*     "</v>
      </c>
      <c r="Q376" s="61"/>
      <c r="R376" s="14">
        <f>R$39</f>
        <v>0</v>
      </c>
      <c r="S376" s="14">
        <f t="shared" ref="S376:AH376" si="947">S$39</f>
        <v>0</v>
      </c>
      <c r="T376" s="14">
        <f t="shared" si="947"/>
        <v>0</v>
      </c>
      <c r="U376" s="14">
        <f t="shared" si="947"/>
        <v>0</v>
      </c>
      <c r="V376" s="14">
        <f t="shared" si="947"/>
        <v>0</v>
      </c>
      <c r="W376" s="14">
        <f t="shared" si="947"/>
        <v>0</v>
      </c>
      <c r="X376" s="14">
        <f t="shared" si="947"/>
        <v>0</v>
      </c>
      <c r="Y376" s="14">
        <f t="shared" si="947"/>
        <v>0</v>
      </c>
      <c r="Z376" s="14">
        <f t="shared" si="947"/>
        <v>0</v>
      </c>
      <c r="AA376" s="14">
        <f t="shared" si="947"/>
        <v>0</v>
      </c>
      <c r="AB376" s="14">
        <f t="shared" si="947"/>
        <v>0</v>
      </c>
      <c r="AC376" s="14">
        <f t="shared" si="947"/>
        <v>0</v>
      </c>
      <c r="AD376" s="14">
        <f t="shared" si="947"/>
        <v>0</v>
      </c>
      <c r="AE376" s="14">
        <f t="shared" si="947"/>
        <v>0</v>
      </c>
      <c r="AF376" s="14">
        <f t="shared" si="947"/>
        <v>1</v>
      </c>
      <c r="AG376" s="14">
        <f t="shared" si="947"/>
        <v>0</v>
      </c>
      <c r="AH376" s="14">
        <f t="shared" si="947"/>
        <v>0</v>
      </c>
      <c r="AI376" s="76">
        <f t="shared" si="900"/>
        <v>0</v>
      </c>
      <c r="AK376" s="2">
        <f t="shared" si="927"/>
        <v>42000</v>
      </c>
      <c r="AL376" s="2">
        <f t="shared" si="928"/>
        <v>0</v>
      </c>
      <c r="AM376" s="2">
        <f t="shared" si="928"/>
        <v>0</v>
      </c>
      <c r="AN376" s="2">
        <f t="shared" si="928"/>
        <v>42000</v>
      </c>
      <c r="AO376" s="2">
        <f t="shared" si="928"/>
        <v>0</v>
      </c>
      <c r="AP376" s="2"/>
      <c r="AQ376" s="61" t="str">
        <f t="shared" si="937"/>
        <v>E376*      "</v>
      </c>
      <c r="AS376" s="2">
        <f t="shared" si="929"/>
        <v>0</v>
      </c>
      <c r="AT376" s="2">
        <f t="shared" si="930"/>
        <v>0</v>
      </c>
      <c r="AU376" s="2">
        <f t="shared" si="930"/>
        <v>0</v>
      </c>
      <c r="AV376" s="2">
        <f t="shared" si="930"/>
        <v>0</v>
      </c>
      <c r="AW376" s="2">
        <f t="shared" si="930"/>
        <v>0</v>
      </c>
      <c r="AX376" s="2">
        <f t="shared" si="930"/>
        <v>0</v>
      </c>
      <c r="AY376" s="2">
        <f t="shared" si="930"/>
        <v>0</v>
      </c>
      <c r="BA376" s="2">
        <f t="shared" si="931"/>
        <v>0</v>
      </c>
      <c r="BB376" s="2">
        <f t="shared" si="932"/>
        <v>0</v>
      </c>
      <c r="BC376" s="2">
        <f t="shared" si="932"/>
        <v>0</v>
      </c>
      <c r="BD376" s="2">
        <f t="shared" si="932"/>
        <v>0</v>
      </c>
      <c r="BE376" s="2">
        <f t="shared" si="932"/>
        <v>0</v>
      </c>
      <c r="BF376" s="2">
        <f t="shared" si="932"/>
        <v>0</v>
      </c>
      <c r="BG376" s="2">
        <f t="shared" si="932"/>
        <v>0</v>
      </c>
      <c r="BI376" s="2">
        <f t="shared" si="933"/>
        <v>42000</v>
      </c>
      <c r="BJ376" s="2">
        <f t="shared" si="934"/>
        <v>0</v>
      </c>
      <c r="BK376" s="2">
        <f t="shared" si="934"/>
        <v>36513.829381880292</v>
      </c>
      <c r="BL376" s="2">
        <f t="shared" si="934"/>
        <v>0</v>
      </c>
      <c r="BM376" s="2">
        <f t="shared" si="934"/>
        <v>579.33852907942071</v>
      </c>
      <c r="BN376" s="2">
        <f t="shared" si="934"/>
        <v>4906.8320890402865</v>
      </c>
      <c r="BO376" s="2">
        <f t="shared" si="934"/>
        <v>0</v>
      </c>
      <c r="CK376" s="120"/>
    </row>
    <row r="377" spans="1:89">
      <c r="A377" s="50">
        <f t="shared" si="841"/>
        <v>377</v>
      </c>
      <c r="B377" s="51">
        <v>387</v>
      </c>
      <c r="C377" s="36" t="s">
        <v>155</v>
      </c>
      <c r="D377" s="28" t="s">
        <v>366</v>
      </c>
      <c r="E377" s="432">
        <f>PROFORMA!AV199</f>
        <v>-11000</v>
      </c>
      <c r="F377" s="60" t="str">
        <f>"as 372 Plant ("&amp;A$40&amp;")"</f>
        <v>as 372 Plant (40)</v>
      </c>
      <c r="G377" s="60"/>
      <c r="H377" s="2">
        <f t="shared" si="924"/>
        <v>-10999.999999999998</v>
      </c>
      <c r="I377" s="2">
        <f t="shared" si="925"/>
        <v>-8716.8911326958423</v>
      </c>
      <c r="J377" s="2">
        <f t="shared" si="925"/>
        <v>-1614.4079452805063</v>
      </c>
      <c r="K377" s="2">
        <f t="shared" si="925"/>
        <v>0</v>
      </c>
      <c r="L377" s="2">
        <f t="shared" si="925"/>
        <v>-21.3045920704742</v>
      </c>
      <c r="M377" s="2">
        <f t="shared" si="925"/>
        <v>-647.3963299531755</v>
      </c>
      <c r="N377" s="2">
        <f t="shared" si="925"/>
        <v>0</v>
      </c>
      <c r="O377" s="2"/>
      <c r="P377" s="61" t="str">
        <f t="shared" si="935"/>
        <v>E377*     "</v>
      </c>
      <c r="Q377" s="61"/>
      <c r="R377" s="14">
        <f>R$40</f>
        <v>0.18032917602090975</v>
      </c>
      <c r="S377" s="14">
        <f t="shared" ref="S377:AH377" si="948">S$40</f>
        <v>0</v>
      </c>
      <c r="T377" s="14">
        <f t="shared" si="948"/>
        <v>0</v>
      </c>
      <c r="U377" s="14">
        <f t="shared" si="948"/>
        <v>0</v>
      </c>
      <c r="V377" s="14">
        <f t="shared" si="948"/>
        <v>0</v>
      </c>
      <c r="W377" s="14">
        <f t="shared" si="948"/>
        <v>0.33248662332325996</v>
      </c>
      <c r="X377" s="14">
        <f t="shared" si="948"/>
        <v>0</v>
      </c>
      <c r="Y377" s="14">
        <f t="shared" si="948"/>
        <v>0</v>
      </c>
      <c r="Z377" s="14">
        <f t="shared" si="948"/>
        <v>0</v>
      </c>
      <c r="AA377" s="14">
        <f t="shared" si="948"/>
        <v>0</v>
      </c>
      <c r="AB377" s="14">
        <f t="shared" si="948"/>
        <v>0</v>
      </c>
      <c r="AC377" s="14">
        <f t="shared" si="948"/>
        <v>0.34784812665025233</v>
      </c>
      <c r="AD377" s="14">
        <f t="shared" si="948"/>
        <v>0.13399956178953271</v>
      </c>
      <c r="AE377" s="14">
        <f t="shared" si="948"/>
        <v>0</v>
      </c>
      <c r="AF377" s="14">
        <f t="shared" si="948"/>
        <v>5.3365122160451877E-3</v>
      </c>
      <c r="AG377" s="14">
        <f t="shared" si="948"/>
        <v>0</v>
      </c>
      <c r="AH377" s="14">
        <f t="shared" si="948"/>
        <v>0</v>
      </c>
      <c r="AI377" s="76">
        <f t="shared" si="900"/>
        <v>0</v>
      </c>
      <c r="AK377" s="2">
        <f t="shared" si="927"/>
        <v>-11000</v>
      </c>
      <c r="AL377" s="2">
        <f t="shared" si="928"/>
        <v>-1983.6209362300074</v>
      </c>
      <c r="AM377" s="2">
        <f t="shared" si="928"/>
        <v>-3657.3528565558595</v>
      </c>
      <c r="AN377" s="2">
        <f t="shared" si="928"/>
        <v>-5359.0262072141322</v>
      </c>
      <c r="AO377" s="2">
        <f t="shared" si="928"/>
        <v>0</v>
      </c>
      <c r="AP377" s="2"/>
      <c r="AQ377" s="61" t="str">
        <f t="shared" si="937"/>
        <v>E377*      "</v>
      </c>
      <c r="AS377" s="2">
        <f t="shared" si="929"/>
        <v>-1983.6209362300074</v>
      </c>
      <c r="AT377" s="2">
        <f t="shared" si="930"/>
        <v>-1149.6002944473412</v>
      </c>
      <c r="AU377" s="2">
        <f t="shared" si="930"/>
        <v>-515.09377723328237</v>
      </c>
      <c r="AV377" s="2">
        <f t="shared" si="930"/>
        <v>0</v>
      </c>
      <c r="AW377" s="2">
        <f t="shared" si="930"/>
        <v>-8.3000463126018342</v>
      </c>
      <c r="AX377" s="2">
        <f t="shared" si="930"/>
        <v>-310.62681823678201</v>
      </c>
      <c r="AY377" s="2">
        <f t="shared" si="930"/>
        <v>0</v>
      </c>
      <c r="BA377" s="2">
        <f t="shared" si="931"/>
        <v>-3657.352856555859</v>
      </c>
      <c r="BB377" s="2">
        <f t="shared" si="932"/>
        <v>-2497.270615474788</v>
      </c>
      <c r="BC377" s="2">
        <f t="shared" si="932"/>
        <v>-845.26316713953941</v>
      </c>
      <c r="BD377" s="2">
        <f t="shared" si="932"/>
        <v>0</v>
      </c>
      <c r="BE377" s="2">
        <f t="shared" si="932"/>
        <v>-10.618857774889422</v>
      </c>
      <c r="BF377" s="2">
        <f t="shared" si="932"/>
        <v>-304.20021616664246</v>
      </c>
      <c r="BG377" s="2">
        <f t="shared" si="932"/>
        <v>0</v>
      </c>
      <c r="BI377" s="2">
        <f t="shared" si="933"/>
        <v>-5359.0262072141322</v>
      </c>
      <c r="BJ377" s="2">
        <f t="shared" si="934"/>
        <v>-5070.0202227737136</v>
      </c>
      <c r="BK377" s="2">
        <f t="shared" si="934"/>
        <v>-254.0510009076848</v>
      </c>
      <c r="BL377" s="2">
        <f t="shared" si="934"/>
        <v>0</v>
      </c>
      <c r="BM377" s="2">
        <f t="shared" si="934"/>
        <v>-2.3856879829829425</v>
      </c>
      <c r="BN377" s="2">
        <f t="shared" si="934"/>
        <v>-32.569295549751025</v>
      </c>
      <c r="BO377" s="2">
        <f t="shared" si="934"/>
        <v>0</v>
      </c>
      <c r="CK377" s="120"/>
    </row>
    <row r="378" spans="1:89">
      <c r="A378" s="50">
        <f t="shared" si="841"/>
        <v>378</v>
      </c>
      <c r="B378" s="51"/>
      <c r="D378" s="52" t="s">
        <v>224</v>
      </c>
      <c r="E378" s="4">
        <f>SUM(E365:E377)</f>
        <v>13670000</v>
      </c>
      <c r="F378" s="60"/>
      <c r="G378" s="60"/>
      <c r="H378" s="4">
        <f>IF(ROUND(SUM(H364:H377),3)&lt;&gt;ROUND(SUM(I378:N378),3),#VALUE!,SUM(H364:H377))</f>
        <v>13670000</v>
      </c>
      <c r="I378" s="4">
        <f t="shared" ref="I378:N378" si="949">SUM(I364:I377)</f>
        <v>11101905.560728325</v>
      </c>
      <c r="J378" s="4">
        <f t="shared" si="949"/>
        <v>1846743.069206079</v>
      </c>
      <c r="K378" s="4">
        <f t="shared" si="949"/>
        <v>0</v>
      </c>
      <c r="L378" s="4">
        <f t="shared" si="949"/>
        <v>23856.890029621045</v>
      </c>
      <c r="M378" s="4">
        <f t="shared" si="949"/>
        <v>697494.48003597511</v>
      </c>
      <c r="N378" s="4">
        <f t="shared" si="949"/>
        <v>0</v>
      </c>
      <c r="O378" s="5"/>
      <c r="P378" s="61" t="str">
        <f>$A364&amp;":"&amp;A377</f>
        <v>364:377</v>
      </c>
      <c r="Q378" s="61"/>
      <c r="R378" s="16">
        <f t="shared" ref="R378:AH378" si="950">SUMPRODUCT($E$365:$E$377,R$365:R$377)/$E378</f>
        <v>0.15354899920293932</v>
      </c>
      <c r="S378" s="16">
        <f t="shared" si="950"/>
        <v>0</v>
      </c>
      <c r="T378" s="16">
        <f t="shared" si="950"/>
        <v>0</v>
      </c>
      <c r="U378" s="16">
        <f t="shared" si="950"/>
        <v>0</v>
      </c>
      <c r="V378" s="16">
        <f t="shared" si="950"/>
        <v>0</v>
      </c>
      <c r="W378" s="16">
        <f t="shared" si="950"/>
        <v>0.28310997358370593</v>
      </c>
      <c r="X378" s="16">
        <f t="shared" si="950"/>
        <v>0</v>
      </c>
      <c r="Y378" s="16">
        <f t="shared" si="950"/>
        <v>0</v>
      </c>
      <c r="Z378" s="16">
        <f t="shared" si="950"/>
        <v>0</v>
      </c>
      <c r="AA378" s="16">
        <f t="shared" si="950"/>
        <v>0</v>
      </c>
      <c r="AB378" s="16">
        <f t="shared" si="950"/>
        <v>0</v>
      </c>
      <c r="AC378" s="16">
        <f t="shared" si="950"/>
        <v>0.32556536073639375</v>
      </c>
      <c r="AD378" s="16">
        <f t="shared" si="950"/>
        <v>0.23469934130343054</v>
      </c>
      <c r="AE378" s="16">
        <f t="shared" si="950"/>
        <v>0</v>
      </c>
      <c r="AF378" s="16">
        <f t="shared" si="950"/>
        <v>3.0763251735303914E-3</v>
      </c>
      <c r="AG378" s="16">
        <f t="shared" si="950"/>
        <v>0</v>
      </c>
      <c r="AH378" s="16">
        <f t="shared" si="950"/>
        <v>0</v>
      </c>
      <c r="AI378" s="76">
        <f t="shared" si="900"/>
        <v>0</v>
      </c>
      <c r="AK378" s="4">
        <f>IF(ROUND(SUM(AK364:AK377),3)&lt;&gt;ROUND(SUM(AL378:AO378),3),#VALUE!,SUM(AK364:AK377))</f>
        <v>13670000</v>
      </c>
      <c r="AL378" s="4">
        <f>SUM(AL364:AL377)</f>
        <v>2099014.8191041807</v>
      </c>
      <c r="AM378" s="4">
        <f>SUM(AM364:AM377)</f>
        <v>3870113.3388892603</v>
      </c>
      <c r="AN378" s="4">
        <f>SUM(AN364:AN377)</f>
        <v>7700871.8420065586</v>
      </c>
      <c r="AO378" s="4">
        <f>SUM(AO364:AO377)</f>
        <v>0</v>
      </c>
      <c r="AP378" s="5"/>
      <c r="AQ378" s="61" t="str">
        <f>$A364&amp;":"&amp;A377</f>
        <v>364:377</v>
      </c>
      <c r="AS378" s="4">
        <f>IF(ROUND(SUM(AS364:AS377),3)&lt;&gt;ROUND(SUM(AT378:AY378),3),#VALUE!,SUM(AS364:AS377))</f>
        <v>2099014.8191041807</v>
      </c>
      <c r="AT378" s="4">
        <f t="shared" ref="AT378:AY378" si="951">SUM(AT364:AT377)</f>
        <v>1216476.3993052049</v>
      </c>
      <c r="AU378" s="4">
        <f t="shared" si="951"/>
        <v>545058.50986624183</v>
      </c>
      <c r="AV378" s="4">
        <f t="shared" si="951"/>
        <v>0</v>
      </c>
      <c r="AW378" s="4">
        <f t="shared" si="951"/>
        <v>8782.8878447480402</v>
      </c>
      <c r="AX378" s="4">
        <f t="shared" si="951"/>
        <v>328697.022087986</v>
      </c>
      <c r="AY378" s="4">
        <f t="shared" si="951"/>
        <v>0</v>
      </c>
      <c r="BA378" s="4">
        <f>IF(ROUND(SUM(BA364:BA377),3)&lt;&gt;ROUND(SUM(BB378:BG378),3),#VALUE!,SUM(BA364:BA377))</f>
        <v>3870113.3388892598</v>
      </c>
      <c r="BB378" s="4">
        <f t="shared" ref="BB378:BG378" si="952">SUM(BB364:BB377)</f>
        <v>2642545.2229584618</v>
      </c>
      <c r="BC378" s="4">
        <f t="shared" si="952"/>
        <v>894434.96056299948</v>
      </c>
      <c r="BD378" s="4">
        <f t="shared" si="952"/>
        <v>0</v>
      </c>
      <c r="BE378" s="4">
        <f t="shared" si="952"/>
        <v>11236.592347030986</v>
      </c>
      <c r="BF378" s="4">
        <f t="shared" si="952"/>
        <v>321896.56302076811</v>
      </c>
      <c r="BG378" s="4">
        <f t="shared" si="952"/>
        <v>0</v>
      </c>
      <c r="BI378" s="4">
        <f>IF(ROUND(SUM(BI364:BI377),3)&lt;&gt;ROUND(SUM(BJ378:BO378),3),#VALUE!,SUM(BI364:BI377))</f>
        <v>7700871.8420065586</v>
      </c>
      <c r="BJ378" s="4">
        <f t="shared" ref="BJ378:BO378" si="953">SUM(BJ364:BJ377)</f>
        <v>7242883.9384646583</v>
      </c>
      <c r="BK378" s="4">
        <f t="shared" si="953"/>
        <v>407249.5987768374</v>
      </c>
      <c r="BL378" s="4">
        <f t="shared" si="953"/>
        <v>0</v>
      </c>
      <c r="BM378" s="4">
        <f t="shared" si="953"/>
        <v>3837.4098378420235</v>
      </c>
      <c r="BN378" s="4">
        <f t="shared" si="953"/>
        <v>46900.89492722087</v>
      </c>
      <c r="BO378" s="4">
        <f t="shared" si="953"/>
        <v>0</v>
      </c>
    </row>
    <row r="379" spans="1:89">
      <c r="A379" s="50">
        <f t="shared" si="841"/>
        <v>379</v>
      </c>
      <c r="B379" s="51"/>
      <c r="E379" s="2"/>
      <c r="F379" s="60"/>
      <c r="G379" s="60"/>
      <c r="P379" s="61"/>
      <c r="Q379" s="61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76">
        <f t="shared" si="900"/>
        <v>0</v>
      </c>
      <c r="AQ379" s="61"/>
    </row>
    <row r="380" spans="1:89">
      <c r="A380" s="50">
        <f t="shared" si="841"/>
        <v>380</v>
      </c>
      <c r="B380" s="51"/>
      <c r="D380" t="s">
        <v>71</v>
      </c>
      <c r="E380" s="2"/>
      <c r="F380" s="60"/>
      <c r="G380" s="60"/>
      <c r="P380" s="61"/>
      <c r="Q380" s="61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76">
        <f t="shared" si="900"/>
        <v>0</v>
      </c>
      <c r="AQ380" s="61"/>
    </row>
    <row r="381" spans="1:89">
      <c r="A381" s="50">
        <f t="shared" si="841"/>
        <v>381</v>
      </c>
      <c r="B381" s="51">
        <v>389</v>
      </c>
      <c r="C381" s="36" t="s">
        <v>152</v>
      </c>
      <c r="D381" s="28" t="s">
        <v>359</v>
      </c>
      <c r="E381" s="432">
        <f>PROFORMA!AV203</f>
        <v>6000</v>
      </c>
      <c r="F381" s="60" t="str">
        <f>"as 303.1 Plant ("&amp;A$11&amp;")"</f>
        <v>as 303.1 Plant (11)</v>
      </c>
      <c r="G381" s="60"/>
      <c r="H381" s="2">
        <f>SUM(I381:N381)</f>
        <v>6000.0000000000009</v>
      </c>
      <c r="I381" s="2">
        <f t="shared" ref="I381:N390" si="954">$E381*SUMPRODUCT($R381:$AH381,INDEX(AllocFactors,I$4,0))</f>
        <v>5251.3486040957696</v>
      </c>
      <c r="J381" s="2">
        <f t="shared" si="954"/>
        <v>568.80352606237534</v>
      </c>
      <c r="K381" s="2">
        <f t="shared" si="954"/>
        <v>0</v>
      </c>
      <c r="L381" s="2">
        <f t="shared" si="954"/>
        <v>7.0426107257478234</v>
      </c>
      <c r="M381" s="2">
        <f t="shared" si="954"/>
        <v>172.80525911610749</v>
      </c>
      <c r="N381" s="2">
        <f t="shared" si="954"/>
        <v>0</v>
      </c>
      <c r="O381" s="2"/>
      <c r="P381" s="61" t="s">
        <v>1160</v>
      </c>
      <c r="Q381" s="61"/>
      <c r="R381" s="14">
        <f>R$46</f>
        <v>8.8133437743971782E-2</v>
      </c>
      <c r="S381" s="14">
        <f t="shared" ref="S381:AH381" si="955">S$46</f>
        <v>1.48122630432825E-2</v>
      </c>
      <c r="T381" s="14">
        <f t="shared" si="955"/>
        <v>6.2152272453224224E-3</v>
      </c>
      <c r="U381" s="14">
        <f t="shared" si="955"/>
        <v>4.15942131033116E-2</v>
      </c>
      <c r="V381" s="14">
        <f t="shared" si="955"/>
        <v>0</v>
      </c>
      <c r="W381" s="14">
        <f t="shared" si="955"/>
        <v>0.15413680450310352</v>
      </c>
      <c r="X381" s="14">
        <f t="shared" si="955"/>
        <v>0</v>
      </c>
      <c r="Y381" s="14">
        <f t="shared" si="955"/>
        <v>0</v>
      </c>
      <c r="Z381" s="14">
        <f t="shared" si="955"/>
        <v>0</v>
      </c>
      <c r="AA381" s="14">
        <f t="shared" si="955"/>
        <v>0</v>
      </c>
      <c r="AB381" s="14">
        <f t="shared" si="955"/>
        <v>0.45505508837908676</v>
      </c>
      <c r="AC381" s="14">
        <f t="shared" si="955"/>
        <v>0.16681683403029823</v>
      </c>
      <c r="AD381" s="14">
        <f t="shared" si="955"/>
        <v>7.1278348815059178E-2</v>
      </c>
      <c r="AE381" s="14">
        <f t="shared" si="955"/>
        <v>0</v>
      </c>
      <c r="AF381" s="14">
        <f t="shared" si="955"/>
        <v>1.9577831365640468E-3</v>
      </c>
      <c r="AG381" s="14">
        <f t="shared" si="955"/>
        <v>0</v>
      </c>
      <c r="AH381" s="14">
        <f t="shared" si="955"/>
        <v>0</v>
      </c>
      <c r="AI381" s="76">
        <f t="shared" si="900"/>
        <v>0</v>
      </c>
      <c r="AK381" s="2">
        <f t="shared" ref="AK381:AK390" si="956">SUM(AL381:AO381)</f>
        <v>6000</v>
      </c>
      <c r="AL381" s="2">
        <f t="shared" ref="AL381:AO390" si="957">SUMIF($R$4:$AH$4,AL$5,$R381:$AH381)*$E381</f>
        <v>904.53084681532971</v>
      </c>
      <c r="AM381" s="2">
        <f t="shared" si="957"/>
        <v>924.82082701862112</v>
      </c>
      <c r="AN381" s="2">
        <f t="shared" si="957"/>
        <v>4170.6483261660496</v>
      </c>
      <c r="AO381" s="2">
        <f t="shared" si="957"/>
        <v>0</v>
      </c>
      <c r="AP381" s="2"/>
      <c r="AQ381" s="61" t="str">
        <f>E$1&amp;$A381&amp;"*["&amp;R$1&amp;$A381&amp;":"&amp;$AH$1&amp;$A381&amp;" when "&amp;R$1&amp;$A$4&amp;":"&amp;$AH$1&amp;$A$4&amp;" = E,D,C,or R]"</f>
        <v>E381*[R381:AH381 when R4:AH4 = E,D,C,or R]</v>
      </c>
      <c r="AS381" s="2">
        <f t="shared" ref="AS381:AS390" si="958">SUM(AT381:AY381)</f>
        <v>904.53084681532982</v>
      </c>
      <c r="AT381" s="2">
        <f t="shared" ref="AT381:AY390" si="959">$E381*SUMPRODUCT($R381:$V381,INDEX(AllocFactors_E,AT$4,0))</f>
        <v>576.33858799493896</v>
      </c>
      <c r="AU381" s="2">
        <f t="shared" si="959"/>
        <v>237.65248188091945</v>
      </c>
      <c r="AV381" s="2">
        <f t="shared" si="959"/>
        <v>0</v>
      </c>
      <c r="AW381" s="2">
        <f t="shared" si="959"/>
        <v>3.710639753992754</v>
      </c>
      <c r="AX381" s="2">
        <f t="shared" si="959"/>
        <v>86.8291371854787</v>
      </c>
      <c r="AY381" s="2">
        <f t="shared" si="959"/>
        <v>0</v>
      </c>
      <c r="BA381" s="2">
        <f t="shared" ref="BA381:BA390" si="960">SUM(BB381:BG381)</f>
        <v>924.820827018621</v>
      </c>
      <c r="BB381" s="2">
        <f t="shared" ref="BB381:BG390" si="961">$E381*SUMPRODUCT($W381:$AA381,INDEX(AllocFactors_D,BB$4,0))</f>
        <v>631.47526817185042</v>
      </c>
      <c r="BC381" s="2">
        <f t="shared" si="961"/>
        <v>213.73846384035065</v>
      </c>
      <c r="BD381" s="2">
        <f t="shared" si="961"/>
        <v>0</v>
      </c>
      <c r="BE381" s="2">
        <f t="shared" si="961"/>
        <v>2.6851499471162272</v>
      </c>
      <c r="BF381" s="2">
        <f t="shared" si="961"/>
        <v>76.921945059303781</v>
      </c>
      <c r="BG381" s="2">
        <f t="shared" si="961"/>
        <v>0</v>
      </c>
      <c r="BI381" s="2">
        <f t="shared" ref="BI381:BI390" si="962">SUM(BJ381:BO381)</f>
        <v>4170.6483261660487</v>
      </c>
      <c r="BJ381" s="2">
        <f t="shared" ref="BJ381:BO390" si="963">$E381*SUMPRODUCT($AB381:$AG381,INDEX(AllocFactors_C,BJ$4,0))</f>
        <v>4043.5347479289803</v>
      </c>
      <c r="BK381" s="2">
        <f t="shared" si="963"/>
        <v>117.41258034110515</v>
      </c>
      <c r="BL381" s="2">
        <f t="shared" si="963"/>
        <v>0</v>
      </c>
      <c r="BM381" s="2">
        <f t="shared" si="963"/>
        <v>0.64682102463884328</v>
      </c>
      <c r="BN381" s="2">
        <f t="shared" si="963"/>
        <v>9.0541768713249979</v>
      </c>
      <c r="BO381" s="2">
        <f t="shared" si="963"/>
        <v>0</v>
      </c>
    </row>
    <row r="382" spans="1:89">
      <c r="A382" s="50">
        <f t="shared" si="841"/>
        <v>382</v>
      </c>
      <c r="B382" s="51">
        <v>390</v>
      </c>
      <c r="C382" s="36" t="s">
        <v>152</v>
      </c>
      <c r="D382" s="28" t="s">
        <v>360</v>
      </c>
      <c r="E382" s="432">
        <f>PROFORMA!AV204</f>
        <v>1434000</v>
      </c>
      <c r="F382" s="60" t="str">
        <f>"as 389 Plant ("&amp;A$46&amp;")"</f>
        <v>as 389 Plant (46)</v>
      </c>
      <c r="G382" s="60"/>
      <c r="H382" s="2">
        <f t="shared" ref="H382:H390" si="964">SUM(I382:N382)</f>
        <v>1434000.0000000002</v>
      </c>
      <c r="I382" s="2">
        <f t="shared" si="954"/>
        <v>1255072.3163788891</v>
      </c>
      <c r="J382" s="2">
        <f t="shared" si="954"/>
        <v>135944.04272890769</v>
      </c>
      <c r="K382" s="2">
        <f t="shared" si="954"/>
        <v>0</v>
      </c>
      <c r="L382" s="2">
        <f t="shared" si="954"/>
        <v>1683.1839634537298</v>
      </c>
      <c r="M382" s="2">
        <f t="shared" si="954"/>
        <v>41300.456928749692</v>
      </c>
      <c r="N382" s="2">
        <f t="shared" si="954"/>
        <v>0</v>
      </c>
      <c r="O382" s="2"/>
      <c r="P382" s="61" t="s">
        <v>1160</v>
      </c>
      <c r="Q382" s="61"/>
      <c r="R382" s="14">
        <f>R$46</f>
        <v>8.8133437743971782E-2</v>
      </c>
      <c r="S382" s="14">
        <f t="shared" ref="S382:AH382" si="965">S$46</f>
        <v>1.48122630432825E-2</v>
      </c>
      <c r="T382" s="14">
        <f t="shared" si="965"/>
        <v>6.2152272453224224E-3</v>
      </c>
      <c r="U382" s="14">
        <f t="shared" si="965"/>
        <v>4.15942131033116E-2</v>
      </c>
      <c r="V382" s="14">
        <f t="shared" si="965"/>
        <v>0</v>
      </c>
      <c r="W382" s="14">
        <f t="shared" si="965"/>
        <v>0.15413680450310352</v>
      </c>
      <c r="X382" s="14">
        <f t="shared" si="965"/>
        <v>0</v>
      </c>
      <c r="Y382" s="14">
        <f t="shared" si="965"/>
        <v>0</v>
      </c>
      <c r="Z382" s="14">
        <f t="shared" si="965"/>
        <v>0</v>
      </c>
      <c r="AA382" s="14">
        <f t="shared" si="965"/>
        <v>0</v>
      </c>
      <c r="AB382" s="14">
        <f t="shared" si="965"/>
        <v>0.45505508837908676</v>
      </c>
      <c r="AC382" s="14">
        <f t="shared" si="965"/>
        <v>0.16681683403029823</v>
      </c>
      <c r="AD382" s="14">
        <f t="shared" si="965"/>
        <v>7.1278348815059178E-2</v>
      </c>
      <c r="AE382" s="14">
        <f t="shared" si="965"/>
        <v>0</v>
      </c>
      <c r="AF382" s="14">
        <f t="shared" si="965"/>
        <v>1.9577831365640468E-3</v>
      </c>
      <c r="AG382" s="14">
        <f t="shared" si="965"/>
        <v>0</v>
      </c>
      <c r="AH382" s="14">
        <f t="shared" si="965"/>
        <v>0</v>
      </c>
      <c r="AI382" s="76">
        <f t="shared" ref="AI382:AI414" si="966">IF(SUM(R382:AH382)&lt;&gt;0,(ROUND(SUM(R382:AH382),8)&lt;&gt;1)+0,0)</f>
        <v>0</v>
      </c>
      <c r="AK382" s="2">
        <f t="shared" si="956"/>
        <v>1434000</v>
      </c>
      <c r="AL382" s="2">
        <f t="shared" si="957"/>
        <v>216182.87238886379</v>
      </c>
      <c r="AM382" s="2">
        <f t="shared" si="957"/>
        <v>221032.17765745043</v>
      </c>
      <c r="AN382" s="2">
        <f t="shared" si="957"/>
        <v>996784.94995368575</v>
      </c>
      <c r="AO382" s="2">
        <f t="shared" si="957"/>
        <v>0</v>
      </c>
      <c r="AP382" s="2"/>
      <c r="AQ382" s="61" t="str">
        <f t="shared" ref="AQ382:AQ390" si="967">E$1&amp;$A382&amp;"*      """</f>
        <v>E382*      "</v>
      </c>
      <c r="AS382" s="2">
        <f t="shared" si="958"/>
        <v>216182.87238886388</v>
      </c>
      <c r="AT382" s="2">
        <f t="shared" si="959"/>
        <v>137744.92253079041</v>
      </c>
      <c r="AU382" s="2">
        <f t="shared" si="959"/>
        <v>56798.943169539751</v>
      </c>
      <c r="AV382" s="2">
        <f t="shared" si="959"/>
        <v>0</v>
      </c>
      <c r="AW382" s="2">
        <f t="shared" si="959"/>
        <v>886.84290120426817</v>
      </c>
      <c r="AX382" s="2">
        <f t="shared" si="959"/>
        <v>20752.163787329409</v>
      </c>
      <c r="AY382" s="2">
        <f t="shared" si="959"/>
        <v>0</v>
      </c>
      <c r="BA382" s="2">
        <f t="shared" si="960"/>
        <v>221032.17765745043</v>
      </c>
      <c r="BB382" s="2">
        <f t="shared" si="961"/>
        <v>150922.58909307225</v>
      </c>
      <c r="BC382" s="2">
        <f t="shared" si="961"/>
        <v>51083.492857843805</v>
      </c>
      <c r="BD382" s="2">
        <f t="shared" si="961"/>
        <v>0</v>
      </c>
      <c r="BE382" s="2">
        <f t="shared" si="961"/>
        <v>641.75083736077841</v>
      </c>
      <c r="BF382" s="2">
        <f t="shared" si="961"/>
        <v>18384.344869173605</v>
      </c>
      <c r="BG382" s="2">
        <f t="shared" si="961"/>
        <v>0</v>
      </c>
      <c r="BI382" s="2">
        <f t="shared" si="962"/>
        <v>996784.94995368575</v>
      </c>
      <c r="BJ382" s="2">
        <f t="shared" si="963"/>
        <v>966404.80475502636</v>
      </c>
      <c r="BK382" s="2">
        <f t="shared" si="963"/>
        <v>28061.606701524135</v>
      </c>
      <c r="BL382" s="2">
        <f t="shared" si="963"/>
        <v>0</v>
      </c>
      <c r="BM382" s="2">
        <f t="shared" si="963"/>
        <v>154.59022488868357</v>
      </c>
      <c r="BN382" s="2">
        <f t="shared" si="963"/>
        <v>2163.9482722466746</v>
      </c>
      <c r="BO382" s="2">
        <f t="shared" si="963"/>
        <v>0</v>
      </c>
    </row>
    <row r="383" spans="1:89">
      <c r="A383" s="50">
        <f t="shared" si="841"/>
        <v>383</v>
      </c>
      <c r="B383" s="51">
        <v>391</v>
      </c>
      <c r="C383" s="36" t="s">
        <v>152</v>
      </c>
      <c r="D383" s="28" t="s">
        <v>376</v>
      </c>
      <c r="E383" s="432">
        <f>PROFORMA!AV205</f>
        <v>3287000</v>
      </c>
      <c r="F383" s="60" t="str">
        <f>"as 390 Plant ("&amp;A$47&amp;")"</f>
        <v>as 390 Plant (47)</v>
      </c>
      <c r="G383" s="60"/>
      <c r="H383" s="2">
        <f t="shared" si="964"/>
        <v>3287000</v>
      </c>
      <c r="I383" s="2">
        <f t="shared" si="954"/>
        <v>2876863.8102771328</v>
      </c>
      <c r="J383" s="2">
        <f t="shared" si="954"/>
        <v>311609.53169450461</v>
      </c>
      <c r="K383" s="2">
        <f t="shared" si="954"/>
        <v>0</v>
      </c>
      <c r="L383" s="2">
        <f t="shared" si="954"/>
        <v>3858.176909255516</v>
      </c>
      <c r="M383" s="2">
        <f t="shared" si="954"/>
        <v>94668.481119107557</v>
      </c>
      <c r="N383" s="2">
        <f t="shared" si="954"/>
        <v>0</v>
      </c>
      <c r="O383" s="2"/>
      <c r="P383" s="61" t="s">
        <v>1160</v>
      </c>
      <c r="Q383" s="61"/>
      <c r="R383" s="14">
        <f>R$47</f>
        <v>8.8133437743971782E-2</v>
      </c>
      <c r="S383" s="14">
        <f t="shared" ref="S383:AH383" si="968">S$47</f>
        <v>1.48122630432825E-2</v>
      </c>
      <c r="T383" s="14">
        <f t="shared" si="968"/>
        <v>6.2152272453224224E-3</v>
      </c>
      <c r="U383" s="14">
        <f t="shared" si="968"/>
        <v>4.15942131033116E-2</v>
      </c>
      <c r="V383" s="14">
        <f t="shared" si="968"/>
        <v>0</v>
      </c>
      <c r="W383" s="14">
        <f t="shared" si="968"/>
        <v>0.15413680450310352</v>
      </c>
      <c r="X383" s="14">
        <f t="shared" si="968"/>
        <v>0</v>
      </c>
      <c r="Y383" s="14">
        <f t="shared" si="968"/>
        <v>0</v>
      </c>
      <c r="Z383" s="14">
        <f t="shared" si="968"/>
        <v>0</v>
      </c>
      <c r="AA383" s="14">
        <f t="shared" si="968"/>
        <v>0</v>
      </c>
      <c r="AB383" s="14">
        <f t="shared" si="968"/>
        <v>0.45505508837908676</v>
      </c>
      <c r="AC383" s="14">
        <f t="shared" si="968"/>
        <v>0.16681683403029823</v>
      </c>
      <c r="AD383" s="14">
        <f t="shared" si="968"/>
        <v>7.1278348815059178E-2</v>
      </c>
      <c r="AE383" s="14">
        <f t="shared" si="968"/>
        <v>0</v>
      </c>
      <c r="AF383" s="14">
        <f t="shared" si="968"/>
        <v>1.9577831365640468E-3</v>
      </c>
      <c r="AG383" s="14">
        <f t="shared" si="968"/>
        <v>0</v>
      </c>
      <c r="AH383" s="14">
        <f t="shared" si="968"/>
        <v>0</v>
      </c>
      <c r="AI383" s="76">
        <f t="shared" si="966"/>
        <v>0</v>
      </c>
      <c r="AK383" s="2">
        <f t="shared" si="956"/>
        <v>3287000</v>
      </c>
      <c r="AL383" s="2">
        <f t="shared" si="957"/>
        <v>495532.1489136648</v>
      </c>
      <c r="AM383" s="2">
        <f t="shared" si="957"/>
        <v>506647.67640170129</v>
      </c>
      <c r="AN383" s="2">
        <f t="shared" si="957"/>
        <v>2284820.174684634</v>
      </c>
      <c r="AO383" s="2">
        <f t="shared" si="957"/>
        <v>0</v>
      </c>
      <c r="AP383" s="2"/>
      <c r="AQ383" s="61" t="str">
        <f t="shared" si="967"/>
        <v>E383*      "</v>
      </c>
      <c r="AS383" s="2">
        <f t="shared" si="958"/>
        <v>495532.14891366486</v>
      </c>
      <c r="AT383" s="2">
        <f t="shared" si="959"/>
        <v>315737.48978989408</v>
      </c>
      <c r="AU383" s="2">
        <f t="shared" si="959"/>
        <v>130193.95132376371</v>
      </c>
      <c r="AV383" s="2">
        <f t="shared" si="959"/>
        <v>0</v>
      </c>
      <c r="AW383" s="2">
        <f t="shared" si="959"/>
        <v>2032.8121452290302</v>
      </c>
      <c r="AX383" s="2">
        <f t="shared" si="959"/>
        <v>47567.895654778076</v>
      </c>
      <c r="AY383" s="2">
        <f t="shared" si="959"/>
        <v>0</v>
      </c>
      <c r="BA383" s="2">
        <f t="shared" si="960"/>
        <v>506647.67640170129</v>
      </c>
      <c r="BB383" s="2">
        <f t="shared" si="961"/>
        <v>345943.20108014543</v>
      </c>
      <c r="BC383" s="2">
        <f t="shared" si="961"/>
        <v>117093.05510720542</v>
      </c>
      <c r="BD383" s="2">
        <f t="shared" si="961"/>
        <v>0</v>
      </c>
      <c r="BE383" s="2">
        <f t="shared" si="961"/>
        <v>1471.0146460285066</v>
      </c>
      <c r="BF383" s="2">
        <f t="shared" si="961"/>
        <v>42140.405568321927</v>
      </c>
      <c r="BG383" s="2">
        <f t="shared" si="961"/>
        <v>0</v>
      </c>
      <c r="BI383" s="2">
        <f t="shared" si="962"/>
        <v>2284820.1746846344</v>
      </c>
      <c r="BJ383" s="2">
        <f t="shared" si="963"/>
        <v>2215183.1194070932</v>
      </c>
      <c r="BK383" s="2">
        <f t="shared" si="963"/>
        <v>64322.525263535441</v>
      </c>
      <c r="BL383" s="2">
        <f t="shared" si="963"/>
        <v>0</v>
      </c>
      <c r="BM383" s="2">
        <f t="shared" si="963"/>
        <v>354.35011799797968</v>
      </c>
      <c r="BN383" s="2">
        <f t="shared" si="963"/>
        <v>4960.1798960075448</v>
      </c>
      <c r="BO383" s="2">
        <f t="shared" si="963"/>
        <v>0</v>
      </c>
    </row>
    <row r="384" spans="1:89">
      <c r="A384" s="50">
        <f t="shared" si="841"/>
        <v>384</v>
      </c>
      <c r="B384" s="51">
        <v>392</v>
      </c>
      <c r="C384" s="36" t="s">
        <v>152</v>
      </c>
      <c r="D384" s="28" t="s">
        <v>377</v>
      </c>
      <c r="E384" s="432">
        <f>PROFORMA!AV206</f>
        <v>0</v>
      </c>
      <c r="F384" s="60" t="str">
        <f>"as 391 Plant ("&amp;A$48&amp;")"</f>
        <v>as 391 Plant (48)</v>
      </c>
      <c r="G384" s="60"/>
      <c r="H384" s="2">
        <f t="shared" si="964"/>
        <v>0</v>
      </c>
      <c r="I384" s="2">
        <f t="shared" si="954"/>
        <v>0</v>
      </c>
      <c r="J384" s="2">
        <f t="shared" si="954"/>
        <v>0</v>
      </c>
      <c r="K384" s="2">
        <f t="shared" si="954"/>
        <v>0</v>
      </c>
      <c r="L384" s="2">
        <f t="shared" si="954"/>
        <v>0</v>
      </c>
      <c r="M384" s="2">
        <f t="shared" si="954"/>
        <v>0</v>
      </c>
      <c r="N384" s="2">
        <f t="shared" si="954"/>
        <v>0</v>
      </c>
      <c r="O384" s="2"/>
      <c r="P384" s="61" t="s">
        <v>1160</v>
      </c>
      <c r="Q384" s="61"/>
      <c r="R384" s="14">
        <f>R$48</f>
        <v>8.8133437743971782E-2</v>
      </c>
      <c r="S384" s="14">
        <f t="shared" ref="S384:AH384" si="969">S$48</f>
        <v>1.48122630432825E-2</v>
      </c>
      <c r="T384" s="14">
        <f t="shared" si="969"/>
        <v>6.2152272453224224E-3</v>
      </c>
      <c r="U384" s="14">
        <f t="shared" si="969"/>
        <v>4.15942131033116E-2</v>
      </c>
      <c r="V384" s="14">
        <f t="shared" si="969"/>
        <v>0</v>
      </c>
      <c r="W384" s="14">
        <f t="shared" si="969"/>
        <v>0.15413680450310352</v>
      </c>
      <c r="X384" s="14">
        <f t="shared" si="969"/>
        <v>0</v>
      </c>
      <c r="Y384" s="14">
        <f t="shared" si="969"/>
        <v>0</v>
      </c>
      <c r="Z384" s="14">
        <f t="shared" si="969"/>
        <v>0</v>
      </c>
      <c r="AA384" s="14">
        <f t="shared" si="969"/>
        <v>0</v>
      </c>
      <c r="AB384" s="14">
        <f t="shared" si="969"/>
        <v>0.45505508837908676</v>
      </c>
      <c r="AC384" s="14">
        <f t="shared" si="969"/>
        <v>0.16681683403029823</v>
      </c>
      <c r="AD384" s="14">
        <f t="shared" si="969"/>
        <v>7.1278348815059178E-2</v>
      </c>
      <c r="AE384" s="14">
        <f t="shared" si="969"/>
        <v>0</v>
      </c>
      <c r="AF384" s="14">
        <f t="shared" si="969"/>
        <v>1.9577831365640468E-3</v>
      </c>
      <c r="AG384" s="14">
        <f t="shared" si="969"/>
        <v>0</v>
      </c>
      <c r="AH384" s="14">
        <f t="shared" si="969"/>
        <v>0</v>
      </c>
      <c r="AI384" s="76">
        <f t="shared" si="966"/>
        <v>0</v>
      </c>
      <c r="AK384" s="2">
        <f t="shared" si="956"/>
        <v>0</v>
      </c>
      <c r="AL384" s="2">
        <f t="shared" si="957"/>
        <v>0</v>
      </c>
      <c r="AM384" s="2">
        <f t="shared" si="957"/>
        <v>0</v>
      </c>
      <c r="AN384" s="2">
        <f t="shared" si="957"/>
        <v>0</v>
      </c>
      <c r="AO384" s="2">
        <f t="shared" si="957"/>
        <v>0</v>
      </c>
      <c r="AP384" s="2"/>
      <c r="AQ384" s="61" t="str">
        <f t="shared" si="967"/>
        <v>E384*      "</v>
      </c>
      <c r="AS384" s="2">
        <f t="shared" si="958"/>
        <v>0</v>
      </c>
      <c r="AT384" s="2">
        <f t="shared" si="959"/>
        <v>0</v>
      </c>
      <c r="AU384" s="2">
        <f t="shared" si="959"/>
        <v>0</v>
      </c>
      <c r="AV384" s="2">
        <f t="shared" si="959"/>
        <v>0</v>
      </c>
      <c r="AW384" s="2">
        <f t="shared" si="959"/>
        <v>0</v>
      </c>
      <c r="AX384" s="2">
        <f t="shared" si="959"/>
        <v>0</v>
      </c>
      <c r="AY384" s="2">
        <f t="shared" si="959"/>
        <v>0</v>
      </c>
      <c r="BA384" s="2">
        <f t="shared" si="960"/>
        <v>0</v>
      </c>
      <c r="BB384" s="2">
        <f t="shared" si="961"/>
        <v>0</v>
      </c>
      <c r="BC384" s="2">
        <f t="shared" si="961"/>
        <v>0</v>
      </c>
      <c r="BD384" s="2">
        <f t="shared" si="961"/>
        <v>0</v>
      </c>
      <c r="BE384" s="2">
        <f t="shared" si="961"/>
        <v>0</v>
      </c>
      <c r="BF384" s="2">
        <f t="shared" si="961"/>
        <v>0</v>
      </c>
      <c r="BG384" s="2">
        <f t="shared" si="961"/>
        <v>0</v>
      </c>
      <c r="BI384" s="2">
        <f t="shared" si="962"/>
        <v>0</v>
      </c>
      <c r="BJ384" s="2">
        <f t="shared" si="963"/>
        <v>0</v>
      </c>
      <c r="BK384" s="2">
        <f t="shared" si="963"/>
        <v>0</v>
      </c>
      <c r="BL384" s="2">
        <f t="shared" si="963"/>
        <v>0</v>
      </c>
      <c r="BM384" s="2">
        <f t="shared" si="963"/>
        <v>0</v>
      </c>
      <c r="BN384" s="2">
        <f t="shared" si="963"/>
        <v>0</v>
      </c>
      <c r="BO384" s="2">
        <f t="shared" si="963"/>
        <v>0</v>
      </c>
    </row>
    <row r="385" spans="1:67">
      <c r="A385" s="50">
        <f t="shared" si="841"/>
        <v>385</v>
      </c>
      <c r="B385" s="51">
        <v>393</v>
      </c>
      <c r="C385" s="36" t="s">
        <v>152</v>
      </c>
      <c r="D385" s="28" t="s">
        <v>378</v>
      </c>
      <c r="E385" s="432">
        <f>PROFORMA!AV207</f>
        <v>41000</v>
      </c>
      <c r="F385" s="60" t="str">
        <f>"as 392 Plant ("&amp;A$49&amp;")"</f>
        <v>as 392 Plant (49)</v>
      </c>
      <c r="G385" s="60"/>
      <c r="H385" s="2">
        <f t="shared" si="964"/>
        <v>41000</v>
      </c>
      <c r="I385" s="2">
        <f t="shared" si="954"/>
        <v>35884.215461321095</v>
      </c>
      <c r="J385" s="2">
        <f t="shared" si="954"/>
        <v>3886.8240947595646</v>
      </c>
      <c r="K385" s="2">
        <f t="shared" si="954"/>
        <v>0</v>
      </c>
      <c r="L385" s="2">
        <f t="shared" si="954"/>
        <v>48.124506625943461</v>
      </c>
      <c r="M385" s="2">
        <f t="shared" si="954"/>
        <v>1180.8359372934012</v>
      </c>
      <c r="N385" s="2">
        <f t="shared" si="954"/>
        <v>0</v>
      </c>
      <c r="O385" s="2"/>
      <c r="P385" s="61" t="s">
        <v>1160</v>
      </c>
      <c r="Q385" s="61"/>
      <c r="R385" s="14">
        <f>R$49</f>
        <v>8.8133437743971782E-2</v>
      </c>
      <c r="S385" s="14">
        <f t="shared" ref="S385:AH385" si="970">S$49</f>
        <v>1.48122630432825E-2</v>
      </c>
      <c r="T385" s="14">
        <f t="shared" si="970"/>
        <v>6.2152272453224224E-3</v>
      </c>
      <c r="U385" s="14">
        <f t="shared" si="970"/>
        <v>4.15942131033116E-2</v>
      </c>
      <c r="V385" s="14">
        <f t="shared" si="970"/>
        <v>0</v>
      </c>
      <c r="W385" s="14">
        <f t="shared" si="970"/>
        <v>0.15413680450310352</v>
      </c>
      <c r="X385" s="14">
        <f t="shared" si="970"/>
        <v>0</v>
      </c>
      <c r="Y385" s="14">
        <f t="shared" si="970"/>
        <v>0</v>
      </c>
      <c r="Z385" s="14">
        <f t="shared" si="970"/>
        <v>0</v>
      </c>
      <c r="AA385" s="14">
        <f t="shared" si="970"/>
        <v>0</v>
      </c>
      <c r="AB385" s="14">
        <f t="shared" si="970"/>
        <v>0.45505508837908676</v>
      </c>
      <c r="AC385" s="14">
        <f t="shared" si="970"/>
        <v>0.16681683403029823</v>
      </c>
      <c r="AD385" s="14">
        <f t="shared" si="970"/>
        <v>7.1278348815059178E-2</v>
      </c>
      <c r="AE385" s="14">
        <f t="shared" si="970"/>
        <v>0</v>
      </c>
      <c r="AF385" s="14">
        <f t="shared" si="970"/>
        <v>1.9577831365640468E-3</v>
      </c>
      <c r="AG385" s="14">
        <f t="shared" si="970"/>
        <v>0</v>
      </c>
      <c r="AH385" s="14">
        <f t="shared" si="970"/>
        <v>0</v>
      </c>
      <c r="AI385" s="76">
        <f t="shared" si="966"/>
        <v>0</v>
      </c>
      <c r="AK385" s="2">
        <f t="shared" si="956"/>
        <v>41000</v>
      </c>
      <c r="AL385" s="2">
        <f t="shared" si="957"/>
        <v>6180.9607865714197</v>
      </c>
      <c r="AM385" s="2">
        <f t="shared" si="957"/>
        <v>6319.6089846272444</v>
      </c>
      <c r="AN385" s="2">
        <f t="shared" si="957"/>
        <v>28499.430228801335</v>
      </c>
      <c r="AO385" s="2">
        <f t="shared" si="957"/>
        <v>0</v>
      </c>
      <c r="AP385" s="2"/>
      <c r="AQ385" s="61" t="str">
        <f t="shared" si="967"/>
        <v>E385*      "</v>
      </c>
      <c r="AS385" s="2">
        <f t="shared" si="958"/>
        <v>6180.9607865714206</v>
      </c>
      <c r="AT385" s="2">
        <f t="shared" si="959"/>
        <v>3938.3136846320826</v>
      </c>
      <c r="AU385" s="2">
        <f t="shared" si="959"/>
        <v>1623.958626186283</v>
      </c>
      <c r="AV385" s="2">
        <f t="shared" si="959"/>
        <v>0</v>
      </c>
      <c r="AW385" s="2">
        <f t="shared" si="959"/>
        <v>25.356038318950485</v>
      </c>
      <c r="AX385" s="2">
        <f t="shared" si="959"/>
        <v>593.33243743410446</v>
      </c>
      <c r="AY385" s="2">
        <f t="shared" si="959"/>
        <v>0</v>
      </c>
      <c r="BA385" s="2">
        <f t="shared" si="960"/>
        <v>6319.6089846272444</v>
      </c>
      <c r="BB385" s="2">
        <f t="shared" si="961"/>
        <v>4315.0809991743117</v>
      </c>
      <c r="BC385" s="2">
        <f t="shared" si="961"/>
        <v>1460.5461695757294</v>
      </c>
      <c r="BD385" s="2">
        <f t="shared" si="961"/>
        <v>0</v>
      </c>
      <c r="BE385" s="2">
        <f t="shared" si="961"/>
        <v>18.348524638627556</v>
      </c>
      <c r="BF385" s="2">
        <f t="shared" si="961"/>
        <v>525.63329123857591</v>
      </c>
      <c r="BG385" s="2">
        <f t="shared" si="961"/>
        <v>0</v>
      </c>
      <c r="BI385" s="2">
        <f t="shared" si="962"/>
        <v>28499.430228801335</v>
      </c>
      <c r="BJ385" s="2">
        <f t="shared" si="963"/>
        <v>27630.820777514698</v>
      </c>
      <c r="BK385" s="2">
        <f t="shared" si="963"/>
        <v>802.31929899755198</v>
      </c>
      <c r="BL385" s="2">
        <f t="shared" si="963"/>
        <v>0</v>
      </c>
      <c r="BM385" s="2">
        <f t="shared" si="963"/>
        <v>4.4199436683654296</v>
      </c>
      <c r="BN385" s="2">
        <f t="shared" si="963"/>
        <v>61.870208620720824</v>
      </c>
      <c r="BO385" s="2">
        <f t="shared" si="963"/>
        <v>0</v>
      </c>
    </row>
    <row r="386" spans="1:67">
      <c r="A386" s="50">
        <f t="shared" si="841"/>
        <v>386</v>
      </c>
      <c r="B386" s="51">
        <v>394</v>
      </c>
      <c r="C386" s="36" t="s">
        <v>152</v>
      </c>
      <c r="D386" s="28" t="s">
        <v>379</v>
      </c>
      <c r="E386" s="432">
        <f>PROFORMA!AV208</f>
        <v>380000</v>
      </c>
      <c r="F386" s="60" t="str">
        <f>"as 393 Plant ("&amp;A$50&amp;")"</f>
        <v>as 393 Plant (50)</v>
      </c>
      <c r="G386" s="60"/>
      <c r="H386" s="2">
        <f t="shared" si="964"/>
        <v>380000.00000000012</v>
      </c>
      <c r="I386" s="2">
        <f t="shared" si="954"/>
        <v>332585.41159273213</v>
      </c>
      <c r="J386" s="2">
        <f t="shared" si="954"/>
        <v>36024.223317283766</v>
      </c>
      <c r="K386" s="2">
        <f t="shared" si="954"/>
        <v>0</v>
      </c>
      <c r="L386" s="2">
        <f t="shared" si="954"/>
        <v>446.03201263069548</v>
      </c>
      <c r="M386" s="2">
        <f t="shared" si="954"/>
        <v>10944.333077353474</v>
      </c>
      <c r="N386" s="2">
        <f t="shared" si="954"/>
        <v>0</v>
      </c>
      <c r="O386" s="2"/>
      <c r="P386" s="61" t="s">
        <v>1160</v>
      </c>
      <c r="Q386" s="61"/>
      <c r="R386" s="14">
        <f>R$50</f>
        <v>8.8133437743971782E-2</v>
      </c>
      <c r="S386" s="14">
        <f t="shared" ref="S386:AH386" si="971">S$50</f>
        <v>1.48122630432825E-2</v>
      </c>
      <c r="T386" s="14">
        <f t="shared" si="971"/>
        <v>6.2152272453224224E-3</v>
      </c>
      <c r="U386" s="14">
        <f t="shared" si="971"/>
        <v>4.15942131033116E-2</v>
      </c>
      <c r="V386" s="14">
        <f t="shared" si="971"/>
        <v>0</v>
      </c>
      <c r="W386" s="14">
        <f t="shared" si="971"/>
        <v>0.15413680450310352</v>
      </c>
      <c r="X386" s="14">
        <f t="shared" si="971"/>
        <v>0</v>
      </c>
      <c r="Y386" s="14">
        <f t="shared" si="971"/>
        <v>0</v>
      </c>
      <c r="Z386" s="14">
        <f t="shared" si="971"/>
        <v>0</v>
      </c>
      <c r="AA386" s="14">
        <f t="shared" si="971"/>
        <v>0</v>
      </c>
      <c r="AB386" s="14">
        <f t="shared" si="971"/>
        <v>0.45505508837908676</v>
      </c>
      <c r="AC386" s="14">
        <f t="shared" si="971"/>
        <v>0.16681683403029823</v>
      </c>
      <c r="AD386" s="14">
        <f t="shared" si="971"/>
        <v>7.1278348815059178E-2</v>
      </c>
      <c r="AE386" s="14">
        <f t="shared" si="971"/>
        <v>0</v>
      </c>
      <c r="AF386" s="14">
        <f t="shared" si="971"/>
        <v>1.9577831365640468E-3</v>
      </c>
      <c r="AG386" s="14">
        <f t="shared" si="971"/>
        <v>0</v>
      </c>
      <c r="AH386" s="14">
        <f t="shared" si="971"/>
        <v>0</v>
      </c>
      <c r="AI386" s="76">
        <f t="shared" si="966"/>
        <v>0</v>
      </c>
      <c r="AK386" s="2">
        <f t="shared" si="956"/>
        <v>380000</v>
      </c>
      <c r="AL386" s="2">
        <f t="shared" si="957"/>
        <v>57286.953631637545</v>
      </c>
      <c r="AM386" s="2">
        <f t="shared" si="957"/>
        <v>58571.985711179339</v>
      </c>
      <c r="AN386" s="2">
        <f t="shared" si="957"/>
        <v>264141.06065718312</v>
      </c>
      <c r="AO386" s="2">
        <f t="shared" si="957"/>
        <v>0</v>
      </c>
      <c r="AP386" s="2"/>
      <c r="AQ386" s="61" t="str">
        <f t="shared" si="967"/>
        <v>E386*      "</v>
      </c>
      <c r="AS386" s="2">
        <f t="shared" si="958"/>
        <v>57286.95363163756</v>
      </c>
      <c r="AT386" s="2">
        <f t="shared" si="959"/>
        <v>36501.443906346132</v>
      </c>
      <c r="AU386" s="2">
        <f t="shared" si="959"/>
        <v>15051.323852458232</v>
      </c>
      <c r="AV386" s="2">
        <f t="shared" si="959"/>
        <v>0</v>
      </c>
      <c r="AW386" s="2">
        <f t="shared" si="959"/>
        <v>235.00718441954106</v>
      </c>
      <c r="AX386" s="2">
        <f t="shared" si="959"/>
        <v>5499.1786884136509</v>
      </c>
      <c r="AY386" s="2">
        <f t="shared" si="959"/>
        <v>0</v>
      </c>
      <c r="BA386" s="2">
        <f t="shared" si="960"/>
        <v>58571.985711179346</v>
      </c>
      <c r="BB386" s="2">
        <f t="shared" si="961"/>
        <v>39993.433650883861</v>
      </c>
      <c r="BC386" s="2">
        <f t="shared" si="961"/>
        <v>13536.769376555541</v>
      </c>
      <c r="BD386" s="2">
        <f t="shared" si="961"/>
        <v>0</v>
      </c>
      <c r="BE386" s="2">
        <f t="shared" si="961"/>
        <v>170.0594966506944</v>
      </c>
      <c r="BF386" s="2">
        <f t="shared" si="961"/>
        <v>4871.7231870892401</v>
      </c>
      <c r="BG386" s="2">
        <f t="shared" si="961"/>
        <v>0</v>
      </c>
      <c r="BI386" s="2">
        <f t="shared" si="962"/>
        <v>264141.06065718312</v>
      </c>
      <c r="BJ386" s="2">
        <f t="shared" si="963"/>
        <v>256090.53403550209</v>
      </c>
      <c r="BK386" s="2">
        <f t="shared" si="963"/>
        <v>7436.1300882699934</v>
      </c>
      <c r="BL386" s="2">
        <f t="shared" si="963"/>
        <v>0</v>
      </c>
      <c r="BM386" s="2">
        <f t="shared" si="963"/>
        <v>40.965331560460079</v>
      </c>
      <c r="BN386" s="2">
        <f t="shared" si="963"/>
        <v>573.43120185058319</v>
      </c>
      <c r="BO386" s="2">
        <f t="shared" si="963"/>
        <v>0</v>
      </c>
    </row>
    <row r="387" spans="1:67">
      <c r="A387" s="50">
        <f t="shared" si="841"/>
        <v>387</v>
      </c>
      <c r="B387" s="51">
        <v>395</v>
      </c>
      <c r="C387" s="36" t="s">
        <v>152</v>
      </c>
      <c r="D387" s="28" t="s">
        <v>380</v>
      </c>
      <c r="E387" s="432">
        <f>PROFORMA!AV209</f>
        <v>41000</v>
      </c>
      <c r="F387" s="60" t="str">
        <f>"as 394 Plant ("&amp;A$51&amp;")"</f>
        <v>as 394 Plant (51)</v>
      </c>
      <c r="G387" s="60"/>
      <c r="H387" s="2">
        <f t="shared" si="964"/>
        <v>41000</v>
      </c>
      <c r="I387" s="2">
        <f t="shared" si="954"/>
        <v>35884.215461321095</v>
      </c>
      <c r="J387" s="2">
        <f t="shared" si="954"/>
        <v>3886.8240947595646</v>
      </c>
      <c r="K387" s="2">
        <f t="shared" si="954"/>
        <v>0</v>
      </c>
      <c r="L387" s="2">
        <f t="shared" si="954"/>
        <v>48.124506625943461</v>
      </c>
      <c r="M387" s="2">
        <f t="shared" si="954"/>
        <v>1180.8359372934012</v>
      </c>
      <c r="N387" s="2">
        <f t="shared" si="954"/>
        <v>0</v>
      </c>
      <c r="O387" s="2"/>
      <c r="P387" s="61" t="s">
        <v>1160</v>
      </c>
      <c r="Q387" s="61"/>
      <c r="R387" s="14">
        <f>R$51</f>
        <v>8.8133437743971782E-2</v>
      </c>
      <c r="S387" s="14">
        <f t="shared" ref="S387:AH387" si="972">S$51</f>
        <v>1.48122630432825E-2</v>
      </c>
      <c r="T387" s="14">
        <f t="shared" si="972"/>
        <v>6.2152272453224224E-3</v>
      </c>
      <c r="U387" s="14">
        <f t="shared" si="972"/>
        <v>4.15942131033116E-2</v>
      </c>
      <c r="V387" s="14">
        <f t="shared" si="972"/>
        <v>0</v>
      </c>
      <c r="W387" s="14">
        <f t="shared" si="972"/>
        <v>0.15413680450310352</v>
      </c>
      <c r="X387" s="14">
        <f t="shared" si="972"/>
        <v>0</v>
      </c>
      <c r="Y387" s="14">
        <f t="shared" si="972"/>
        <v>0</v>
      </c>
      <c r="Z387" s="14">
        <f t="shared" si="972"/>
        <v>0</v>
      </c>
      <c r="AA387" s="14">
        <f t="shared" si="972"/>
        <v>0</v>
      </c>
      <c r="AB387" s="14">
        <f t="shared" si="972"/>
        <v>0.45505508837908676</v>
      </c>
      <c r="AC387" s="14">
        <f t="shared" si="972"/>
        <v>0.16681683403029823</v>
      </c>
      <c r="AD387" s="14">
        <f t="shared" si="972"/>
        <v>7.1278348815059178E-2</v>
      </c>
      <c r="AE387" s="14">
        <f t="shared" si="972"/>
        <v>0</v>
      </c>
      <c r="AF387" s="14">
        <f t="shared" si="972"/>
        <v>1.9577831365640468E-3</v>
      </c>
      <c r="AG387" s="14">
        <f t="shared" si="972"/>
        <v>0</v>
      </c>
      <c r="AH387" s="14">
        <f t="shared" si="972"/>
        <v>0</v>
      </c>
      <c r="AI387" s="76">
        <f t="shared" si="966"/>
        <v>0</v>
      </c>
      <c r="AK387" s="2">
        <f t="shared" si="956"/>
        <v>41000</v>
      </c>
      <c r="AL387" s="2">
        <f t="shared" si="957"/>
        <v>6180.9607865714197</v>
      </c>
      <c r="AM387" s="2">
        <f t="shared" si="957"/>
        <v>6319.6089846272444</v>
      </c>
      <c r="AN387" s="2">
        <f t="shared" si="957"/>
        <v>28499.430228801335</v>
      </c>
      <c r="AO387" s="2">
        <f t="shared" si="957"/>
        <v>0</v>
      </c>
      <c r="AP387" s="2"/>
      <c r="AQ387" s="61" t="str">
        <f t="shared" si="967"/>
        <v>E387*      "</v>
      </c>
      <c r="AS387" s="2">
        <f t="shared" si="958"/>
        <v>6180.9607865714206</v>
      </c>
      <c r="AT387" s="2">
        <f t="shared" si="959"/>
        <v>3938.3136846320826</v>
      </c>
      <c r="AU387" s="2">
        <f t="shared" si="959"/>
        <v>1623.958626186283</v>
      </c>
      <c r="AV387" s="2">
        <f t="shared" si="959"/>
        <v>0</v>
      </c>
      <c r="AW387" s="2">
        <f t="shared" si="959"/>
        <v>25.356038318950485</v>
      </c>
      <c r="AX387" s="2">
        <f t="shared" si="959"/>
        <v>593.33243743410446</v>
      </c>
      <c r="AY387" s="2">
        <f t="shared" si="959"/>
        <v>0</v>
      </c>
      <c r="BA387" s="2">
        <f t="shared" si="960"/>
        <v>6319.6089846272444</v>
      </c>
      <c r="BB387" s="2">
        <f t="shared" si="961"/>
        <v>4315.0809991743117</v>
      </c>
      <c r="BC387" s="2">
        <f t="shared" si="961"/>
        <v>1460.5461695757294</v>
      </c>
      <c r="BD387" s="2">
        <f t="shared" si="961"/>
        <v>0</v>
      </c>
      <c r="BE387" s="2">
        <f t="shared" si="961"/>
        <v>18.348524638627556</v>
      </c>
      <c r="BF387" s="2">
        <f t="shared" si="961"/>
        <v>525.63329123857591</v>
      </c>
      <c r="BG387" s="2">
        <f t="shared" si="961"/>
        <v>0</v>
      </c>
      <c r="BI387" s="2">
        <f t="shared" si="962"/>
        <v>28499.430228801335</v>
      </c>
      <c r="BJ387" s="2">
        <f t="shared" si="963"/>
        <v>27630.820777514698</v>
      </c>
      <c r="BK387" s="2">
        <f t="shared" si="963"/>
        <v>802.31929899755198</v>
      </c>
      <c r="BL387" s="2">
        <f t="shared" si="963"/>
        <v>0</v>
      </c>
      <c r="BM387" s="2">
        <f t="shared" si="963"/>
        <v>4.4199436683654296</v>
      </c>
      <c r="BN387" s="2">
        <f t="shared" si="963"/>
        <v>61.870208620720824</v>
      </c>
      <c r="BO387" s="2">
        <f t="shared" si="963"/>
        <v>0</v>
      </c>
    </row>
    <row r="388" spans="1:67">
      <c r="A388" s="50">
        <f t="shared" si="841"/>
        <v>388</v>
      </c>
      <c r="B388" s="51">
        <v>396</v>
      </c>
      <c r="C388" s="36" t="s">
        <v>152</v>
      </c>
      <c r="D388" s="28" t="s">
        <v>381</v>
      </c>
      <c r="E388" s="432">
        <f>PROFORMA!AV210</f>
        <v>0</v>
      </c>
      <c r="F388" s="60" t="str">
        <f>"as 395 Plant ("&amp;A$52&amp;")"</f>
        <v>as 395 Plant (52)</v>
      </c>
      <c r="G388" s="60"/>
      <c r="H388" s="2">
        <f t="shared" si="964"/>
        <v>0</v>
      </c>
      <c r="I388" s="2">
        <f t="shared" si="954"/>
        <v>0</v>
      </c>
      <c r="J388" s="2">
        <f t="shared" si="954"/>
        <v>0</v>
      </c>
      <c r="K388" s="2">
        <f t="shared" si="954"/>
        <v>0</v>
      </c>
      <c r="L388" s="2">
        <f t="shared" si="954"/>
        <v>0</v>
      </c>
      <c r="M388" s="2">
        <f t="shared" si="954"/>
        <v>0</v>
      </c>
      <c r="N388" s="2">
        <f t="shared" si="954"/>
        <v>0</v>
      </c>
      <c r="O388" s="2"/>
      <c r="P388" s="61" t="s">
        <v>1160</v>
      </c>
      <c r="Q388" s="61"/>
      <c r="R388" s="14">
        <f>R$52</f>
        <v>8.8133437743971782E-2</v>
      </c>
      <c r="S388" s="14">
        <f t="shared" ref="S388:AH388" si="973">S$52</f>
        <v>1.48122630432825E-2</v>
      </c>
      <c r="T388" s="14">
        <f t="shared" si="973"/>
        <v>6.2152272453224224E-3</v>
      </c>
      <c r="U388" s="14">
        <f t="shared" si="973"/>
        <v>4.15942131033116E-2</v>
      </c>
      <c r="V388" s="14">
        <f t="shared" si="973"/>
        <v>0</v>
      </c>
      <c r="W388" s="14">
        <f t="shared" si="973"/>
        <v>0.15413680450310352</v>
      </c>
      <c r="X388" s="14">
        <f t="shared" si="973"/>
        <v>0</v>
      </c>
      <c r="Y388" s="14">
        <f t="shared" si="973"/>
        <v>0</v>
      </c>
      <c r="Z388" s="14">
        <f t="shared" si="973"/>
        <v>0</v>
      </c>
      <c r="AA388" s="14">
        <f t="shared" si="973"/>
        <v>0</v>
      </c>
      <c r="AB388" s="14">
        <f t="shared" si="973"/>
        <v>0.45505508837908676</v>
      </c>
      <c r="AC388" s="14">
        <f t="shared" si="973"/>
        <v>0.16681683403029823</v>
      </c>
      <c r="AD388" s="14">
        <f t="shared" si="973"/>
        <v>7.1278348815059178E-2</v>
      </c>
      <c r="AE388" s="14">
        <f t="shared" si="973"/>
        <v>0</v>
      </c>
      <c r="AF388" s="14">
        <f t="shared" si="973"/>
        <v>1.9577831365640468E-3</v>
      </c>
      <c r="AG388" s="14">
        <f t="shared" si="973"/>
        <v>0</v>
      </c>
      <c r="AH388" s="14">
        <f t="shared" si="973"/>
        <v>0</v>
      </c>
      <c r="AI388" s="76">
        <f t="shared" si="966"/>
        <v>0</v>
      </c>
      <c r="AK388" s="2">
        <f t="shared" si="956"/>
        <v>0</v>
      </c>
      <c r="AL388" s="2">
        <f t="shared" si="957"/>
        <v>0</v>
      </c>
      <c r="AM388" s="2">
        <f t="shared" si="957"/>
        <v>0</v>
      </c>
      <c r="AN388" s="2">
        <f t="shared" si="957"/>
        <v>0</v>
      </c>
      <c r="AO388" s="2">
        <f t="shared" si="957"/>
        <v>0</v>
      </c>
      <c r="AP388" s="2"/>
      <c r="AQ388" s="61" t="str">
        <f t="shared" si="967"/>
        <v>E388*      "</v>
      </c>
      <c r="AS388" s="2">
        <f t="shared" si="958"/>
        <v>0</v>
      </c>
      <c r="AT388" s="2">
        <f t="shared" si="959"/>
        <v>0</v>
      </c>
      <c r="AU388" s="2">
        <f t="shared" si="959"/>
        <v>0</v>
      </c>
      <c r="AV388" s="2">
        <f t="shared" si="959"/>
        <v>0</v>
      </c>
      <c r="AW388" s="2">
        <f t="shared" si="959"/>
        <v>0</v>
      </c>
      <c r="AX388" s="2">
        <f t="shared" si="959"/>
        <v>0</v>
      </c>
      <c r="AY388" s="2">
        <f t="shared" si="959"/>
        <v>0</v>
      </c>
      <c r="BA388" s="2">
        <f t="shared" si="960"/>
        <v>0</v>
      </c>
      <c r="BB388" s="2">
        <f t="shared" si="961"/>
        <v>0</v>
      </c>
      <c r="BC388" s="2">
        <f t="shared" si="961"/>
        <v>0</v>
      </c>
      <c r="BD388" s="2">
        <f t="shared" si="961"/>
        <v>0</v>
      </c>
      <c r="BE388" s="2">
        <f t="shared" si="961"/>
        <v>0</v>
      </c>
      <c r="BF388" s="2">
        <f t="shared" si="961"/>
        <v>0</v>
      </c>
      <c r="BG388" s="2">
        <f t="shared" si="961"/>
        <v>0</v>
      </c>
      <c r="BI388" s="2">
        <f t="shared" si="962"/>
        <v>0</v>
      </c>
      <c r="BJ388" s="2">
        <f t="shared" si="963"/>
        <v>0</v>
      </c>
      <c r="BK388" s="2">
        <f t="shared" si="963"/>
        <v>0</v>
      </c>
      <c r="BL388" s="2">
        <f t="shared" si="963"/>
        <v>0</v>
      </c>
      <c r="BM388" s="2">
        <f t="shared" si="963"/>
        <v>0</v>
      </c>
      <c r="BN388" s="2">
        <f t="shared" si="963"/>
        <v>0</v>
      </c>
      <c r="BO388" s="2">
        <f t="shared" si="963"/>
        <v>0</v>
      </c>
    </row>
    <row r="389" spans="1:67">
      <c r="A389" s="50">
        <f t="shared" si="841"/>
        <v>389</v>
      </c>
      <c r="B389" s="51">
        <v>397</v>
      </c>
      <c r="C389" s="36" t="s">
        <v>152</v>
      </c>
      <c r="D389" s="28" t="s">
        <v>382</v>
      </c>
      <c r="E389" s="432">
        <f>PROFORMA!AV211</f>
        <v>1541000</v>
      </c>
      <c r="F389" s="60" t="str">
        <f>"as 396 Plant ("&amp;A$53&amp;")"</f>
        <v>as 396 Plant (53)</v>
      </c>
      <c r="G389" s="60"/>
      <c r="H389" s="2">
        <f t="shared" si="964"/>
        <v>1541000.0000000005</v>
      </c>
      <c r="I389" s="2">
        <f t="shared" si="954"/>
        <v>1348721.3664852637</v>
      </c>
      <c r="J389" s="2">
        <f t="shared" si="954"/>
        <v>146087.70561035338</v>
      </c>
      <c r="K389" s="2">
        <f t="shared" si="954"/>
        <v>0</v>
      </c>
      <c r="L389" s="2">
        <f t="shared" si="954"/>
        <v>1808.7771880628993</v>
      </c>
      <c r="M389" s="2">
        <f t="shared" si="954"/>
        <v>44382.150716320277</v>
      </c>
      <c r="N389" s="2">
        <f t="shared" si="954"/>
        <v>0</v>
      </c>
      <c r="O389" s="2"/>
      <c r="P389" s="61" t="s">
        <v>1160</v>
      </c>
      <c r="Q389" s="61"/>
      <c r="R389" s="14">
        <f>R$53</f>
        <v>8.8133437743971782E-2</v>
      </c>
      <c r="S389" s="14">
        <f t="shared" ref="S389:AH389" si="974">S$53</f>
        <v>1.48122630432825E-2</v>
      </c>
      <c r="T389" s="14">
        <f t="shared" si="974"/>
        <v>6.2152272453224224E-3</v>
      </c>
      <c r="U389" s="14">
        <f t="shared" si="974"/>
        <v>4.15942131033116E-2</v>
      </c>
      <c r="V389" s="14">
        <f t="shared" si="974"/>
        <v>0</v>
      </c>
      <c r="W389" s="14">
        <f t="shared" si="974"/>
        <v>0.15413680450310352</v>
      </c>
      <c r="X389" s="14">
        <f t="shared" si="974"/>
        <v>0</v>
      </c>
      <c r="Y389" s="14">
        <f t="shared" si="974"/>
        <v>0</v>
      </c>
      <c r="Z389" s="14">
        <f t="shared" si="974"/>
        <v>0</v>
      </c>
      <c r="AA389" s="14">
        <f t="shared" si="974"/>
        <v>0</v>
      </c>
      <c r="AB389" s="14">
        <f t="shared" si="974"/>
        <v>0.45505508837908676</v>
      </c>
      <c r="AC389" s="14">
        <f t="shared" si="974"/>
        <v>0.16681683403029823</v>
      </c>
      <c r="AD389" s="14">
        <f t="shared" si="974"/>
        <v>7.1278348815059178E-2</v>
      </c>
      <c r="AE389" s="14">
        <f t="shared" si="974"/>
        <v>0</v>
      </c>
      <c r="AF389" s="14">
        <f t="shared" si="974"/>
        <v>1.9577831365640468E-3</v>
      </c>
      <c r="AG389" s="14">
        <f t="shared" si="974"/>
        <v>0</v>
      </c>
      <c r="AH389" s="14">
        <f t="shared" si="974"/>
        <v>0</v>
      </c>
      <c r="AI389" s="76">
        <f t="shared" si="966"/>
        <v>0</v>
      </c>
      <c r="AK389" s="2">
        <f t="shared" si="956"/>
        <v>1541000</v>
      </c>
      <c r="AL389" s="2">
        <f t="shared" si="957"/>
        <v>232313.67249040384</v>
      </c>
      <c r="AM389" s="2">
        <f t="shared" si="957"/>
        <v>237524.81573928252</v>
      </c>
      <c r="AN389" s="2">
        <f t="shared" si="957"/>
        <v>1071161.5117703136</v>
      </c>
      <c r="AO389" s="2">
        <f t="shared" si="957"/>
        <v>0</v>
      </c>
      <c r="AP389" s="2"/>
      <c r="AQ389" s="61" t="str">
        <f t="shared" si="967"/>
        <v>E389*      "</v>
      </c>
      <c r="AS389" s="2">
        <f t="shared" si="958"/>
        <v>232313.67249040387</v>
      </c>
      <c r="AT389" s="2">
        <f t="shared" si="959"/>
        <v>148022.96068336681</v>
      </c>
      <c r="AU389" s="2">
        <f t="shared" si="959"/>
        <v>61037.07909641615</v>
      </c>
      <c r="AV389" s="2">
        <f t="shared" si="959"/>
        <v>0</v>
      </c>
      <c r="AW389" s="2">
        <f t="shared" si="959"/>
        <v>953.01597681713895</v>
      </c>
      <c r="AX389" s="2">
        <f t="shared" si="959"/>
        <v>22300.616733803778</v>
      </c>
      <c r="AY389" s="2">
        <f t="shared" si="959"/>
        <v>0</v>
      </c>
      <c r="BA389" s="2">
        <f t="shared" si="960"/>
        <v>237524.81573928252</v>
      </c>
      <c r="BB389" s="2">
        <f t="shared" si="961"/>
        <v>162183.89804213692</v>
      </c>
      <c r="BC389" s="2">
        <f t="shared" si="961"/>
        <v>54895.162129663389</v>
      </c>
      <c r="BD389" s="2">
        <f t="shared" si="961"/>
        <v>0</v>
      </c>
      <c r="BE389" s="2">
        <f t="shared" si="961"/>
        <v>689.63601141768436</v>
      </c>
      <c r="BF389" s="2">
        <f t="shared" si="961"/>
        <v>19756.119556064521</v>
      </c>
      <c r="BG389" s="2">
        <f t="shared" si="961"/>
        <v>0</v>
      </c>
      <c r="BI389" s="2">
        <f t="shared" si="962"/>
        <v>1071161.5117703136</v>
      </c>
      <c r="BJ389" s="2">
        <f t="shared" si="963"/>
        <v>1038514.5077597598</v>
      </c>
      <c r="BK389" s="2">
        <f t="shared" si="963"/>
        <v>30155.464384273841</v>
      </c>
      <c r="BL389" s="2">
        <f t="shared" si="963"/>
        <v>0</v>
      </c>
      <c r="BM389" s="2">
        <f t="shared" si="963"/>
        <v>166.12519982807626</v>
      </c>
      <c r="BN389" s="2">
        <f t="shared" si="963"/>
        <v>2325.4144264519705</v>
      </c>
      <c r="BO389" s="2">
        <f t="shared" si="963"/>
        <v>0</v>
      </c>
    </row>
    <row r="390" spans="1:67">
      <c r="A390" s="50">
        <f t="shared" si="841"/>
        <v>390</v>
      </c>
      <c r="B390" s="51">
        <v>398</v>
      </c>
      <c r="C390" s="36" t="s">
        <v>152</v>
      </c>
      <c r="D390" s="28" t="s">
        <v>383</v>
      </c>
      <c r="E390" s="432">
        <f>PROFORMA!AV212</f>
        <v>17000</v>
      </c>
      <c r="F390" s="60" t="str">
        <f>"as 397 Plant ("&amp;A$54&amp;")"</f>
        <v>as 397 Plant (54)</v>
      </c>
      <c r="G390" s="60"/>
      <c r="H390" s="2">
        <f t="shared" si="964"/>
        <v>17000</v>
      </c>
      <c r="I390" s="2">
        <f t="shared" si="954"/>
        <v>14878.821044938015</v>
      </c>
      <c r="J390" s="2">
        <f t="shared" si="954"/>
        <v>1611.6099905100634</v>
      </c>
      <c r="K390" s="2">
        <f t="shared" si="954"/>
        <v>0</v>
      </c>
      <c r="L390" s="2">
        <f t="shared" si="954"/>
        <v>19.954063722952167</v>
      </c>
      <c r="M390" s="2">
        <f t="shared" si="954"/>
        <v>489.61490082897126</v>
      </c>
      <c r="N390" s="2">
        <f t="shared" si="954"/>
        <v>0</v>
      </c>
      <c r="O390" s="2"/>
      <c r="P390" s="61" t="s">
        <v>1160</v>
      </c>
      <c r="Q390" s="61"/>
      <c r="R390" s="14">
        <f>R$54</f>
        <v>8.8133437743971782E-2</v>
      </c>
      <c r="S390" s="14">
        <f t="shared" ref="S390:AH390" si="975">S$54</f>
        <v>1.48122630432825E-2</v>
      </c>
      <c r="T390" s="14">
        <f t="shared" si="975"/>
        <v>6.2152272453224224E-3</v>
      </c>
      <c r="U390" s="14">
        <f t="shared" si="975"/>
        <v>4.15942131033116E-2</v>
      </c>
      <c r="V390" s="14">
        <f t="shared" si="975"/>
        <v>0</v>
      </c>
      <c r="W390" s="14">
        <f t="shared" si="975"/>
        <v>0.15413680450310352</v>
      </c>
      <c r="X390" s="14">
        <f t="shared" si="975"/>
        <v>0</v>
      </c>
      <c r="Y390" s="14">
        <f t="shared" si="975"/>
        <v>0</v>
      </c>
      <c r="Z390" s="14">
        <f t="shared" si="975"/>
        <v>0</v>
      </c>
      <c r="AA390" s="14">
        <f t="shared" si="975"/>
        <v>0</v>
      </c>
      <c r="AB390" s="14">
        <f t="shared" si="975"/>
        <v>0.45505508837908676</v>
      </c>
      <c r="AC390" s="14">
        <f t="shared" si="975"/>
        <v>0.16681683403029823</v>
      </c>
      <c r="AD390" s="14">
        <f t="shared" si="975"/>
        <v>7.1278348815059178E-2</v>
      </c>
      <c r="AE390" s="14">
        <f t="shared" si="975"/>
        <v>0</v>
      </c>
      <c r="AF390" s="14">
        <f t="shared" si="975"/>
        <v>1.9577831365640468E-3</v>
      </c>
      <c r="AG390" s="14">
        <f t="shared" si="975"/>
        <v>0</v>
      </c>
      <c r="AH390" s="14">
        <f t="shared" si="975"/>
        <v>0</v>
      </c>
      <c r="AI390" s="76">
        <f t="shared" si="966"/>
        <v>0</v>
      </c>
      <c r="AK390" s="2">
        <f t="shared" si="956"/>
        <v>17000</v>
      </c>
      <c r="AL390" s="2">
        <f t="shared" si="957"/>
        <v>2562.8373993101009</v>
      </c>
      <c r="AM390" s="2">
        <f t="shared" si="957"/>
        <v>2620.3256765527599</v>
      </c>
      <c r="AN390" s="2">
        <f t="shared" si="957"/>
        <v>11816.83692413714</v>
      </c>
      <c r="AO390" s="2">
        <f t="shared" si="957"/>
        <v>0</v>
      </c>
      <c r="AP390" s="2"/>
      <c r="AQ390" s="61" t="str">
        <f t="shared" si="967"/>
        <v>E390*      "</v>
      </c>
      <c r="AS390" s="2">
        <f t="shared" si="958"/>
        <v>2562.8373993101009</v>
      </c>
      <c r="AT390" s="2">
        <f t="shared" si="959"/>
        <v>1632.959332652327</v>
      </c>
      <c r="AU390" s="2">
        <f t="shared" si="959"/>
        <v>673.3486986626051</v>
      </c>
      <c r="AV390" s="2">
        <f t="shared" si="959"/>
        <v>0</v>
      </c>
      <c r="AW390" s="2">
        <f t="shared" si="959"/>
        <v>10.513479302979469</v>
      </c>
      <c r="AX390" s="2">
        <f t="shared" si="959"/>
        <v>246.01588869218963</v>
      </c>
      <c r="AY390" s="2">
        <f t="shared" si="959"/>
        <v>0</v>
      </c>
      <c r="BA390" s="2">
        <f t="shared" si="960"/>
        <v>2620.3256765527603</v>
      </c>
      <c r="BB390" s="2">
        <f t="shared" si="961"/>
        <v>1789.1799264869096</v>
      </c>
      <c r="BC390" s="2">
        <f t="shared" si="961"/>
        <v>605.59231421432685</v>
      </c>
      <c r="BD390" s="2">
        <f t="shared" si="961"/>
        <v>0</v>
      </c>
      <c r="BE390" s="2">
        <f t="shared" si="961"/>
        <v>7.607924850162644</v>
      </c>
      <c r="BF390" s="2">
        <f t="shared" si="961"/>
        <v>217.94551100136073</v>
      </c>
      <c r="BG390" s="2">
        <f t="shared" si="961"/>
        <v>0</v>
      </c>
      <c r="BI390" s="2">
        <f t="shared" si="962"/>
        <v>11816.836924137142</v>
      </c>
      <c r="BJ390" s="2">
        <f t="shared" si="963"/>
        <v>11456.681785798779</v>
      </c>
      <c r="BK390" s="2">
        <f t="shared" si="963"/>
        <v>332.66897763313131</v>
      </c>
      <c r="BL390" s="2">
        <f t="shared" si="963"/>
        <v>0</v>
      </c>
      <c r="BM390" s="2">
        <f t="shared" si="963"/>
        <v>1.8326595698100561</v>
      </c>
      <c r="BN390" s="2">
        <f t="shared" si="963"/>
        <v>25.653501135420829</v>
      </c>
      <c r="BO390" s="2">
        <f t="shared" si="963"/>
        <v>0</v>
      </c>
    </row>
    <row r="391" spans="1:67">
      <c r="A391" s="50">
        <f t="shared" si="841"/>
        <v>391</v>
      </c>
      <c r="D391" s="52" t="s">
        <v>225</v>
      </c>
      <c r="E391" s="4">
        <f>SUM(E381:E390)</f>
        <v>6747000</v>
      </c>
      <c r="F391" s="60"/>
      <c r="G391" s="60"/>
      <c r="H391" s="4">
        <f>IF(ROUND(SUM(H380:H390),3)&lt;&gt;ROUND(SUM(I391:N391),3),#VALUE!,SUM(H380:H390))</f>
        <v>6747000</v>
      </c>
      <c r="I391" s="4">
        <f t="shared" ref="I391:N391" si="976">SUM(I380:I390)</f>
        <v>5905141.5053056935</v>
      </c>
      <c r="J391" s="4">
        <f t="shared" si="976"/>
        <v>639619.56505714112</v>
      </c>
      <c r="K391" s="4">
        <f t="shared" si="976"/>
        <v>0</v>
      </c>
      <c r="L391" s="4">
        <f t="shared" si="976"/>
        <v>7919.415761103427</v>
      </c>
      <c r="M391" s="4">
        <f t="shared" si="976"/>
        <v>194319.51387606288</v>
      </c>
      <c r="N391" s="4">
        <f t="shared" si="976"/>
        <v>0</v>
      </c>
      <c r="O391" s="5"/>
      <c r="P391" s="61" t="str">
        <f>$A380&amp;":"&amp;A390</f>
        <v>380:390</v>
      </c>
      <c r="Q391" s="61"/>
      <c r="R391" s="16">
        <f t="shared" ref="R391:AH391" si="977">SUMPRODUCT($E$381:$E$390,R$381:R$390)/$E391</f>
        <v>8.8133437743971782E-2</v>
      </c>
      <c r="S391" s="16">
        <f t="shared" si="977"/>
        <v>1.48122630432825E-2</v>
      </c>
      <c r="T391" s="16">
        <f t="shared" si="977"/>
        <v>6.2152272453224224E-3</v>
      </c>
      <c r="U391" s="16">
        <f t="shared" si="977"/>
        <v>4.15942131033116E-2</v>
      </c>
      <c r="V391" s="16">
        <f t="shared" si="977"/>
        <v>0</v>
      </c>
      <c r="W391" s="16">
        <f t="shared" si="977"/>
        <v>0.15413680450310352</v>
      </c>
      <c r="X391" s="16">
        <f t="shared" si="977"/>
        <v>0</v>
      </c>
      <c r="Y391" s="16">
        <f t="shared" si="977"/>
        <v>0</v>
      </c>
      <c r="Z391" s="16">
        <f t="shared" si="977"/>
        <v>0</v>
      </c>
      <c r="AA391" s="16">
        <f t="shared" si="977"/>
        <v>0</v>
      </c>
      <c r="AB391" s="16">
        <f t="shared" si="977"/>
        <v>0.45505508837908687</v>
      </c>
      <c r="AC391" s="16">
        <f t="shared" si="977"/>
        <v>0.16681683403029823</v>
      </c>
      <c r="AD391" s="16">
        <f t="shared" si="977"/>
        <v>7.1278348815059178E-2</v>
      </c>
      <c r="AE391" s="16">
        <f t="shared" si="977"/>
        <v>0</v>
      </c>
      <c r="AF391" s="16">
        <f t="shared" si="977"/>
        <v>1.9577831365640464E-3</v>
      </c>
      <c r="AG391" s="16">
        <f t="shared" si="977"/>
        <v>0</v>
      </c>
      <c r="AH391" s="16">
        <f t="shared" si="977"/>
        <v>0</v>
      </c>
      <c r="AI391" s="76">
        <f t="shared" si="966"/>
        <v>0</v>
      </c>
      <c r="AK391" s="4">
        <f>IF(ROUND(SUM(AK380:AK390),3)&lt;&gt;ROUND(SUM(AL391:AO391),3),#VALUE!,SUM(AK380:AK390))</f>
        <v>6747000</v>
      </c>
      <c r="AL391" s="4">
        <f>SUM(AL380:AL390)</f>
        <v>1017144.9372438381</v>
      </c>
      <c r="AM391" s="4">
        <f>SUM(AM380:AM390)</f>
        <v>1039961.0199824395</v>
      </c>
      <c r="AN391" s="4">
        <f>SUM(AN380:AN390)</f>
        <v>4689894.0427737236</v>
      </c>
      <c r="AO391" s="4">
        <f>SUM(AO380:AO390)</f>
        <v>0</v>
      </c>
      <c r="AP391" s="5"/>
      <c r="AQ391" s="61" t="str">
        <f>$A380&amp;":"&amp;A390</f>
        <v>380:390</v>
      </c>
      <c r="AS391" s="4">
        <f>IF(ROUND(SUM(AS380:AS390),3)&lt;&gt;ROUND(SUM(AT391:AY391),3),#VALUE!,SUM(AS380:AS390))</f>
        <v>1017144.9372438382</v>
      </c>
      <c r="AT391" s="4">
        <f t="shared" ref="AT391:AY391" si="978">SUM(AT380:AT390)</f>
        <v>648092.74220030883</v>
      </c>
      <c r="AU391" s="4">
        <f t="shared" si="978"/>
        <v>267240.21587509388</v>
      </c>
      <c r="AV391" s="4">
        <f t="shared" si="978"/>
        <v>0</v>
      </c>
      <c r="AW391" s="4">
        <f t="shared" si="978"/>
        <v>4172.6144033648516</v>
      </c>
      <c r="AX391" s="4">
        <f t="shared" si="978"/>
        <v>97639.364765070786</v>
      </c>
      <c r="AY391" s="4">
        <f t="shared" si="978"/>
        <v>0</v>
      </c>
      <c r="BA391" s="4">
        <f>IF(ROUND(SUM(BA380:BA390),3)&lt;&gt;ROUND(SUM(BB391:BG391),3),#VALUE!,SUM(BA380:BA390))</f>
        <v>1039961.0199824395</v>
      </c>
      <c r="BB391" s="4">
        <f t="shared" ref="BB391:BG391" si="979">SUM(BB380:BB390)</f>
        <v>710093.93905924587</v>
      </c>
      <c r="BC391" s="4">
        <f t="shared" si="979"/>
        <v>240348.90258847433</v>
      </c>
      <c r="BD391" s="4">
        <f t="shared" si="979"/>
        <v>0</v>
      </c>
      <c r="BE391" s="4">
        <f t="shared" si="979"/>
        <v>3019.4511155321979</v>
      </c>
      <c r="BF391" s="4">
        <f t="shared" si="979"/>
        <v>86498.727219187102</v>
      </c>
      <c r="BG391" s="4">
        <f t="shared" si="979"/>
        <v>0</v>
      </c>
      <c r="BI391" s="4">
        <f>IF(ROUND(SUM(BI380:BI390),3)&lt;&gt;ROUND(SUM(BJ391:BO391),3),#VALUE!,SUM(BI380:BI390))</f>
        <v>4689894.0427737236</v>
      </c>
      <c r="BJ391" s="4">
        <f t="shared" ref="BJ391:BO391" si="980">SUM(BJ380:BJ390)</f>
        <v>4546954.8240461377</v>
      </c>
      <c r="BK391" s="4">
        <f t="shared" si="980"/>
        <v>132030.44659357273</v>
      </c>
      <c r="BL391" s="4">
        <f t="shared" si="980"/>
        <v>0</v>
      </c>
      <c r="BM391" s="4">
        <f t="shared" si="980"/>
        <v>727.35024220637945</v>
      </c>
      <c r="BN391" s="4">
        <f t="shared" si="980"/>
        <v>10181.421891804959</v>
      </c>
      <c r="BO391" s="4">
        <f t="shared" si="980"/>
        <v>0</v>
      </c>
    </row>
    <row r="392" spans="1:67">
      <c r="A392" s="50">
        <f t="shared" si="841"/>
        <v>392</v>
      </c>
      <c r="E392" s="2"/>
      <c r="F392" s="60"/>
      <c r="G392" s="60"/>
      <c r="P392" s="61"/>
      <c r="Q392" s="61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76">
        <f t="shared" si="966"/>
        <v>0</v>
      </c>
      <c r="AQ392" s="61"/>
    </row>
    <row r="393" spans="1:67">
      <c r="A393" s="50">
        <f t="shared" si="841"/>
        <v>393</v>
      </c>
      <c r="D393" t="s">
        <v>72</v>
      </c>
      <c r="E393" s="2">
        <f>E362+E378+E391</f>
        <v>20766000</v>
      </c>
      <c r="F393" s="60" t="str">
        <f>"("&amp;A$362&amp;"+"&amp;A$378&amp;"+"&amp;A$391&amp;")"</f>
        <v>(362+378+391)</v>
      </c>
      <c r="G393" s="60"/>
      <c r="H393" s="2">
        <f t="shared" ref="H393:N393" si="981">H362+H378+H391</f>
        <v>20766000</v>
      </c>
      <c r="I393" s="2">
        <f t="shared" si="981"/>
        <v>17261086.056185104</v>
      </c>
      <c r="J393" s="2">
        <f t="shared" si="981"/>
        <v>2575145.3059856915</v>
      </c>
      <c r="K393" s="2">
        <f t="shared" si="981"/>
        <v>0</v>
      </c>
      <c r="L393" s="2">
        <f t="shared" si="981"/>
        <v>33062.369108350562</v>
      </c>
      <c r="M393" s="2">
        <f t="shared" si="981"/>
        <v>896706.26872085663</v>
      </c>
      <c r="N393" s="2">
        <f t="shared" si="981"/>
        <v>0</v>
      </c>
      <c r="O393" s="2"/>
      <c r="P393" s="61" t="str">
        <f>$A362&amp;"+"&amp;$A378&amp;"+"&amp;$A391</f>
        <v>362+378+391</v>
      </c>
      <c r="Q393" s="61"/>
      <c r="R393" s="14">
        <f t="shared" ref="R393:AH393" si="982">($E362*R362+$E378*R378+$E391*R391)/$E393</f>
        <v>0.12971449116646241</v>
      </c>
      <c r="S393" s="14">
        <f t="shared" si="982"/>
        <v>4.8125945657819047E-3</v>
      </c>
      <c r="T393" s="14">
        <f t="shared" si="982"/>
        <v>4.2041865657416154E-3</v>
      </c>
      <c r="U393" s="14">
        <f t="shared" si="982"/>
        <v>2.8135710093809278E-2</v>
      </c>
      <c r="V393" s="14">
        <f t="shared" si="982"/>
        <v>0</v>
      </c>
      <c r="W393" s="14">
        <f t="shared" si="982"/>
        <v>0.23644776841335358</v>
      </c>
      <c r="X393" s="14">
        <f t="shared" si="982"/>
        <v>0</v>
      </c>
      <c r="Y393" s="14">
        <f t="shared" si="982"/>
        <v>0</v>
      </c>
      <c r="Z393" s="14">
        <f t="shared" si="982"/>
        <v>0</v>
      </c>
      <c r="AA393" s="14">
        <f t="shared" si="982"/>
        <v>0</v>
      </c>
      <c r="AB393" s="14">
        <f t="shared" si="982"/>
        <v>0.14785017245948662</v>
      </c>
      <c r="AC393" s="14">
        <f t="shared" si="982"/>
        <v>0.26851544160979124</v>
      </c>
      <c r="AD393" s="14">
        <f t="shared" si="982"/>
        <v>0.17765843277824808</v>
      </c>
      <c r="AE393" s="14">
        <f t="shared" si="982"/>
        <v>0</v>
      </c>
      <c r="AF393" s="14">
        <f t="shared" si="982"/>
        <v>2.6612023473253431E-3</v>
      </c>
      <c r="AG393" s="14">
        <f t="shared" si="982"/>
        <v>0</v>
      </c>
      <c r="AH393" s="14">
        <f t="shared" si="982"/>
        <v>0</v>
      </c>
      <c r="AI393" s="76">
        <f t="shared" si="966"/>
        <v>0</v>
      </c>
      <c r="AK393" s="2">
        <f>AK362+AK378+AK391</f>
        <v>20766000</v>
      </c>
      <c r="AL393" s="2">
        <f>AL362+AL378+AL391</f>
        <v>3465159.7563480185</v>
      </c>
      <c r="AM393" s="2">
        <f>AM362+AM378+AM391</f>
        <v>4910074.3588717002</v>
      </c>
      <c r="AN393" s="2">
        <f>AN362+AN378+AN391</f>
        <v>12390765.884780282</v>
      </c>
      <c r="AO393" s="2">
        <f>AO362+AO378+AO391</f>
        <v>0</v>
      </c>
      <c r="AP393" s="2"/>
      <c r="AQ393" s="61" t="str">
        <f>$A362&amp;"+"&amp;$A378&amp;"+"&amp;$A391</f>
        <v>362+378+391</v>
      </c>
      <c r="AS393" s="2">
        <f t="shared" ref="AS393:AY393" si="983">AS362+AS378+AS391</f>
        <v>3465159.756348019</v>
      </c>
      <c r="AT393" s="2">
        <f t="shared" si="983"/>
        <v>2118608.1316565978</v>
      </c>
      <c r="AU393" s="2">
        <f t="shared" si="983"/>
        <v>901081.3974638069</v>
      </c>
      <c r="AV393" s="2">
        <f t="shared" si="983"/>
        <v>0</v>
      </c>
      <c r="AW393" s="2">
        <f t="shared" si="983"/>
        <v>14241.565565738987</v>
      </c>
      <c r="AX393" s="2">
        <f t="shared" si="983"/>
        <v>431228.66166187543</v>
      </c>
      <c r="AY393" s="2">
        <f t="shared" si="983"/>
        <v>0</v>
      </c>
      <c r="BA393" s="2">
        <f t="shared" ref="BA393:BG393" si="984">BA362+BA378+BA391</f>
        <v>4910074.3588716993</v>
      </c>
      <c r="BB393" s="2">
        <f t="shared" si="984"/>
        <v>3352639.1620177077</v>
      </c>
      <c r="BC393" s="2">
        <f t="shared" si="984"/>
        <v>1134783.8631514739</v>
      </c>
      <c r="BD393" s="2">
        <f t="shared" si="984"/>
        <v>0</v>
      </c>
      <c r="BE393" s="2">
        <f t="shared" si="984"/>
        <v>14256.043462563184</v>
      </c>
      <c r="BF393" s="2">
        <f t="shared" si="984"/>
        <v>408395.29023995518</v>
      </c>
      <c r="BG393" s="2">
        <f t="shared" si="984"/>
        <v>0</v>
      </c>
      <c r="BI393" s="2">
        <f t="shared" ref="BI393:BO393" si="985">BI362+BI378+BI391</f>
        <v>12390765.884780282</v>
      </c>
      <c r="BJ393" s="2">
        <f t="shared" si="985"/>
        <v>11789838.762510795</v>
      </c>
      <c r="BK393" s="2">
        <f t="shared" si="985"/>
        <v>539280.0453704102</v>
      </c>
      <c r="BL393" s="2">
        <f t="shared" si="985"/>
        <v>0</v>
      </c>
      <c r="BM393" s="2">
        <f t="shared" si="985"/>
        <v>4564.7600800484033</v>
      </c>
      <c r="BN393" s="2">
        <f t="shared" si="985"/>
        <v>57082.316819025829</v>
      </c>
      <c r="BO393" s="2">
        <f t="shared" si="985"/>
        <v>0</v>
      </c>
    </row>
    <row r="394" spans="1:67">
      <c r="A394" s="50">
        <f t="shared" si="841"/>
        <v>394</v>
      </c>
      <c r="E394" s="2"/>
      <c r="F394" s="60"/>
      <c r="G394" s="60"/>
      <c r="P394" s="61"/>
      <c r="Q394" s="61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76">
        <f t="shared" si="966"/>
        <v>0</v>
      </c>
      <c r="AQ394" s="61"/>
    </row>
    <row r="395" spans="1:67">
      <c r="A395" s="50">
        <f t="shared" ref="A395:A448" si="986">RowHdr</f>
        <v>395</v>
      </c>
      <c r="C395" s="10"/>
      <c r="D395" s="1" t="s">
        <v>73</v>
      </c>
      <c r="E395" s="2"/>
      <c r="F395" s="60"/>
      <c r="G395" s="60"/>
      <c r="P395" s="61"/>
      <c r="Q395" s="61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76">
        <f t="shared" si="966"/>
        <v>0</v>
      </c>
      <c r="AQ395" s="61"/>
    </row>
    <row r="396" spans="1:67">
      <c r="A396" s="50">
        <f t="shared" si="986"/>
        <v>396</v>
      </c>
      <c r="D396" t="s">
        <v>210</v>
      </c>
      <c r="E396" s="2"/>
      <c r="F396" s="60"/>
      <c r="G396" s="60"/>
      <c r="P396" s="61"/>
      <c r="Q396" s="61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76">
        <f t="shared" si="966"/>
        <v>0</v>
      </c>
      <c r="AQ396" s="61"/>
    </row>
    <row r="397" spans="1:67">
      <c r="A397" s="50">
        <f t="shared" si="986"/>
        <v>397</v>
      </c>
      <c r="C397" s="36" t="s">
        <v>152</v>
      </c>
      <c r="D397" s="28" t="s">
        <v>384</v>
      </c>
      <c r="E397" s="432">
        <f>PROFORMA!AV218</f>
        <v>-945000</v>
      </c>
      <c r="F397" s="60" t="str">
        <f>"as 303 Plant"</f>
        <v>as 303 Plant</v>
      </c>
      <c r="G397" s="60"/>
      <c r="H397" s="2">
        <f>SUM(I397:N397)</f>
        <v>-945000.00000000012</v>
      </c>
      <c r="I397" s="2">
        <f t="shared" ref="I397:N401" si="987">$E397*SUMPRODUCT($R397:$AH397,INDEX(AllocFactors,I$4,0))</f>
        <v>-827087.40514508379</v>
      </c>
      <c r="J397" s="2">
        <f t="shared" si="987"/>
        <v>-89586.555354824115</v>
      </c>
      <c r="K397" s="2">
        <f t="shared" si="987"/>
        <v>0</v>
      </c>
      <c r="L397" s="2">
        <f t="shared" si="987"/>
        <v>-1109.2111893052822</v>
      </c>
      <c r="M397" s="2">
        <f t="shared" si="987"/>
        <v>-27216.828310786932</v>
      </c>
      <c r="N397" s="2">
        <f t="shared" si="987"/>
        <v>0</v>
      </c>
      <c r="O397" s="2"/>
      <c r="P397" s="61" t="s">
        <v>1160</v>
      </c>
      <c r="Q397" s="61"/>
      <c r="R397" s="14">
        <f>R$11</f>
        <v>8.8133437743971782E-2</v>
      </c>
      <c r="S397" s="14">
        <f t="shared" ref="S397:AH397" si="988">S$11</f>
        <v>1.48122630432825E-2</v>
      </c>
      <c r="T397" s="14">
        <f t="shared" si="988"/>
        <v>6.2152272453224224E-3</v>
      </c>
      <c r="U397" s="14">
        <f t="shared" si="988"/>
        <v>4.15942131033116E-2</v>
      </c>
      <c r="V397" s="14">
        <f t="shared" si="988"/>
        <v>0</v>
      </c>
      <c r="W397" s="14">
        <f t="shared" si="988"/>
        <v>0.15413680450310352</v>
      </c>
      <c r="X397" s="14">
        <f t="shared" si="988"/>
        <v>0</v>
      </c>
      <c r="Y397" s="14">
        <f t="shared" si="988"/>
        <v>0</v>
      </c>
      <c r="Z397" s="14">
        <f t="shared" si="988"/>
        <v>0</v>
      </c>
      <c r="AA397" s="14">
        <f t="shared" si="988"/>
        <v>0</v>
      </c>
      <c r="AB397" s="14">
        <f t="shared" si="988"/>
        <v>0.45505508837908676</v>
      </c>
      <c r="AC397" s="14">
        <f t="shared" si="988"/>
        <v>0.16681683403029823</v>
      </c>
      <c r="AD397" s="14">
        <f t="shared" si="988"/>
        <v>7.1278348815059178E-2</v>
      </c>
      <c r="AE397" s="14">
        <f t="shared" si="988"/>
        <v>0</v>
      </c>
      <c r="AF397" s="14">
        <f t="shared" si="988"/>
        <v>1.9577831365640468E-3</v>
      </c>
      <c r="AG397" s="14">
        <f t="shared" si="988"/>
        <v>0</v>
      </c>
      <c r="AH397" s="14">
        <f t="shared" si="988"/>
        <v>0</v>
      </c>
      <c r="AI397" s="76">
        <f t="shared" si="966"/>
        <v>0</v>
      </c>
      <c r="AK397" s="2">
        <f>SUM(AL397:AO397)</f>
        <v>-945000</v>
      </c>
      <c r="AL397" s="2">
        <f t="shared" ref="AL397:AO401" si="989">SUMIF($R$4:$AH$4,AL$5,$R397:$AH397)*$E397</f>
        <v>-142463.60837341443</v>
      </c>
      <c r="AM397" s="2">
        <f t="shared" si="989"/>
        <v>-145659.28025543282</v>
      </c>
      <c r="AN397" s="2">
        <f t="shared" si="989"/>
        <v>-656877.1113711528</v>
      </c>
      <c r="AO397" s="2">
        <f t="shared" si="989"/>
        <v>0</v>
      </c>
      <c r="AP397" s="2"/>
      <c r="AQ397" s="61" t="str">
        <f>E$1&amp;$A397&amp;"*["&amp;R$1&amp;$A397&amp;":"&amp;$AH$1&amp;$A397&amp;" when "&amp;R$1&amp;$A$4&amp;":"&amp;$AH$1&amp;$A$4&amp;" = E,D,C,or R]"</f>
        <v>E397*[R397:AH397 when R4:AH4 = E,D,C,or R]</v>
      </c>
      <c r="AS397" s="2">
        <f>SUM(AT397:AY397)</f>
        <v>-142463.60837341446</v>
      </c>
      <c r="AT397" s="2">
        <f t="shared" ref="AT397:AY401" si="990">$E397*SUMPRODUCT($R397:$V397,INDEX(AllocFactors_E,AT$4,0))</f>
        <v>-90773.327609202883</v>
      </c>
      <c r="AU397" s="2">
        <f t="shared" si="990"/>
        <v>-37430.265896244819</v>
      </c>
      <c r="AV397" s="2">
        <f t="shared" si="990"/>
        <v>0</v>
      </c>
      <c r="AW397" s="2">
        <f t="shared" si="990"/>
        <v>-584.4257612538587</v>
      </c>
      <c r="AX397" s="2">
        <f t="shared" si="990"/>
        <v>-13675.589106712894</v>
      </c>
      <c r="AY397" s="2">
        <f t="shared" si="990"/>
        <v>0</v>
      </c>
      <c r="BA397" s="2">
        <f>SUM(BB397:BG397)</f>
        <v>-145659.28025543282</v>
      </c>
      <c r="BB397" s="2">
        <f t="shared" ref="BB397:BG401" si="991">$E397*SUMPRODUCT($W397:$AA397,INDEX(AllocFactors_D,BB$4,0))</f>
        <v>-99457.354737066446</v>
      </c>
      <c r="BC397" s="2">
        <f t="shared" si="991"/>
        <v>-33663.808054855224</v>
      </c>
      <c r="BD397" s="2">
        <f t="shared" si="991"/>
        <v>0</v>
      </c>
      <c r="BE397" s="2">
        <f t="shared" si="991"/>
        <v>-422.91111667080582</v>
      </c>
      <c r="BF397" s="2">
        <f t="shared" si="991"/>
        <v>-12115.206346840347</v>
      </c>
      <c r="BG397" s="2">
        <f t="shared" si="991"/>
        <v>0</v>
      </c>
      <c r="BI397" s="2">
        <f>SUM(BJ397:BO397)</f>
        <v>-656877.1113711528</v>
      </c>
      <c r="BJ397" s="2">
        <f t="shared" ref="BJ397:BO401" si="992">$E397*SUMPRODUCT($AB397:$AG397,INDEX(AllocFactors_C,BJ$4,0))</f>
        <v>-636856.72279881442</v>
      </c>
      <c r="BK397" s="2">
        <f t="shared" si="992"/>
        <v>-18492.481403724061</v>
      </c>
      <c r="BL397" s="2">
        <f t="shared" si="992"/>
        <v>0</v>
      </c>
      <c r="BM397" s="2">
        <f t="shared" si="992"/>
        <v>-101.87431138061783</v>
      </c>
      <c r="BN397" s="2">
        <f t="shared" si="992"/>
        <v>-1426.0328572336873</v>
      </c>
      <c r="BO397" s="2">
        <f t="shared" si="992"/>
        <v>0</v>
      </c>
    </row>
    <row r="398" spans="1:67">
      <c r="A398" s="50">
        <f t="shared" si="986"/>
        <v>398</v>
      </c>
      <c r="C398" s="36" t="s">
        <v>155</v>
      </c>
      <c r="D398" s="28" t="s">
        <v>385</v>
      </c>
      <c r="E398" s="432">
        <f>PROFORMA!AV219</f>
        <v>124000</v>
      </c>
      <c r="F398" s="60" t="s">
        <v>421</v>
      </c>
      <c r="G398" s="60"/>
      <c r="H398" s="2">
        <f>SUM(I398:N398)</f>
        <v>123999.99999999997</v>
      </c>
      <c r="I398" s="2">
        <f t="shared" si="987"/>
        <v>98263.13640493495</v>
      </c>
      <c r="J398" s="2">
        <f t="shared" si="987"/>
        <v>18198.780474071162</v>
      </c>
      <c r="K398" s="2">
        <f t="shared" si="987"/>
        <v>0</v>
      </c>
      <c r="L398" s="2">
        <f t="shared" si="987"/>
        <v>240.16085606716373</v>
      </c>
      <c r="M398" s="2">
        <f t="shared" si="987"/>
        <v>7297.9222649267058</v>
      </c>
      <c r="N398" s="2">
        <f t="shared" si="987"/>
        <v>0</v>
      </c>
      <c r="O398" s="2"/>
      <c r="P398" s="61" t="str">
        <f>E$1&amp;$A398&amp;"*     """</f>
        <v>E398*     "</v>
      </c>
      <c r="Q398" s="61"/>
      <c r="R398" s="14">
        <f>R$41</f>
        <v>0.18032917602090978</v>
      </c>
      <c r="S398" s="14">
        <f t="shared" ref="S398:AH398" si="993">S$41</f>
        <v>0</v>
      </c>
      <c r="T398" s="14">
        <f t="shared" si="993"/>
        <v>0</v>
      </c>
      <c r="U398" s="14">
        <f t="shared" si="993"/>
        <v>0</v>
      </c>
      <c r="V398" s="14">
        <f t="shared" si="993"/>
        <v>0</v>
      </c>
      <c r="W398" s="14">
        <f t="shared" si="993"/>
        <v>0.33248662332325996</v>
      </c>
      <c r="X398" s="14">
        <f t="shared" si="993"/>
        <v>0</v>
      </c>
      <c r="Y398" s="14">
        <f t="shared" si="993"/>
        <v>0</v>
      </c>
      <c r="Z398" s="14">
        <f t="shared" si="993"/>
        <v>0</v>
      </c>
      <c r="AA398" s="14">
        <f t="shared" si="993"/>
        <v>0</v>
      </c>
      <c r="AB398" s="14">
        <f t="shared" si="993"/>
        <v>0</v>
      </c>
      <c r="AC398" s="14">
        <f t="shared" si="993"/>
        <v>0.34784812665025233</v>
      </c>
      <c r="AD398" s="14">
        <f t="shared" si="993"/>
        <v>0.13399956178953271</v>
      </c>
      <c r="AE398" s="14">
        <f t="shared" si="993"/>
        <v>0</v>
      </c>
      <c r="AF398" s="14">
        <f t="shared" si="993"/>
        <v>5.3365122160451877E-3</v>
      </c>
      <c r="AG398" s="14">
        <f t="shared" si="993"/>
        <v>0</v>
      </c>
      <c r="AH398" s="14">
        <f t="shared" si="993"/>
        <v>0</v>
      </c>
      <c r="AI398" s="76">
        <f t="shared" si="966"/>
        <v>0</v>
      </c>
      <c r="AK398" s="2">
        <f>SUM(AL398:AO398)</f>
        <v>124000</v>
      </c>
      <c r="AL398" s="2">
        <f t="shared" si="989"/>
        <v>22360.817826592815</v>
      </c>
      <c r="AM398" s="2">
        <f t="shared" si="989"/>
        <v>41228.341292084231</v>
      </c>
      <c r="AN398" s="2">
        <f t="shared" si="989"/>
        <v>60410.840881322947</v>
      </c>
      <c r="AO398" s="2">
        <f t="shared" si="989"/>
        <v>0</v>
      </c>
      <c r="AP398" s="2"/>
      <c r="AQ398" s="61" t="str">
        <f>E$1&amp;$A398&amp;"*      """</f>
        <v>E398*      "</v>
      </c>
      <c r="AS398" s="2">
        <f>SUM(AT398:AY398)</f>
        <v>22360.817826592818</v>
      </c>
      <c r="AT398" s="2">
        <f t="shared" si="990"/>
        <v>12959.130591951849</v>
      </c>
      <c r="AU398" s="2">
        <f t="shared" si="990"/>
        <v>5806.5116706297295</v>
      </c>
      <c r="AV398" s="2">
        <f t="shared" si="990"/>
        <v>0</v>
      </c>
      <c r="AW398" s="2">
        <f t="shared" si="990"/>
        <v>93.564158432966153</v>
      </c>
      <c r="AX398" s="2">
        <f t="shared" si="990"/>
        <v>3501.6114055782709</v>
      </c>
      <c r="AY398" s="2">
        <f t="shared" si="990"/>
        <v>0</v>
      </c>
      <c r="BA398" s="2">
        <f>SUM(BB398:BG398)</f>
        <v>41228.341292084224</v>
      </c>
      <c r="BB398" s="2">
        <f t="shared" si="991"/>
        <v>28151.050574443067</v>
      </c>
      <c r="BC398" s="2">
        <f t="shared" si="991"/>
        <v>9528.4211568457158</v>
      </c>
      <c r="BD398" s="2">
        <f t="shared" si="991"/>
        <v>0</v>
      </c>
      <c r="BE398" s="2">
        <f t="shared" si="991"/>
        <v>119.70348764420804</v>
      </c>
      <c r="BF398" s="2">
        <f t="shared" si="991"/>
        <v>3429.166073151242</v>
      </c>
      <c r="BG398" s="2">
        <f t="shared" si="991"/>
        <v>0</v>
      </c>
      <c r="BI398" s="2">
        <f>SUM(BJ398:BO398)</f>
        <v>60410.840881322947</v>
      </c>
      <c r="BJ398" s="2">
        <f t="shared" si="992"/>
        <v>57152.955238540046</v>
      </c>
      <c r="BK398" s="2">
        <f t="shared" si="992"/>
        <v>2863.8476465957197</v>
      </c>
      <c r="BL398" s="2">
        <f t="shared" si="992"/>
        <v>0</v>
      </c>
      <c r="BM398" s="2">
        <f t="shared" si="992"/>
        <v>26.893209989989533</v>
      </c>
      <c r="BN398" s="2">
        <f t="shared" si="992"/>
        <v>367.14478619719341</v>
      </c>
      <c r="BO398" s="2">
        <f t="shared" si="992"/>
        <v>0</v>
      </c>
    </row>
    <row r="399" spans="1:67">
      <c r="A399" s="50">
        <f t="shared" si="986"/>
        <v>399</v>
      </c>
      <c r="C399" s="36" t="s">
        <v>152</v>
      </c>
      <c r="D399" s="28" t="s">
        <v>386</v>
      </c>
      <c r="E399" s="432">
        <f>PROFORMA!AV220</f>
        <v>8846000</v>
      </c>
      <c r="F399" s="60" t="str">
        <f>"as 303 Plant"</f>
        <v>as 303 Plant</v>
      </c>
      <c r="G399" s="60"/>
      <c r="H399" s="2">
        <f>SUM(I399:N399)</f>
        <v>8846000.0000000019</v>
      </c>
      <c r="I399" s="2">
        <f>$E399*SUMPRODUCT($R399:$AH399,INDEX(AllocFactors,I$4,0))</f>
        <v>7742238.2919718632</v>
      </c>
      <c r="J399" s="2">
        <f t="shared" si="987"/>
        <v>838605.99859129533</v>
      </c>
      <c r="K399" s="2">
        <f t="shared" si="987"/>
        <v>0</v>
      </c>
      <c r="L399" s="2">
        <f t="shared" si="987"/>
        <v>10383.155746660876</v>
      </c>
      <c r="M399" s="2">
        <f t="shared" si="987"/>
        <v>254772.55369018114</v>
      </c>
      <c r="N399" s="2">
        <f t="shared" si="987"/>
        <v>0</v>
      </c>
      <c r="O399" s="2"/>
      <c r="P399" s="61" t="s">
        <v>1160</v>
      </c>
      <c r="Q399" s="61"/>
      <c r="R399" s="14">
        <f>R$11</f>
        <v>8.8133437743971782E-2</v>
      </c>
      <c r="S399" s="14">
        <f t="shared" ref="S399:AH400" si="994">S$11</f>
        <v>1.48122630432825E-2</v>
      </c>
      <c r="T399" s="14">
        <f t="shared" si="994"/>
        <v>6.2152272453224224E-3</v>
      </c>
      <c r="U399" s="14">
        <f t="shared" si="994"/>
        <v>4.15942131033116E-2</v>
      </c>
      <c r="V399" s="14">
        <f t="shared" si="994"/>
        <v>0</v>
      </c>
      <c r="W399" s="14">
        <f t="shared" si="994"/>
        <v>0.15413680450310352</v>
      </c>
      <c r="X399" s="14">
        <f t="shared" si="994"/>
        <v>0</v>
      </c>
      <c r="Y399" s="14">
        <f t="shared" si="994"/>
        <v>0</v>
      </c>
      <c r="Z399" s="14">
        <f t="shared" si="994"/>
        <v>0</v>
      </c>
      <c r="AA399" s="14">
        <f t="shared" si="994"/>
        <v>0</v>
      </c>
      <c r="AB399" s="14">
        <f t="shared" si="994"/>
        <v>0.45505508837908676</v>
      </c>
      <c r="AC399" s="14">
        <f t="shared" si="994"/>
        <v>0.16681683403029823</v>
      </c>
      <c r="AD399" s="14">
        <f t="shared" si="994"/>
        <v>7.1278348815059178E-2</v>
      </c>
      <c r="AE399" s="14">
        <f t="shared" si="994"/>
        <v>0</v>
      </c>
      <c r="AF399" s="14">
        <f t="shared" si="994"/>
        <v>1.9577831365640468E-3</v>
      </c>
      <c r="AG399" s="14">
        <f t="shared" si="994"/>
        <v>0</v>
      </c>
      <c r="AH399" s="14">
        <f t="shared" si="994"/>
        <v>0</v>
      </c>
      <c r="AI399" s="76">
        <f t="shared" si="966"/>
        <v>0</v>
      </c>
      <c r="AK399" s="2">
        <f>SUM(AL399:AO399)</f>
        <v>8846000</v>
      </c>
      <c r="AL399" s="2">
        <f t="shared" si="989"/>
        <v>1333579.9784880676</v>
      </c>
      <c r="AM399" s="2">
        <f t="shared" si="989"/>
        <v>1363494.1726344537</v>
      </c>
      <c r="AN399" s="2">
        <f t="shared" si="989"/>
        <v>6148925.8488774784</v>
      </c>
      <c r="AO399" s="2">
        <f t="shared" si="989"/>
        <v>0</v>
      </c>
      <c r="AP399" s="2"/>
      <c r="AQ399" s="61" t="str">
        <f>E$1&amp;$A399&amp;"*      """</f>
        <v>E399*      "</v>
      </c>
      <c r="AS399" s="2">
        <f>SUM(AT399:AY399)</f>
        <v>1333579.9784880681</v>
      </c>
      <c r="AT399" s="2">
        <f t="shared" si="990"/>
        <v>849715.19156720501</v>
      </c>
      <c r="AU399" s="2">
        <f t="shared" si="990"/>
        <v>350378.97578643559</v>
      </c>
      <c r="AV399" s="2">
        <f t="shared" si="990"/>
        <v>0</v>
      </c>
      <c r="AW399" s="2">
        <f t="shared" si="990"/>
        <v>5470.7198773033169</v>
      </c>
      <c r="AX399" s="2">
        <f t="shared" si="990"/>
        <v>128015.09125712409</v>
      </c>
      <c r="AY399" s="2">
        <f t="shared" si="990"/>
        <v>0</v>
      </c>
      <c r="BA399" s="2">
        <f>SUM(BB399:BG399)</f>
        <v>1363494.1726344537</v>
      </c>
      <c r="BB399" s="2">
        <f t="shared" si="991"/>
        <v>931005.03704136482</v>
      </c>
      <c r="BC399" s="2">
        <f t="shared" si="991"/>
        <v>315121.74185529031</v>
      </c>
      <c r="BD399" s="2">
        <f t="shared" si="991"/>
        <v>0</v>
      </c>
      <c r="BE399" s="2">
        <f t="shared" si="991"/>
        <v>3958.8060720316912</v>
      </c>
      <c r="BF399" s="2">
        <f t="shared" si="991"/>
        <v>113408.58766576689</v>
      </c>
      <c r="BG399" s="2">
        <f t="shared" si="991"/>
        <v>0</v>
      </c>
      <c r="BI399" s="2">
        <f>SUM(BJ399:BO399)</f>
        <v>6148925.8488774784</v>
      </c>
      <c r="BJ399" s="2">
        <f t="shared" si="992"/>
        <v>5961518.0633632932</v>
      </c>
      <c r="BK399" s="2">
        <f t="shared" si="992"/>
        <v>173105.28094956937</v>
      </c>
      <c r="BL399" s="2">
        <f t="shared" si="992"/>
        <v>0</v>
      </c>
      <c r="BM399" s="2">
        <f t="shared" si="992"/>
        <v>953.62979732586803</v>
      </c>
      <c r="BN399" s="2">
        <f t="shared" si="992"/>
        <v>13348.874767290155</v>
      </c>
      <c r="BO399" s="2">
        <f t="shared" si="992"/>
        <v>0</v>
      </c>
    </row>
    <row r="400" spans="1:67">
      <c r="A400" s="50">
        <f t="shared" si="986"/>
        <v>400</v>
      </c>
      <c r="C400" s="36" t="s">
        <v>152</v>
      </c>
      <c r="D400" s="501" t="s">
        <v>1216</v>
      </c>
      <c r="E400" s="432">
        <f>PROFORMA!AV221</f>
        <v>-1205000</v>
      </c>
      <c r="F400" s="60" t="str">
        <f>"as 303 Plant"</f>
        <v>as 303 Plant</v>
      </c>
      <c r="G400" s="60"/>
      <c r="H400" s="2">
        <f>SUM(I400:N400)</f>
        <v>-1205000</v>
      </c>
      <c r="I400" s="2">
        <f>$E400*SUMPRODUCT($R400:$AH400,INDEX(AllocFactors,I$4,0))</f>
        <v>-1054645.8446559005</v>
      </c>
      <c r="J400" s="2">
        <f t="shared" si="987"/>
        <v>-114234.70815086037</v>
      </c>
      <c r="K400" s="2">
        <f t="shared" si="987"/>
        <v>0</v>
      </c>
      <c r="L400" s="2">
        <f t="shared" si="987"/>
        <v>-1414.3909874210212</v>
      </c>
      <c r="M400" s="2">
        <f t="shared" si="987"/>
        <v>-34705.056205818255</v>
      </c>
      <c r="N400" s="2">
        <f t="shared" si="987"/>
        <v>0</v>
      </c>
      <c r="O400" s="2"/>
      <c r="P400" s="61" t="s">
        <v>1160</v>
      </c>
      <c r="Q400" s="61"/>
      <c r="R400" s="14">
        <f>R$11</f>
        <v>8.8133437743971782E-2</v>
      </c>
      <c r="S400" s="14">
        <f t="shared" si="994"/>
        <v>1.48122630432825E-2</v>
      </c>
      <c r="T400" s="14">
        <f t="shared" si="994"/>
        <v>6.2152272453224224E-3</v>
      </c>
      <c r="U400" s="14">
        <f t="shared" si="994"/>
        <v>4.15942131033116E-2</v>
      </c>
      <c r="V400" s="14">
        <f t="shared" si="994"/>
        <v>0</v>
      </c>
      <c r="W400" s="14">
        <f t="shared" si="994"/>
        <v>0.15413680450310352</v>
      </c>
      <c r="X400" s="14">
        <f t="shared" si="994"/>
        <v>0</v>
      </c>
      <c r="Y400" s="14">
        <f t="shared" si="994"/>
        <v>0</v>
      </c>
      <c r="Z400" s="14">
        <f t="shared" si="994"/>
        <v>0</v>
      </c>
      <c r="AA400" s="14">
        <f t="shared" si="994"/>
        <v>0</v>
      </c>
      <c r="AB400" s="14">
        <f t="shared" si="994"/>
        <v>0.45505508837908676</v>
      </c>
      <c r="AC400" s="14">
        <f t="shared" si="994"/>
        <v>0.16681683403029823</v>
      </c>
      <c r="AD400" s="14">
        <f t="shared" si="994"/>
        <v>7.1278348815059178E-2</v>
      </c>
      <c r="AE400" s="14">
        <f t="shared" si="994"/>
        <v>0</v>
      </c>
      <c r="AF400" s="14">
        <f t="shared" si="994"/>
        <v>1.9577831365640468E-3</v>
      </c>
      <c r="AG400" s="14">
        <f t="shared" si="994"/>
        <v>0</v>
      </c>
      <c r="AH400" s="14">
        <f t="shared" si="994"/>
        <v>0</v>
      </c>
      <c r="AI400" s="76">
        <f t="shared" ref="AI400" si="995">IF(SUM(R400:AH400)&lt;&gt;0,(ROUND(SUM(R400:AH400),8)&lt;&gt;1)+0,0)</f>
        <v>0</v>
      </c>
      <c r="AK400" s="2">
        <f>SUM(AL400:AO400)</f>
        <v>-1205000</v>
      </c>
      <c r="AL400" s="2">
        <f t="shared" si="989"/>
        <v>-181659.94506874538</v>
      </c>
      <c r="AM400" s="2">
        <f t="shared" si="989"/>
        <v>-185734.84942623973</v>
      </c>
      <c r="AN400" s="2">
        <f t="shared" si="989"/>
        <v>-837605.20550501486</v>
      </c>
      <c r="AO400" s="2">
        <f t="shared" si="989"/>
        <v>0</v>
      </c>
      <c r="AP400" s="2"/>
      <c r="AQ400" s="61" t="str">
        <f>E$1&amp;$A400&amp;"*      """</f>
        <v>E400*      "</v>
      </c>
      <c r="AS400" s="2">
        <f>SUM(AT400:AY400)</f>
        <v>-181659.94506874541</v>
      </c>
      <c r="AT400" s="2">
        <f t="shared" si="990"/>
        <v>-115747.99975565023</v>
      </c>
      <c r="AU400" s="2">
        <f t="shared" si="990"/>
        <v>-47728.540111084658</v>
      </c>
      <c r="AV400" s="2">
        <f t="shared" si="990"/>
        <v>0</v>
      </c>
      <c r="AW400" s="2">
        <f t="shared" si="990"/>
        <v>-745.22015059354476</v>
      </c>
      <c r="AX400" s="2">
        <f t="shared" si="990"/>
        <v>-17438.185051416971</v>
      </c>
      <c r="AY400" s="2">
        <f t="shared" si="990"/>
        <v>0</v>
      </c>
      <c r="BA400" s="2">
        <f>SUM(BB400:BG400)</f>
        <v>-185734.84942623973</v>
      </c>
      <c r="BB400" s="2">
        <f t="shared" si="991"/>
        <v>-126821.28302451329</v>
      </c>
      <c r="BC400" s="2">
        <f t="shared" si="991"/>
        <v>-42925.80815460375</v>
      </c>
      <c r="BD400" s="2">
        <f t="shared" si="991"/>
        <v>0</v>
      </c>
      <c r="BE400" s="2">
        <f t="shared" si="991"/>
        <v>-539.26761437917571</v>
      </c>
      <c r="BF400" s="2">
        <f t="shared" si="991"/>
        <v>-15448.490632743511</v>
      </c>
      <c r="BG400" s="2">
        <f t="shared" si="991"/>
        <v>0</v>
      </c>
      <c r="BI400" s="2">
        <f>SUM(BJ400:BO400)</f>
        <v>-837605.20550501498</v>
      </c>
      <c r="BJ400" s="2">
        <f t="shared" si="992"/>
        <v>-812076.56187573692</v>
      </c>
      <c r="BK400" s="2">
        <f t="shared" si="992"/>
        <v>-23580.359885171954</v>
      </c>
      <c r="BL400" s="2">
        <f t="shared" si="992"/>
        <v>0</v>
      </c>
      <c r="BM400" s="2">
        <f t="shared" si="992"/>
        <v>-129.90322244830102</v>
      </c>
      <c r="BN400" s="2">
        <f t="shared" si="992"/>
        <v>-1818.3805216577705</v>
      </c>
      <c r="BO400" s="2"/>
    </row>
    <row r="401" spans="1:67">
      <c r="A401" s="50">
        <f t="shared" si="986"/>
        <v>401</v>
      </c>
      <c r="C401" s="36" t="s">
        <v>152</v>
      </c>
      <c r="D401" s="28" t="s">
        <v>1233</v>
      </c>
      <c r="E401" s="432">
        <f>PROFORMA!AV222+PROFORMA!AV223</f>
        <v>2477000</v>
      </c>
      <c r="F401" s="60" t="s">
        <v>1228</v>
      </c>
      <c r="G401" s="60"/>
      <c r="H401" s="2">
        <f>SUM(I401:N401)</f>
        <v>2477000</v>
      </c>
      <c r="I401" s="2">
        <f t="shared" si="987"/>
        <v>2477000</v>
      </c>
      <c r="J401" s="2">
        <f t="shared" si="987"/>
        <v>0</v>
      </c>
      <c r="K401" s="2">
        <f t="shared" si="987"/>
        <v>0</v>
      </c>
      <c r="L401" s="2">
        <f t="shared" si="987"/>
        <v>0</v>
      </c>
      <c r="M401" s="2">
        <f t="shared" si="987"/>
        <v>0</v>
      </c>
      <c r="N401" s="2">
        <f t="shared" si="987"/>
        <v>0</v>
      </c>
      <c r="O401" s="2"/>
      <c r="P401" s="61" t="str">
        <f>E$1&amp;$A401&amp;"*     """</f>
        <v>E401*     "</v>
      </c>
      <c r="Q401" s="61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>
        <v>1</v>
      </c>
      <c r="AH401" s="15"/>
      <c r="AI401" s="76">
        <f t="shared" si="966"/>
        <v>0</v>
      </c>
      <c r="AK401" s="2">
        <f>SUM(AL401:AO401)</f>
        <v>2477000</v>
      </c>
      <c r="AL401" s="2">
        <f t="shared" si="989"/>
        <v>0</v>
      </c>
      <c r="AM401" s="2">
        <f t="shared" si="989"/>
        <v>0</v>
      </c>
      <c r="AN401" s="2">
        <f t="shared" si="989"/>
        <v>2477000</v>
      </c>
      <c r="AO401" s="2">
        <f t="shared" si="989"/>
        <v>0</v>
      </c>
      <c r="AP401" s="2"/>
      <c r="AQ401" s="61" t="str">
        <f>E$1&amp;$A401&amp;"*      """</f>
        <v>E401*      "</v>
      </c>
      <c r="AS401" s="2">
        <f>SUM(AT401:AY401)</f>
        <v>0</v>
      </c>
      <c r="AT401" s="2">
        <f t="shared" si="990"/>
        <v>0</v>
      </c>
      <c r="AU401" s="2">
        <f t="shared" si="990"/>
        <v>0</v>
      </c>
      <c r="AV401" s="2">
        <f t="shared" si="990"/>
        <v>0</v>
      </c>
      <c r="AW401" s="2">
        <f t="shared" si="990"/>
        <v>0</v>
      </c>
      <c r="AX401" s="2">
        <f t="shared" si="990"/>
        <v>0</v>
      </c>
      <c r="AY401" s="2">
        <f t="shared" si="990"/>
        <v>0</v>
      </c>
      <c r="BA401" s="2">
        <f>SUM(BB401:BG401)</f>
        <v>0</v>
      </c>
      <c r="BB401" s="2">
        <f t="shared" si="991"/>
        <v>0</v>
      </c>
      <c r="BC401" s="2">
        <f t="shared" si="991"/>
        <v>0</v>
      </c>
      <c r="BD401" s="2">
        <f t="shared" si="991"/>
        <v>0</v>
      </c>
      <c r="BE401" s="2">
        <f t="shared" si="991"/>
        <v>0</v>
      </c>
      <c r="BF401" s="2">
        <f t="shared" si="991"/>
        <v>0</v>
      </c>
      <c r="BG401" s="2">
        <f t="shared" si="991"/>
        <v>0</v>
      </c>
      <c r="BI401" s="2">
        <f>SUM(BJ401:BO401)</f>
        <v>2477000</v>
      </c>
      <c r="BJ401" s="2">
        <f t="shared" si="992"/>
        <v>2477000</v>
      </c>
      <c r="BK401" s="2">
        <f t="shared" si="992"/>
        <v>0</v>
      </c>
      <c r="BL401" s="2">
        <f t="shared" si="992"/>
        <v>0</v>
      </c>
      <c r="BM401" s="2">
        <f t="shared" si="992"/>
        <v>0</v>
      </c>
      <c r="BN401" s="2">
        <f t="shared" si="992"/>
        <v>0</v>
      </c>
      <c r="BO401" s="2">
        <f t="shared" si="992"/>
        <v>0</v>
      </c>
    </row>
    <row r="402" spans="1:67">
      <c r="A402" s="50">
        <f t="shared" si="986"/>
        <v>402</v>
      </c>
      <c r="D402" s="52" t="s">
        <v>74</v>
      </c>
      <c r="E402" s="3">
        <f>SUM(E396:E401)</f>
        <v>9297000</v>
      </c>
      <c r="F402" s="60"/>
      <c r="G402" s="60"/>
      <c r="H402" s="3">
        <f>IF(ROUND(SUM(H396:H401),3)&lt;&gt;ROUND(SUM(I402:N402),3),#VALUE!,SUM(H396:H401))</f>
        <v>9297000.0000000019</v>
      </c>
      <c r="I402" s="3">
        <f t="shared" ref="I402:N402" si="996">SUM(I396:I401)</f>
        <v>8435768.1785758138</v>
      </c>
      <c r="J402" s="3">
        <f t="shared" si="996"/>
        <v>652983.51555968192</v>
      </c>
      <c r="K402" s="3">
        <f t="shared" si="996"/>
        <v>0</v>
      </c>
      <c r="L402" s="3">
        <f t="shared" si="996"/>
        <v>8099.7144260017367</v>
      </c>
      <c r="M402" s="3">
        <f t="shared" si="996"/>
        <v>200148.59143850266</v>
      </c>
      <c r="N402" s="3">
        <f t="shared" si="996"/>
        <v>0</v>
      </c>
      <c r="O402" s="5"/>
      <c r="P402" s="61" t="str">
        <f>$A396&amp;":"&amp;A401</f>
        <v>396:401</v>
      </c>
      <c r="Q402" s="61"/>
      <c r="R402" s="16">
        <f t="shared" ref="R402:AH402" si="997">SUMPRODUCT($E$397:$E$401,R$397:R$401)/$E402</f>
        <v>6.5881716355838199E-2</v>
      </c>
      <c r="S402" s="16">
        <f t="shared" si="997"/>
        <v>1.0668270768830765E-2</v>
      </c>
      <c r="T402" s="16">
        <f t="shared" si="997"/>
        <v>4.4764076190899156E-3</v>
      </c>
      <c r="U402" s="16">
        <f t="shared" si="997"/>
        <v>2.9957497143140204E-2</v>
      </c>
      <c r="V402" s="16">
        <f t="shared" si="997"/>
        <v>0</v>
      </c>
      <c r="W402" s="16">
        <f t="shared" si="997"/>
        <v>0.11544889579916806</v>
      </c>
      <c r="X402" s="16">
        <f t="shared" si="997"/>
        <v>0</v>
      </c>
      <c r="Y402" s="16">
        <f t="shared" si="997"/>
        <v>0</v>
      </c>
      <c r="Z402" s="16">
        <f t="shared" si="997"/>
        <v>0</v>
      </c>
      <c r="AA402" s="16">
        <f t="shared" si="997"/>
        <v>0</v>
      </c>
      <c r="AB402" s="16">
        <f t="shared" si="997"/>
        <v>0.32774538795163655</v>
      </c>
      <c r="AC402" s="16">
        <f t="shared" si="997"/>
        <v>0.12478634918484545</v>
      </c>
      <c r="AD402" s="16">
        <f t="shared" si="997"/>
        <v>5.312420881225538E-2</v>
      </c>
      <c r="AE402" s="16">
        <f t="shared" si="997"/>
        <v>0</v>
      </c>
      <c r="AF402" s="16">
        <f t="shared" si="997"/>
        <v>1.4812351723375778E-3</v>
      </c>
      <c r="AG402" s="16">
        <f t="shared" si="997"/>
        <v>0.26643003119285791</v>
      </c>
      <c r="AH402" s="16">
        <f t="shared" si="997"/>
        <v>0</v>
      </c>
      <c r="AI402" s="76">
        <f t="shared" si="966"/>
        <v>0</v>
      </c>
      <c r="AK402" s="3">
        <f>IF(ROUND(SUM(AK396:AK401),3)&lt;&gt;ROUND(SUM(AL402:AO402),3),#VALUE!,SUM(AK396:AK401))</f>
        <v>9297000</v>
      </c>
      <c r="AL402" s="3">
        <f>SUM(AL396:AL401)</f>
        <v>1031817.2428725006</v>
      </c>
      <c r="AM402" s="3">
        <f>SUM(AM396:AM401)</f>
        <v>1073328.3842448655</v>
      </c>
      <c r="AN402" s="3">
        <f>SUM(AN396:AN401)</f>
        <v>7191854.3728826344</v>
      </c>
      <c r="AO402" s="3">
        <f>SUM(AO396:AO401)</f>
        <v>0</v>
      </c>
      <c r="AP402" s="5"/>
      <c r="AQ402" s="61" t="str">
        <f>$A396&amp;":"&amp;A401</f>
        <v>396:401</v>
      </c>
      <c r="AS402" s="3">
        <f>IF(ROUND(SUM(AS396:AS401),3)&lt;&gt;ROUND(SUM(AT402:AY402),3),#VALUE!,SUM(AS396:AS401))</f>
        <v>1031817.242872501</v>
      </c>
      <c r="AT402" s="3">
        <f t="shared" ref="AT402:AY402" si="998">SUM(AT396:AT401)</f>
        <v>656152.99479430378</v>
      </c>
      <c r="AU402" s="3">
        <f t="shared" si="998"/>
        <v>271026.68144973589</v>
      </c>
      <c r="AV402" s="3">
        <f t="shared" si="998"/>
        <v>0</v>
      </c>
      <c r="AW402" s="3">
        <f t="shared" si="998"/>
        <v>4234.6381238888798</v>
      </c>
      <c r="AX402" s="3">
        <f t="shared" si="998"/>
        <v>100402.92850457248</v>
      </c>
      <c r="AY402" s="3">
        <f t="shared" si="998"/>
        <v>0</v>
      </c>
      <c r="BA402" s="3">
        <f>IF(ROUND(SUM(BA396:BA401),3)&lt;&gt;ROUND(SUM(BB402:BG402),3),#VALUE!,SUM(BA396:BA401))</f>
        <v>1073328.3842448655</v>
      </c>
      <c r="BB402" s="3">
        <f t="shared" ref="BB402:BG402" si="999">SUM(BB396:BB401)</f>
        <v>732877.44985422818</v>
      </c>
      <c r="BC402" s="3">
        <f t="shared" si="999"/>
        <v>248060.54680267704</v>
      </c>
      <c r="BD402" s="3">
        <f t="shared" si="999"/>
        <v>0</v>
      </c>
      <c r="BE402" s="3">
        <f t="shared" si="999"/>
        <v>3116.330828625918</v>
      </c>
      <c r="BF402" s="3">
        <f t="shared" si="999"/>
        <v>89274.056759334257</v>
      </c>
      <c r="BG402" s="3">
        <f t="shared" si="999"/>
        <v>0</v>
      </c>
      <c r="BI402" s="3">
        <f>IF(ROUND(SUM(BI396:BI401),3)&lt;&gt;ROUND(SUM(BJ402:BO402),3),#VALUE!,SUM(BI396:BI401))</f>
        <v>7191854.3728826335</v>
      </c>
      <c r="BJ402" s="3">
        <f t="shared" ref="BJ402:BO402" si="1000">SUM(BJ396:BJ401)</f>
        <v>7046737.7339272816</v>
      </c>
      <c r="BK402" s="3">
        <f t="shared" si="1000"/>
        <v>133896.28730726906</v>
      </c>
      <c r="BL402" s="3">
        <f t="shared" si="1000"/>
        <v>0</v>
      </c>
      <c r="BM402" s="3">
        <f t="shared" si="1000"/>
        <v>748.74547348693875</v>
      </c>
      <c r="BN402" s="3">
        <f t="shared" si="1000"/>
        <v>10471.60617459589</v>
      </c>
      <c r="BO402" s="3">
        <f t="shared" si="1000"/>
        <v>0</v>
      </c>
    </row>
    <row r="403" spans="1:67">
      <c r="A403" s="50">
        <f t="shared" si="986"/>
        <v>403</v>
      </c>
      <c r="D403" s="52"/>
      <c r="E403" s="5"/>
      <c r="F403" s="60"/>
      <c r="G403" s="60"/>
      <c r="H403" s="5"/>
      <c r="I403" s="5"/>
      <c r="J403" s="5"/>
      <c r="K403" s="5"/>
      <c r="L403" s="5"/>
      <c r="M403" s="5"/>
      <c r="N403" s="5"/>
      <c r="O403" s="5"/>
      <c r="P403" s="61"/>
      <c r="Q403" s="61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76">
        <f t="shared" si="966"/>
        <v>0</v>
      </c>
      <c r="AK403" s="5"/>
      <c r="AL403" s="5"/>
      <c r="AM403" s="5"/>
      <c r="AN403" s="5"/>
      <c r="AO403" s="5"/>
      <c r="AP403" s="5"/>
      <c r="AQ403" s="61"/>
      <c r="AS403" s="5"/>
      <c r="AT403" s="5"/>
      <c r="AU403" s="5"/>
      <c r="AV403" s="5"/>
      <c r="AW403" s="5"/>
      <c r="AX403" s="5"/>
      <c r="AY403" s="5"/>
      <c r="BA403" s="5"/>
      <c r="BB403" s="5"/>
      <c r="BC403" s="5"/>
      <c r="BD403" s="5"/>
      <c r="BE403" s="5"/>
      <c r="BF403" s="5"/>
      <c r="BG403" s="5"/>
      <c r="BI403" s="5"/>
      <c r="BJ403" s="5"/>
      <c r="BK403" s="5"/>
      <c r="BL403" s="5"/>
      <c r="BM403" s="5"/>
      <c r="BN403" s="5"/>
      <c r="BO403" s="5"/>
    </row>
    <row r="404" spans="1:67">
      <c r="A404" s="50">
        <f t="shared" si="986"/>
        <v>404</v>
      </c>
      <c r="D404" t="s">
        <v>227</v>
      </c>
      <c r="E404" s="2">
        <f>E393+E402</f>
        <v>30063000</v>
      </c>
      <c r="F404" s="60" t="str">
        <f>"("&amp;A$393&amp;"+"&amp;A$402&amp;")"</f>
        <v>(393+402)</v>
      </c>
      <c r="G404" s="60"/>
      <c r="H404" s="2">
        <f t="shared" ref="H404:N404" si="1001">H393+H402</f>
        <v>30063000</v>
      </c>
      <c r="I404" s="2">
        <f t="shared" si="1001"/>
        <v>25696854.234760918</v>
      </c>
      <c r="J404" s="2">
        <f t="shared" si="1001"/>
        <v>3228128.8215453736</v>
      </c>
      <c r="K404" s="2">
        <f t="shared" si="1001"/>
        <v>0</v>
      </c>
      <c r="L404" s="2">
        <f t="shared" si="1001"/>
        <v>41162.083534352299</v>
      </c>
      <c r="M404" s="2">
        <f t="shared" si="1001"/>
        <v>1096854.8601593594</v>
      </c>
      <c r="N404" s="2">
        <f t="shared" si="1001"/>
        <v>0</v>
      </c>
      <c r="O404" s="2"/>
      <c r="P404" s="61" t="str">
        <f>$A393&amp;"+"&amp;$A402</f>
        <v>393+402</v>
      </c>
      <c r="Q404" s="61"/>
      <c r="R404" s="42">
        <f t="shared" ref="R404:AH404" si="1002">($E393*R393+$E402*R402)/$E404</f>
        <v>0.1099741689293479</v>
      </c>
      <c r="S404" s="42">
        <f t="shared" si="1002"/>
        <v>6.6234657915326695E-3</v>
      </c>
      <c r="T404" s="42">
        <f t="shared" si="1002"/>
        <v>4.288371082688665E-3</v>
      </c>
      <c r="U404" s="42">
        <f t="shared" si="1002"/>
        <v>2.8699098784147219E-2</v>
      </c>
      <c r="V404" s="42">
        <f t="shared" si="1002"/>
        <v>0</v>
      </c>
      <c r="W404" s="42">
        <f t="shared" si="1002"/>
        <v>0.19902879762886491</v>
      </c>
      <c r="X404" s="42">
        <f t="shared" si="1002"/>
        <v>0</v>
      </c>
      <c r="Y404" s="42">
        <f t="shared" si="1002"/>
        <v>0</v>
      </c>
      <c r="Z404" s="42">
        <f t="shared" si="1002"/>
        <v>0</v>
      </c>
      <c r="AA404" s="42">
        <f t="shared" si="1002"/>
        <v>0</v>
      </c>
      <c r="AB404" s="42">
        <f t="shared" si="1002"/>
        <v>0.20348287107341462</v>
      </c>
      <c r="AC404" s="42">
        <f t="shared" si="1002"/>
        <v>0.22406713730633779</v>
      </c>
      <c r="AD404" s="42">
        <f t="shared" si="1002"/>
        <v>0.13914615255964599</v>
      </c>
      <c r="AE404" s="42">
        <f t="shared" si="1002"/>
        <v>0</v>
      </c>
      <c r="AF404" s="42">
        <f t="shared" si="1002"/>
        <v>2.2962968214010758E-3</v>
      </c>
      <c r="AG404" s="42">
        <f t="shared" si="1002"/>
        <v>8.2393640022619161E-2</v>
      </c>
      <c r="AH404" s="42">
        <f t="shared" si="1002"/>
        <v>0</v>
      </c>
      <c r="AI404" s="85">
        <f t="shared" si="966"/>
        <v>0</v>
      </c>
      <c r="AK404" s="2">
        <f>AK393+AK402</f>
        <v>30063000</v>
      </c>
      <c r="AL404" s="2">
        <f>AL393+AL402</f>
        <v>4496976.9992205193</v>
      </c>
      <c r="AM404" s="2">
        <f>AM393+AM402</f>
        <v>5983402.743116566</v>
      </c>
      <c r="AN404" s="2">
        <f>AN393+AN402</f>
        <v>19582620.257662915</v>
      </c>
      <c r="AO404" s="2">
        <f>AO393+AO402</f>
        <v>0</v>
      </c>
      <c r="AP404" s="2"/>
      <c r="AQ404" s="61" t="str">
        <f>$A393&amp;"+"&amp;$A402</f>
        <v>393+402</v>
      </c>
      <c r="AS404" s="2">
        <f t="shared" ref="AS404:AY404" si="1003">AS393+AS402</f>
        <v>4496976.9992205203</v>
      </c>
      <c r="AT404" s="2">
        <f t="shared" si="1003"/>
        <v>2774761.1264509019</v>
      </c>
      <c r="AU404" s="2">
        <f t="shared" si="1003"/>
        <v>1172108.0789135429</v>
      </c>
      <c r="AV404" s="2">
        <f t="shared" si="1003"/>
        <v>0</v>
      </c>
      <c r="AW404" s="2">
        <f t="shared" si="1003"/>
        <v>18476.203689627866</v>
      </c>
      <c r="AX404" s="2">
        <f t="shared" si="1003"/>
        <v>531631.59016644792</v>
      </c>
      <c r="AY404" s="2">
        <f t="shared" si="1003"/>
        <v>0</v>
      </c>
      <c r="BA404" s="2">
        <f t="shared" ref="BA404:BG404" si="1004">BA393+BA402</f>
        <v>5983402.743116565</v>
      </c>
      <c r="BB404" s="2">
        <f t="shared" si="1004"/>
        <v>4085516.6118719359</v>
      </c>
      <c r="BC404" s="2">
        <f t="shared" si="1004"/>
        <v>1382844.4099541509</v>
      </c>
      <c r="BD404" s="2">
        <f t="shared" si="1004"/>
        <v>0</v>
      </c>
      <c r="BE404" s="2">
        <f t="shared" si="1004"/>
        <v>17372.374291189102</v>
      </c>
      <c r="BF404" s="2">
        <f t="shared" si="1004"/>
        <v>497669.34699928947</v>
      </c>
      <c r="BG404" s="2">
        <f t="shared" si="1004"/>
        <v>0</v>
      </c>
      <c r="BI404" s="2">
        <f t="shared" ref="BI404:BO404" si="1005">BI393+BI402</f>
        <v>19582620.257662915</v>
      </c>
      <c r="BJ404" s="2">
        <f t="shared" si="1005"/>
        <v>18836576.496438079</v>
      </c>
      <c r="BK404" s="2">
        <f t="shared" si="1005"/>
        <v>673176.33267767925</v>
      </c>
      <c r="BL404" s="2">
        <f t="shared" si="1005"/>
        <v>0</v>
      </c>
      <c r="BM404" s="2">
        <f t="shared" si="1005"/>
        <v>5313.5055535353422</v>
      </c>
      <c r="BN404" s="2">
        <f t="shared" si="1005"/>
        <v>67553.922993621716</v>
      </c>
      <c r="BO404" s="2">
        <f t="shared" si="1005"/>
        <v>0</v>
      </c>
    </row>
    <row r="405" spans="1:67">
      <c r="A405" s="50">
        <f t="shared" si="986"/>
        <v>405</v>
      </c>
      <c r="E405" s="2"/>
      <c r="F405" s="60"/>
      <c r="G405" s="60"/>
      <c r="P405" s="61"/>
      <c r="Q405" s="61"/>
      <c r="AI405" s="76">
        <f t="shared" si="966"/>
        <v>0</v>
      </c>
      <c r="AQ405" s="61"/>
    </row>
    <row r="406" spans="1:67">
      <c r="A406" s="50">
        <f t="shared" si="986"/>
        <v>406</v>
      </c>
      <c r="D406" t="s">
        <v>226</v>
      </c>
      <c r="E406" s="2">
        <f>E342+E350+E404</f>
        <v>79656000</v>
      </c>
      <c r="F406" s="60" t="str">
        <f>"("&amp;A$342&amp;"+"&amp;A$350&amp;"+"&amp;A$404</f>
        <v>(342+350+404</v>
      </c>
      <c r="G406" s="60"/>
      <c r="H406" s="2">
        <f t="shared" ref="H406:N406" si="1006">H342+H350+H404</f>
        <v>79656000.029313043</v>
      </c>
      <c r="I406" s="2">
        <f>I342+I350+I404</f>
        <v>68025810.257526785</v>
      </c>
      <c r="J406" s="2">
        <f t="shared" si="1006"/>
        <v>8866663.1555202547</v>
      </c>
      <c r="K406" s="2">
        <f t="shared" si="1006"/>
        <v>0</v>
      </c>
      <c r="L406" s="2">
        <f t="shared" si="1006"/>
        <v>111119.56761483732</v>
      </c>
      <c r="M406" s="2">
        <f t="shared" si="1006"/>
        <v>2652407.0486511635</v>
      </c>
      <c r="N406" s="2">
        <f t="shared" si="1006"/>
        <v>0</v>
      </c>
      <c r="O406" s="2"/>
      <c r="P406" s="61" t="str">
        <f>$A342&amp;"+"&amp;$A350&amp;"+"&amp;$A404</f>
        <v>342+350+404</v>
      </c>
      <c r="Q406" s="61"/>
      <c r="R406" s="14">
        <f t="shared" ref="R406:AH406" si="1007">($E342*R342+$E350*R350+$E404*R404)/$E406</f>
        <v>9.531070314685057E-2</v>
      </c>
      <c r="S406" s="14">
        <f t="shared" si="1007"/>
        <v>1.4497148549243171E-2</v>
      </c>
      <c r="T406" s="14">
        <f t="shared" si="1007"/>
        <v>6.4832630337913573E-3</v>
      </c>
      <c r="U406" s="14">
        <f t="shared" si="1007"/>
        <v>4.3400545054419135E-2</v>
      </c>
      <c r="V406" s="14">
        <f t="shared" si="1007"/>
        <v>1.0545344983428743E-3</v>
      </c>
      <c r="W406" s="14">
        <f t="shared" si="1007"/>
        <v>0.16754795695156274</v>
      </c>
      <c r="X406" s="14">
        <f t="shared" si="1007"/>
        <v>0</v>
      </c>
      <c r="Y406" s="14">
        <f t="shared" si="1007"/>
        <v>0</v>
      </c>
      <c r="Z406" s="14">
        <f t="shared" si="1007"/>
        <v>0</v>
      </c>
      <c r="AA406" s="14">
        <f t="shared" si="1007"/>
        <v>0</v>
      </c>
      <c r="AB406" s="14">
        <f t="shared" si="1007"/>
        <v>0.29586298410841472</v>
      </c>
      <c r="AC406" s="14">
        <f t="shared" si="1007"/>
        <v>0.19078496200278336</v>
      </c>
      <c r="AD406" s="14">
        <f t="shared" si="1007"/>
        <v>9.4855720976536412E-2</v>
      </c>
      <c r="AE406" s="14">
        <f t="shared" si="1007"/>
        <v>0</v>
      </c>
      <c r="AF406" s="14">
        <f t="shared" si="1007"/>
        <v>2.0677034215526237E-3</v>
      </c>
      <c r="AG406" s="14">
        <f t="shared" si="1007"/>
        <v>3.1096213718991666E-2</v>
      </c>
      <c r="AH406" s="14">
        <f t="shared" si="1007"/>
        <v>5.7038264537511298E-2</v>
      </c>
      <c r="AI406" s="76">
        <f t="shared" si="966"/>
        <v>0</v>
      </c>
      <c r="AK406" s="2">
        <f>AK342+AK350+AK404</f>
        <v>79656000</v>
      </c>
      <c r="AL406" s="2">
        <f>AL342+AL350+AL404</f>
        <v>12804398.851778539</v>
      </c>
      <c r="AM406" s="2">
        <f>AM342+AM350+AM404</f>
        <v>13346200.058933683</v>
      </c>
      <c r="AN406" s="2">
        <f>AN342+AN350+AN404</f>
        <v>48961961.089287773</v>
      </c>
      <c r="AO406" s="2">
        <f>AO342+AO350+AO404</f>
        <v>4543440</v>
      </c>
      <c r="AP406" s="2"/>
      <c r="AQ406" s="61" t="str">
        <f>$A342&amp;"+"&amp;$A350&amp;"+"&amp;$A404</f>
        <v>342+350+404</v>
      </c>
      <c r="AS406" s="2">
        <f t="shared" ref="AS406:AY406" si="1008">AS342+AS350+AS404</f>
        <v>12804398.851778541</v>
      </c>
      <c r="AT406" s="2">
        <f t="shared" si="1008"/>
        <v>8147315.9908292163</v>
      </c>
      <c r="AU406" s="2">
        <f t="shared" si="1008"/>
        <v>3360105.8107937998</v>
      </c>
      <c r="AV406" s="2">
        <f t="shared" si="1008"/>
        <v>0</v>
      </c>
      <c r="AW406" s="2">
        <f t="shared" si="1008"/>
        <v>52403.400745860679</v>
      </c>
      <c r="AX406" s="2">
        <f t="shared" si="1008"/>
        <v>1244573.6494096632</v>
      </c>
      <c r="AY406" s="2">
        <f t="shared" si="1008"/>
        <v>0</v>
      </c>
      <c r="BA406" s="2">
        <f t="shared" ref="BA406:BG406" si="1009">BA342+BA350+BA404</f>
        <v>13346200.058933681</v>
      </c>
      <c r="BB406" s="2">
        <f t="shared" si="1009"/>
        <v>9112895.1847454663</v>
      </c>
      <c r="BC406" s="2">
        <f t="shared" si="1009"/>
        <v>3084485.3569079991</v>
      </c>
      <c r="BD406" s="2">
        <f t="shared" si="1009"/>
        <v>0</v>
      </c>
      <c r="BE406" s="2">
        <f t="shared" si="1009"/>
        <v>38749.720308501237</v>
      </c>
      <c r="BF406" s="2">
        <f t="shared" si="1009"/>
        <v>1110069.7969717144</v>
      </c>
      <c r="BG406" s="2">
        <f t="shared" si="1009"/>
        <v>0</v>
      </c>
      <c r="BI406" s="2">
        <f t="shared" ref="BI406:BO406" si="1010">BI342+BI350+BI404</f>
        <v>48961961.089287773</v>
      </c>
      <c r="BJ406" s="2">
        <f t="shared" si="1010"/>
        <v>47274119.743947357</v>
      </c>
      <c r="BK406" s="2">
        <f t="shared" si="1010"/>
        <v>1536971.2757331184</v>
      </c>
      <c r="BL406" s="2">
        <f t="shared" si="1010"/>
        <v>0</v>
      </c>
      <c r="BM406" s="2">
        <f t="shared" si="1010"/>
        <v>10433.18242772212</v>
      </c>
      <c r="BN406" s="2">
        <f t="shared" si="1010"/>
        <v>140436.88717958023</v>
      </c>
      <c r="BO406" s="2">
        <f t="shared" si="1010"/>
        <v>0</v>
      </c>
    </row>
    <row r="407" spans="1:67">
      <c r="A407" s="50">
        <f t="shared" si="986"/>
        <v>407</v>
      </c>
      <c r="E407" s="2"/>
      <c r="F407" s="60"/>
      <c r="G407" s="60"/>
      <c r="H407" s="33">
        <f>H406-E406</f>
        <v>2.9313042759895325E-2</v>
      </c>
      <c r="I407" s="2"/>
      <c r="J407" s="2"/>
      <c r="K407" s="2"/>
      <c r="L407" s="2"/>
      <c r="M407" s="2"/>
      <c r="N407" s="2"/>
      <c r="O407" s="2"/>
      <c r="P407" s="61"/>
      <c r="Q407" s="61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76">
        <f t="shared" si="966"/>
        <v>0</v>
      </c>
      <c r="AK407" s="2"/>
      <c r="AL407" s="2"/>
      <c r="AM407" s="2"/>
      <c r="AN407" s="2"/>
      <c r="AO407" s="2"/>
      <c r="AP407" s="2"/>
      <c r="AQ407" s="61"/>
      <c r="AS407" s="2"/>
      <c r="AT407" s="2"/>
      <c r="AU407" s="2"/>
      <c r="AV407" s="2"/>
      <c r="AW407" s="2"/>
      <c r="AX407" s="2"/>
      <c r="AY407" s="2"/>
      <c r="BA407" s="2"/>
      <c r="BB407" s="2"/>
      <c r="BC407" s="2"/>
      <c r="BD407" s="2"/>
      <c r="BE407" s="2"/>
      <c r="BF407" s="2"/>
      <c r="BG407" s="2"/>
      <c r="BI407" s="2"/>
      <c r="BJ407" s="2"/>
      <c r="BK407" s="2"/>
      <c r="BL407" s="2"/>
      <c r="BM407" s="2"/>
      <c r="BN407" s="2"/>
      <c r="BO407" s="2"/>
    </row>
    <row r="408" spans="1:67">
      <c r="A408" s="50">
        <f t="shared" si="986"/>
        <v>408</v>
      </c>
      <c r="D408" s="1" t="s">
        <v>119</v>
      </c>
      <c r="E408" s="2">
        <f>E431+E156+E406</f>
        <v>-15008000</v>
      </c>
      <c r="F408" s="60" t="str">
        <f>"("&amp;A$431&amp;"+"&amp;A$156&amp;"+"&amp;A$406&amp;")"</f>
        <v>(431+156+406)</v>
      </c>
      <c r="G408" s="60" t="s">
        <v>235</v>
      </c>
      <c r="H408" s="2">
        <f t="shared" ref="H408:N408" si="1011">H431+H156+H406</f>
        <v>-15007999.970686942</v>
      </c>
      <c r="I408" s="2">
        <f t="shared" si="1011"/>
        <v>-4473030.0699973255</v>
      </c>
      <c r="J408" s="2">
        <f t="shared" si="1011"/>
        <v>-9911721.9003000315</v>
      </c>
      <c r="K408" s="2">
        <f t="shared" si="1011"/>
        <v>0</v>
      </c>
      <c r="L408" s="2">
        <f t="shared" si="1011"/>
        <v>-87423.950559493242</v>
      </c>
      <c r="M408" s="2">
        <f t="shared" si="1011"/>
        <v>-535824.04983010609</v>
      </c>
      <c r="N408" s="2">
        <f t="shared" si="1011"/>
        <v>0</v>
      </c>
      <c r="O408" s="2"/>
      <c r="P408" s="61" t="str">
        <f>$A431&amp;"+"&amp;$A156&amp;"+"&amp;$A406</f>
        <v>431+156+406</v>
      </c>
      <c r="Q408" s="61"/>
      <c r="R408" s="14">
        <f t="shared" ref="R408:AG408" si="1012">($E431*R431+$E406*R406+$E156*R156)/$E408</f>
        <v>-0.58163514434594488</v>
      </c>
      <c r="S408" s="14">
        <f t="shared" si="1012"/>
        <v>-7.8602169068474892E-2</v>
      </c>
      <c r="T408" s="14">
        <f t="shared" si="1012"/>
        <v>-4.8893907718830953E-2</v>
      </c>
      <c r="U408" s="14">
        <f t="shared" si="1012"/>
        <v>-0.32727970586377886</v>
      </c>
      <c r="V408" s="14">
        <f t="shared" si="1012"/>
        <v>-5.597014925373134E-3</v>
      </c>
      <c r="W408" s="14">
        <f t="shared" si="1012"/>
        <v>-1.0280340572475879</v>
      </c>
      <c r="X408" s="14">
        <f t="shared" si="1012"/>
        <v>0</v>
      </c>
      <c r="Y408" s="14">
        <f t="shared" si="1012"/>
        <v>0</v>
      </c>
      <c r="Z408" s="14">
        <f t="shared" si="1012"/>
        <v>0</v>
      </c>
      <c r="AA408" s="14">
        <f t="shared" si="1012"/>
        <v>0</v>
      </c>
      <c r="AB408" s="14">
        <f t="shared" si="1012"/>
        <v>-1.6212356846742186</v>
      </c>
      <c r="AC408" s="14">
        <f t="shared" si="1012"/>
        <v>-1.1441310334649719</v>
      </c>
      <c r="AD408" s="14">
        <f t="shared" si="1012"/>
        <v>-0.56612408352103349</v>
      </c>
      <c r="AE408" s="14">
        <f t="shared" si="1012"/>
        <v>0</v>
      </c>
      <c r="AF408" s="14">
        <f t="shared" si="1012"/>
        <v>-1.2699884452856509E-2</v>
      </c>
      <c r="AG408" s="14">
        <f t="shared" si="1012"/>
        <v>-0.17349119531394386</v>
      </c>
      <c r="AH408" s="14">
        <f>($E431*AH431+$E406*AH406+$E156*AH156)/$E408</f>
        <v>6.5877238805970153</v>
      </c>
      <c r="AI408" s="76">
        <f t="shared" si="966"/>
        <v>0</v>
      </c>
      <c r="AK408" s="2">
        <f>AK431+AK156+AK406</f>
        <v>-15008000</v>
      </c>
      <c r="AL408" s="2">
        <f>AL431+AL156+AL406</f>
        <v>15638455.192371421</v>
      </c>
      <c r="AM408" s="2">
        <f>AM431+AM156+AM406</f>
        <v>15428735.131171798</v>
      </c>
      <c r="AN408" s="2">
        <f>AN431+AN156+AN406</f>
        <v>52793369.676456779</v>
      </c>
      <c r="AO408" s="2">
        <f>AO431+AO156+AO406</f>
        <v>-98868560</v>
      </c>
      <c r="AP408" s="2"/>
      <c r="AQ408" s="61" t="str">
        <f>$A431&amp;"+"&amp;$A156&amp;"+"&amp;$A406</f>
        <v>431+156+406</v>
      </c>
      <c r="AS408" s="2">
        <f t="shared" ref="AS408:AY408" si="1013">AS431+AS156+AS406</f>
        <v>13176941.079455245</v>
      </c>
      <c r="AT408" s="2">
        <f t="shared" si="1013"/>
        <v>8497371.7705108207</v>
      </c>
      <c r="AU408" s="2">
        <f t="shared" si="1013"/>
        <v>3451469.4700075476</v>
      </c>
      <c r="AV408" s="2">
        <f t="shared" si="1013"/>
        <v>0</v>
      </c>
      <c r="AW408" s="2">
        <f t="shared" si="1013"/>
        <v>53497.62521737715</v>
      </c>
      <c r="AX408" s="2">
        <f t="shared" si="1013"/>
        <v>1174602.2137194991</v>
      </c>
      <c r="AY408" s="2">
        <f t="shared" si="1013"/>
        <v>0</v>
      </c>
      <c r="BA408" s="2">
        <f t="shared" ref="BA408:BG408" si="1014">BA431+BA156+BA406</f>
        <v>12378231.928135341</v>
      </c>
      <c r="BB408" s="2">
        <f t="shared" si="1014"/>
        <v>8451958.5826274231</v>
      </c>
      <c r="BC408" s="2">
        <f t="shared" si="1014"/>
        <v>2860774.9740112191</v>
      </c>
      <c r="BD408" s="2">
        <f t="shared" si="1014"/>
        <v>0</v>
      </c>
      <c r="BE408" s="2">
        <f t="shared" si="1014"/>
        <v>35939.295305852567</v>
      </c>
      <c r="BF408" s="2">
        <f t="shared" si="1014"/>
        <v>1029559.0761908472</v>
      </c>
      <c r="BG408" s="2">
        <f t="shared" si="1014"/>
        <v>0</v>
      </c>
      <c r="BI408" s="2">
        <f t="shared" ref="BI408:BO408" si="1015">BI431+BI156+BI406</f>
        <v>47182386.992409408</v>
      </c>
      <c r="BJ408" s="2">
        <f t="shared" si="1015"/>
        <v>45576713.023384027</v>
      </c>
      <c r="BK408" s="2">
        <f t="shared" si="1015"/>
        <v>1463761.5759024152</v>
      </c>
      <c r="BL408" s="2">
        <f t="shared" si="1015"/>
        <v>0</v>
      </c>
      <c r="BM408" s="2">
        <f t="shared" si="1015"/>
        <v>9805.2054641177492</v>
      </c>
      <c r="BN408" s="2">
        <f t="shared" si="1015"/>
        <v>132107.18765885441</v>
      </c>
      <c r="BO408" s="2">
        <f t="shared" si="1015"/>
        <v>0</v>
      </c>
    </row>
    <row r="409" spans="1:67">
      <c r="A409" s="50">
        <f t="shared" si="986"/>
        <v>409</v>
      </c>
      <c r="E409" s="2"/>
      <c r="F409" s="60"/>
      <c r="G409" s="60"/>
      <c r="H409" s="33">
        <f>H408-E408</f>
        <v>2.9313057661056519E-2</v>
      </c>
      <c r="P409" s="61"/>
      <c r="Q409" s="61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76">
        <f t="shared" si="966"/>
        <v>0</v>
      </c>
      <c r="AQ409" s="61"/>
    </row>
    <row r="410" spans="1:67">
      <c r="A410" s="50">
        <f t="shared" si="986"/>
        <v>410</v>
      </c>
      <c r="C410" s="34"/>
      <c r="D410" s="1" t="s">
        <v>117</v>
      </c>
      <c r="E410" s="2"/>
      <c r="F410" s="60"/>
      <c r="G410" s="60"/>
      <c r="P410" s="61"/>
      <c r="Q410" s="61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76">
        <f t="shared" si="966"/>
        <v>0</v>
      </c>
      <c r="AQ410" s="61"/>
    </row>
    <row r="411" spans="1:67" s="146" customFormat="1">
      <c r="A411" s="145">
        <f t="shared" si="986"/>
        <v>411</v>
      </c>
      <c r="C411" s="147" t="s">
        <v>156</v>
      </c>
      <c r="D411" s="146" t="s">
        <v>693</v>
      </c>
      <c r="E411" s="436">
        <f>PROFORMA!AV232*1000</f>
        <v>-220000</v>
      </c>
      <c r="F411" s="134" t="str">
        <f>"as Pre-Tax Op Inc ("&amp;A$408&amp;")"</f>
        <v>as Pre-Tax Op Inc (408)</v>
      </c>
      <c r="G411" s="134"/>
      <c r="H411" s="82">
        <f>SUM(I411:N411)</f>
        <v>-220000</v>
      </c>
      <c r="I411" s="82">
        <f t="shared" ref="I411:N414" si="1016">$E411*SUMPRODUCT($R411:$AH411,INDEX(AllocFactors,I$4,0))</f>
        <v>-65569.471071980297</v>
      </c>
      <c r="J411" s="82">
        <f t="shared" si="1016"/>
        <v>-145294.43084128515</v>
      </c>
      <c r="K411" s="82">
        <f t="shared" si="1016"/>
        <v>0</v>
      </c>
      <c r="L411" s="82">
        <f t="shared" si="1016"/>
        <v>-1281.5344564957695</v>
      </c>
      <c r="M411" s="82">
        <f t="shared" si="1016"/>
        <v>-7854.563630238762</v>
      </c>
      <c r="N411" s="82">
        <f t="shared" si="1016"/>
        <v>0</v>
      </c>
      <c r="O411" s="82"/>
      <c r="P411" s="148" t="str">
        <f>E$1&amp;$A411&amp;"* Sum["&amp;$R$1&amp;$A411&amp;":"&amp;$AH$1&amp;$A411&amp;"* "&amp;Factors!D$1&amp;Factors!$A$58&amp;":"&amp;Factors!S$1&amp;Factors!$A$64&amp;"]"</f>
        <v>E411* Sum[R411:AH411* D1040:S1046]</v>
      </c>
      <c r="Q411" s="148"/>
      <c r="R411" s="108">
        <f t="shared" ref="R411:AH414" si="1017">R$408</f>
        <v>-0.58163514434594488</v>
      </c>
      <c r="S411" s="108">
        <f t="shared" si="1017"/>
        <v>-7.8602169068474892E-2</v>
      </c>
      <c r="T411" s="108">
        <f t="shared" si="1017"/>
        <v>-4.8893907718830953E-2</v>
      </c>
      <c r="U411" s="108">
        <f t="shared" si="1017"/>
        <v>-0.32727970586377886</v>
      </c>
      <c r="V411" s="108">
        <f t="shared" si="1017"/>
        <v>-5.597014925373134E-3</v>
      </c>
      <c r="W411" s="108">
        <f t="shared" si="1017"/>
        <v>-1.0280340572475879</v>
      </c>
      <c r="X411" s="108">
        <f t="shared" si="1017"/>
        <v>0</v>
      </c>
      <c r="Y411" s="108">
        <f t="shared" si="1017"/>
        <v>0</v>
      </c>
      <c r="Z411" s="108">
        <f t="shared" si="1017"/>
        <v>0</v>
      </c>
      <c r="AA411" s="108">
        <f t="shared" si="1017"/>
        <v>0</v>
      </c>
      <c r="AB411" s="108">
        <f t="shared" si="1017"/>
        <v>-1.6212356846742186</v>
      </c>
      <c r="AC411" s="108">
        <f t="shared" si="1017"/>
        <v>-1.1441310334649719</v>
      </c>
      <c r="AD411" s="108">
        <f t="shared" si="1017"/>
        <v>-0.56612408352103349</v>
      </c>
      <c r="AE411" s="108">
        <f t="shared" si="1017"/>
        <v>0</v>
      </c>
      <c r="AF411" s="108">
        <f t="shared" si="1017"/>
        <v>-1.2699884452856509E-2</v>
      </c>
      <c r="AG411" s="108">
        <f t="shared" si="1017"/>
        <v>-0.17349119531394386</v>
      </c>
      <c r="AH411" s="108">
        <f t="shared" si="1017"/>
        <v>6.5877238805970153</v>
      </c>
      <c r="AI411" s="149">
        <f t="shared" si="966"/>
        <v>0</v>
      </c>
      <c r="AK411" s="82">
        <f>SUM(AL411:AO411)</f>
        <v>-220000.00000000023</v>
      </c>
      <c r="AL411" s="82">
        <f t="shared" ref="AL411:AO414" si="1018">SUMIF($R$4:$AH$4,AL$5,$R411:$AH411)*$E411</f>
        <v>229241.74722292859</v>
      </c>
      <c r="AM411" s="82">
        <f t="shared" si="1018"/>
        <v>226167.49259446934</v>
      </c>
      <c r="AN411" s="82">
        <f t="shared" si="1018"/>
        <v>773890.01391394529</v>
      </c>
      <c r="AO411" s="82">
        <f t="shared" si="1018"/>
        <v>-1449299.2537313434</v>
      </c>
      <c r="AP411" s="82"/>
      <c r="AQ411" s="148" t="str">
        <f>AS$1&amp;$A411&amp;", "&amp;BA$1&amp;$A411&amp;", "&amp;BI$1&amp;$A411</f>
        <v>AS411, BA411, BI411</v>
      </c>
      <c r="AS411" s="82">
        <f>SUM(AT411:AY411)</f>
        <v>-74593.341631713396</v>
      </c>
      <c r="AT411" s="82">
        <f t="shared" ref="AT411:AY414" si="1019">I411*IF(I$130,AT$130/I$130,0)</f>
        <v>-11270.126793389962</v>
      </c>
      <c r="AU411" s="82">
        <f t="shared" si="1019"/>
        <v>-58843.026639964904</v>
      </c>
      <c r="AV411" s="82">
        <f t="shared" si="1019"/>
        <v>0</v>
      </c>
      <c r="AW411" s="82">
        <f t="shared" si="1019"/>
        <v>-613.41698449637158</v>
      </c>
      <c r="AX411" s="82">
        <f t="shared" si="1019"/>
        <v>-3866.7712138621564</v>
      </c>
      <c r="AY411" s="82">
        <f t="shared" si="1019"/>
        <v>0</v>
      </c>
      <c r="BA411" s="82">
        <f>SUM(BB411:BG411)</f>
        <v>-84504.607939812704</v>
      </c>
      <c r="BB411" s="82">
        <f t="shared" ref="BB411:BG414" si="1020">I411*IF(I$130,BB$130/I$130,0)</f>
        <v>-15212.114125789854</v>
      </c>
      <c r="BC411" s="82">
        <f t="shared" si="1020"/>
        <v>-65132.473045220228</v>
      </c>
      <c r="BD411" s="82">
        <f t="shared" si="1020"/>
        <v>0</v>
      </c>
      <c r="BE411" s="82">
        <f t="shared" si="1020"/>
        <v>-546.09629069730931</v>
      </c>
      <c r="BF411" s="82">
        <f t="shared" si="1020"/>
        <v>-3613.9244781053076</v>
      </c>
      <c r="BG411" s="82">
        <f t="shared" si="1020"/>
        <v>0</v>
      </c>
      <c r="BI411" s="82">
        <f>SUM(BJ411:BO411)</f>
        <v>-60902.050428473871</v>
      </c>
      <c r="BJ411" s="82">
        <f t="shared" ref="BJ411:BO414" si="1021">I411*IF(I$130,BJ$130/I$130,0)</f>
        <v>-39087.23015280049</v>
      </c>
      <c r="BK411" s="82">
        <f t="shared" si="1021"/>
        <v>-21318.931156099996</v>
      </c>
      <c r="BL411" s="82">
        <f t="shared" si="1021"/>
        <v>0</v>
      </c>
      <c r="BM411" s="82">
        <f t="shared" si="1021"/>
        <v>-122.02118130208893</v>
      </c>
      <c r="BN411" s="82">
        <f t="shared" si="1021"/>
        <v>-373.86793827130026</v>
      </c>
      <c r="BO411" s="82">
        <f t="shared" si="1021"/>
        <v>0</v>
      </c>
    </row>
    <row r="412" spans="1:67">
      <c r="A412" s="50">
        <f t="shared" si="986"/>
        <v>412</v>
      </c>
      <c r="C412" s="37" t="s">
        <v>156</v>
      </c>
      <c r="D412" s="17" t="s">
        <v>75</v>
      </c>
      <c r="E412" s="432">
        <f>PROFORMA!AV231*1000</f>
        <v>-4523000</v>
      </c>
      <c r="F412" s="60" t="str">
        <f>"as Pre-Tax Op Inc ("&amp;A$408&amp;")"</f>
        <v>as Pre-Tax Op Inc (408)</v>
      </c>
      <c r="G412" s="60"/>
      <c r="H412" s="2">
        <f>SUM(I412:N412)</f>
        <v>-4522999.9999999991</v>
      </c>
      <c r="I412" s="2">
        <f t="shared" si="1016"/>
        <v>-1348048.7166298493</v>
      </c>
      <c r="J412" s="2">
        <f t="shared" si="1016"/>
        <v>-2987121.4122506031</v>
      </c>
      <c r="K412" s="2">
        <f t="shared" si="1016"/>
        <v>0</v>
      </c>
      <c r="L412" s="2">
        <f t="shared" si="1016"/>
        <v>-26347.183394228934</v>
      </c>
      <c r="M412" s="2">
        <f t="shared" si="1016"/>
        <v>-161482.68772531781</v>
      </c>
      <c r="N412" s="2">
        <f t="shared" si="1016"/>
        <v>0</v>
      </c>
      <c r="O412" s="2"/>
      <c r="P412" s="61" t="str">
        <f>E$1&amp;$A412&amp;"*     """</f>
        <v>E412*     "</v>
      </c>
      <c r="Q412" s="61"/>
      <c r="R412" s="14">
        <f t="shared" si="1017"/>
        <v>-0.58163514434594488</v>
      </c>
      <c r="S412" s="14">
        <f t="shared" si="1017"/>
        <v>-7.8602169068474892E-2</v>
      </c>
      <c r="T412" s="14">
        <f t="shared" si="1017"/>
        <v>-4.8893907718830953E-2</v>
      </c>
      <c r="U412" s="14">
        <f t="shared" si="1017"/>
        <v>-0.32727970586377886</v>
      </c>
      <c r="V412" s="14">
        <f t="shared" si="1017"/>
        <v>-5.597014925373134E-3</v>
      </c>
      <c r="W412" s="14">
        <f t="shared" si="1017"/>
        <v>-1.0280340572475879</v>
      </c>
      <c r="X412" s="14">
        <f t="shared" si="1017"/>
        <v>0</v>
      </c>
      <c r="Y412" s="14">
        <f t="shared" si="1017"/>
        <v>0</v>
      </c>
      <c r="Z412" s="14">
        <f t="shared" si="1017"/>
        <v>0</v>
      </c>
      <c r="AA412" s="14">
        <f t="shared" si="1017"/>
        <v>0</v>
      </c>
      <c r="AB412" s="14">
        <f t="shared" si="1017"/>
        <v>-1.6212356846742186</v>
      </c>
      <c r="AC412" s="14">
        <f t="shared" si="1017"/>
        <v>-1.1441310334649719</v>
      </c>
      <c r="AD412" s="14">
        <f t="shared" si="1017"/>
        <v>-0.56612408352103349</v>
      </c>
      <c r="AE412" s="14">
        <f t="shared" si="1017"/>
        <v>0</v>
      </c>
      <c r="AF412" s="14">
        <f t="shared" si="1017"/>
        <v>-1.2699884452856509E-2</v>
      </c>
      <c r="AG412" s="14">
        <f t="shared" si="1017"/>
        <v>-0.17349119531394386</v>
      </c>
      <c r="AH412" s="14">
        <f t="shared" si="1017"/>
        <v>6.5877238805970153</v>
      </c>
      <c r="AI412" s="76">
        <f t="shared" si="966"/>
        <v>0</v>
      </c>
      <c r="AK412" s="2">
        <f>SUM(AL412:AO412)</f>
        <v>-4523000.0000000037</v>
      </c>
      <c r="AL412" s="2">
        <f t="shared" si="1018"/>
        <v>4713001.9213150274</v>
      </c>
      <c r="AM412" s="2">
        <f t="shared" si="1018"/>
        <v>4649798.0409308402</v>
      </c>
      <c r="AN412" s="2">
        <f t="shared" si="1018"/>
        <v>15910475.149694432</v>
      </c>
      <c r="AO412" s="2">
        <f t="shared" si="1018"/>
        <v>-29796275.111940302</v>
      </c>
      <c r="AP412" s="2"/>
      <c r="AQ412" s="61" t="str">
        <f>AS$1&amp;$A412&amp;", "&amp;BA$1&amp;$A412&amp;", "&amp;BI$1&amp;$A412</f>
        <v>AS412, BA412, BI412</v>
      </c>
      <c r="AS412" s="2">
        <f>SUM(AT412:AY412)</f>
        <v>-1533571.2918192712</v>
      </c>
      <c r="AT412" s="2">
        <f t="shared" si="1019"/>
        <v>-231703.56130228541</v>
      </c>
      <c r="AU412" s="2">
        <f t="shared" si="1019"/>
        <v>-1209759.1340570964</v>
      </c>
      <c r="AV412" s="2">
        <f t="shared" si="1019"/>
        <v>0</v>
      </c>
      <c r="AW412" s="2">
        <f t="shared" si="1019"/>
        <v>-12611.295549441313</v>
      </c>
      <c r="AX412" s="2">
        <f t="shared" si="1019"/>
        <v>-79497.30091044787</v>
      </c>
      <c r="AY412" s="2">
        <f t="shared" si="1019"/>
        <v>0</v>
      </c>
      <c r="BA412" s="2">
        <f>SUM(BB412:BG412)</f>
        <v>-1737337.9168716946</v>
      </c>
      <c r="BB412" s="2">
        <f t="shared" si="1020"/>
        <v>-312747.23723157955</v>
      </c>
      <c r="BC412" s="2">
        <f t="shared" si="1020"/>
        <v>-1339064.4344705958</v>
      </c>
      <c r="BD412" s="2">
        <f t="shared" si="1020"/>
        <v>0</v>
      </c>
      <c r="BE412" s="2">
        <f t="shared" si="1020"/>
        <v>-11227.243285563318</v>
      </c>
      <c r="BF412" s="2">
        <f t="shared" si="1020"/>
        <v>-74299.001883955934</v>
      </c>
      <c r="BG412" s="2">
        <f t="shared" si="1020"/>
        <v>0</v>
      </c>
      <c r="BI412" s="2">
        <f>SUM(BJ412:BO412)</f>
        <v>-1252090.7913090333</v>
      </c>
      <c r="BJ412" s="2">
        <f t="shared" si="1021"/>
        <v>-803597.9180959845</v>
      </c>
      <c r="BK412" s="2">
        <f t="shared" si="1021"/>
        <v>-438297.84372291039</v>
      </c>
      <c r="BL412" s="2">
        <f t="shared" si="1021"/>
        <v>0</v>
      </c>
      <c r="BM412" s="2">
        <f t="shared" si="1021"/>
        <v>-2508.6445592243103</v>
      </c>
      <c r="BN412" s="2">
        <f t="shared" si="1021"/>
        <v>-7686.3849309140496</v>
      </c>
      <c r="BO412" s="2">
        <f t="shared" si="1021"/>
        <v>0</v>
      </c>
    </row>
    <row r="413" spans="1:67">
      <c r="A413" s="50">
        <f t="shared" si="986"/>
        <v>413</v>
      </c>
      <c r="C413" s="37" t="s">
        <v>156</v>
      </c>
      <c r="D413" s="17" t="s">
        <v>387</v>
      </c>
      <c r="E413" s="432">
        <f>PROFORMA!AV233*1000</f>
        <v>-12000</v>
      </c>
      <c r="F413" s="60" t="str">
        <f>"as Pre-Tax Op Inc ("&amp;A$408&amp;")"</f>
        <v>as Pre-Tax Op Inc (408)</v>
      </c>
      <c r="G413" s="60"/>
      <c r="H413" s="2">
        <f>SUM(I413:N413)</f>
        <v>-11999.999999999998</v>
      </c>
      <c r="I413" s="2">
        <f t="shared" si="1016"/>
        <v>-3576.5166039261976</v>
      </c>
      <c r="J413" s="2">
        <f t="shared" si="1016"/>
        <v>-7925.1507731610081</v>
      </c>
      <c r="K413" s="2">
        <f t="shared" si="1016"/>
        <v>0</v>
      </c>
      <c r="L413" s="2">
        <f t="shared" si="1016"/>
        <v>-69.901879445223784</v>
      </c>
      <c r="M413" s="2">
        <f t="shared" si="1016"/>
        <v>-428.43074346756885</v>
      </c>
      <c r="N413" s="2">
        <f t="shared" si="1016"/>
        <v>0</v>
      </c>
      <c r="O413" s="2"/>
      <c r="P413" s="61" t="str">
        <f>E$1&amp;$A413&amp;"*     """</f>
        <v>E413*     "</v>
      </c>
      <c r="Q413" s="61"/>
      <c r="R413" s="14">
        <f t="shared" si="1017"/>
        <v>-0.58163514434594488</v>
      </c>
      <c r="S413" s="14">
        <f t="shared" si="1017"/>
        <v>-7.8602169068474892E-2</v>
      </c>
      <c r="T413" s="14">
        <f t="shared" si="1017"/>
        <v>-4.8893907718830953E-2</v>
      </c>
      <c r="U413" s="14">
        <f t="shared" si="1017"/>
        <v>-0.32727970586377886</v>
      </c>
      <c r="V413" s="14">
        <f t="shared" si="1017"/>
        <v>-5.597014925373134E-3</v>
      </c>
      <c r="W413" s="14">
        <f t="shared" si="1017"/>
        <v>-1.0280340572475879</v>
      </c>
      <c r="X413" s="14">
        <f t="shared" si="1017"/>
        <v>0</v>
      </c>
      <c r="Y413" s="14">
        <f t="shared" si="1017"/>
        <v>0</v>
      </c>
      <c r="Z413" s="14">
        <f t="shared" si="1017"/>
        <v>0</v>
      </c>
      <c r="AA413" s="14">
        <f t="shared" si="1017"/>
        <v>0</v>
      </c>
      <c r="AB413" s="14">
        <f t="shared" si="1017"/>
        <v>-1.6212356846742186</v>
      </c>
      <c r="AC413" s="14">
        <f t="shared" si="1017"/>
        <v>-1.1441310334649719</v>
      </c>
      <c r="AD413" s="14">
        <f t="shared" si="1017"/>
        <v>-0.56612408352103349</v>
      </c>
      <c r="AE413" s="14">
        <f t="shared" si="1017"/>
        <v>0</v>
      </c>
      <c r="AF413" s="14">
        <f t="shared" si="1017"/>
        <v>-1.2699884452856509E-2</v>
      </c>
      <c r="AG413" s="14">
        <f t="shared" si="1017"/>
        <v>-0.17349119531394386</v>
      </c>
      <c r="AH413" s="14">
        <f t="shared" si="1017"/>
        <v>6.5877238805970153</v>
      </c>
      <c r="AI413" s="76">
        <f t="shared" si="966"/>
        <v>0</v>
      </c>
      <c r="AK413" s="2">
        <f>SUM(AL413:AO413)</f>
        <v>-12000</v>
      </c>
      <c r="AL413" s="2">
        <f t="shared" si="1018"/>
        <v>12504.095303068832</v>
      </c>
      <c r="AM413" s="2">
        <f t="shared" si="1018"/>
        <v>12336.408686971055</v>
      </c>
      <c r="AN413" s="2">
        <f t="shared" si="1018"/>
        <v>42212.182577124295</v>
      </c>
      <c r="AO413" s="2">
        <f t="shared" si="1018"/>
        <v>-79052.686567164186</v>
      </c>
      <c r="AP413" s="2"/>
      <c r="AQ413" s="61" t="str">
        <f>AS$1&amp;$A413&amp;", "&amp;BA$1&amp;$A413&amp;", "&amp;BI$1&amp;$A413</f>
        <v>AS413, BA413, BI413</v>
      </c>
      <c r="AS413" s="2">
        <f>SUM(AT413:AY413)</f>
        <v>-4068.727725366185</v>
      </c>
      <c r="AT413" s="2">
        <f t="shared" si="1019"/>
        <v>-614.73418873036155</v>
      </c>
      <c r="AU413" s="2">
        <f t="shared" si="1019"/>
        <v>-3209.6196349071765</v>
      </c>
      <c r="AV413" s="2">
        <f t="shared" si="1019"/>
        <v>0</v>
      </c>
      <c r="AW413" s="2">
        <f t="shared" si="1019"/>
        <v>-33.45910824525663</v>
      </c>
      <c r="AX413" s="2">
        <f t="shared" si="1019"/>
        <v>-210.91479348339035</v>
      </c>
      <c r="AY413" s="2">
        <f t="shared" si="1019"/>
        <v>0</v>
      </c>
      <c r="BA413" s="2">
        <f>SUM(BB413:BG413)</f>
        <v>-4609.3422512625102</v>
      </c>
      <c r="BB413" s="2">
        <f t="shared" si="1020"/>
        <v>-829.7516795885374</v>
      </c>
      <c r="BC413" s="2">
        <f t="shared" si="1020"/>
        <v>-3552.6803479211035</v>
      </c>
      <c r="BD413" s="2">
        <f t="shared" si="1020"/>
        <v>0</v>
      </c>
      <c r="BE413" s="2">
        <f t="shared" si="1020"/>
        <v>-29.787070401671411</v>
      </c>
      <c r="BF413" s="2">
        <f t="shared" si="1020"/>
        <v>-197.1231533511986</v>
      </c>
      <c r="BG413" s="2">
        <f t="shared" si="1020"/>
        <v>0</v>
      </c>
      <c r="BI413" s="2">
        <f>SUM(BJ413:BO413)</f>
        <v>-3321.930023371302</v>
      </c>
      <c r="BJ413" s="2">
        <f t="shared" si="1021"/>
        <v>-2132.0307356072994</v>
      </c>
      <c r="BK413" s="2">
        <f t="shared" si="1021"/>
        <v>-1162.850790332727</v>
      </c>
      <c r="BL413" s="2">
        <f t="shared" si="1021"/>
        <v>0</v>
      </c>
      <c r="BM413" s="2">
        <f t="shared" si="1021"/>
        <v>-6.6557007982957597</v>
      </c>
      <c r="BN413" s="2">
        <f t="shared" si="1021"/>
        <v>-20.392796632980016</v>
      </c>
      <c r="BO413" s="2">
        <f t="shared" si="1021"/>
        <v>0</v>
      </c>
    </row>
    <row r="414" spans="1:67">
      <c r="A414" s="50">
        <f t="shared" si="986"/>
        <v>414</v>
      </c>
      <c r="C414" s="37" t="s">
        <v>156</v>
      </c>
      <c r="D414" s="17" t="s">
        <v>76</v>
      </c>
      <c r="E414" s="432">
        <f>PROFORMA!AV234*1000</f>
        <v>7246000</v>
      </c>
      <c r="F414" s="60" t="str">
        <f>"as Pre-Tax Op Inc ("&amp;A$408&amp;")"</f>
        <v>as Pre-Tax Op Inc (408)</v>
      </c>
      <c r="G414" s="60"/>
      <c r="H414" s="2">
        <f>SUM(I414:N414)</f>
        <v>7245999.9999999991</v>
      </c>
      <c r="I414" s="2">
        <f t="shared" si="1016"/>
        <v>2159619.9426707691</v>
      </c>
      <c r="J414" s="2">
        <f t="shared" si="1016"/>
        <v>4785470.2085270556</v>
      </c>
      <c r="K414" s="2">
        <f t="shared" si="1016"/>
        <v>0</v>
      </c>
      <c r="L414" s="2">
        <f t="shared" si="1016"/>
        <v>42209.084871674298</v>
      </c>
      <c r="M414" s="2">
        <f t="shared" si="1016"/>
        <v>258700.76393050031</v>
      </c>
      <c r="N414" s="2">
        <f t="shared" si="1016"/>
        <v>0</v>
      </c>
      <c r="O414" s="2"/>
      <c r="P414" s="61" t="str">
        <f>E$1&amp;$A414&amp;"*     """</f>
        <v>E414*     "</v>
      </c>
      <c r="Q414" s="61"/>
      <c r="R414" s="14">
        <f t="shared" si="1017"/>
        <v>-0.58163514434594488</v>
      </c>
      <c r="S414" s="14">
        <f t="shared" si="1017"/>
        <v>-7.8602169068474892E-2</v>
      </c>
      <c r="T414" s="14">
        <f t="shared" si="1017"/>
        <v>-4.8893907718830953E-2</v>
      </c>
      <c r="U414" s="14">
        <f t="shared" si="1017"/>
        <v>-0.32727970586377886</v>
      </c>
      <c r="V414" s="14">
        <f t="shared" si="1017"/>
        <v>-5.597014925373134E-3</v>
      </c>
      <c r="W414" s="14">
        <f t="shared" si="1017"/>
        <v>-1.0280340572475879</v>
      </c>
      <c r="X414" s="14">
        <f t="shared" si="1017"/>
        <v>0</v>
      </c>
      <c r="Y414" s="14">
        <f t="shared" si="1017"/>
        <v>0</v>
      </c>
      <c r="Z414" s="14">
        <f t="shared" si="1017"/>
        <v>0</v>
      </c>
      <c r="AA414" s="14">
        <f t="shared" si="1017"/>
        <v>0</v>
      </c>
      <c r="AB414" s="14">
        <f t="shared" si="1017"/>
        <v>-1.6212356846742186</v>
      </c>
      <c r="AC414" s="14">
        <f t="shared" si="1017"/>
        <v>-1.1441310334649719</v>
      </c>
      <c r="AD414" s="14">
        <f t="shared" si="1017"/>
        <v>-0.56612408352103349</v>
      </c>
      <c r="AE414" s="14">
        <f t="shared" si="1017"/>
        <v>0</v>
      </c>
      <c r="AF414" s="14">
        <f t="shared" si="1017"/>
        <v>-1.2699884452856509E-2</v>
      </c>
      <c r="AG414" s="14">
        <f t="shared" si="1017"/>
        <v>-0.17349119531394386</v>
      </c>
      <c r="AH414" s="14">
        <f t="shared" si="1017"/>
        <v>6.5877238805970153</v>
      </c>
      <c r="AI414" s="76">
        <f t="shared" si="966"/>
        <v>0</v>
      </c>
      <c r="AK414" s="2">
        <f>SUM(AL414:AO414)</f>
        <v>7246000</v>
      </c>
      <c r="AL414" s="2">
        <f t="shared" si="1018"/>
        <v>-7550389.5471697291</v>
      </c>
      <c r="AM414" s="2">
        <f t="shared" si="1018"/>
        <v>-7449134.778816022</v>
      </c>
      <c r="AN414" s="2">
        <f t="shared" si="1018"/>
        <v>-25489122.91282022</v>
      </c>
      <c r="AO414" s="2">
        <f t="shared" si="1018"/>
        <v>47734647.238805972</v>
      </c>
      <c r="AP414" s="2"/>
      <c r="AQ414" s="61" t="str">
        <f>AS$1&amp;$A414&amp;", "&amp;BA$1&amp;$A414&amp;", "&amp;BI$1&amp;$A414</f>
        <v>AS414, BA414, BI414</v>
      </c>
      <c r="AS414" s="2">
        <f>SUM(AT414:AY414)</f>
        <v>2456833.4248336148</v>
      </c>
      <c r="AT414" s="2">
        <f t="shared" si="1019"/>
        <v>371196.99429501663</v>
      </c>
      <c r="AU414" s="2">
        <f t="shared" si="1019"/>
        <v>1938075.3228781167</v>
      </c>
      <c r="AV414" s="2">
        <f t="shared" si="1019"/>
        <v>0</v>
      </c>
      <c r="AW414" s="2">
        <f t="shared" si="1019"/>
        <v>20203.724862094128</v>
      </c>
      <c r="AX414" s="2">
        <f t="shared" si="1019"/>
        <v>127357.3827983872</v>
      </c>
      <c r="AY414" s="2">
        <f t="shared" si="1019"/>
        <v>0</v>
      </c>
      <c r="BA414" s="2">
        <f>SUM(BB414:BG414)</f>
        <v>2783274.4960540128</v>
      </c>
      <c r="BB414" s="2">
        <f t="shared" si="1020"/>
        <v>501031.72252487851</v>
      </c>
      <c r="BC414" s="2">
        <f t="shared" si="1020"/>
        <v>2145226.8167530261</v>
      </c>
      <c r="BD414" s="2">
        <f t="shared" si="1020"/>
        <v>0</v>
      </c>
      <c r="BE414" s="2">
        <f t="shared" si="1020"/>
        <v>17986.426010875923</v>
      </c>
      <c r="BF414" s="2">
        <f t="shared" si="1020"/>
        <v>119029.53076523209</v>
      </c>
      <c r="BG414" s="2">
        <f t="shared" si="1020"/>
        <v>0</v>
      </c>
      <c r="BI414" s="2">
        <f>SUM(BJ414:BO414)</f>
        <v>2005892.0791123714</v>
      </c>
      <c r="BJ414" s="2">
        <f t="shared" si="1021"/>
        <v>1287391.2258508743</v>
      </c>
      <c r="BK414" s="2">
        <f t="shared" si="1021"/>
        <v>702168.0688959118</v>
      </c>
      <c r="BL414" s="2">
        <f t="shared" si="1021"/>
        <v>0</v>
      </c>
      <c r="BM414" s="2">
        <f t="shared" si="1021"/>
        <v>4018.9339987042563</v>
      </c>
      <c r="BN414" s="2">
        <f t="shared" si="1021"/>
        <v>12313.850366881099</v>
      </c>
      <c r="BO414" s="2">
        <f t="shared" si="1021"/>
        <v>0</v>
      </c>
    </row>
    <row r="415" spans="1:67">
      <c r="A415" s="50">
        <f t="shared" si="986"/>
        <v>415</v>
      </c>
      <c r="C415" s="37"/>
      <c r="D415" s="59" t="s">
        <v>218</v>
      </c>
      <c r="E415" s="40">
        <f>SUM(E410:E414)</f>
        <v>2491000</v>
      </c>
      <c r="F415" s="60"/>
      <c r="G415" s="60"/>
      <c r="H415" s="4">
        <f>IF(ROUND(SUM(H411:H414),3)&lt;&gt;ROUND(SUM(I415:N415),3),#VALUE!,SUM(H411:H414))</f>
        <v>2491000</v>
      </c>
      <c r="I415" s="40">
        <f t="shared" ref="I415:N415" si="1022">SUM(I410:I414)</f>
        <v>742425.23836501339</v>
      </c>
      <c r="J415" s="40">
        <f t="shared" si="1022"/>
        <v>1645129.2146620061</v>
      </c>
      <c r="K415" s="40">
        <f t="shared" si="1022"/>
        <v>0</v>
      </c>
      <c r="L415" s="40">
        <f t="shared" si="1022"/>
        <v>14510.46514150437</v>
      </c>
      <c r="M415" s="40">
        <f t="shared" si="1022"/>
        <v>88935.081831476185</v>
      </c>
      <c r="N415" s="40">
        <f t="shared" si="1022"/>
        <v>0</v>
      </c>
      <c r="O415" s="41"/>
      <c r="P415" s="61" t="str">
        <f>$A410&amp;":"&amp;$A414</f>
        <v>410:414</v>
      </c>
      <c r="Q415" s="61"/>
      <c r="R415" s="16">
        <f>SUMPRODUCT($E$411:$E$414,R$411:R$414)/$E415</f>
        <v>-0.58163514434594477</v>
      </c>
      <c r="S415" s="16">
        <f t="shared" ref="S415:AH415" si="1023">SUMPRODUCT($E$411:$E$414,S$411:S$414)/$E415</f>
        <v>-7.8602169068474864E-2</v>
      </c>
      <c r="T415" s="16">
        <f t="shared" si="1023"/>
        <v>-4.8893907718830946E-2</v>
      </c>
      <c r="U415" s="16">
        <f t="shared" si="1023"/>
        <v>-0.32727970586377902</v>
      </c>
      <c r="V415" s="16">
        <f t="shared" si="1023"/>
        <v>-5.5970149253731331E-3</v>
      </c>
      <c r="W415" s="16">
        <f t="shared" si="1023"/>
        <v>-1.0280340572475877</v>
      </c>
      <c r="X415" s="16">
        <f t="shared" si="1023"/>
        <v>0</v>
      </c>
      <c r="Y415" s="16">
        <f t="shared" si="1023"/>
        <v>0</v>
      </c>
      <c r="Z415" s="16">
        <f t="shared" si="1023"/>
        <v>0</v>
      </c>
      <c r="AA415" s="16">
        <f t="shared" si="1023"/>
        <v>0</v>
      </c>
      <c r="AB415" s="16">
        <f t="shared" si="1023"/>
        <v>-1.6212356846742182</v>
      </c>
      <c r="AC415" s="16">
        <f t="shared" si="1023"/>
        <v>-1.1441310334649719</v>
      </c>
      <c r="AD415" s="16">
        <f t="shared" si="1023"/>
        <v>-0.56612408352103361</v>
      </c>
      <c r="AE415" s="16">
        <f t="shared" si="1023"/>
        <v>0</v>
      </c>
      <c r="AF415" s="16">
        <f t="shared" si="1023"/>
        <v>-1.2699884452856507E-2</v>
      </c>
      <c r="AG415" s="16">
        <f t="shared" si="1023"/>
        <v>-0.17349119531394389</v>
      </c>
      <c r="AH415" s="16">
        <f t="shared" si="1023"/>
        <v>6.5877238805970135</v>
      </c>
      <c r="AI415" s="76">
        <f t="shared" ref="AI415:AI433" si="1024">IF(SUM(R415:AH415)&lt;&gt;0,(ROUND(SUM(R415:AH415),8)&lt;&gt;1)+0,0)</f>
        <v>0</v>
      </c>
      <c r="AK415" s="4">
        <f>IF(ROUND(SUM(AK411:AK414),3)&lt;&gt;ROUND(SUM(AL415:AO415),3),#VALUE!,SUM(AK411:AK414))</f>
        <v>2490999.9999999963</v>
      </c>
      <c r="AL415" s="40">
        <f>SUM(AL410:AL414)</f>
        <v>-2595641.7833287045</v>
      </c>
      <c r="AM415" s="40">
        <f>SUM(AM410:AM414)</f>
        <v>-2560832.8366037412</v>
      </c>
      <c r="AN415" s="40">
        <f>SUM(AN410:AN414)</f>
        <v>-8762545.5666347202</v>
      </c>
      <c r="AO415" s="40">
        <f>SUM(AO410:AO414)</f>
        <v>16410020.186567161</v>
      </c>
      <c r="AP415" s="41"/>
      <c r="AQ415" s="61" t="str">
        <f>$A410&amp;":"&amp;$A414</f>
        <v>410:414</v>
      </c>
      <c r="AS415" s="4">
        <f>IF(ROUND(SUM(AS411:AS414),3)&lt;&gt;ROUND(SUM(AT415:AY415),3),#VALUE!,SUM(AS411:AS414))</f>
        <v>844600.06365726423</v>
      </c>
      <c r="AT415" s="40">
        <f t="shared" ref="AT415:AY415" si="1025">SUM(AT410:AT414)</f>
        <v>127608.57201061089</v>
      </c>
      <c r="AU415" s="40">
        <f t="shared" si="1025"/>
        <v>666263.54254614818</v>
      </c>
      <c r="AV415" s="40">
        <f t="shared" si="1025"/>
        <v>0</v>
      </c>
      <c r="AW415" s="40">
        <f t="shared" si="1025"/>
        <v>6945.5532199111876</v>
      </c>
      <c r="AX415" s="40">
        <f t="shared" si="1025"/>
        <v>43782.395880593787</v>
      </c>
      <c r="AY415" s="40">
        <f t="shared" si="1025"/>
        <v>0</v>
      </c>
      <c r="BA415" s="4">
        <f>IF(ROUND(SUM(BA411:BA414),3)&lt;&gt;ROUND(SUM(BB415:BG415),3),#VALUE!,SUM(BA411:BA414))</f>
        <v>956822.6289912432</v>
      </c>
      <c r="BB415" s="40">
        <f t="shared" ref="BB415:BG415" si="1026">SUM(BB410:BB414)</f>
        <v>172242.6194879206</v>
      </c>
      <c r="BC415" s="40">
        <f t="shared" si="1026"/>
        <v>737477.22888928908</v>
      </c>
      <c r="BD415" s="40">
        <f t="shared" si="1026"/>
        <v>0</v>
      </c>
      <c r="BE415" s="40">
        <f t="shared" si="1026"/>
        <v>6183.2993642136244</v>
      </c>
      <c r="BF415" s="40">
        <f t="shared" si="1026"/>
        <v>40919.481249819641</v>
      </c>
      <c r="BG415" s="40">
        <f t="shared" si="1026"/>
        <v>0</v>
      </c>
      <c r="BI415" s="4">
        <f>IF(ROUND(SUM(BI411:BI414),3)&lt;&gt;ROUND(SUM(BJ415:BO415),3),#VALUE!,SUM(BI411:BI414))</f>
        <v>689577.30735149304</v>
      </c>
      <c r="BJ415" s="40">
        <f t="shared" ref="BJ415:BO415" si="1027">SUM(BJ410:BJ414)</f>
        <v>442574.04686648212</v>
      </c>
      <c r="BK415" s="40">
        <f t="shared" si="1027"/>
        <v>241388.44322656869</v>
      </c>
      <c r="BL415" s="40">
        <f t="shared" si="1027"/>
        <v>0</v>
      </c>
      <c r="BM415" s="40">
        <f t="shared" si="1027"/>
        <v>1381.6125573795616</v>
      </c>
      <c r="BN415" s="40">
        <f t="shared" si="1027"/>
        <v>4233.2047010627693</v>
      </c>
      <c r="BO415" s="40">
        <f t="shared" si="1027"/>
        <v>0</v>
      </c>
    </row>
    <row r="416" spans="1:67">
      <c r="A416" s="50">
        <f t="shared" si="986"/>
        <v>416</v>
      </c>
      <c r="E416" s="2"/>
      <c r="F416" s="60"/>
      <c r="G416" s="60"/>
      <c r="P416" s="61"/>
      <c r="Q416" s="61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76">
        <f t="shared" si="1024"/>
        <v>0</v>
      </c>
      <c r="AQ416" s="61"/>
    </row>
    <row r="417" spans="1:72">
      <c r="A417" s="50">
        <f t="shared" si="986"/>
        <v>417</v>
      </c>
      <c r="C417" s="34"/>
      <c r="D417" s="1" t="s">
        <v>77</v>
      </c>
      <c r="E417" s="21">
        <f>E406+E415</f>
        <v>82147000</v>
      </c>
      <c r="F417" s="60" t="str">
        <f>"("&amp;A$406&amp;"+"&amp;A$415&amp;")"</f>
        <v>(406+415)</v>
      </c>
      <c r="G417" s="60"/>
      <c r="H417" s="2">
        <f t="shared" ref="H417:N417" si="1028">H406+H415</f>
        <v>82147000.029313043</v>
      </c>
      <c r="I417" s="2">
        <f t="shared" si="1028"/>
        <v>68768235.495891795</v>
      </c>
      <c r="J417" s="2">
        <f t="shared" si="1028"/>
        <v>10511792.370182261</v>
      </c>
      <c r="K417" s="2">
        <f t="shared" si="1028"/>
        <v>0</v>
      </c>
      <c r="L417" s="2">
        <f t="shared" si="1028"/>
        <v>125630.03275634168</v>
      </c>
      <c r="M417" s="2">
        <f t="shared" si="1028"/>
        <v>2741342.1304826397</v>
      </c>
      <c r="N417" s="2">
        <f t="shared" si="1028"/>
        <v>0</v>
      </c>
      <c r="O417" s="2"/>
      <c r="P417" s="61" t="str">
        <f>$A406&amp;"+"&amp;$A415</f>
        <v>406+415</v>
      </c>
      <c r="Q417" s="61"/>
      <c r="R417" s="14">
        <f>($E406*R406+$E415*R415)/$E417</f>
        <v>7.4783208459222872E-2</v>
      </c>
      <c r="S417" s="14">
        <f t="shared" ref="S417:AH417" si="1029">($E406*S406+$E415*S415)/$E417</f>
        <v>1.1674033886678066E-2</v>
      </c>
      <c r="T417" s="14">
        <f t="shared" si="1029"/>
        <v>4.8040229843095486E-3</v>
      </c>
      <c r="U417" s="14">
        <f>($E406*U406+$E415*U415)/$E417</f>
        <v>3.2160152769402872E-2</v>
      </c>
      <c r="V417" s="14">
        <f>($E406*V406+$E415*V415)/$E417</f>
        <v>8.5283498875059996E-4</v>
      </c>
      <c r="W417" s="14">
        <f t="shared" si="1029"/>
        <v>0.13129350094744716</v>
      </c>
      <c r="X417" s="14">
        <f t="shared" si="1029"/>
        <v>0</v>
      </c>
      <c r="Y417" s="14">
        <f>($E406*Y406+$E415*Y415)/$E417</f>
        <v>0</v>
      </c>
      <c r="Z417" s="14">
        <f t="shared" si="1029"/>
        <v>0</v>
      </c>
      <c r="AA417" s="14">
        <f t="shared" si="1029"/>
        <v>0</v>
      </c>
      <c r="AB417" s="14">
        <f t="shared" si="1029"/>
        <v>0.2377294821675339</v>
      </c>
      <c r="AC417" s="14">
        <f t="shared" si="1029"/>
        <v>0.15030538581971914</v>
      </c>
      <c r="AD417" s="14">
        <f t="shared" si="1029"/>
        <v>7.4812375595652791E-2</v>
      </c>
      <c r="AE417" s="14">
        <f t="shared" si="1029"/>
        <v>0</v>
      </c>
      <c r="AF417" s="14">
        <f t="shared" si="1029"/>
        <v>1.6198956940013665E-3</v>
      </c>
      <c r="AG417" s="14">
        <f>($E406*AG406+$E415*AG415)/$E417</f>
        <v>2.4892368954106243E-2</v>
      </c>
      <c r="AH417" s="14">
        <f t="shared" si="1029"/>
        <v>0.2550727377331754</v>
      </c>
      <c r="AI417" s="76">
        <f t="shared" si="1024"/>
        <v>0</v>
      </c>
      <c r="AK417" s="2">
        <f>AK406+AK415</f>
        <v>82147000</v>
      </c>
      <c r="AL417" s="2">
        <f>AL406+AL415</f>
        <v>10208757.068449834</v>
      </c>
      <c r="AM417" s="2">
        <f>AM406+AM415</f>
        <v>10785367.222329941</v>
      </c>
      <c r="AN417" s="2">
        <f>AN406+AN415</f>
        <v>40199415.522653051</v>
      </c>
      <c r="AO417" s="2">
        <f>AO406+AO415</f>
        <v>20953460.186567161</v>
      </c>
      <c r="AP417" s="2"/>
      <c r="AQ417" s="61" t="str">
        <f>$A406&amp;"+"&amp;$A415</f>
        <v>406+415</v>
      </c>
      <c r="AS417" s="2">
        <f>AS406+AS415</f>
        <v>13648998.915435806</v>
      </c>
      <c r="AT417" s="2">
        <f t="shared" ref="AT417:AY417" si="1030">AT406+AT415</f>
        <v>8274924.5628398275</v>
      </c>
      <c r="AU417" s="2">
        <f t="shared" si="1030"/>
        <v>4026369.3533399478</v>
      </c>
      <c r="AV417" s="2">
        <f t="shared" si="1030"/>
        <v>0</v>
      </c>
      <c r="AW417" s="2">
        <f t="shared" si="1030"/>
        <v>59348.953965771871</v>
      </c>
      <c r="AX417" s="2">
        <f t="shared" si="1030"/>
        <v>1288356.0452902569</v>
      </c>
      <c r="AY417" s="2">
        <f t="shared" si="1030"/>
        <v>0</v>
      </c>
      <c r="BA417" s="2">
        <f>BA406+BA415</f>
        <v>14303022.687924923</v>
      </c>
      <c r="BB417" s="2">
        <f t="shared" ref="BB417:BG417" si="1031">BB406+BB415</f>
        <v>9285137.8042333871</v>
      </c>
      <c r="BC417" s="2">
        <f t="shared" si="1031"/>
        <v>3821962.5857972885</v>
      </c>
      <c r="BD417" s="2">
        <f t="shared" si="1031"/>
        <v>0</v>
      </c>
      <c r="BE417" s="2">
        <f t="shared" si="1031"/>
        <v>44933.019672714858</v>
      </c>
      <c r="BF417" s="2">
        <f t="shared" si="1031"/>
        <v>1150989.2782215341</v>
      </c>
      <c r="BG417" s="2">
        <f t="shared" si="1031"/>
        <v>0</v>
      </c>
      <c r="BI417" s="2">
        <f>BI406+BI415</f>
        <v>49651538.396639265</v>
      </c>
      <c r="BJ417" s="2">
        <f t="shared" ref="BJ417:BO417" si="1032">BJ406+BJ415</f>
        <v>47716693.790813841</v>
      </c>
      <c r="BK417" s="2">
        <f t="shared" si="1032"/>
        <v>1778359.718959687</v>
      </c>
      <c r="BL417" s="2">
        <f t="shared" si="1032"/>
        <v>0</v>
      </c>
      <c r="BM417" s="2">
        <f t="shared" si="1032"/>
        <v>11814.794985101682</v>
      </c>
      <c r="BN417" s="2">
        <f t="shared" si="1032"/>
        <v>144670.09188064298</v>
      </c>
      <c r="BO417" s="2">
        <f t="shared" si="1032"/>
        <v>0</v>
      </c>
    </row>
    <row r="418" spans="1:72" ht="14.4">
      <c r="A418" s="50">
        <f t="shared" si="986"/>
        <v>418</v>
      </c>
      <c r="C418" s="38"/>
      <c r="D418" s="24"/>
      <c r="E418" s="462">
        <f>E417/1000-PROFORMA!AV236</f>
        <v>0</v>
      </c>
      <c r="F418" s="60"/>
      <c r="G418" s="60"/>
      <c r="H418" s="33">
        <f>H417-E417</f>
        <v>2.9313042759895325E-2</v>
      </c>
      <c r="P418" s="61"/>
      <c r="Q418" s="61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76">
        <f t="shared" si="1024"/>
        <v>0</v>
      </c>
      <c r="AL418" s="2"/>
      <c r="AM418" s="2"/>
      <c r="AN418" s="2"/>
      <c r="AQ418" s="61"/>
    </row>
    <row r="419" spans="1:72">
      <c r="A419" s="50">
        <f t="shared" si="986"/>
        <v>419</v>
      </c>
      <c r="C419" s="34"/>
      <c r="D419" s="1" t="s">
        <v>78</v>
      </c>
      <c r="E419" s="9"/>
      <c r="F419" s="60"/>
      <c r="G419" s="60"/>
      <c r="P419" s="61"/>
      <c r="Q419" s="61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76">
        <f t="shared" si="1024"/>
        <v>0</v>
      </c>
      <c r="AQ419" s="61"/>
    </row>
    <row r="420" spans="1:72">
      <c r="A420" s="50">
        <f t="shared" si="986"/>
        <v>420</v>
      </c>
      <c r="B420" s="51" t="s">
        <v>388</v>
      </c>
      <c r="D420" s="28" t="s">
        <v>389</v>
      </c>
      <c r="E420" s="432">
        <f>-PROFORMA!AV390*1000</f>
        <v>-103412000</v>
      </c>
      <c r="F420" s="60" t="s">
        <v>452</v>
      </c>
      <c r="G420" s="62"/>
      <c r="H420" s="2">
        <f>SUM(I420:N420)</f>
        <v>-103411999.99999999</v>
      </c>
      <c r="I420" s="2">
        <f t="shared" ref="I420:N420" si="1033">$E420*SUMPRODUCT($R420:$AH420,INDEX(AllocFactors,I$4,0))</f>
        <v>-79468609.307138771</v>
      </c>
      <c r="J420" s="2">
        <f t="shared" si="1033"/>
        <v>-20145536.166025911</v>
      </c>
      <c r="K420" s="2">
        <f t="shared" si="1033"/>
        <v>0</v>
      </c>
      <c r="L420" s="2">
        <f t="shared" si="1033"/>
        <v>-216984.02763022837</v>
      </c>
      <c r="M420" s="2">
        <f>$E420*SUMPRODUCT($R420:$AH420,INDEX(AllocFactors,M$4,0))</f>
        <v>-3580870.4992050868</v>
      </c>
      <c r="N420" s="2">
        <f t="shared" si="1033"/>
        <v>0</v>
      </c>
      <c r="O420" s="5"/>
      <c r="P420" s="61" t="str">
        <f>E$1&amp;$A420&amp;"* Sum["&amp;$R$1&amp;$A420&amp;":"&amp;$AH$1&amp;$A420&amp;"* "&amp;Factors!D$1&amp;Factors!$A$58&amp;":"&amp;Factors!S$1&amp;Factors!$A$64&amp;"]"</f>
        <v>E420* Sum[R420:AH420* D1040:S1046]</v>
      </c>
      <c r="Q420" s="61"/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1</v>
      </c>
      <c r="AI420" s="76">
        <f t="shared" si="1024"/>
        <v>0</v>
      </c>
      <c r="AJ420" s="86"/>
      <c r="AK420" s="2">
        <f>SUM(AL420:AO420)</f>
        <v>-103412000</v>
      </c>
      <c r="AL420" s="2">
        <f>SUMIF($R$4:$AH$4,AL$5,$R420:$AH420)*$E420</f>
        <v>0</v>
      </c>
      <c r="AM420" s="2">
        <f>SUMIF($R$4:$AH$4,AM$5,$R420:$AH420)*$E420</f>
        <v>0</v>
      </c>
      <c r="AN420" s="2">
        <f>SUMIF($R$4:$AH$4,AN$5,$R420:$AH420)*$E420</f>
        <v>0</v>
      </c>
      <c r="AO420" s="2">
        <f>SUMIF($R$4:$AH$4,AO$5,$R420:$AH420)*$E420</f>
        <v>-103412000</v>
      </c>
      <c r="AP420" s="5"/>
      <c r="AQ420" s="61" t="str">
        <f>E$1&amp;$A420&amp;"*["&amp;R$1&amp;$A420&amp;":"&amp;$AH$1&amp;$A420&amp;" when "&amp;R$1&amp;$A$4&amp;":"&amp;$AH$1&amp;$A$4&amp;" = E,D,C,or R]"</f>
        <v>E420*[R420:AH420 when R4:AH4 = E,D,C,or R]</v>
      </c>
      <c r="AR420" s="86"/>
      <c r="AS420" s="2">
        <f>SUM(AT420:AY420)</f>
        <v>0</v>
      </c>
      <c r="AT420" s="2">
        <f t="shared" ref="AT420:AY420" si="1034">$E420*SUMPRODUCT($R420:$V420,INDEX(AllocFactors_E,AT$4,0))</f>
        <v>0</v>
      </c>
      <c r="AU420" s="2">
        <f t="shared" si="1034"/>
        <v>0</v>
      </c>
      <c r="AV420" s="2">
        <f t="shared" si="1034"/>
        <v>0</v>
      </c>
      <c r="AW420" s="2">
        <f t="shared" si="1034"/>
        <v>0</v>
      </c>
      <c r="AX420" s="2">
        <f t="shared" si="1034"/>
        <v>0</v>
      </c>
      <c r="AY420" s="2">
        <f t="shared" si="1034"/>
        <v>0</v>
      </c>
      <c r="AZ420" s="86"/>
      <c r="BA420" s="2">
        <f>SUM(BB420:BG420)</f>
        <v>0</v>
      </c>
      <c r="BB420" s="2">
        <f t="shared" ref="BB420:BG420" si="1035">$E420*SUMPRODUCT($W420:$AA420,INDEX(AllocFactors_D,BB$4,0))</f>
        <v>0</v>
      </c>
      <c r="BC420" s="2">
        <f t="shared" si="1035"/>
        <v>0</v>
      </c>
      <c r="BD420" s="2">
        <f t="shared" si="1035"/>
        <v>0</v>
      </c>
      <c r="BE420" s="2">
        <f t="shared" si="1035"/>
        <v>0</v>
      </c>
      <c r="BF420" s="2">
        <f t="shared" si="1035"/>
        <v>0</v>
      </c>
      <c r="BG420" s="2">
        <f t="shared" si="1035"/>
        <v>0</v>
      </c>
      <c r="BH420" s="86"/>
      <c r="BI420" s="2">
        <f>SUM(BJ420:BO420)</f>
        <v>0</v>
      </c>
      <c r="BJ420" s="2">
        <f t="shared" ref="BJ420:BO420" si="1036">$E420*SUMPRODUCT($AB420:$AG420,INDEX(AllocFactors_C,BJ$4,0))</f>
        <v>0</v>
      </c>
      <c r="BK420" s="2">
        <f t="shared" si="1036"/>
        <v>0</v>
      </c>
      <c r="BL420" s="2">
        <f t="shared" si="1036"/>
        <v>0</v>
      </c>
      <c r="BM420" s="2">
        <f t="shared" si="1036"/>
        <v>0</v>
      </c>
      <c r="BN420" s="2">
        <f t="shared" si="1036"/>
        <v>0</v>
      </c>
      <c r="BO420" s="2">
        <f t="shared" si="1036"/>
        <v>0</v>
      </c>
    </row>
    <row r="421" spans="1:72">
      <c r="A421" s="50">
        <f t="shared" si="986"/>
        <v>421</v>
      </c>
      <c r="B421" s="51"/>
      <c r="E421" s="5"/>
      <c r="F421" s="60"/>
      <c r="G421" s="60"/>
      <c r="P421" s="61"/>
      <c r="Q421" s="61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76">
        <f t="shared" si="1024"/>
        <v>0</v>
      </c>
      <c r="AQ421" s="61"/>
    </row>
    <row r="422" spans="1:72">
      <c r="A422" s="50">
        <f t="shared" si="986"/>
        <v>422</v>
      </c>
      <c r="B422" s="51"/>
      <c r="D422" t="s">
        <v>79</v>
      </c>
      <c r="E422" s="2"/>
      <c r="F422" s="60"/>
      <c r="G422" s="60"/>
      <c r="P422" s="61"/>
      <c r="Q422" s="61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76">
        <f t="shared" si="1024"/>
        <v>0</v>
      </c>
      <c r="AQ422" s="61"/>
    </row>
    <row r="423" spans="1:72">
      <c r="A423" s="50">
        <f t="shared" si="986"/>
        <v>423</v>
      </c>
      <c r="B423" s="81" t="s">
        <v>394</v>
      </c>
      <c r="C423" s="36" t="s">
        <v>154</v>
      </c>
      <c r="D423" s="28" t="s">
        <v>390</v>
      </c>
      <c r="E423" s="432">
        <f>PROFORMA!AV393</f>
        <v>0</v>
      </c>
      <c r="F423" s="60" t="s">
        <v>453</v>
      </c>
      <c r="G423" s="60"/>
      <c r="H423" s="2">
        <f t="shared" ref="H423:H428" si="1037">SUM(I423:N423)</f>
        <v>0</v>
      </c>
      <c r="I423" s="2">
        <f t="shared" ref="I423:N428" si="1038">$E423*SUMPRODUCT($R423:$AH423,INDEX(AllocFactors,I$4,0))</f>
        <v>0</v>
      </c>
      <c r="J423" s="2">
        <f t="shared" si="1038"/>
        <v>0</v>
      </c>
      <c r="K423" s="2">
        <f t="shared" si="1038"/>
        <v>0</v>
      </c>
      <c r="L423" s="2">
        <f t="shared" si="1038"/>
        <v>0</v>
      </c>
      <c r="M423" s="2">
        <f t="shared" si="1038"/>
        <v>0</v>
      </c>
      <c r="N423" s="2">
        <f t="shared" si="1038"/>
        <v>0</v>
      </c>
      <c r="O423" s="2"/>
      <c r="P423" s="61" t="str">
        <f>E$1&amp;$A423&amp;"* Sum["&amp;$R$1&amp;$A423&amp;":"&amp;$AH$1&amp;$A423&amp;"* "&amp;Factors!D$1&amp;Factors!$A$58&amp;":"&amp;Factors!S$1&amp;Factors!$A$64&amp;"]"</f>
        <v>E423* Sum[R423:AH423* D1040:S1046]</v>
      </c>
      <c r="Q423" s="61"/>
      <c r="R423" s="12">
        <v>0</v>
      </c>
      <c r="S423" s="12">
        <v>1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76">
        <f t="shared" si="1024"/>
        <v>0</v>
      </c>
      <c r="AK423" s="2">
        <f t="shared" ref="AK423:AK428" si="1039">SUM(AL423:AO423)</f>
        <v>0</v>
      </c>
      <c r="AL423" s="2">
        <f t="shared" ref="AL423:AO428" si="1040">SUMIF($R$4:$AH$4,AL$5,$R423:$AH423)*$E423</f>
        <v>0</v>
      </c>
      <c r="AM423" s="2">
        <f t="shared" si="1040"/>
        <v>0</v>
      </c>
      <c r="AN423" s="2">
        <f t="shared" si="1040"/>
        <v>0</v>
      </c>
      <c r="AO423" s="2">
        <f t="shared" si="1040"/>
        <v>0</v>
      </c>
      <c r="AP423" s="2"/>
      <c r="AQ423" s="61" t="str">
        <f>E$1&amp;$A423&amp;"*["&amp;R$1&amp;$A423&amp;":"&amp;$AH$1&amp;$A423&amp;" when "&amp;R$1&amp;$A$4&amp;":"&amp;$AH$1&amp;$A$4&amp;" = E,D,C,or R]"</f>
        <v>E423*[R423:AH423 when R4:AH4 = E,D,C,or R]</v>
      </c>
      <c r="AS423" s="2">
        <f t="shared" ref="AS423:AS428" si="1041">SUM(AT423:AY423)</f>
        <v>0</v>
      </c>
      <c r="AT423" s="2">
        <f t="shared" ref="AT423:AY428" si="1042">$E423*SUMPRODUCT($R423:$V423,INDEX(AllocFactors_E,AT$4,0))</f>
        <v>0</v>
      </c>
      <c r="AU423" s="2">
        <f t="shared" si="1042"/>
        <v>0</v>
      </c>
      <c r="AV423" s="2">
        <f t="shared" si="1042"/>
        <v>0</v>
      </c>
      <c r="AW423" s="2">
        <f t="shared" si="1042"/>
        <v>0</v>
      </c>
      <c r="AX423" s="2">
        <f t="shared" si="1042"/>
        <v>0</v>
      </c>
      <c r="AY423" s="2">
        <f t="shared" si="1042"/>
        <v>0</v>
      </c>
      <c r="BA423" s="2">
        <f t="shared" ref="BA423:BA428" si="1043">SUM(BB423:BG423)</f>
        <v>0</v>
      </c>
      <c r="BB423" s="2">
        <f t="shared" ref="BB423:BG428" si="1044">$E423*SUMPRODUCT($W423:$AA423,INDEX(AllocFactors_D,BB$4,0))</f>
        <v>0</v>
      </c>
      <c r="BC423" s="2">
        <f t="shared" si="1044"/>
        <v>0</v>
      </c>
      <c r="BD423" s="2">
        <f t="shared" si="1044"/>
        <v>0</v>
      </c>
      <c r="BE423" s="2">
        <f t="shared" si="1044"/>
        <v>0</v>
      </c>
      <c r="BF423" s="2">
        <f t="shared" si="1044"/>
        <v>0</v>
      </c>
      <c r="BG423" s="2">
        <f t="shared" si="1044"/>
        <v>0</v>
      </c>
      <c r="BI423" s="2">
        <f t="shared" ref="BI423:BI428" si="1045">SUM(BJ423:BO423)</f>
        <v>0</v>
      </c>
      <c r="BJ423" s="2">
        <f t="shared" ref="BJ423:BO428" si="1046">$E423*SUMPRODUCT($AB423:$AG423,INDEX(AllocFactors_C,BJ$4,0))</f>
        <v>0</v>
      </c>
      <c r="BK423" s="2">
        <f t="shared" si="1046"/>
        <v>0</v>
      </c>
      <c r="BL423" s="2">
        <f t="shared" si="1046"/>
        <v>0</v>
      </c>
      <c r="BM423" s="2">
        <f t="shared" si="1046"/>
        <v>0</v>
      </c>
      <c r="BN423" s="2">
        <f t="shared" si="1046"/>
        <v>0</v>
      </c>
      <c r="BO423" s="2">
        <f t="shared" si="1046"/>
        <v>0</v>
      </c>
    </row>
    <row r="424" spans="1:72">
      <c r="A424" s="50">
        <f t="shared" si="986"/>
        <v>424</v>
      </c>
      <c r="B424" s="51">
        <v>488</v>
      </c>
      <c r="C424" s="36" t="s">
        <v>155</v>
      </c>
      <c r="D424" s="28" t="s">
        <v>80</v>
      </c>
      <c r="E424" s="432">
        <f>PROFORMA!AV394</f>
        <v>-7000</v>
      </c>
      <c r="F424" s="60" t="s">
        <v>421</v>
      </c>
      <c r="G424" s="60"/>
      <c r="H424" s="2">
        <f t="shared" si="1037"/>
        <v>-7000</v>
      </c>
      <c r="I424" s="2">
        <f t="shared" si="1038"/>
        <v>-5547.1125389882636</v>
      </c>
      <c r="J424" s="2">
        <f t="shared" si="1038"/>
        <v>-1027.3505106330495</v>
      </c>
      <c r="K424" s="2">
        <f t="shared" si="1038"/>
        <v>0</v>
      </c>
      <c r="L424" s="2">
        <f t="shared" si="1038"/>
        <v>-13.557467681210856</v>
      </c>
      <c r="M424" s="2">
        <f t="shared" si="1038"/>
        <v>-411.97948269747536</v>
      </c>
      <c r="N424" s="2">
        <f t="shared" si="1038"/>
        <v>0</v>
      </c>
      <c r="O424" s="2"/>
      <c r="P424" s="61" t="str">
        <f>E$1&amp;$A424&amp;"*     """</f>
        <v>E424*     "</v>
      </c>
      <c r="Q424" s="61"/>
      <c r="R424" s="14">
        <f>R$41</f>
        <v>0.18032917602090978</v>
      </c>
      <c r="S424" s="14">
        <f t="shared" ref="S424:AH424" si="1047">S$41</f>
        <v>0</v>
      </c>
      <c r="T424" s="14">
        <f t="shared" si="1047"/>
        <v>0</v>
      </c>
      <c r="U424" s="14">
        <f t="shared" si="1047"/>
        <v>0</v>
      </c>
      <c r="V424" s="14">
        <f t="shared" si="1047"/>
        <v>0</v>
      </c>
      <c r="W424" s="14">
        <f t="shared" si="1047"/>
        <v>0.33248662332325996</v>
      </c>
      <c r="X424" s="14">
        <f t="shared" si="1047"/>
        <v>0</v>
      </c>
      <c r="Y424" s="14">
        <f t="shared" si="1047"/>
        <v>0</v>
      </c>
      <c r="Z424" s="14">
        <f t="shared" si="1047"/>
        <v>0</v>
      </c>
      <c r="AA424" s="14">
        <f t="shared" si="1047"/>
        <v>0</v>
      </c>
      <c r="AB424" s="14">
        <f t="shared" si="1047"/>
        <v>0</v>
      </c>
      <c r="AC424" s="14">
        <f t="shared" si="1047"/>
        <v>0.34784812665025233</v>
      </c>
      <c r="AD424" s="14">
        <f t="shared" si="1047"/>
        <v>0.13399956178953271</v>
      </c>
      <c r="AE424" s="14">
        <f t="shared" si="1047"/>
        <v>0</v>
      </c>
      <c r="AF424" s="14">
        <f t="shared" si="1047"/>
        <v>5.3365122160451877E-3</v>
      </c>
      <c r="AG424" s="14">
        <f t="shared" si="1047"/>
        <v>0</v>
      </c>
      <c r="AH424" s="14">
        <f t="shared" si="1047"/>
        <v>0</v>
      </c>
      <c r="AI424" s="76">
        <f t="shared" si="1024"/>
        <v>0</v>
      </c>
      <c r="AK424" s="2">
        <f t="shared" si="1039"/>
        <v>-7000</v>
      </c>
      <c r="AL424" s="2">
        <f t="shared" si="1040"/>
        <v>-1262.3042321463686</v>
      </c>
      <c r="AM424" s="2">
        <f t="shared" si="1040"/>
        <v>-2327.4063632628195</v>
      </c>
      <c r="AN424" s="2">
        <f t="shared" si="1040"/>
        <v>-3410.2894045908115</v>
      </c>
      <c r="AO424" s="2">
        <f t="shared" si="1040"/>
        <v>0</v>
      </c>
      <c r="AP424" s="2"/>
      <c r="AQ424" s="61" t="str">
        <f>E$1&amp;$A424&amp;"*      """</f>
        <v>E424*      "</v>
      </c>
      <c r="AS424" s="2">
        <f t="shared" si="1041"/>
        <v>-1262.3042321463688</v>
      </c>
      <c r="AT424" s="2">
        <f t="shared" si="1042"/>
        <v>-731.56382373921724</v>
      </c>
      <c r="AU424" s="2">
        <f t="shared" si="1042"/>
        <v>-327.78694914845249</v>
      </c>
      <c r="AV424" s="2">
        <f t="shared" si="1042"/>
        <v>0</v>
      </c>
      <c r="AW424" s="2">
        <f t="shared" si="1042"/>
        <v>-5.2818476534738954</v>
      </c>
      <c r="AX424" s="2">
        <f t="shared" si="1042"/>
        <v>-197.67161160522497</v>
      </c>
      <c r="AY424" s="2">
        <f t="shared" si="1042"/>
        <v>0</v>
      </c>
      <c r="BA424" s="2">
        <f t="shared" si="1043"/>
        <v>-2327.4063632628195</v>
      </c>
      <c r="BB424" s="2">
        <f t="shared" si="1044"/>
        <v>-1589.1722098475925</v>
      </c>
      <c r="BC424" s="2">
        <f t="shared" si="1044"/>
        <v>-537.89474272516145</v>
      </c>
      <c r="BD424" s="2">
        <f t="shared" si="1044"/>
        <v>0</v>
      </c>
      <c r="BE424" s="2">
        <f t="shared" si="1044"/>
        <v>-6.757454947656905</v>
      </c>
      <c r="BF424" s="2">
        <f t="shared" si="1044"/>
        <v>-193.58195574240884</v>
      </c>
      <c r="BG424" s="2">
        <f t="shared" si="1044"/>
        <v>0</v>
      </c>
      <c r="BI424" s="2">
        <f t="shared" si="1045"/>
        <v>-3410.289404590812</v>
      </c>
      <c r="BJ424" s="2">
        <f t="shared" si="1046"/>
        <v>-3226.3765054014543</v>
      </c>
      <c r="BK424" s="2">
        <f t="shared" si="1046"/>
        <v>-161.66881875943579</v>
      </c>
      <c r="BL424" s="2">
        <f t="shared" si="1046"/>
        <v>0</v>
      </c>
      <c r="BM424" s="2">
        <f t="shared" si="1046"/>
        <v>-1.5181650800800541</v>
      </c>
      <c r="BN424" s="2">
        <f t="shared" si="1046"/>
        <v>-20.725915349841564</v>
      </c>
      <c r="BO424" s="2">
        <f t="shared" si="1046"/>
        <v>0</v>
      </c>
    </row>
    <row r="425" spans="1:72">
      <c r="A425" s="50">
        <f t="shared" si="986"/>
        <v>425</v>
      </c>
      <c r="B425" s="51">
        <v>493</v>
      </c>
      <c r="C425" s="36" t="s">
        <v>155</v>
      </c>
      <c r="D425" s="28" t="s">
        <v>391</v>
      </c>
      <c r="E425" s="432">
        <f>PROFORMA!AV396</f>
        <v>-3000</v>
      </c>
      <c r="F425" s="60" t="str">
        <f>"as Rate Base ("&amp;A$130&amp;")"</f>
        <v>as Rate Base (130)</v>
      </c>
      <c r="G425" s="60"/>
      <c r="H425" s="2">
        <f>SUM(I425:N425)</f>
        <v>-3000</v>
      </c>
      <c r="I425" s="2">
        <f t="shared" si="1038"/>
        <v>-2421.4842729338575</v>
      </c>
      <c r="J425" s="2">
        <f t="shared" si="1038"/>
        <v>-424.17716453817138</v>
      </c>
      <c r="K425" s="2">
        <f t="shared" si="1038"/>
        <v>0</v>
      </c>
      <c r="L425" s="2">
        <f t="shared" si="1038"/>
        <v>-5.6058671987686006</v>
      </c>
      <c r="M425" s="2">
        <f t="shared" si="1038"/>
        <v>-148.73269532920287</v>
      </c>
      <c r="N425" s="2">
        <f t="shared" si="1038"/>
        <v>0</v>
      </c>
      <c r="O425" s="2"/>
      <c r="P425" s="61" t="str">
        <f>E$1&amp;$A425&amp;"*     """</f>
        <v>E425*     "</v>
      </c>
      <c r="Q425" s="61"/>
      <c r="R425" s="14">
        <f>R$130</f>
        <v>0.1497465378466927</v>
      </c>
      <c r="S425" s="14">
        <f t="shared" ref="S425:AH428" si="1048">S$130</f>
        <v>3.2723610288288773E-3</v>
      </c>
      <c r="T425" s="14">
        <f t="shared" si="1048"/>
        <v>8.8764755096725299E-3</v>
      </c>
      <c r="U425" s="14">
        <f t="shared" si="1048"/>
        <v>5.9404105333962322E-2</v>
      </c>
      <c r="V425" s="14">
        <f t="shared" si="1048"/>
        <v>0</v>
      </c>
      <c r="W425" s="14">
        <f t="shared" si="1048"/>
        <v>0.27425183880575882</v>
      </c>
      <c r="X425" s="14">
        <f t="shared" si="1048"/>
        <v>0</v>
      </c>
      <c r="Y425" s="14">
        <f t="shared" si="1048"/>
        <v>0</v>
      </c>
      <c r="Z425" s="14">
        <f t="shared" si="1048"/>
        <v>0</v>
      </c>
      <c r="AA425" s="14">
        <f t="shared" si="1048"/>
        <v>0</v>
      </c>
      <c r="AB425" s="14">
        <f t="shared" si="1048"/>
        <v>0.10053187232975359</v>
      </c>
      <c r="AC425" s="14">
        <f t="shared" si="1048"/>
        <v>0.2599824459135936</v>
      </c>
      <c r="AD425" s="14">
        <f t="shared" si="1048"/>
        <v>0.12384910974864682</v>
      </c>
      <c r="AE425" s="14">
        <f t="shared" si="1048"/>
        <v>0</v>
      </c>
      <c r="AF425" s="14">
        <f t="shared" si="1048"/>
        <v>3.4112388459335689E-3</v>
      </c>
      <c r="AG425" s="14">
        <f t="shared" si="1048"/>
        <v>1.6674014637157217E-2</v>
      </c>
      <c r="AH425" s="14">
        <f t="shared" si="1048"/>
        <v>0</v>
      </c>
      <c r="AI425" s="76">
        <f t="shared" si="1024"/>
        <v>0</v>
      </c>
      <c r="AK425" s="2">
        <f t="shared" si="1039"/>
        <v>-3000</v>
      </c>
      <c r="AL425" s="2">
        <f t="shared" si="1040"/>
        <v>-663.89843915746928</v>
      </c>
      <c r="AM425" s="2">
        <f t="shared" si="1040"/>
        <v>-822.75551641727645</v>
      </c>
      <c r="AN425" s="2">
        <f t="shared" si="1040"/>
        <v>-1513.3460444252544</v>
      </c>
      <c r="AO425" s="2">
        <f t="shared" si="1040"/>
        <v>0</v>
      </c>
      <c r="AP425" s="2"/>
      <c r="AQ425" s="61" t="str">
        <f>E$1&amp;$A425&amp;"*      """</f>
        <v>E425*      "</v>
      </c>
      <c r="AS425" s="2">
        <f t="shared" si="1041"/>
        <v>-663.89843915746928</v>
      </c>
      <c r="AT425" s="2">
        <f t="shared" si="1042"/>
        <v>-416.20641951199536</v>
      </c>
      <c r="AU425" s="2">
        <f t="shared" si="1042"/>
        <v>-171.78819620588027</v>
      </c>
      <c r="AV425" s="2">
        <f t="shared" si="1042"/>
        <v>0</v>
      </c>
      <c r="AW425" s="2">
        <f t="shared" si="1042"/>
        <v>-2.6832943391616935</v>
      </c>
      <c r="AX425" s="2">
        <f t="shared" si="1042"/>
        <v>-73.220529100431975</v>
      </c>
      <c r="AY425" s="2">
        <f t="shared" si="1042"/>
        <v>0</v>
      </c>
      <c r="BA425" s="2">
        <f t="shared" si="1043"/>
        <v>-822.75551641727645</v>
      </c>
      <c r="BB425" s="2">
        <f t="shared" si="1044"/>
        <v>-561.78423451422543</v>
      </c>
      <c r="BC425" s="2">
        <f t="shared" si="1044"/>
        <v>-190.14980530024576</v>
      </c>
      <c r="BD425" s="2">
        <f t="shared" si="1044"/>
        <v>0</v>
      </c>
      <c r="BE425" s="2">
        <f t="shared" si="1044"/>
        <v>-2.3888107478281868</v>
      </c>
      <c r="BF425" s="2">
        <f t="shared" si="1044"/>
        <v>-68.432665854977088</v>
      </c>
      <c r="BG425" s="2">
        <f t="shared" si="1044"/>
        <v>0</v>
      </c>
      <c r="BI425" s="2">
        <f t="shared" si="1045"/>
        <v>-1513.3460444252544</v>
      </c>
      <c r="BJ425" s="2">
        <f t="shared" si="1046"/>
        <v>-1443.4936189076366</v>
      </c>
      <c r="BK425" s="2">
        <f t="shared" si="1046"/>
        <v>-62.239163032045298</v>
      </c>
      <c r="BL425" s="2">
        <f t="shared" si="1046"/>
        <v>0</v>
      </c>
      <c r="BM425" s="2">
        <f t="shared" si="1046"/>
        <v>-0.53376211177872057</v>
      </c>
      <c r="BN425" s="2">
        <f t="shared" si="1046"/>
        <v>-7.0795003737937998</v>
      </c>
      <c r="BO425" s="2">
        <f t="shared" si="1046"/>
        <v>0</v>
      </c>
    </row>
    <row r="426" spans="1:72">
      <c r="A426" s="50">
        <f t="shared" si="986"/>
        <v>426</v>
      </c>
      <c r="B426" s="51">
        <v>495.9</v>
      </c>
      <c r="C426" s="36" t="s">
        <v>395</v>
      </c>
      <c r="D426" s="28" t="s">
        <v>392</v>
      </c>
      <c r="E426" s="436">
        <f>PROFORMA!AV395</f>
        <v>1153000</v>
      </c>
      <c r="F426" s="60" t="str">
        <f>"as UG Storage Plant ("&amp;A$24&amp;")"</f>
        <v>as UG Storage Plant (24)</v>
      </c>
      <c r="G426" s="60"/>
      <c r="H426" s="2">
        <f>SUM(I426:N426)</f>
        <v>1153000.0000000002</v>
      </c>
      <c r="I426" s="2">
        <f t="shared" si="1038"/>
        <v>839274.94453925488</v>
      </c>
      <c r="J426" s="2">
        <f t="shared" si="1038"/>
        <v>293313.52577653091</v>
      </c>
      <c r="K426" s="2">
        <f t="shared" si="1038"/>
        <v>0</v>
      </c>
      <c r="L426" s="2">
        <f t="shared" si="1038"/>
        <v>4248.7994418993876</v>
      </c>
      <c r="M426" s="2">
        <f t="shared" si="1038"/>
        <v>16162.730242314867</v>
      </c>
      <c r="N426" s="2">
        <f t="shared" si="1038"/>
        <v>0</v>
      </c>
      <c r="O426" s="2"/>
      <c r="P426" s="61" t="str">
        <f>E$1&amp;$A426&amp;"*     """</f>
        <v>E426*     "</v>
      </c>
      <c r="Q426" s="61"/>
      <c r="R426" s="14">
        <f t="shared" ref="R426:AH426" si="1049">R$24</f>
        <v>0</v>
      </c>
      <c r="S426" s="14">
        <f t="shared" si="1049"/>
        <v>0</v>
      </c>
      <c r="T426" s="14">
        <f t="shared" si="1049"/>
        <v>0.13</v>
      </c>
      <c r="U426" s="14">
        <f t="shared" si="1049"/>
        <v>0.87</v>
      </c>
      <c r="V426" s="14">
        <f t="shared" si="1049"/>
        <v>0</v>
      </c>
      <c r="W426" s="14">
        <f t="shared" si="1049"/>
        <v>0</v>
      </c>
      <c r="X426" s="14">
        <f t="shared" si="1049"/>
        <v>0</v>
      </c>
      <c r="Y426" s="14">
        <f t="shared" si="1049"/>
        <v>0</v>
      </c>
      <c r="Z426" s="14">
        <f t="shared" si="1049"/>
        <v>0</v>
      </c>
      <c r="AA426" s="14">
        <f t="shared" si="1049"/>
        <v>0</v>
      </c>
      <c r="AB426" s="14">
        <f t="shared" si="1049"/>
        <v>0</v>
      </c>
      <c r="AC426" s="14">
        <f t="shared" si="1049"/>
        <v>0</v>
      </c>
      <c r="AD426" s="14">
        <f t="shared" si="1049"/>
        <v>0</v>
      </c>
      <c r="AE426" s="14">
        <f t="shared" si="1049"/>
        <v>0</v>
      </c>
      <c r="AF426" s="14">
        <f t="shared" si="1049"/>
        <v>0</v>
      </c>
      <c r="AG426" s="14">
        <f t="shared" si="1049"/>
        <v>0</v>
      </c>
      <c r="AH426" s="14">
        <f t="shared" si="1049"/>
        <v>0</v>
      </c>
      <c r="AI426" s="76">
        <f t="shared" si="1024"/>
        <v>0</v>
      </c>
      <c r="AK426" s="2">
        <f t="shared" si="1039"/>
        <v>1153000</v>
      </c>
      <c r="AL426" s="2">
        <f t="shared" si="1040"/>
        <v>1153000</v>
      </c>
      <c r="AM426" s="2">
        <f t="shared" si="1040"/>
        <v>0</v>
      </c>
      <c r="AN426" s="2">
        <f t="shared" si="1040"/>
        <v>0</v>
      </c>
      <c r="AO426" s="2">
        <f t="shared" si="1040"/>
        <v>0</v>
      </c>
      <c r="AP426" s="2"/>
      <c r="AQ426" s="61" t="str">
        <f>E$1&amp;$A426&amp;"*      """</f>
        <v>E426*      "</v>
      </c>
      <c r="AS426" s="2">
        <f t="shared" si="1041"/>
        <v>1153000.0000000002</v>
      </c>
      <c r="AT426" s="2">
        <f t="shared" si="1042"/>
        <v>839274.94453925488</v>
      </c>
      <c r="AU426" s="2">
        <f t="shared" si="1042"/>
        <v>293313.52577653091</v>
      </c>
      <c r="AV426" s="2">
        <f t="shared" si="1042"/>
        <v>0</v>
      </c>
      <c r="AW426" s="2">
        <f t="shared" si="1042"/>
        <v>4248.7994418993876</v>
      </c>
      <c r="AX426" s="2">
        <f t="shared" si="1042"/>
        <v>16162.730242314867</v>
      </c>
      <c r="AY426" s="2">
        <f t="shared" si="1042"/>
        <v>0</v>
      </c>
      <c r="BA426" s="2">
        <f t="shared" si="1043"/>
        <v>0</v>
      </c>
      <c r="BB426" s="2">
        <f t="shared" si="1044"/>
        <v>0</v>
      </c>
      <c r="BC426" s="2">
        <f t="shared" si="1044"/>
        <v>0</v>
      </c>
      <c r="BD426" s="2">
        <f t="shared" si="1044"/>
        <v>0</v>
      </c>
      <c r="BE426" s="2">
        <f t="shared" si="1044"/>
        <v>0</v>
      </c>
      <c r="BF426" s="2">
        <f t="shared" si="1044"/>
        <v>0</v>
      </c>
      <c r="BG426" s="2">
        <f t="shared" si="1044"/>
        <v>0</v>
      </c>
      <c r="BI426" s="2">
        <f t="shared" si="1045"/>
        <v>0</v>
      </c>
      <c r="BJ426" s="2">
        <f t="shared" si="1046"/>
        <v>0</v>
      </c>
      <c r="BK426" s="2">
        <f t="shared" si="1046"/>
        <v>0</v>
      </c>
      <c r="BL426" s="2">
        <f t="shared" si="1046"/>
        <v>0</v>
      </c>
      <c r="BM426" s="2">
        <f t="shared" si="1046"/>
        <v>0</v>
      </c>
      <c r="BN426" s="2">
        <f t="shared" si="1046"/>
        <v>0</v>
      </c>
      <c r="BO426" s="2">
        <f t="shared" si="1046"/>
        <v>0</v>
      </c>
    </row>
    <row r="427" spans="1:72" s="146" customFormat="1">
      <c r="A427" s="145">
        <f t="shared" si="986"/>
        <v>427</v>
      </c>
      <c r="B427" s="430">
        <v>495</v>
      </c>
      <c r="C427" s="147" t="s">
        <v>468</v>
      </c>
      <c r="D427" s="431" t="s">
        <v>393</v>
      </c>
      <c r="E427" s="436">
        <f>PROFORMA!AV397</f>
        <v>-3553000</v>
      </c>
      <c r="F427" s="134" t="str">
        <f>"as Rate Base ("&amp;A$130&amp;")"</f>
        <v>as Rate Base (130)</v>
      </c>
      <c r="G427" s="134"/>
      <c r="H427" s="82">
        <f t="shared" si="1037"/>
        <v>-3553000</v>
      </c>
      <c r="I427" s="82">
        <f t="shared" si="1038"/>
        <v>-2867844.5405779984</v>
      </c>
      <c r="J427" s="82">
        <f t="shared" si="1038"/>
        <v>-502367.15520137426</v>
      </c>
      <c r="K427" s="82">
        <f t="shared" si="1038"/>
        <v>0</v>
      </c>
      <c r="L427" s="82">
        <f t="shared" si="1038"/>
        <v>-6639.2153857416133</v>
      </c>
      <c r="M427" s="82">
        <f t="shared" si="1038"/>
        <v>-176149.08883488592</v>
      </c>
      <c r="N427" s="82">
        <f t="shared" si="1038"/>
        <v>0</v>
      </c>
      <c r="O427" s="82"/>
      <c r="P427" s="148" t="str">
        <f>E$1&amp;$A427&amp;"*     """</f>
        <v>E427*     "</v>
      </c>
      <c r="Q427" s="148"/>
      <c r="R427" s="108">
        <f>R$130</f>
        <v>0.1497465378466927</v>
      </c>
      <c r="S427" s="108">
        <f t="shared" si="1048"/>
        <v>3.2723610288288773E-3</v>
      </c>
      <c r="T427" s="108">
        <f t="shared" si="1048"/>
        <v>8.8764755096725299E-3</v>
      </c>
      <c r="U427" s="108">
        <f t="shared" si="1048"/>
        <v>5.9404105333962322E-2</v>
      </c>
      <c r="V427" s="108">
        <f t="shared" si="1048"/>
        <v>0</v>
      </c>
      <c r="W427" s="108">
        <f t="shared" si="1048"/>
        <v>0.27425183880575882</v>
      </c>
      <c r="X427" s="108">
        <f t="shared" si="1048"/>
        <v>0</v>
      </c>
      <c r="Y427" s="108">
        <f t="shared" si="1048"/>
        <v>0</v>
      </c>
      <c r="Z427" s="108">
        <f t="shared" si="1048"/>
        <v>0</v>
      </c>
      <c r="AA427" s="108">
        <f t="shared" si="1048"/>
        <v>0</v>
      </c>
      <c r="AB427" s="108">
        <f t="shared" si="1048"/>
        <v>0.10053187232975359</v>
      </c>
      <c r="AC427" s="108">
        <f t="shared" si="1048"/>
        <v>0.2599824459135936</v>
      </c>
      <c r="AD427" s="108">
        <f t="shared" si="1048"/>
        <v>0.12384910974864682</v>
      </c>
      <c r="AE427" s="108">
        <f t="shared" si="1048"/>
        <v>0</v>
      </c>
      <c r="AF427" s="108">
        <f t="shared" si="1048"/>
        <v>3.4112388459335689E-3</v>
      </c>
      <c r="AG427" s="108">
        <f t="shared" si="1048"/>
        <v>1.6674014637157217E-2</v>
      </c>
      <c r="AH427" s="108">
        <f t="shared" si="1048"/>
        <v>0</v>
      </c>
      <c r="AI427" s="149">
        <f t="shared" si="1024"/>
        <v>0</v>
      </c>
      <c r="AK427" s="82">
        <f t="shared" si="1039"/>
        <v>-3553000</v>
      </c>
      <c r="AL427" s="82">
        <f t="shared" si="1040"/>
        <v>-786277.05144216272</v>
      </c>
      <c r="AM427" s="82">
        <f t="shared" si="1040"/>
        <v>-974416.78327686107</v>
      </c>
      <c r="AN427" s="82">
        <f t="shared" si="1040"/>
        <v>-1792306.1652809763</v>
      </c>
      <c r="AO427" s="82">
        <f t="shared" si="1040"/>
        <v>0</v>
      </c>
      <c r="AP427" s="82"/>
      <c r="AQ427" s="148" t="str">
        <f>E$1&amp;$A427&amp;"*      """</f>
        <v>E427*      "</v>
      </c>
      <c r="AS427" s="82">
        <f t="shared" si="1041"/>
        <v>-786277.05144216283</v>
      </c>
      <c r="AT427" s="82">
        <f t="shared" si="1042"/>
        <v>-492927.13617537316</v>
      </c>
      <c r="AU427" s="82">
        <f t="shared" si="1042"/>
        <v>-203454.48703983088</v>
      </c>
      <c r="AV427" s="82">
        <f t="shared" si="1042"/>
        <v>0</v>
      </c>
      <c r="AW427" s="82">
        <f t="shared" si="1042"/>
        <v>-3177.9149290138325</v>
      </c>
      <c r="AX427" s="82">
        <f t="shared" si="1042"/>
        <v>-86717.513297944941</v>
      </c>
      <c r="AY427" s="82">
        <f t="shared" si="1042"/>
        <v>0</v>
      </c>
      <c r="BA427" s="82">
        <f t="shared" si="1043"/>
        <v>-974416.78327686118</v>
      </c>
      <c r="BB427" s="82">
        <f t="shared" si="1044"/>
        <v>-665339.79507634765</v>
      </c>
      <c r="BC427" s="82">
        <f t="shared" si="1044"/>
        <v>-225200.75274392439</v>
      </c>
      <c r="BD427" s="82">
        <f t="shared" si="1044"/>
        <v>0</v>
      </c>
      <c r="BE427" s="82">
        <f t="shared" si="1044"/>
        <v>-2829.1481956778489</v>
      </c>
      <c r="BF427" s="82">
        <f t="shared" si="1044"/>
        <v>-81047.087260911198</v>
      </c>
      <c r="BG427" s="82">
        <f t="shared" si="1044"/>
        <v>0</v>
      </c>
      <c r="BI427" s="82">
        <f t="shared" si="1045"/>
        <v>-1792306.1652809763</v>
      </c>
      <c r="BJ427" s="82">
        <f t="shared" si="1046"/>
        <v>-1709577.6093262776</v>
      </c>
      <c r="BK427" s="82">
        <f t="shared" si="1046"/>
        <v>-73711.915417618977</v>
      </c>
      <c r="BL427" s="82">
        <f t="shared" si="1046"/>
        <v>0</v>
      </c>
      <c r="BM427" s="82">
        <f t="shared" si="1046"/>
        <v>-632.15226104993144</v>
      </c>
      <c r="BN427" s="82">
        <f t="shared" si="1046"/>
        <v>-8384.4882760297896</v>
      </c>
      <c r="BO427" s="82">
        <f t="shared" si="1046"/>
        <v>0</v>
      </c>
    </row>
    <row r="428" spans="1:72">
      <c r="A428" s="50">
        <f t="shared" si="986"/>
        <v>428</v>
      </c>
      <c r="B428" s="51">
        <v>496</v>
      </c>
      <c r="C428" s="36" t="s">
        <v>468</v>
      </c>
      <c r="D428" s="431" t="s">
        <v>1224</v>
      </c>
      <c r="E428" s="436">
        <f>PROFORMA!AV398</f>
        <v>35000</v>
      </c>
      <c r="F428" s="134" t="str">
        <f>"as Rate Base ("&amp;A$130&amp;")"</f>
        <v>as Rate Base (130)</v>
      </c>
      <c r="G428" s="60"/>
      <c r="H428" s="82">
        <f t="shared" si="1037"/>
        <v>35000</v>
      </c>
      <c r="I428" s="82">
        <f t="shared" si="1038"/>
        <v>28250.649850895003</v>
      </c>
      <c r="J428" s="82">
        <f t="shared" si="1038"/>
        <v>4948.7335862786658</v>
      </c>
      <c r="K428" s="82">
        <f t="shared" si="1038"/>
        <v>0</v>
      </c>
      <c r="L428" s="82">
        <f t="shared" si="1038"/>
        <v>65.401783985633685</v>
      </c>
      <c r="M428" s="82">
        <f t="shared" si="1038"/>
        <v>1735.2147788407001</v>
      </c>
      <c r="N428" s="82">
        <f t="shared" si="1038"/>
        <v>0</v>
      </c>
      <c r="O428" s="82"/>
      <c r="P428" s="148" t="str">
        <f>E$1&amp;$A428&amp;"*     """</f>
        <v>E428*     "</v>
      </c>
      <c r="Q428" s="148"/>
      <c r="R428" s="108">
        <f>R$130</f>
        <v>0.1497465378466927</v>
      </c>
      <c r="S428" s="108">
        <f t="shared" si="1048"/>
        <v>3.2723610288288773E-3</v>
      </c>
      <c r="T428" s="108">
        <f t="shared" si="1048"/>
        <v>8.8764755096725299E-3</v>
      </c>
      <c r="U428" s="108">
        <f t="shared" si="1048"/>
        <v>5.9404105333962322E-2</v>
      </c>
      <c r="V428" s="108">
        <f t="shared" si="1048"/>
        <v>0</v>
      </c>
      <c r="W428" s="108">
        <f t="shared" si="1048"/>
        <v>0.27425183880575882</v>
      </c>
      <c r="X428" s="108">
        <f t="shared" si="1048"/>
        <v>0</v>
      </c>
      <c r="Y428" s="108">
        <f t="shared" si="1048"/>
        <v>0</v>
      </c>
      <c r="Z428" s="108">
        <f t="shared" si="1048"/>
        <v>0</v>
      </c>
      <c r="AA428" s="108">
        <f t="shared" si="1048"/>
        <v>0</v>
      </c>
      <c r="AB428" s="108">
        <f t="shared" si="1048"/>
        <v>0.10053187232975359</v>
      </c>
      <c r="AC428" s="108">
        <f t="shared" si="1048"/>
        <v>0.2599824459135936</v>
      </c>
      <c r="AD428" s="108">
        <f t="shared" si="1048"/>
        <v>0.12384910974864682</v>
      </c>
      <c r="AE428" s="108">
        <f t="shared" si="1048"/>
        <v>0</v>
      </c>
      <c r="AF428" s="108">
        <f t="shared" si="1048"/>
        <v>3.4112388459335689E-3</v>
      </c>
      <c r="AG428" s="108">
        <f t="shared" si="1048"/>
        <v>1.6674014637157217E-2</v>
      </c>
      <c r="AH428" s="108">
        <f t="shared" si="1048"/>
        <v>0</v>
      </c>
      <c r="AI428" s="149">
        <f t="shared" si="1024"/>
        <v>0</v>
      </c>
      <c r="AJ428" s="146"/>
      <c r="AK428" s="82">
        <f t="shared" si="1039"/>
        <v>35000</v>
      </c>
      <c r="AL428" s="82">
        <f t="shared" si="1040"/>
        <v>7745.4817901704746</v>
      </c>
      <c r="AM428" s="82">
        <f t="shared" si="1040"/>
        <v>9598.8143582015582</v>
      </c>
      <c r="AN428" s="82">
        <f t="shared" si="1040"/>
        <v>17655.703851627968</v>
      </c>
      <c r="AO428" s="82">
        <f t="shared" si="1040"/>
        <v>0</v>
      </c>
      <c r="AP428" s="82"/>
      <c r="AQ428" s="148" t="str">
        <f>E$1&amp;$A428&amp;"*      """</f>
        <v>E428*      "</v>
      </c>
      <c r="AR428" s="146"/>
      <c r="AS428" s="82">
        <f t="shared" si="1041"/>
        <v>7745.4817901704746</v>
      </c>
      <c r="AT428" s="82">
        <f t="shared" si="1042"/>
        <v>4855.7415609732789</v>
      </c>
      <c r="AU428" s="82">
        <f t="shared" si="1042"/>
        <v>2004.1956224019366</v>
      </c>
      <c r="AV428" s="82">
        <f t="shared" si="1042"/>
        <v>0</v>
      </c>
      <c r="AW428" s="82">
        <f t="shared" si="1042"/>
        <v>31.305100623553091</v>
      </c>
      <c r="AX428" s="82">
        <f t="shared" si="1042"/>
        <v>854.23950617170647</v>
      </c>
      <c r="AY428" s="82">
        <f t="shared" si="1042"/>
        <v>0</v>
      </c>
      <c r="AZ428" s="146"/>
      <c r="BA428" s="82">
        <f t="shared" si="1043"/>
        <v>9598.8143582015582</v>
      </c>
      <c r="BB428" s="82">
        <f t="shared" si="1044"/>
        <v>6554.1494026659639</v>
      </c>
      <c r="BC428" s="82">
        <f t="shared" si="1044"/>
        <v>2218.4143951695337</v>
      </c>
      <c r="BD428" s="82">
        <f t="shared" si="1044"/>
        <v>0</v>
      </c>
      <c r="BE428" s="82">
        <f t="shared" si="1044"/>
        <v>27.869458724662177</v>
      </c>
      <c r="BF428" s="82">
        <f t="shared" si="1044"/>
        <v>798.38110164139925</v>
      </c>
      <c r="BG428" s="82">
        <f t="shared" si="1044"/>
        <v>0</v>
      </c>
      <c r="BH428" s="146"/>
      <c r="BI428" s="82">
        <f t="shared" si="1045"/>
        <v>17655.703851627972</v>
      </c>
      <c r="BJ428" s="82">
        <f t="shared" si="1046"/>
        <v>16840.758887255761</v>
      </c>
      <c r="BK428" s="82">
        <f t="shared" si="1046"/>
        <v>726.12356870719509</v>
      </c>
      <c r="BL428" s="82">
        <f t="shared" si="1046"/>
        <v>0</v>
      </c>
      <c r="BM428" s="82">
        <f t="shared" si="1046"/>
        <v>6.2272246374184066</v>
      </c>
      <c r="BN428" s="82">
        <f t="shared" si="1046"/>
        <v>82.594171027594328</v>
      </c>
      <c r="BO428" s="82">
        <f t="shared" si="1046"/>
        <v>0</v>
      </c>
      <c r="BP428" s="146"/>
      <c r="BQ428" s="146"/>
      <c r="BR428" s="146"/>
      <c r="BS428" s="146"/>
      <c r="BT428" s="146"/>
    </row>
    <row r="429" spans="1:72">
      <c r="A429" s="50">
        <f t="shared" si="986"/>
        <v>429</v>
      </c>
      <c r="D429" s="52" t="s">
        <v>81</v>
      </c>
      <c r="E429" s="48">
        <f>SUM(E423:E428)</f>
        <v>-2375000</v>
      </c>
      <c r="F429" s="60"/>
      <c r="G429" s="60"/>
      <c r="H429" s="4">
        <f>IF(ROUND(SUM(H422:H428),3)&lt;&gt;ROUND(SUM(I429:N429),3),#VALUE!,SUM(H422:H428))</f>
        <v>-2375000</v>
      </c>
      <c r="I429" s="4">
        <f t="shared" ref="I429:N429" si="1050">SUM(I422:I428)</f>
        <v>-2008287.5429997707</v>
      </c>
      <c r="J429" s="4">
        <f t="shared" si="1050"/>
        <v>-205556.42351373591</v>
      </c>
      <c r="K429" s="4">
        <f t="shared" si="1050"/>
        <v>0</v>
      </c>
      <c r="L429" s="4">
        <f t="shared" si="1050"/>
        <v>-2344.1774947365716</v>
      </c>
      <c r="M429" s="4">
        <f t="shared" si="1050"/>
        <v>-158811.85599175704</v>
      </c>
      <c r="N429" s="4">
        <f t="shared" si="1050"/>
        <v>0</v>
      </c>
      <c r="O429" s="5"/>
      <c r="P429" s="61" t="str">
        <f>$A422&amp;":"&amp;A428</f>
        <v>422:428</v>
      </c>
      <c r="Q429" s="61"/>
      <c r="R429" s="16">
        <f t="shared" ref="R429:AH429" si="1051">SUMPRODUCT($E$423:$E$428,R$423:R$428)/$E429</f>
        <v>0.22253467957488482</v>
      </c>
      <c r="S429" s="16">
        <f t="shared" si="1051"/>
        <v>4.8513613400027276E-3</v>
      </c>
      <c r="T429" s="16">
        <f t="shared" si="1051"/>
        <v>-4.9951970412818111E-2</v>
      </c>
      <c r="U429" s="16">
        <f t="shared" si="1051"/>
        <v>-0.33429395583962895</v>
      </c>
      <c r="V429" s="16">
        <f t="shared" si="1051"/>
        <v>0</v>
      </c>
      <c r="W429" s="16">
        <f t="shared" si="1051"/>
        <v>0.40756552875719565</v>
      </c>
      <c r="X429" s="16">
        <f t="shared" si="1051"/>
        <v>0</v>
      </c>
      <c r="Y429" s="16">
        <f t="shared" si="1051"/>
        <v>0</v>
      </c>
      <c r="Z429" s="16">
        <f t="shared" si="1051"/>
        <v>0</v>
      </c>
      <c r="AA429" s="16">
        <f t="shared" si="1051"/>
        <v>0</v>
      </c>
      <c r="AB429" s="16">
        <f t="shared" si="1051"/>
        <v>0.14904114630444731</v>
      </c>
      <c r="AC429" s="16">
        <f t="shared" si="1051"/>
        <v>0.38645605429402735</v>
      </c>
      <c r="AD429" s="16">
        <f t="shared" si="1051"/>
        <v>0.18400451046632094</v>
      </c>
      <c r="AE429" s="16">
        <f t="shared" si="1051"/>
        <v>0</v>
      </c>
      <c r="AF429" s="16">
        <f t="shared" si="1051"/>
        <v>5.0729800261239636E-3</v>
      </c>
      <c r="AG429" s="16">
        <f t="shared" si="1051"/>
        <v>2.4719665489444449E-2</v>
      </c>
      <c r="AH429" s="16">
        <f t="shared" si="1051"/>
        <v>0</v>
      </c>
      <c r="AI429" s="76">
        <f t="shared" si="1024"/>
        <v>0</v>
      </c>
      <c r="AK429" s="4">
        <f>IF(ROUND(SUM(AK422:AK428),3)&lt;&gt;ROUND(SUM(AL429:AO429),3),#VALUE!,SUM(AK422:AK428))</f>
        <v>-2375000</v>
      </c>
      <c r="AL429" s="4">
        <f>SUM(AL422:AL428)</f>
        <v>372542.22767670389</v>
      </c>
      <c r="AM429" s="4">
        <f>SUM(AM422:AM428)</f>
        <v>-967968.13079833961</v>
      </c>
      <c r="AN429" s="4">
        <f>SUM(AN422:AN428)</f>
        <v>-1779574.0968783644</v>
      </c>
      <c r="AO429" s="4">
        <f>SUM(AO422:AO428)</f>
        <v>0</v>
      </c>
      <c r="AP429" s="5"/>
      <c r="AQ429" s="61" t="str">
        <f>$A422&amp;":"&amp;A428</f>
        <v>422:428</v>
      </c>
      <c r="AS429" s="4">
        <f>IF(ROUND(SUM(AS422:AS428),3)&lt;&gt;ROUND(SUM(AT429:AY429),3),#VALUE!,SUM(AS422:AS428))</f>
        <v>372542.227676704</v>
      </c>
      <c r="AT429" s="4">
        <f t="shared" ref="AT429:AY429" si="1052">SUM(AT422:AT428)</f>
        <v>350055.77968160377</v>
      </c>
      <c r="AU429" s="4">
        <f t="shared" si="1052"/>
        <v>91363.65921374764</v>
      </c>
      <c r="AV429" s="4">
        <f t="shared" si="1052"/>
        <v>0</v>
      </c>
      <c r="AW429" s="4">
        <f t="shared" si="1052"/>
        <v>1094.2244715164722</v>
      </c>
      <c r="AX429" s="4">
        <f t="shared" si="1052"/>
        <v>-69971.435690164028</v>
      </c>
      <c r="AY429" s="4">
        <f t="shared" si="1052"/>
        <v>0</v>
      </c>
      <c r="BA429" s="4">
        <f>IF(ROUND(SUM(BA422:BA428),3)&lt;&gt;ROUND(SUM(BB429:BG429),3),#VALUE!,SUM(BA422:BA428))</f>
        <v>-967968.13079833973</v>
      </c>
      <c r="BB429" s="4">
        <f t="shared" ref="BB429:BG429" si="1053">SUM(BB422:BB428)</f>
        <v>-660936.60211804346</v>
      </c>
      <c r="BC429" s="4">
        <f t="shared" si="1053"/>
        <v>-223710.38289678027</v>
      </c>
      <c r="BD429" s="4">
        <f t="shared" si="1053"/>
        <v>0</v>
      </c>
      <c r="BE429" s="4">
        <f t="shared" si="1053"/>
        <v>-2810.4250026486716</v>
      </c>
      <c r="BF429" s="4">
        <f t="shared" si="1053"/>
        <v>-80510.720780867181</v>
      </c>
      <c r="BG429" s="4">
        <f t="shared" si="1053"/>
        <v>0</v>
      </c>
      <c r="BI429" s="4">
        <f>IF(ROUND(SUM(BI422:BI428),3)&lt;&gt;ROUND(SUM(BJ429:BO429),3),#VALUE!,SUM(BI422:BI428))</f>
        <v>-1779574.0968783644</v>
      </c>
      <c r="BJ429" s="4">
        <f t="shared" ref="BJ429:BO429" si="1054">SUM(BJ422:BJ428)</f>
        <v>-1697406.7205633309</v>
      </c>
      <c r="BK429" s="4">
        <f t="shared" si="1054"/>
        <v>-73209.699830703263</v>
      </c>
      <c r="BL429" s="4">
        <f t="shared" si="1054"/>
        <v>0</v>
      </c>
      <c r="BM429" s="4">
        <f t="shared" si="1054"/>
        <v>-627.9769636043718</v>
      </c>
      <c r="BN429" s="4">
        <f t="shared" si="1054"/>
        <v>-8329.6995207258296</v>
      </c>
      <c r="BO429" s="4">
        <f t="shared" si="1054"/>
        <v>0</v>
      </c>
    </row>
    <row r="430" spans="1:72">
      <c r="A430" s="50">
        <f t="shared" si="986"/>
        <v>430</v>
      </c>
      <c r="E430" s="2"/>
      <c r="F430" s="60"/>
      <c r="G430" s="60"/>
      <c r="P430" s="61"/>
      <c r="Q430" s="61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76">
        <f t="shared" si="1024"/>
        <v>0</v>
      </c>
      <c r="AQ430" s="61"/>
    </row>
    <row r="431" spans="1:72">
      <c r="A431" s="50">
        <f t="shared" si="986"/>
        <v>431</v>
      </c>
      <c r="C431" s="34"/>
      <c r="D431" s="1" t="s">
        <v>82</v>
      </c>
      <c r="E431" s="2">
        <f>E420+E429</f>
        <v>-105787000</v>
      </c>
      <c r="F431" s="60" t="str">
        <f>"("&amp;A$420&amp;"+"&amp;A$429&amp;")"</f>
        <v>(420+429)</v>
      </c>
      <c r="G431" s="60"/>
      <c r="H431" s="2">
        <f>H420+H429</f>
        <v>-105786999.99999999</v>
      </c>
      <c r="I431" s="2">
        <f t="shared" ref="I431:N431" si="1055">I420+I429</f>
        <v>-81476896.850138545</v>
      </c>
      <c r="J431" s="2">
        <f t="shared" si="1055"/>
        <v>-20351092.589539647</v>
      </c>
      <c r="K431" s="2">
        <f t="shared" si="1055"/>
        <v>0</v>
      </c>
      <c r="L431" s="2">
        <f t="shared" si="1055"/>
        <v>-219328.20512496494</v>
      </c>
      <c r="M431" s="2">
        <f>M420+M429</f>
        <v>-3739682.3551968439</v>
      </c>
      <c r="N431" s="2">
        <f t="shared" si="1055"/>
        <v>0</v>
      </c>
      <c r="O431" s="2"/>
      <c r="P431" s="61" t="str">
        <f>$A420&amp;"+"&amp;$A429</f>
        <v>420+429</v>
      </c>
      <c r="Q431" s="61"/>
      <c r="R431" s="14">
        <f t="shared" ref="R431:AH431" si="1056">($E420*R420+$E429*R429)/$E431</f>
        <v>4.9960757370031425E-3</v>
      </c>
      <c r="S431" s="14">
        <f t="shared" si="1056"/>
        <v>1.0891681570047811E-4</v>
      </c>
      <c r="T431" s="14">
        <f t="shared" si="1056"/>
        <v>-1.1214603848340818E-3</v>
      </c>
      <c r="U431" s="14">
        <f t="shared" si="1056"/>
        <v>-7.505157960043472E-3</v>
      </c>
      <c r="V431" s="14">
        <f t="shared" si="1056"/>
        <v>0</v>
      </c>
      <c r="W431" s="14">
        <f t="shared" si="1056"/>
        <v>9.1501614640583408E-3</v>
      </c>
      <c r="X431" s="14">
        <f t="shared" si="1056"/>
        <v>0</v>
      </c>
      <c r="Y431" s="14">
        <f t="shared" si="1056"/>
        <v>0</v>
      </c>
      <c r="Z431" s="14">
        <f t="shared" si="1056"/>
        <v>0</v>
      </c>
      <c r="AA431" s="14">
        <f t="shared" si="1056"/>
        <v>0</v>
      </c>
      <c r="AB431" s="14">
        <f t="shared" si="1056"/>
        <v>3.3460890513301476E-3</v>
      </c>
      <c r="AC431" s="14">
        <f t="shared" si="1056"/>
        <v>8.6762374294413764E-3</v>
      </c>
      <c r="AD431" s="14">
        <f t="shared" si="1056"/>
        <v>4.1310436287777539E-3</v>
      </c>
      <c r="AE431" s="14">
        <f t="shared" si="1056"/>
        <v>0</v>
      </c>
      <c r="AF431" s="14">
        <f t="shared" si="1056"/>
        <v>1.1389232667572021E-4</v>
      </c>
      <c r="AG431" s="14">
        <f t="shared" si="1056"/>
        <v>5.5497561645032533E-4</v>
      </c>
      <c r="AH431" s="14">
        <f t="shared" si="1056"/>
        <v>0.97754922627544028</v>
      </c>
      <c r="AI431" s="76">
        <f t="shared" si="1024"/>
        <v>0</v>
      </c>
      <c r="AK431" s="2">
        <f>AK420+AK429</f>
        <v>-105787000</v>
      </c>
      <c r="AL431" s="2">
        <f>AL420+AL429</f>
        <v>372542.22767670389</v>
      </c>
      <c r="AM431" s="2">
        <f>AM420+AM429</f>
        <v>-967968.13079833961</v>
      </c>
      <c r="AN431" s="2">
        <f>AN420+AN429</f>
        <v>-1779574.0968783644</v>
      </c>
      <c r="AO431" s="2">
        <f>AO420+AO429</f>
        <v>-103412000</v>
      </c>
      <c r="AP431" s="2"/>
      <c r="AQ431" s="61" t="str">
        <f>$A420&amp;"+"&amp;$A429</f>
        <v>420+429</v>
      </c>
      <c r="AS431" s="2">
        <f t="shared" ref="AS431:AY431" si="1057">AS420+AS429</f>
        <v>372542.227676704</v>
      </c>
      <c r="AT431" s="2">
        <f t="shared" si="1057"/>
        <v>350055.77968160377</v>
      </c>
      <c r="AU431" s="2">
        <f t="shared" si="1057"/>
        <v>91363.65921374764</v>
      </c>
      <c r="AV431" s="2">
        <f t="shared" si="1057"/>
        <v>0</v>
      </c>
      <c r="AW431" s="2">
        <f t="shared" si="1057"/>
        <v>1094.2244715164722</v>
      </c>
      <c r="AX431" s="2">
        <f t="shared" si="1057"/>
        <v>-69971.435690164028</v>
      </c>
      <c r="AY431" s="2">
        <f t="shared" si="1057"/>
        <v>0</v>
      </c>
      <c r="BA431" s="2">
        <f t="shared" ref="BA431:BG431" si="1058">BA420+BA429</f>
        <v>-967968.13079833973</v>
      </c>
      <c r="BB431" s="2">
        <f t="shared" si="1058"/>
        <v>-660936.60211804346</v>
      </c>
      <c r="BC431" s="2">
        <f t="shared" si="1058"/>
        <v>-223710.38289678027</v>
      </c>
      <c r="BD431" s="2">
        <f t="shared" si="1058"/>
        <v>0</v>
      </c>
      <c r="BE431" s="2">
        <f t="shared" si="1058"/>
        <v>-2810.4250026486716</v>
      </c>
      <c r="BF431" s="2">
        <f t="shared" si="1058"/>
        <v>-80510.720780867181</v>
      </c>
      <c r="BG431" s="2">
        <f t="shared" si="1058"/>
        <v>0</v>
      </c>
      <c r="BI431" s="2">
        <f t="shared" ref="BI431:BO431" si="1059">BI420+BI429</f>
        <v>-1779574.0968783644</v>
      </c>
      <c r="BJ431" s="2">
        <f t="shared" si="1059"/>
        <v>-1697406.7205633309</v>
      </c>
      <c r="BK431" s="2">
        <f t="shared" si="1059"/>
        <v>-73209.699830703263</v>
      </c>
      <c r="BL431" s="2">
        <f t="shared" si="1059"/>
        <v>0</v>
      </c>
      <c r="BM431" s="2">
        <f t="shared" si="1059"/>
        <v>-627.9769636043718</v>
      </c>
      <c r="BN431" s="2">
        <f t="shared" si="1059"/>
        <v>-8329.6995207258296</v>
      </c>
      <c r="BO431" s="2">
        <f t="shared" si="1059"/>
        <v>0</v>
      </c>
    </row>
    <row r="432" spans="1:72">
      <c r="A432" s="50">
        <f t="shared" si="986"/>
        <v>432</v>
      </c>
      <c r="E432" s="2"/>
      <c r="F432" s="60"/>
      <c r="G432" s="60"/>
      <c r="H432" s="2"/>
      <c r="I432" s="2"/>
      <c r="J432" s="2"/>
      <c r="K432" s="2"/>
      <c r="L432" s="2"/>
      <c r="M432" s="2"/>
      <c r="N432" s="2"/>
      <c r="O432" s="2"/>
      <c r="P432" s="61"/>
      <c r="Q432" s="61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76">
        <f t="shared" si="1024"/>
        <v>0</v>
      </c>
      <c r="AK432" s="2"/>
      <c r="AL432" s="2"/>
      <c r="AM432" s="2"/>
      <c r="AN432" s="2"/>
      <c r="AO432" s="2"/>
      <c r="AP432" s="2"/>
      <c r="AQ432" s="61"/>
      <c r="AS432" s="2"/>
      <c r="AT432" s="2"/>
      <c r="AU432" s="2"/>
      <c r="AV432" s="2"/>
      <c r="AW432" s="2"/>
      <c r="AX432" s="2"/>
      <c r="AY432" s="2"/>
      <c r="BA432" s="2"/>
      <c r="BB432" s="2"/>
      <c r="BC432" s="2"/>
      <c r="BD432" s="2"/>
      <c r="BE432" s="2"/>
      <c r="BF432" s="2"/>
      <c r="BG432" s="2"/>
      <c r="BI432" s="2"/>
      <c r="BJ432" s="2"/>
      <c r="BK432" s="2"/>
      <c r="BL432" s="2"/>
      <c r="BM432" s="2"/>
      <c r="BN432" s="2"/>
      <c r="BO432" s="2"/>
    </row>
    <row r="433" spans="1:67" ht="13.8" thickBot="1">
      <c r="A433" s="50">
        <f t="shared" si="986"/>
        <v>433</v>
      </c>
      <c r="C433" s="34"/>
      <c r="D433" s="1" t="s">
        <v>654</v>
      </c>
      <c r="E433" s="75">
        <f>E417+E431</f>
        <v>-23640000</v>
      </c>
      <c r="F433" s="60" t="str">
        <f>"("&amp;A$417&amp;"+"&amp;A$431&amp;")"</f>
        <v>(417+431)</v>
      </c>
      <c r="G433" s="60"/>
      <c r="H433" s="6">
        <f>H417+H431</f>
        <v>-23639999.970686942</v>
      </c>
      <c r="I433" s="6">
        <f t="shared" ref="I433:N433" si="1060">I417+I431</f>
        <v>-12708661.35424675</v>
      </c>
      <c r="J433" s="6">
        <f t="shared" si="1060"/>
        <v>-9839300.2193573862</v>
      </c>
      <c r="K433" s="6">
        <f t="shared" si="1060"/>
        <v>0</v>
      </c>
      <c r="L433" s="6">
        <f t="shared" si="1060"/>
        <v>-93698.172368623258</v>
      </c>
      <c r="M433" s="6">
        <f t="shared" si="1060"/>
        <v>-998340.2247142042</v>
      </c>
      <c r="N433" s="6">
        <f t="shared" si="1060"/>
        <v>0</v>
      </c>
      <c r="O433" s="5"/>
      <c r="P433" s="61" t="str">
        <f>$A417&amp;"+"&amp;$A431</f>
        <v>417+431</v>
      </c>
      <c r="Q433" s="61"/>
      <c r="R433" s="19">
        <f t="shared" ref="R433:AH433" si="1061">($E417*R417+$E431*R431)/$E433</f>
        <v>-0.23750830631596573</v>
      </c>
      <c r="S433" s="19">
        <f t="shared" si="1061"/>
        <v>-4.007888656964622E-2</v>
      </c>
      <c r="T433" s="19">
        <f t="shared" si="1061"/>
        <v>-2.171201378267849E-2</v>
      </c>
      <c r="U433" s="19">
        <f t="shared" si="1061"/>
        <v>-0.14533875696562001</v>
      </c>
      <c r="V433" s="19">
        <f t="shared" si="1061"/>
        <v>-2.9635294340480344E-3</v>
      </c>
      <c r="W433" s="19">
        <f t="shared" si="1061"/>
        <v>-0.41528760962485622</v>
      </c>
      <c r="X433" s="19">
        <f t="shared" si="1061"/>
        <v>0</v>
      </c>
      <c r="Y433" s="19">
        <f t="shared" si="1061"/>
        <v>0</v>
      </c>
      <c r="Z433" s="19">
        <f t="shared" si="1061"/>
        <v>0</v>
      </c>
      <c r="AA433" s="19">
        <f t="shared" si="1061"/>
        <v>0</v>
      </c>
      <c r="AB433" s="19">
        <f t="shared" si="1061"/>
        <v>-0.81111637263719727</v>
      </c>
      <c r="AC433" s="19">
        <f t="shared" si="1061"/>
        <v>-0.48347307106531956</v>
      </c>
      <c r="AD433" s="19">
        <f t="shared" si="1061"/>
        <v>-0.24148060514799397</v>
      </c>
      <c r="AE433" s="19">
        <f t="shared" si="1061"/>
        <v>0</v>
      </c>
      <c r="AF433" s="19">
        <f t="shared" si="1061"/>
        <v>-5.1193419633285041E-3</v>
      </c>
      <c r="AG433" s="19">
        <f t="shared" si="1061"/>
        <v>-8.4015407230775607E-2</v>
      </c>
      <c r="AH433" s="19">
        <f t="shared" si="1061"/>
        <v>3.4880939007374301</v>
      </c>
      <c r="AI433" s="76">
        <f t="shared" si="1024"/>
        <v>0</v>
      </c>
      <c r="AK433" s="6">
        <f>AK417+AK431</f>
        <v>-23640000</v>
      </c>
      <c r="AL433" s="6">
        <f>AL417+AL431</f>
        <v>10581299.296126539</v>
      </c>
      <c r="AM433" s="6">
        <f>AM417+AM431</f>
        <v>9817399.0915316008</v>
      </c>
      <c r="AN433" s="6">
        <f>AN417+AN431</f>
        <v>38419841.425774686</v>
      </c>
      <c r="AO433" s="6">
        <f>AO417+AO431</f>
        <v>-82458539.813432842</v>
      </c>
      <c r="AP433" s="5"/>
      <c r="AQ433" s="61" t="str">
        <f>$A417&amp;"+"&amp;$A431</f>
        <v>417+431</v>
      </c>
      <c r="AS433" s="6">
        <f t="shared" ref="AS433:AY433" si="1062">AS417+AS431</f>
        <v>14021541.14311251</v>
      </c>
      <c r="AT433" s="6">
        <f t="shared" si="1062"/>
        <v>8624980.3425214309</v>
      </c>
      <c r="AU433" s="6">
        <f t="shared" si="1062"/>
        <v>4117733.0125536956</v>
      </c>
      <c r="AV433" s="6">
        <f t="shared" si="1062"/>
        <v>0</v>
      </c>
      <c r="AW433" s="6">
        <f t="shared" si="1062"/>
        <v>60443.178437288341</v>
      </c>
      <c r="AX433" s="6">
        <f t="shared" si="1062"/>
        <v>1218384.6096000928</v>
      </c>
      <c r="AY433" s="6">
        <f t="shared" si="1062"/>
        <v>0</v>
      </c>
      <c r="BA433" s="6">
        <f t="shared" ref="BA433:BG433" si="1063">BA417+BA431</f>
        <v>13335054.557126584</v>
      </c>
      <c r="BB433" s="6">
        <f t="shared" si="1063"/>
        <v>8624201.2021153439</v>
      </c>
      <c r="BC433" s="6">
        <f t="shared" si="1063"/>
        <v>3598252.2029005084</v>
      </c>
      <c r="BD433" s="6">
        <f t="shared" si="1063"/>
        <v>0</v>
      </c>
      <c r="BE433" s="6">
        <f t="shared" si="1063"/>
        <v>42122.594670066188</v>
      </c>
      <c r="BF433" s="6">
        <f t="shared" si="1063"/>
        <v>1070478.5574406669</v>
      </c>
      <c r="BG433" s="6">
        <f t="shared" si="1063"/>
        <v>0</v>
      </c>
      <c r="BI433" s="6">
        <f t="shared" ref="BI433:BO433" si="1064">BI417+BI431</f>
        <v>47871964.2997609</v>
      </c>
      <c r="BJ433" s="6">
        <f t="shared" si="1064"/>
        <v>46019287.070250511</v>
      </c>
      <c r="BK433" s="6">
        <f t="shared" si="1064"/>
        <v>1705150.0191289838</v>
      </c>
      <c r="BL433" s="6">
        <f t="shared" si="1064"/>
        <v>0</v>
      </c>
      <c r="BM433" s="6">
        <f t="shared" si="1064"/>
        <v>11186.818021497311</v>
      </c>
      <c r="BN433" s="6">
        <f t="shared" si="1064"/>
        <v>136340.39235991717</v>
      </c>
      <c r="BO433" s="6">
        <f t="shared" si="1064"/>
        <v>0</v>
      </c>
    </row>
    <row r="434" spans="1:67" ht="13.8" thickTop="1">
      <c r="A434" s="50">
        <f t="shared" si="986"/>
        <v>434</v>
      </c>
      <c r="E434" s="2">
        <f>(E433/1000)+PROFORMA!AV403</f>
        <v>0</v>
      </c>
      <c r="H434" s="33">
        <f>H433-$E433</f>
        <v>2.9313057661056519E-2</v>
      </c>
      <c r="P434" s="61"/>
      <c r="Q434" s="61"/>
      <c r="AK434" s="33">
        <f>AK433-$E433</f>
        <v>0</v>
      </c>
      <c r="AQ434" s="61"/>
    </row>
    <row r="435" spans="1:67">
      <c r="A435" s="50">
        <f t="shared" si="986"/>
        <v>435</v>
      </c>
      <c r="P435" s="61"/>
      <c r="Q435" s="61"/>
      <c r="AQ435" s="61"/>
    </row>
    <row r="436" spans="1:67">
      <c r="A436" s="50">
        <f t="shared" si="986"/>
        <v>436</v>
      </c>
      <c r="D436" t="s">
        <v>216</v>
      </c>
      <c r="E436" s="2">
        <f>E417+E429-E433</f>
        <v>103412000</v>
      </c>
      <c r="F436" s="60" t="str">
        <f>"("&amp;A$417&amp;"+"&amp;A$429&amp;"-"&amp;A$433&amp;")"</f>
        <v>(417+429-433)</v>
      </c>
      <c r="H436" s="2">
        <f>H417+H429-H433</f>
        <v>103411999.99999999</v>
      </c>
      <c r="I436" s="2">
        <f t="shared" ref="I436:N436" si="1065">I417+I429-I433</f>
        <v>79468609.307138771</v>
      </c>
      <c r="J436" s="2">
        <f t="shared" si="1065"/>
        <v>20145536.166025911</v>
      </c>
      <c r="K436" s="2">
        <f t="shared" si="1065"/>
        <v>0</v>
      </c>
      <c r="L436" s="2">
        <f t="shared" si="1065"/>
        <v>216984.02763022837</v>
      </c>
      <c r="M436" s="2">
        <f t="shared" si="1065"/>
        <v>3580870.4992050868</v>
      </c>
      <c r="N436" s="2">
        <f t="shared" si="1065"/>
        <v>0</v>
      </c>
      <c r="P436" s="61" t="str">
        <f>$A417&amp;"+"&amp;$A429&amp;"-"&amp;$A433</f>
        <v>417+429-433</v>
      </c>
      <c r="Q436" s="61"/>
      <c r="R436" s="84"/>
      <c r="AK436" s="2"/>
      <c r="AL436" s="2"/>
      <c r="AM436" s="2"/>
      <c r="AN436" s="2"/>
      <c r="AO436" s="2"/>
      <c r="AQ436" s="61"/>
    </row>
    <row r="437" spans="1:67">
      <c r="A437" s="50">
        <f t="shared" si="986"/>
        <v>437</v>
      </c>
      <c r="P437" s="61"/>
      <c r="Q437" s="61"/>
      <c r="AQ437" s="61"/>
    </row>
    <row r="438" spans="1:67">
      <c r="A438" s="50">
        <f t="shared" si="986"/>
        <v>438</v>
      </c>
    </row>
    <row r="439" spans="1:67">
      <c r="A439" s="50">
        <f t="shared" si="986"/>
        <v>439</v>
      </c>
      <c r="D439" s="30" t="s">
        <v>476</v>
      </c>
    </row>
    <row r="440" spans="1:67">
      <c r="A440" s="50">
        <f t="shared" si="986"/>
        <v>440</v>
      </c>
      <c r="D440" s="28" t="s">
        <v>357</v>
      </c>
      <c r="E440" s="2">
        <f>E$443*IF(E$152,E148/E$152,0)</f>
        <v>-198398.39565659151</v>
      </c>
      <c r="H440" s="2">
        <f t="shared" ref="H440:N440" si="1066">H$443*IF(H$152,H148/H$152,0)</f>
        <v>-198398.39565659154</v>
      </c>
      <c r="I440" s="2">
        <f t="shared" si="1066"/>
        <v>-144415.26670543192</v>
      </c>
      <c r="J440" s="2">
        <f t="shared" si="1066"/>
        <v>-50470.887197261094</v>
      </c>
      <c r="K440" s="2">
        <f t="shared" si="1066"/>
        <v>0</v>
      </c>
      <c r="L440" s="2">
        <f>L$443*IF(L$152,L148/L$152,0)</f>
        <v>-731.09713160404169</v>
      </c>
      <c r="M440" s="2">
        <f t="shared" si="1066"/>
        <v>-2781.1446222944869</v>
      </c>
      <c r="N440" s="2">
        <f t="shared" si="1066"/>
        <v>0</v>
      </c>
      <c r="AK440" s="2">
        <f>AK$443*IF(AK$152,AK148/AK$152,0)</f>
        <v>-198398.39565659151</v>
      </c>
      <c r="AL440" s="2">
        <f>AL$443*IF(AL$152,AL148/AL$152,0)</f>
        <v>-198398.39565659154</v>
      </c>
      <c r="AM440" s="2">
        <f>AM$443*IF(AM$152,AM148/AM$152,0)</f>
        <v>0</v>
      </c>
      <c r="AN440" s="2">
        <f>AN$443*IF(AN$152,AN148/AN$152,0)</f>
        <v>0</v>
      </c>
      <c r="AO440" s="2">
        <f>AO$443*IF(AO$152,AO148/AO$152,0)</f>
        <v>0</v>
      </c>
    </row>
    <row r="441" spans="1:67">
      <c r="A441" s="50">
        <f t="shared" si="986"/>
        <v>441</v>
      </c>
      <c r="D441" s="28" t="s">
        <v>118</v>
      </c>
      <c r="E441" s="2">
        <f>E$443*IF(E$152,(E149+E150)/E$152,0)</f>
        <v>-2398155.6720124464</v>
      </c>
      <c r="H441" s="2">
        <f t="shared" ref="H441:N441" si="1067">H$443*IF(H$152,(H149+H150)/H$152,0)</f>
        <v>-2398155.6720124464</v>
      </c>
      <c r="I441" s="2">
        <f t="shared" si="1067"/>
        <v>-1887854.523414118</v>
      </c>
      <c r="J441" s="2">
        <f t="shared" si="1067"/>
        <v>-360855.45202333585</v>
      </c>
      <c r="K441" s="2">
        <f t="shared" si="1067"/>
        <v>0</v>
      </c>
      <c r="L441" s="2">
        <f t="shared" si="1067"/>
        <v>-4765.1281651689769</v>
      </c>
      <c r="M441" s="2">
        <f t="shared" si="1067"/>
        <v>-144680.56840982346</v>
      </c>
      <c r="N441" s="2">
        <f t="shared" si="1067"/>
        <v>0</v>
      </c>
      <c r="AK441" s="2">
        <f>AK$443*IF(AK$152,(AK149+AK150)/AK$152,0)</f>
        <v>-2398155.6720124464</v>
      </c>
      <c r="AL441" s="2">
        <f>AL$443*IF(AL$152,(AL149+AL150)/AL$152,0)</f>
        <v>-444514.23879909847</v>
      </c>
      <c r="AM441" s="2">
        <f>AM$443*IF(AM$152,(AM149+AM150)/AM$152,0)</f>
        <v>-819584.72576996719</v>
      </c>
      <c r="AN441" s="2">
        <f>AN$443*IF(AN$152,(AN149+AN150)/AN$152,0)</f>
        <v>-1134056.7074433812</v>
      </c>
      <c r="AO441" s="2">
        <f>AO$443*IF(AO$152,(AO149+AO150)/AO$152,0)</f>
        <v>0</v>
      </c>
    </row>
    <row r="442" spans="1:67">
      <c r="A442" s="50">
        <f t="shared" si="986"/>
        <v>442</v>
      </c>
      <c r="D442" s="28" t="s">
        <v>148</v>
      </c>
      <c r="E442" s="2">
        <f>E$443*IF(E$152,E151/E$152,0)</f>
        <v>-921445.93233096169</v>
      </c>
      <c r="H442" s="2">
        <f t="shared" ref="H442:N442" si="1068">H$443*IF(H$152,H151/H$152,0)</f>
        <v>-921445.93233096169</v>
      </c>
      <c r="I442" s="2">
        <f t="shared" si="1068"/>
        <v>-807324.10060755315</v>
      </c>
      <c r="J442" s="2">
        <f t="shared" si="1068"/>
        <v>-86092.082394498604</v>
      </c>
      <c r="K442" s="2">
        <f t="shared" si="1068"/>
        <v>0</v>
      </c>
      <c r="L442" s="2">
        <f t="shared" si="1068"/>
        <v>-1077.5883049829613</v>
      </c>
      <c r="M442" s="2">
        <f t="shared" si="1068"/>
        <v>-26952.161023927289</v>
      </c>
      <c r="N442" s="2">
        <f t="shared" si="1068"/>
        <v>0</v>
      </c>
      <c r="AK442" s="2">
        <f>AK$443*IF(AK$152,AK151/AK$152,0)</f>
        <v>-921445.93233096169</v>
      </c>
      <c r="AL442" s="2">
        <f>AL$443*IF(AL$152,AL151/AL$152,0)</f>
        <v>-135618.93519630225</v>
      </c>
      <c r="AM442" s="2">
        <f>AM$443*IF(AM$152,AM151/AM$152,0)</f>
        <v>-145233.24314869239</v>
      </c>
      <c r="AN442" s="2">
        <f>AN$443*IF(AN$152,AN151/AN$152,0)</f>
        <v>-640593.75398596714</v>
      </c>
      <c r="AO442" s="2">
        <f>AO$443*IF(AO$152,AO151/AO$152,0)</f>
        <v>0</v>
      </c>
    </row>
    <row r="443" spans="1:67">
      <c r="A443" s="50">
        <f t="shared" si="986"/>
        <v>443</v>
      </c>
      <c r="C443" s="36" t="s">
        <v>468</v>
      </c>
      <c r="D443" s="52" t="s">
        <v>477</v>
      </c>
      <c r="E443" s="4">
        <f>SUMIF($C$172:$C$433,$C443,E$172:E$433)</f>
        <v>-3518000</v>
      </c>
      <c r="H443" s="4">
        <f t="shared" ref="H443:N443" si="1069">SUMIF($C$172:$C$433,$C443,H$172:H$433)</f>
        <v>-3518000</v>
      </c>
      <c r="I443" s="4">
        <f t="shared" si="1069"/>
        <v>-2839593.8907271032</v>
      </c>
      <c r="J443" s="4">
        <f t="shared" si="1069"/>
        <v>-497418.42161509558</v>
      </c>
      <c r="K443" s="4">
        <f t="shared" si="1069"/>
        <v>0</v>
      </c>
      <c r="L443" s="4">
        <f t="shared" si="1069"/>
        <v>-6573.81360175598</v>
      </c>
      <c r="M443" s="4">
        <f t="shared" si="1069"/>
        <v>-174413.87405604523</v>
      </c>
      <c r="N443" s="4">
        <f t="shared" si="1069"/>
        <v>0</v>
      </c>
      <c r="AK443" s="4">
        <f>SUMIF($C$172:$C$433,$C443,AK$172:AK$433)</f>
        <v>-3518000</v>
      </c>
      <c r="AL443" s="4">
        <f>SUMIF($C$172:$C$433,$C443,AL$172:AL$433)</f>
        <v>-778531.56965199229</v>
      </c>
      <c r="AM443" s="4">
        <f>SUMIF($C$172:$C$433,$C443,AM$172:AM$433)</f>
        <v>-964817.96891865949</v>
      </c>
      <c r="AN443" s="4">
        <f>SUMIF($C$172:$C$433,$C443,AN$172:AN$433)</f>
        <v>-1774650.4614293484</v>
      </c>
      <c r="AO443" s="4">
        <f>SUMIF($C$172:$C$433,$C443,AO$172:AO$433)</f>
        <v>0</v>
      </c>
    </row>
    <row r="444" spans="1:67">
      <c r="A444" s="50">
        <f t="shared" si="986"/>
        <v>444</v>
      </c>
      <c r="H444" s="33">
        <f>H443-$E443</f>
        <v>0</v>
      </c>
      <c r="AK444" s="33">
        <f>AK443-$E443</f>
        <v>0</v>
      </c>
    </row>
    <row r="445" spans="1:67">
      <c r="A445" s="50">
        <f t="shared" si="986"/>
        <v>445</v>
      </c>
      <c r="G445" s="60"/>
    </row>
    <row r="446" spans="1:67">
      <c r="A446" s="50">
        <f t="shared" si="986"/>
        <v>446</v>
      </c>
    </row>
    <row r="447" spans="1:67">
      <c r="A447" s="50">
        <f t="shared" si="986"/>
        <v>447</v>
      </c>
    </row>
    <row r="448" spans="1:67">
      <c r="A448" s="50">
        <f t="shared" si="986"/>
        <v>448</v>
      </c>
    </row>
  </sheetData>
  <phoneticPr fontId="8" type="noConversion"/>
  <conditionalFormatting sqref="AK434 AK444 H434 H407 H409 H418 H444 BR343:CM343 AK158 AK140 AK153 H351 H343:I343 H157:H158 H140 H146 H153">
    <cfRule type="expression" dxfId="12" priority="8" stopIfTrue="1">
      <formula>ABS(H140)&gt;1</formula>
    </cfRule>
  </conditionalFormatting>
  <conditionalFormatting sqref="CL175:CL342 AI117:AI168 AI170:AI433 AI7:AI115">
    <cfRule type="cellIs" dxfId="11" priority="9" stopIfTrue="1" operator="equal">
      <formula>1</formula>
    </cfRule>
  </conditionalFormatting>
  <conditionalFormatting sqref="E434">
    <cfRule type="cellIs" dxfId="10" priority="7" operator="notEqual">
      <formula>0</formula>
    </cfRule>
  </conditionalFormatting>
  <conditionalFormatting sqref="E59">
    <cfRule type="cellIs" dxfId="9" priority="2" operator="lessThan">
      <formula>0</formula>
    </cfRule>
    <cfRule type="cellIs" dxfId="8" priority="3" operator="greaterThan">
      <formula>0</formula>
    </cfRule>
  </conditionalFormatting>
  <conditionalFormatting sqref="E132">
    <cfRule type="expression" dxfId="7" priority="1">
      <formula>"&lt;&gt;0"</formula>
    </cfRule>
  </conditionalFormatting>
  <pageMargins left="0.5" right="0.5" top="0.5" bottom="0.5" header="0.25" footer="0.25"/>
  <pageSetup scale="69" firstPageNumber="31" fitToHeight="3" orientation="landscape" useFirstPageNumber="1" r:id="rId1"/>
  <headerFooter alignWithMargins="0">
    <oddHeader>&amp;LAVISTA UTILITIES --  Base Case
Pro-Forma Labor Expense&amp;RWA Gas</oddHeader>
    <oddFooter>&amp;LAvista - WA Cost of Service (NG) - Base Case.xlsm  Detail&amp;C4/24/2019&amp;RPage &amp;P of 35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5" r:id="rId4" name="Button 481">
              <controlPr defaultSize="0" print="0" autoFill="0" autoPict="0" macro="[0]!Print_RB1_and_RB2">
                <anchor moveWithCells="1" sizeWithCells="1">
                  <from>
                    <xdr:col>1</xdr:col>
                    <xdr:colOff>15240</xdr:colOff>
                    <xdr:row>6</xdr:row>
                    <xdr:rowOff>53340</xdr:rowOff>
                  </from>
                  <to>
                    <xdr:col>1</xdr:col>
                    <xdr:colOff>525780</xdr:colOff>
                    <xdr:row>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5" name="Button 483">
              <controlPr defaultSize="0" print="0" autoFill="0" autoPict="0" macro="[0]!Print_RB3_and_RB4">
                <anchor moveWithCells="1" sizeWithCells="1">
                  <from>
                    <xdr:col>36</xdr:col>
                    <xdr:colOff>15240</xdr:colOff>
                    <xdr:row>6</xdr:row>
                    <xdr:rowOff>53340</xdr:rowOff>
                  </from>
                  <to>
                    <xdr:col>36</xdr:col>
                    <xdr:colOff>525780</xdr:colOff>
                    <xdr:row>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6" name="Button 485">
              <controlPr defaultSize="0" print="0" autoFill="0" autoPict="0" macro="[0]!Print_RR1_and_RR2">
                <anchor moveWithCells="1" sizeWithCells="1">
                  <from>
                    <xdr:col>1</xdr:col>
                    <xdr:colOff>15240</xdr:colOff>
                    <xdr:row>166</xdr:row>
                    <xdr:rowOff>53340</xdr:rowOff>
                  </from>
                  <to>
                    <xdr:col>1</xdr:col>
                    <xdr:colOff>525780</xdr:colOff>
                    <xdr:row>167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7" name="Button 496">
              <controlPr defaultSize="0" print="0" autoFill="0" autoPict="0" macro="[0]!Print_RR3_and_RR4">
                <anchor moveWithCells="1" sizeWithCells="1">
                  <from>
                    <xdr:col>36</xdr:col>
                    <xdr:colOff>15240</xdr:colOff>
                    <xdr:row>166</xdr:row>
                    <xdr:rowOff>53340</xdr:rowOff>
                  </from>
                  <to>
                    <xdr:col>36</xdr:col>
                    <xdr:colOff>525780</xdr:colOff>
                    <xdr:row>167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8" name="Button 497">
              <controlPr defaultSize="0" print="0" autoFill="0" autoPict="0" macro="[0]!Print_RR5_and_RR6">
                <anchor moveWithCells="1" sizeWithCells="1">
                  <from>
                    <xdr:col>68</xdr:col>
                    <xdr:colOff>15240</xdr:colOff>
                    <xdr:row>166</xdr:row>
                    <xdr:rowOff>53340</xdr:rowOff>
                  </from>
                  <to>
                    <xdr:col>68</xdr:col>
                    <xdr:colOff>525780</xdr:colOff>
                    <xdr:row>167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R534"/>
  <sheetViews>
    <sheetView tabSelected="1" zoomScaleNormal="100" workbookViewId="0">
      <selection activeCell="E95" sqref="E95"/>
    </sheetView>
  </sheetViews>
  <sheetFormatPr defaultRowHeight="13.2"/>
  <cols>
    <col min="1" max="1" width="4.77734375" style="50" customWidth="1"/>
    <col min="2" max="2" width="37.21875" customWidth="1"/>
    <col min="3" max="5" width="12.77734375" customWidth="1"/>
    <col min="6" max="6" width="12.77734375" hidden="1" customWidth="1"/>
    <col min="7" max="8" width="12.77734375" customWidth="1"/>
    <col min="9" max="9" width="12.77734375" hidden="1" customWidth="1"/>
    <col min="10" max="10" width="1.77734375" customWidth="1"/>
    <col min="11" max="11" width="23.21875" bestFit="1" customWidth="1"/>
    <col min="12" max="12" width="15.77734375" bestFit="1" customWidth="1"/>
    <col min="13" max="13" width="11.44140625" customWidth="1"/>
    <col min="14" max="14" width="9.33203125" customWidth="1"/>
    <col min="15" max="15" width="12.88671875" customWidth="1"/>
    <col min="16" max="16" width="11.33203125" customWidth="1"/>
    <col min="17" max="17" width="10.44140625" customWidth="1"/>
  </cols>
  <sheetData>
    <row r="1" spans="1:12">
      <c r="A1" s="50" t="str">
        <f>ColHdr</f>
        <v>A</v>
      </c>
      <c r="B1" s="50" t="str">
        <f t="shared" ref="B1:L1" si="0">ColHdr</f>
        <v>B</v>
      </c>
      <c r="C1" s="50" t="str">
        <f t="shared" si="0"/>
        <v>C</v>
      </c>
      <c r="D1" s="50" t="str">
        <f t="shared" si="0"/>
        <v>D</v>
      </c>
      <c r="E1" s="50" t="str">
        <f t="shared" si="0"/>
        <v>E</v>
      </c>
      <c r="F1" s="50" t="str">
        <f t="shared" si="0"/>
        <v>F</v>
      </c>
      <c r="G1" s="50" t="str">
        <f t="shared" si="0"/>
        <v>G</v>
      </c>
      <c r="H1" s="50" t="str">
        <f t="shared" si="0"/>
        <v>H</v>
      </c>
      <c r="I1" s="50" t="str">
        <f t="shared" si="0"/>
        <v>I</v>
      </c>
      <c r="J1" s="50" t="str">
        <f t="shared" si="0"/>
        <v>J</v>
      </c>
      <c r="K1" s="50" t="str">
        <f t="shared" si="0"/>
        <v>K</v>
      </c>
      <c r="L1" s="50" t="str">
        <f t="shared" si="0"/>
        <v>L</v>
      </c>
    </row>
    <row r="2" spans="1:12">
      <c r="A2" s="50">
        <f>Pg1Row+ROW(A2)</f>
        <v>450</v>
      </c>
      <c r="B2" s="55"/>
    </row>
    <row r="3" spans="1:12">
      <c r="A3" s="50">
        <f t="shared" ref="A3:A69" si="1">Pg1Row+ROW(A3)</f>
        <v>451</v>
      </c>
    </row>
    <row r="4" spans="1:12">
      <c r="A4" s="50">
        <f t="shared" si="1"/>
        <v>452</v>
      </c>
      <c r="C4" s="34" t="s">
        <v>120</v>
      </c>
      <c r="D4" s="34" t="s">
        <v>398</v>
      </c>
      <c r="E4" s="34" t="s">
        <v>399</v>
      </c>
      <c r="F4" s="34" t="s">
        <v>400</v>
      </c>
      <c r="G4" s="34" t="s">
        <v>1145</v>
      </c>
      <c r="H4" s="34" t="s">
        <v>402</v>
      </c>
      <c r="I4" s="34" t="s">
        <v>282</v>
      </c>
      <c r="J4" s="34"/>
      <c r="K4" s="64" t="s">
        <v>230</v>
      </c>
    </row>
    <row r="5" spans="1:12">
      <c r="A5" s="50">
        <f t="shared" si="1"/>
        <v>453</v>
      </c>
      <c r="B5" t="s">
        <v>84</v>
      </c>
      <c r="K5" s="65"/>
    </row>
    <row r="6" spans="1:12">
      <c r="A6" s="50">
        <f t="shared" si="1"/>
        <v>454</v>
      </c>
      <c r="B6" s="28" t="s">
        <v>237</v>
      </c>
      <c r="C6" s="2">
        <f>Detail!H24</f>
        <v>31756000</v>
      </c>
      <c r="D6" s="2">
        <f>Detail!I24</f>
        <v>23115364.387500934</v>
      </c>
      <c r="E6" s="2">
        <f>Detail!J24</f>
        <v>8078459.9519163184</v>
      </c>
      <c r="F6" s="2">
        <f>Detail!K24</f>
        <v>0</v>
      </c>
      <c r="G6" s="2">
        <f>Detail!L24</f>
        <v>117020.7069184362</v>
      </c>
      <c r="H6" s="2">
        <f>Detail!M24</f>
        <v>445154.95366431127</v>
      </c>
      <c r="I6" s="2">
        <f>Detail!N24</f>
        <v>0</v>
      </c>
      <c r="J6" s="2"/>
      <c r="K6" s="68">
        <f>Detail!A$24</f>
        <v>24</v>
      </c>
    </row>
    <row r="7" spans="1:12">
      <c r="A7" s="50">
        <f t="shared" si="1"/>
        <v>455</v>
      </c>
      <c r="B7" s="28" t="s">
        <v>90</v>
      </c>
      <c r="C7" s="2">
        <f>Detail!H41</f>
        <v>539767999.99999988</v>
      </c>
      <c r="D7" s="2">
        <f>Detail!I41</f>
        <v>427736262.99208814</v>
      </c>
      <c r="E7" s="2">
        <f>Detail!J41</f>
        <v>79218704.346197128</v>
      </c>
      <c r="F7" s="2">
        <f>Detail!K41</f>
        <v>0</v>
      </c>
      <c r="G7" s="2">
        <f>Detail!L41</f>
        <v>1045412.4593359743</v>
      </c>
      <c r="H7" s="2">
        <f>Detail!M41</f>
        <v>31767620.202378694</v>
      </c>
      <c r="I7" s="2">
        <f>Detail!N41</f>
        <v>0</v>
      </c>
      <c r="J7" s="2"/>
      <c r="K7" s="68">
        <f>Detail!A$41</f>
        <v>41</v>
      </c>
    </row>
    <row r="8" spans="1:12">
      <c r="A8" s="50">
        <f t="shared" si="1"/>
        <v>456</v>
      </c>
      <c r="B8" s="28" t="s">
        <v>85</v>
      </c>
      <c r="C8" s="2">
        <f>Detail!H13</f>
        <v>54910000.000000007</v>
      </c>
      <c r="D8" s="2">
        <f>Detail!I13</f>
        <v>47849820.515227497</v>
      </c>
      <c r="E8" s="2">
        <f>Detail!J13</f>
        <v>5336552.8997711744</v>
      </c>
      <c r="F8" s="2">
        <f>Detail!K13</f>
        <v>0</v>
      </c>
      <c r="G8" s="2">
        <f>Detail!L13</f>
        <v>66375.943710843378</v>
      </c>
      <c r="H8" s="2">
        <f>Detail!M13</f>
        <v>1657250.6412904921</v>
      </c>
      <c r="I8" s="2">
        <f>Detail!N13</f>
        <v>0</v>
      </c>
      <c r="J8" s="2"/>
      <c r="K8" s="68">
        <f>Detail!A$13</f>
        <v>13</v>
      </c>
    </row>
    <row r="9" spans="1:12">
      <c r="A9" s="50">
        <f t="shared" si="1"/>
        <v>457</v>
      </c>
      <c r="B9" s="28" t="s">
        <v>93</v>
      </c>
      <c r="C9" s="2">
        <f>Detail!H56</f>
        <v>103600000</v>
      </c>
      <c r="D9" s="2">
        <f>Detail!I56</f>
        <v>90673285.897386968</v>
      </c>
      <c r="E9" s="2">
        <f>Detail!J56</f>
        <v>9821340.8833436817</v>
      </c>
      <c r="F9" s="2">
        <f>Detail!K56</f>
        <v>0</v>
      </c>
      <c r="G9" s="2">
        <f>Detail!L56</f>
        <v>121602.41186457909</v>
      </c>
      <c r="H9" s="2">
        <f>Detail!M56</f>
        <v>2983770.8074047887</v>
      </c>
      <c r="I9" s="2">
        <f>Detail!N56</f>
        <v>0</v>
      </c>
      <c r="J9" s="2"/>
      <c r="K9" s="68">
        <f>Detail!A$56</f>
        <v>56</v>
      </c>
    </row>
    <row r="10" spans="1:12">
      <c r="A10" s="50">
        <f t="shared" si="1"/>
        <v>458</v>
      </c>
      <c r="B10" s="52" t="s">
        <v>103</v>
      </c>
      <c r="C10" s="4">
        <f>Detail!H58</f>
        <v>730033999.99999988</v>
      </c>
      <c r="D10" s="4">
        <f>Detail!I58</f>
        <v>589374733.79220355</v>
      </c>
      <c r="E10" s="4">
        <f>Detail!J58</f>
        <v>102455058.0812283</v>
      </c>
      <c r="F10" s="4">
        <f>Detail!K58</f>
        <v>0</v>
      </c>
      <c r="G10" s="4">
        <f>Detail!L58</f>
        <v>1350411.521829833</v>
      </c>
      <c r="H10" s="4">
        <f>Detail!M58</f>
        <v>36853796.60473828</v>
      </c>
      <c r="I10" s="4">
        <f>Detail!N58</f>
        <v>0</v>
      </c>
      <c r="J10" s="5"/>
      <c r="K10" s="68">
        <f>Detail!A58</f>
        <v>58</v>
      </c>
      <c r="L10" s="476"/>
    </row>
    <row r="11" spans="1:12">
      <c r="A11" s="50">
        <f t="shared" si="1"/>
        <v>459</v>
      </c>
      <c r="C11" s="33">
        <f t="shared" ref="C11:I11" si="2">ABS(ROUND(SUM(C6:C9)-C10,0))</f>
        <v>0</v>
      </c>
      <c r="D11" s="33">
        <f t="shared" si="2"/>
        <v>0</v>
      </c>
      <c r="E11" s="33">
        <f t="shared" si="2"/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/>
      <c r="K11" s="70"/>
    </row>
    <row r="12" spans="1:12">
      <c r="A12" s="50">
        <f t="shared" si="1"/>
        <v>460</v>
      </c>
      <c r="B12" t="s">
        <v>137</v>
      </c>
      <c r="K12" s="71"/>
    </row>
    <row r="13" spans="1:12">
      <c r="A13" s="50">
        <f t="shared" si="1"/>
        <v>461</v>
      </c>
      <c r="B13" s="28" t="s">
        <v>237</v>
      </c>
      <c r="C13" s="2">
        <f>Detail!H71</f>
        <v>-11738000</v>
      </c>
      <c r="D13" s="2">
        <f>Detail!I71</f>
        <v>-8544153.7719009314</v>
      </c>
      <c r="E13" s="2">
        <f>Detail!J71</f>
        <v>-2986048.7125454638</v>
      </c>
      <c r="F13" s="2">
        <f>Detail!K71</f>
        <v>0</v>
      </c>
      <c r="G13" s="2">
        <f>Detail!L71</f>
        <v>-43254.473416318309</v>
      </c>
      <c r="H13" s="2">
        <f>Detail!M71</f>
        <v>-164543.04213728698</v>
      </c>
      <c r="I13" s="2">
        <f>Detail!N71</f>
        <v>0</v>
      </c>
      <c r="J13" s="2"/>
      <c r="K13" s="68">
        <f>Detail!A$71</f>
        <v>71</v>
      </c>
    </row>
    <row r="14" spans="1:12">
      <c r="A14" s="50">
        <f t="shared" si="1"/>
        <v>462</v>
      </c>
      <c r="B14" s="28" t="s">
        <v>90</v>
      </c>
      <c r="C14" s="2">
        <f>Detail!H87</f>
        <v>-149330000</v>
      </c>
      <c r="D14" s="2">
        <f>Detail!I87</f>
        <v>-119835896.02179413</v>
      </c>
      <c r="E14" s="2">
        <f>Detail!J87</f>
        <v>-20853411.567144681</v>
      </c>
      <c r="F14" s="2">
        <f>Detail!K87</f>
        <v>0</v>
      </c>
      <c r="G14" s="2">
        <f>Detail!L87</f>
        <v>-274794.81531382952</v>
      </c>
      <c r="H14" s="2">
        <f>Detail!M87</f>
        <v>-8365897.5957473498</v>
      </c>
      <c r="I14" s="2">
        <f>Detail!N87</f>
        <v>0</v>
      </c>
      <c r="J14" s="2"/>
      <c r="K14" s="68">
        <f>Detail!A$87</f>
        <v>87</v>
      </c>
    </row>
    <row r="15" spans="1:12">
      <c r="A15" s="50">
        <f t="shared" si="1"/>
        <v>463</v>
      </c>
      <c r="B15" s="28" t="s">
        <v>85</v>
      </c>
      <c r="C15" s="2">
        <f>Detail!H110</f>
        <v>-10678000.000000002</v>
      </c>
      <c r="D15" s="2">
        <f>Detail!I110</f>
        <v>-9282074.9344233684</v>
      </c>
      <c r="E15" s="2">
        <f>Detail!J110</f>
        <v>-1052188.8513320014</v>
      </c>
      <c r="F15" s="2">
        <f>Detail!K110</f>
        <v>0</v>
      </c>
      <c r="G15" s="2">
        <f>Detail!L110</f>
        <v>-13119.493264765386</v>
      </c>
      <c r="H15" s="2">
        <f>Detail!M110</f>
        <v>-330616.72097986535</v>
      </c>
      <c r="I15" s="2">
        <f>Detail!N110</f>
        <v>0</v>
      </c>
      <c r="J15" s="2"/>
      <c r="K15" s="68">
        <f>Detail!A$110</f>
        <v>110</v>
      </c>
    </row>
    <row r="16" spans="1:12">
      <c r="A16" s="50">
        <f t="shared" si="1"/>
        <v>464</v>
      </c>
      <c r="B16" s="28" t="s">
        <v>93</v>
      </c>
      <c r="C16" s="2">
        <f>Detail!H102</f>
        <v>-24999000</v>
      </c>
      <c r="D16" s="2">
        <f>Detail!I102</f>
        <v>-21879743.958965026</v>
      </c>
      <c r="E16" s="2">
        <f>Detail!J102</f>
        <v>-2369919.8913388867</v>
      </c>
      <c r="F16" s="2">
        <f>Detail!K102</f>
        <v>0</v>
      </c>
      <c r="G16" s="2">
        <f>Detail!L102</f>
        <v>-29343.037588828305</v>
      </c>
      <c r="H16" s="2">
        <f>Detail!M102</f>
        <v>-719993.1121072619</v>
      </c>
      <c r="I16" s="2">
        <f>Detail!N102</f>
        <v>0</v>
      </c>
      <c r="J16" s="2"/>
      <c r="K16" s="68">
        <f>Detail!A$102</f>
        <v>102</v>
      </c>
    </row>
    <row r="17" spans="1:13">
      <c r="A17" s="50">
        <f t="shared" si="1"/>
        <v>465</v>
      </c>
      <c r="B17" s="52" t="s">
        <v>174</v>
      </c>
      <c r="C17" s="4">
        <f>Detail!H112</f>
        <v>-196745000</v>
      </c>
      <c r="D17" s="4">
        <f>Detail!I112</f>
        <v>-159541868.68708345</v>
      </c>
      <c r="E17" s="4">
        <f>Detail!J112</f>
        <v>-27261569.022361033</v>
      </c>
      <c r="F17" s="4">
        <f>Detail!K112</f>
        <v>0</v>
      </c>
      <c r="G17" s="4">
        <f>Detail!L112</f>
        <v>-360511.81958374148</v>
      </c>
      <c r="H17" s="4">
        <f>Detail!M112</f>
        <v>-9581050.470971765</v>
      </c>
      <c r="I17" s="4">
        <f>Detail!N112</f>
        <v>0</v>
      </c>
      <c r="J17" s="5"/>
      <c r="K17" s="68">
        <f>Detail!A112</f>
        <v>112</v>
      </c>
    </row>
    <row r="18" spans="1:13">
      <c r="A18" s="50">
        <f t="shared" si="1"/>
        <v>466</v>
      </c>
      <c r="C18" s="33">
        <f t="shared" ref="C18:I18" si="3">ABS(ROUND(SUM(C13:C16)-C17,0))</f>
        <v>0</v>
      </c>
      <c r="D18" s="33">
        <f t="shared" si="3"/>
        <v>0</v>
      </c>
      <c r="E18" s="33">
        <f t="shared" si="3"/>
        <v>0</v>
      </c>
      <c r="F18" s="33">
        <f t="shared" si="3"/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/>
      <c r="K18" s="70"/>
    </row>
    <row r="19" spans="1:13">
      <c r="A19" s="50">
        <f t="shared" si="1"/>
        <v>467</v>
      </c>
      <c r="B19" t="s">
        <v>138</v>
      </c>
      <c r="C19" s="2">
        <f t="shared" ref="C19:I19" si="4">C10+C17</f>
        <v>533288999.99999988</v>
      </c>
      <c r="D19" s="2">
        <f t="shared" si="4"/>
        <v>429832865.10512006</v>
      </c>
      <c r="E19" s="2">
        <f t="shared" si="4"/>
        <v>75193489.058867276</v>
      </c>
      <c r="F19" s="2">
        <f t="shared" si="4"/>
        <v>0</v>
      </c>
      <c r="G19" s="2">
        <f t="shared" si="4"/>
        <v>989899.70224609156</v>
      </c>
      <c r="H19" s="2">
        <f>H10+H17</f>
        <v>27272746.133766517</v>
      </c>
      <c r="I19" s="2">
        <f t="shared" si="4"/>
        <v>0</v>
      </c>
      <c r="J19" s="2"/>
      <c r="K19" s="68" t="str">
        <f>A10&amp;"+"&amp;A17</f>
        <v>458+465</v>
      </c>
    </row>
    <row r="20" spans="1:13">
      <c r="A20" s="50">
        <f t="shared" si="1"/>
        <v>468</v>
      </c>
      <c r="B20" t="s">
        <v>139</v>
      </c>
      <c r="C20" s="2">
        <f>Detail!H119</f>
        <v>-111424000</v>
      </c>
      <c r="D20" s="2">
        <f>Detail!I119</f>
        <v>-89955386.102650687</v>
      </c>
      <c r="E20" s="2">
        <f>Detail!J119</f>
        <v>-15637562.622621389</v>
      </c>
      <c r="F20" s="2">
        <f>Detail!K119</f>
        <v>0</v>
      </c>
      <c r="G20" s="2">
        <f>Detail!L119</f>
        <v>-206111.29537578707</v>
      </c>
      <c r="H20" s="2">
        <f>Detail!M119</f>
        <v>-5624939.9793521389</v>
      </c>
      <c r="I20" s="2">
        <f>Detail!N119</f>
        <v>0</v>
      </c>
      <c r="J20" s="2"/>
      <c r="K20" s="68">
        <f>Detail!A$119</f>
        <v>119</v>
      </c>
    </row>
    <row r="21" spans="1:13">
      <c r="A21" s="50">
        <f t="shared" si="1"/>
        <v>469</v>
      </c>
      <c r="B21" t="s">
        <v>140</v>
      </c>
      <c r="C21" s="2">
        <f>Detail!H128-C20</f>
        <v>31775000</v>
      </c>
      <c r="D21" s="2">
        <f>Detail!I128-D20</f>
        <v>26283229.522102222</v>
      </c>
      <c r="E21" s="2">
        <f>Detail!J128-E20</f>
        <v>4585316.5374527965</v>
      </c>
      <c r="F21" s="2">
        <f>Detail!K128-F20</f>
        <v>0</v>
      </c>
      <c r="G21" s="2">
        <f>Detail!L128-G20</f>
        <v>63893.458479491528</v>
      </c>
      <c r="H21" s="2">
        <f>Detail!M128-H20</f>
        <v>842560.48196547292</v>
      </c>
      <c r="I21" s="2">
        <f>Detail!N128-I20</f>
        <v>0</v>
      </c>
      <c r="J21" s="2"/>
      <c r="K21" s="68" t="str">
        <f>Detail!A$128&amp;"-"&amp;A20</f>
        <v>128-468</v>
      </c>
    </row>
    <row r="22" spans="1:13">
      <c r="A22" s="50">
        <f t="shared" si="1"/>
        <v>470</v>
      </c>
      <c r="B22" s="431" t="s">
        <v>110</v>
      </c>
      <c r="C22" s="97">
        <f>IF(ROUND(Detail!H130,3)&lt;&gt;ROUND(SUM(D22:I22),3),#VALUE!,SUM(D22:I22))</f>
        <v>453639999.99999988</v>
      </c>
      <c r="D22" s="97">
        <f>Detail!I130</f>
        <v>366160708.5245716</v>
      </c>
      <c r="E22" s="97">
        <f>Detail!J130</f>
        <v>64141242.973698683</v>
      </c>
      <c r="F22" s="97">
        <f>Detail!K130</f>
        <v>0</v>
      </c>
      <c r="G22" s="97">
        <f>Detail!L130</f>
        <v>847681.86534979602</v>
      </c>
      <c r="H22" s="97">
        <f>Detail!M130</f>
        <v>22490366.636379853</v>
      </c>
      <c r="I22" s="4">
        <f>Detail!N130</f>
        <v>0</v>
      </c>
      <c r="J22" s="5"/>
      <c r="K22" s="69">
        <f>Detail!A130</f>
        <v>130</v>
      </c>
    </row>
    <row r="23" spans="1:13">
      <c r="A23" s="50">
        <f t="shared" si="1"/>
        <v>471</v>
      </c>
      <c r="B23" s="146"/>
      <c r="C23" s="509">
        <f t="shared" ref="C23:I23" si="5">ABS(ROUND(SUM(C19:C21)-C22,0))</f>
        <v>0</v>
      </c>
      <c r="D23" s="509">
        <f t="shared" si="5"/>
        <v>0</v>
      </c>
      <c r="E23" s="509">
        <f t="shared" si="5"/>
        <v>0</v>
      </c>
      <c r="F23" s="509">
        <f t="shared" si="5"/>
        <v>0</v>
      </c>
      <c r="G23" s="509">
        <f t="shared" si="5"/>
        <v>0</v>
      </c>
      <c r="H23" s="509">
        <f t="shared" si="5"/>
        <v>0</v>
      </c>
      <c r="I23" s="33">
        <f t="shared" si="5"/>
        <v>0</v>
      </c>
      <c r="J23" s="33"/>
      <c r="K23" s="70"/>
    </row>
    <row r="24" spans="1:13">
      <c r="A24" s="50">
        <f t="shared" si="1"/>
        <v>472</v>
      </c>
      <c r="B24" s="146" t="s">
        <v>141</v>
      </c>
      <c r="C24" s="82">
        <f>-Detail!H420</f>
        <v>103411999.99999999</v>
      </c>
      <c r="D24" s="82">
        <f>-Detail!I420</f>
        <v>79468609.307138771</v>
      </c>
      <c r="E24" s="82">
        <f>-Detail!J420</f>
        <v>20145536.166025911</v>
      </c>
      <c r="F24" s="82">
        <f>-Detail!K420</f>
        <v>0</v>
      </c>
      <c r="G24" s="82">
        <f>-Detail!L420</f>
        <v>216984.02763022837</v>
      </c>
      <c r="H24" s="82">
        <f>-Detail!M420</f>
        <v>3580870.4992050868</v>
      </c>
      <c r="I24" s="2">
        <f>-Detail!N420</f>
        <v>0</v>
      </c>
      <c r="J24" s="2"/>
      <c r="K24" s="68">
        <f>Detail!A$420</f>
        <v>420</v>
      </c>
    </row>
    <row r="25" spans="1:13">
      <c r="A25" s="50">
        <f t="shared" si="1"/>
        <v>473</v>
      </c>
      <c r="B25" s="146" t="s">
        <v>79</v>
      </c>
      <c r="C25" s="82">
        <f>C26-C24</f>
        <v>2375000</v>
      </c>
      <c r="D25" s="82">
        <f t="shared" ref="D25:I25" si="6">D26-D24</f>
        <v>2008287.5429997742</v>
      </c>
      <c r="E25" s="82">
        <f t="shared" si="6"/>
        <v>205556.42351373658</v>
      </c>
      <c r="F25" s="82">
        <f t="shared" si="6"/>
        <v>0</v>
      </c>
      <c r="G25" s="82">
        <f t="shared" si="6"/>
        <v>2344.1774947365629</v>
      </c>
      <c r="H25" s="82">
        <f>H26-H24</f>
        <v>158811.85599175701</v>
      </c>
      <c r="I25" s="2">
        <f t="shared" si="6"/>
        <v>0</v>
      </c>
      <c r="J25" s="2"/>
      <c r="K25" s="68" t="str">
        <f>A26&amp;"-"&amp;A24</f>
        <v>474-472</v>
      </c>
    </row>
    <row r="26" spans="1:13">
      <c r="A26" s="50">
        <f t="shared" si="1"/>
        <v>474</v>
      </c>
      <c r="B26" s="28" t="s">
        <v>175</v>
      </c>
      <c r="C26" s="4">
        <f>-Detail!H431</f>
        <v>105786999.99999999</v>
      </c>
      <c r="D26" s="4">
        <f>-Detail!I431</f>
        <v>81476896.850138545</v>
      </c>
      <c r="E26" s="4">
        <f>-Detail!J431</f>
        <v>20351092.589539647</v>
      </c>
      <c r="F26" s="4">
        <f>-Detail!K431</f>
        <v>0</v>
      </c>
      <c r="G26" s="4">
        <f>-Detail!L431</f>
        <v>219328.20512496494</v>
      </c>
      <c r="H26" s="4">
        <f>-Detail!M431</f>
        <v>3739682.3551968439</v>
      </c>
      <c r="I26" s="4">
        <f>-Detail!N431</f>
        <v>0</v>
      </c>
      <c r="J26" s="5"/>
      <c r="K26" s="68">
        <f>Detail!A$431</f>
        <v>431</v>
      </c>
    </row>
    <row r="27" spans="1:13">
      <c r="A27" s="50">
        <f t="shared" si="1"/>
        <v>475</v>
      </c>
      <c r="C27" s="33">
        <f>ABS(ROUND(C24+C25-C26,0))</f>
        <v>0</v>
      </c>
      <c r="D27" s="33">
        <f t="shared" ref="D27:I27" si="7">ABS(ROUND(D24+D25-D26,0))</f>
        <v>0</v>
      </c>
      <c r="E27" s="33">
        <f t="shared" si="7"/>
        <v>0</v>
      </c>
      <c r="F27" s="33">
        <f t="shared" si="7"/>
        <v>0</v>
      </c>
      <c r="G27" s="33">
        <f t="shared" si="7"/>
        <v>0</v>
      </c>
      <c r="H27" s="33">
        <f t="shared" si="7"/>
        <v>0</v>
      </c>
      <c r="I27" s="33">
        <f t="shared" si="7"/>
        <v>0</v>
      </c>
      <c r="J27" s="33"/>
      <c r="K27" s="70"/>
    </row>
    <row r="28" spans="1:13">
      <c r="A28" s="50">
        <f t="shared" si="1"/>
        <v>476</v>
      </c>
      <c r="B28" t="s">
        <v>142</v>
      </c>
      <c r="K28" s="71"/>
    </row>
    <row r="29" spans="1:13">
      <c r="A29" s="50">
        <f t="shared" si="1"/>
        <v>477</v>
      </c>
      <c r="B29" s="28" t="s">
        <v>455</v>
      </c>
      <c r="C29" s="2">
        <f>Detail!H178</f>
        <v>996000</v>
      </c>
      <c r="D29" s="2">
        <f>Detail!I178</f>
        <v>665228.14507039811</v>
      </c>
      <c r="E29" s="2">
        <f>Detail!J178</f>
        <v>292710.81962508027</v>
      </c>
      <c r="F29" s="2">
        <f>Detail!K178</f>
        <v>0</v>
      </c>
      <c r="G29" s="2">
        <f>Detail!L178</f>
        <v>4621.8067947444197</v>
      </c>
      <c r="H29" s="2">
        <f>Detail!M178</f>
        <v>33439.228509777131</v>
      </c>
      <c r="I29" s="2">
        <f>Detail!N178</f>
        <v>0</v>
      </c>
      <c r="J29" s="2"/>
      <c r="K29" s="68">
        <f>Detail!A$178</f>
        <v>178</v>
      </c>
    </row>
    <row r="30" spans="1:13">
      <c r="A30" s="50">
        <f t="shared" si="1"/>
        <v>478</v>
      </c>
      <c r="B30" s="28" t="s">
        <v>288</v>
      </c>
      <c r="C30" s="2">
        <f>Detail!H202</f>
        <v>1883000</v>
      </c>
      <c r="D30" s="2">
        <f>Detail!I202</f>
        <v>1370645.8981504049</v>
      </c>
      <c r="E30" s="2">
        <f>Detail!J202</f>
        <v>479019.40072611248</v>
      </c>
      <c r="F30" s="2">
        <f>Detail!K202</f>
        <v>0</v>
      </c>
      <c r="G30" s="2">
        <f>Detail!L202</f>
        <v>6938.8459228937963</v>
      </c>
      <c r="H30" s="2">
        <f>Detail!M202</f>
        <v>26395.855200588809</v>
      </c>
      <c r="I30" s="2">
        <f>Detail!N202</f>
        <v>0</v>
      </c>
      <c r="J30" s="2"/>
      <c r="K30" s="68">
        <f>Detail!A$202</f>
        <v>202</v>
      </c>
    </row>
    <row r="31" spans="1:13">
      <c r="A31" s="50">
        <f t="shared" si="1"/>
        <v>479</v>
      </c>
      <c r="B31" s="28" t="s">
        <v>6</v>
      </c>
      <c r="C31" s="2">
        <f>Detail!H226</f>
        <v>13249000</v>
      </c>
      <c r="D31" s="2">
        <f>Detail!I226</f>
        <v>11010552.676683927</v>
      </c>
      <c r="E31" s="2">
        <f>Detail!J226</f>
        <v>1597010.6787043898</v>
      </c>
      <c r="F31" s="2">
        <f>Detail!K226</f>
        <v>0</v>
      </c>
      <c r="G31" s="2">
        <f>Detail!L226</f>
        <v>20424.749190014161</v>
      </c>
      <c r="H31" s="2">
        <f>Detail!M226</f>
        <v>621011.89542166865</v>
      </c>
      <c r="I31" s="2">
        <f>Detail!N226</f>
        <v>0</v>
      </c>
      <c r="J31" s="2"/>
      <c r="K31" s="68">
        <f>Detail!A$226</f>
        <v>226</v>
      </c>
    </row>
    <row r="32" spans="1:13">
      <c r="A32" s="50">
        <f t="shared" si="1"/>
        <v>480</v>
      </c>
      <c r="B32" s="28" t="s">
        <v>11</v>
      </c>
      <c r="C32" s="2">
        <f>Detail!H234</f>
        <v>6797000</v>
      </c>
      <c r="D32" s="2">
        <f>Detail!I234</f>
        <v>6641848.7627171827</v>
      </c>
      <c r="E32" s="2">
        <f>Detail!J234</f>
        <v>148684.84813996422</v>
      </c>
      <c r="F32" s="2">
        <f>Detail!K234</f>
        <v>0</v>
      </c>
      <c r="G32" s="2">
        <f>Detail!L234</f>
        <v>358.16205830463491</v>
      </c>
      <c r="H32" s="2">
        <f>Detail!M234</f>
        <v>6108.2270845479134</v>
      </c>
      <c r="I32" s="2">
        <f>Detail!N234</f>
        <v>0</v>
      </c>
      <c r="J32" s="2"/>
      <c r="K32" s="68">
        <f>Detail!A$234</f>
        <v>234</v>
      </c>
      <c r="M32" t="s">
        <v>792</v>
      </c>
    </row>
    <row r="33" spans="1:17">
      <c r="A33" s="50">
        <f t="shared" si="1"/>
        <v>481</v>
      </c>
      <c r="B33" s="28" t="s">
        <v>22</v>
      </c>
      <c r="C33" s="2">
        <f>Detail!H242</f>
        <v>1205000</v>
      </c>
      <c r="D33" s="2">
        <f>Detail!I242</f>
        <v>1182513.4379421514</v>
      </c>
      <c r="E33" s="2">
        <f>Detail!J242</f>
        <v>22200.518972361533</v>
      </c>
      <c r="F33" s="2">
        <f>Detail!K242</f>
        <v>0</v>
      </c>
      <c r="G33" s="2">
        <f>Detail!L242</f>
        <v>14.302154274351125</v>
      </c>
      <c r="H33" s="2">
        <f>Detail!M242</f>
        <v>271.74093121267134</v>
      </c>
      <c r="I33" s="2">
        <f>Detail!N242</f>
        <v>0</v>
      </c>
      <c r="J33" s="2"/>
      <c r="K33" s="68">
        <f>Detail!A$242</f>
        <v>242</v>
      </c>
    </row>
    <row r="34" spans="1:17">
      <c r="A34" s="50">
        <f t="shared" si="1"/>
        <v>482</v>
      </c>
      <c r="B34" s="28" t="s">
        <v>30</v>
      </c>
      <c r="C34" s="2">
        <f>Detail!H249</f>
        <v>1000</v>
      </c>
      <c r="D34" s="2">
        <f>Detail!I249</f>
        <v>981.33895264908836</v>
      </c>
      <c r="E34" s="2">
        <f>Detail!J249</f>
        <v>18.423667196980524</v>
      </c>
      <c r="F34" s="2">
        <f>Detail!K249</f>
        <v>0</v>
      </c>
      <c r="G34" s="2">
        <f>Detail!L249</f>
        <v>1.186900769655695E-2</v>
      </c>
      <c r="H34" s="2">
        <f>Detail!M249</f>
        <v>0.22551114623458202</v>
      </c>
      <c r="I34" s="2">
        <f>Detail!N249</f>
        <v>0</v>
      </c>
      <c r="J34" s="2"/>
      <c r="K34" s="68">
        <f>Detail!A$249</f>
        <v>249</v>
      </c>
    </row>
    <row r="35" spans="1:17">
      <c r="A35" s="50">
        <f t="shared" si="1"/>
        <v>483</v>
      </c>
      <c r="B35" s="28" t="s">
        <v>212</v>
      </c>
      <c r="C35" s="2">
        <f>Detail!H340</f>
        <v>17365000.029313046</v>
      </c>
      <c r="D35" s="2">
        <f>Detail!I340</f>
        <v>15160796.661911283</v>
      </c>
      <c r="E35" s="2">
        <f>Detail!J340</f>
        <v>1676365.2161482349</v>
      </c>
      <c r="F35" s="2">
        <f>Detail!K340</f>
        <v>0</v>
      </c>
      <c r="G35" s="2">
        <f>Detail!L340</f>
        <v>20725.620482396724</v>
      </c>
      <c r="H35" s="2">
        <f>Detail!M340</f>
        <v>507112.53077113139</v>
      </c>
      <c r="I35" s="2">
        <f>Detail!N340</f>
        <v>0</v>
      </c>
      <c r="J35" s="2"/>
      <c r="K35" s="68">
        <f>Detail!A$340</f>
        <v>340</v>
      </c>
    </row>
    <row r="36" spans="1:17">
      <c r="A36" s="50">
        <f t="shared" si="1"/>
        <v>484</v>
      </c>
      <c r="B36" s="52" t="s">
        <v>176</v>
      </c>
      <c r="C36" s="4">
        <f>Detail!H342</f>
        <v>41496000.029313043</v>
      </c>
      <c r="D36" s="4">
        <f>Detail!I342</f>
        <v>36032566.921427995</v>
      </c>
      <c r="E36" s="4">
        <f>Detail!J342</f>
        <v>4216009.90598334</v>
      </c>
      <c r="F36" s="4">
        <f>Detail!K342</f>
        <v>0</v>
      </c>
      <c r="G36" s="4">
        <f>Detail!L342</f>
        <v>53083.498471635787</v>
      </c>
      <c r="H36" s="4">
        <f>Detail!M342</f>
        <v>1194339.7034300729</v>
      </c>
      <c r="I36" s="4">
        <f>Detail!N342</f>
        <v>0</v>
      </c>
      <c r="J36" s="5"/>
      <c r="K36" s="68">
        <f>Detail!A$342</f>
        <v>342</v>
      </c>
    </row>
    <row r="37" spans="1:17">
      <c r="A37" s="50">
        <f t="shared" si="1"/>
        <v>485</v>
      </c>
      <c r="C37" s="33">
        <f t="shared" ref="C37:I37" si="8">ABS(ROUND(SUM(C29:C35)-C36,0))</f>
        <v>0</v>
      </c>
      <c r="D37" s="33">
        <f t="shared" si="8"/>
        <v>0</v>
      </c>
      <c r="E37" s="33">
        <f t="shared" si="8"/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/>
      <c r="K37" s="70"/>
    </row>
    <row r="38" spans="1:17">
      <c r="A38" s="50">
        <f t="shared" si="1"/>
        <v>486</v>
      </c>
      <c r="B38" t="s">
        <v>66</v>
      </c>
      <c r="C38" s="2">
        <f>Detail!H350</f>
        <v>8097000</v>
      </c>
      <c r="D38" s="2">
        <f>Detail!I350</f>
        <v>6296389.101337878</v>
      </c>
      <c r="E38" s="2">
        <f>Detail!J350</f>
        <v>1422524.4279915406</v>
      </c>
      <c r="F38" s="2">
        <f>Detail!K350</f>
        <v>0</v>
      </c>
      <c r="G38" s="2">
        <f>Detail!L350</f>
        <v>16873.985608849242</v>
      </c>
      <c r="H38" s="2">
        <f>Detail!M350</f>
        <v>361212.48506173142</v>
      </c>
      <c r="I38" s="2">
        <f>Detail!N350</f>
        <v>0</v>
      </c>
      <c r="J38" s="2"/>
      <c r="K38" s="68">
        <f>Detail!A$350</f>
        <v>350</v>
      </c>
    </row>
    <row r="39" spans="1:17">
      <c r="A39" s="50">
        <f t="shared" si="1"/>
        <v>487</v>
      </c>
      <c r="B39" t="s">
        <v>69</v>
      </c>
      <c r="K39" s="71"/>
    </row>
    <row r="40" spans="1:17">
      <c r="A40" s="50">
        <f t="shared" si="1"/>
        <v>488</v>
      </c>
      <c r="B40" s="28" t="s">
        <v>456</v>
      </c>
      <c r="C40" s="2">
        <f>Detail!H362</f>
        <v>349000</v>
      </c>
      <c r="D40" s="2">
        <f>Detail!I362</f>
        <v>254038.99015108412</v>
      </c>
      <c r="E40" s="2">
        <f>Detail!J362</f>
        <v>88782.671722471176</v>
      </c>
      <c r="F40" s="2">
        <f>Detail!K362</f>
        <v>0</v>
      </c>
      <c r="G40" s="2">
        <f>Detail!L362</f>
        <v>1286.0633176260935</v>
      </c>
      <c r="H40" s="2">
        <f>Detail!M362</f>
        <v>4892.2748088186363</v>
      </c>
      <c r="I40" s="2">
        <f>Detail!N362</f>
        <v>0</v>
      </c>
      <c r="J40" s="2"/>
      <c r="K40" s="68">
        <f>Detail!A$362</f>
        <v>362</v>
      </c>
    </row>
    <row r="41" spans="1:17">
      <c r="A41" s="50">
        <f t="shared" si="1"/>
        <v>489</v>
      </c>
      <c r="B41" s="28" t="s">
        <v>213</v>
      </c>
      <c r="C41" s="2">
        <f>Detail!H378</f>
        <v>13670000</v>
      </c>
      <c r="D41" s="2">
        <f>Detail!I378</f>
        <v>11101905.560728325</v>
      </c>
      <c r="E41" s="2">
        <f>Detail!J378</f>
        <v>1846743.069206079</v>
      </c>
      <c r="F41" s="2">
        <f>Detail!K378</f>
        <v>0</v>
      </c>
      <c r="G41" s="2">
        <f>Detail!L378</f>
        <v>23856.890029621045</v>
      </c>
      <c r="H41" s="2">
        <f>Detail!M378</f>
        <v>697494.48003597511</v>
      </c>
      <c r="I41" s="2">
        <f>Detail!N378</f>
        <v>0</v>
      </c>
      <c r="J41" s="2"/>
      <c r="K41" s="68">
        <f>Detail!A$378</f>
        <v>378</v>
      </c>
    </row>
    <row r="42" spans="1:17">
      <c r="A42" s="50">
        <f t="shared" si="1"/>
        <v>490</v>
      </c>
      <c r="B42" s="28" t="s">
        <v>214</v>
      </c>
      <c r="C42" s="2">
        <f>Detail!H391</f>
        <v>6747000</v>
      </c>
      <c r="D42" s="2">
        <f>Detail!I391</f>
        <v>5905141.5053056935</v>
      </c>
      <c r="E42" s="2">
        <f>Detail!J391</f>
        <v>639619.56505714112</v>
      </c>
      <c r="F42" s="2">
        <f>Detail!K391</f>
        <v>0</v>
      </c>
      <c r="G42" s="2">
        <f>Detail!L391</f>
        <v>7919.415761103427</v>
      </c>
      <c r="H42" s="2">
        <f>Detail!M391</f>
        <v>194319.51387606288</v>
      </c>
      <c r="I42" s="2">
        <f>Detail!N391</f>
        <v>0</v>
      </c>
      <c r="J42" s="2"/>
      <c r="K42" s="68">
        <f>Detail!A$391</f>
        <v>391</v>
      </c>
    </row>
    <row r="43" spans="1:17">
      <c r="A43" s="50">
        <f t="shared" si="1"/>
        <v>491</v>
      </c>
      <c r="B43" s="28" t="s">
        <v>215</v>
      </c>
      <c r="C43" s="2">
        <f>Detail!H402</f>
        <v>9297000.0000000019</v>
      </c>
      <c r="D43" s="2">
        <f>Detail!I402</f>
        <v>8435768.1785758138</v>
      </c>
      <c r="E43" s="2">
        <f>Detail!J402</f>
        <v>652983.51555968192</v>
      </c>
      <c r="F43" s="2">
        <f>Detail!K402</f>
        <v>0</v>
      </c>
      <c r="G43" s="2">
        <f>Detail!L402</f>
        <v>8099.7144260017367</v>
      </c>
      <c r="H43" s="2">
        <f>Detail!M402</f>
        <v>200148.59143850266</v>
      </c>
      <c r="I43" s="2">
        <f>Detail!N402</f>
        <v>0</v>
      </c>
      <c r="J43" s="2"/>
      <c r="K43" s="68">
        <f>Detail!A$402</f>
        <v>402</v>
      </c>
    </row>
    <row r="44" spans="1:17">
      <c r="A44" s="50">
        <f t="shared" si="1"/>
        <v>492</v>
      </c>
      <c r="B44" s="52" t="s">
        <v>72</v>
      </c>
      <c r="C44" s="4">
        <f>Detail!H404</f>
        <v>30063000</v>
      </c>
      <c r="D44" s="4">
        <f>Detail!I404</f>
        <v>25696854.234760918</v>
      </c>
      <c r="E44" s="4">
        <f>Detail!J404</f>
        <v>3228128.8215453736</v>
      </c>
      <c r="F44" s="4">
        <f>Detail!K404</f>
        <v>0</v>
      </c>
      <c r="G44" s="4">
        <f>Detail!L404</f>
        <v>41162.083534352299</v>
      </c>
      <c r="H44" s="4">
        <f>Detail!M404</f>
        <v>1096854.8601593594</v>
      </c>
      <c r="I44" s="4">
        <f>Detail!N404</f>
        <v>0</v>
      </c>
      <c r="J44" s="5"/>
      <c r="K44" s="68">
        <f>Detail!A$404</f>
        <v>404</v>
      </c>
    </row>
    <row r="45" spans="1:17" ht="25.5" customHeight="1">
      <c r="A45" s="50">
        <f t="shared" si="1"/>
        <v>493</v>
      </c>
      <c r="B45" s="146" t="s">
        <v>143</v>
      </c>
      <c r="C45" s="82">
        <f>SUM(Detail!H411:H414)</f>
        <v>2491000</v>
      </c>
      <c r="D45" s="82">
        <f>SUM(Detail!I411:I414)</f>
        <v>742425.23836501339</v>
      </c>
      <c r="E45" s="82">
        <f>SUM(Detail!J411:J414)</f>
        <v>1645129.2146620061</v>
      </c>
      <c r="F45" s="82">
        <f>SUM(Detail!K411:K414)</f>
        <v>0</v>
      </c>
      <c r="G45" s="82">
        <f>SUM(Detail!L411:L414)</f>
        <v>14510.46514150437</v>
      </c>
      <c r="H45" s="82">
        <f>SUM(Detail!M411:M414)</f>
        <v>88935.081831476185</v>
      </c>
      <c r="I45" s="2">
        <f>SUM(Detail!N411:N414)</f>
        <v>0</v>
      </c>
      <c r="J45" s="2"/>
      <c r="K45" s="68" t="str">
        <f>Detail!A$411&amp;":"&amp;Detail!A$414</f>
        <v>411:414</v>
      </c>
      <c r="L45" s="790"/>
      <c r="M45" s="790"/>
      <c r="N45" s="790"/>
      <c r="O45" s="791"/>
      <c r="P45" s="791"/>
      <c r="Q45" s="792"/>
    </row>
    <row r="46" spans="1:17">
      <c r="A46" s="50">
        <f t="shared" si="1"/>
        <v>494</v>
      </c>
      <c r="B46" s="431" t="s">
        <v>77</v>
      </c>
      <c r="C46" s="97">
        <f>Detail!H417</f>
        <v>82147000.029313043</v>
      </c>
      <c r="D46" s="97">
        <f>Detail!I417</f>
        <v>68768235.495891795</v>
      </c>
      <c r="E46" s="97">
        <f>Detail!J417</f>
        <v>10511792.370182261</v>
      </c>
      <c r="F46" s="97">
        <f>Detail!K417</f>
        <v>0</v>
      </c>
      <c r="G46" s="97">
        <f>Detail!L417</f>
        <v>125630.03275634168</v>
      </c>
      <c r="H46" s="97">
        <f>Detail!M417</f>
        <v>2741342.1304826397</v>
      </c>
      <c r="I46" s="4">
        <f>Detail!N417</f>
        <v>0</v>
      </c>
      <c r="J46" s="5"/>
      <c r="K46" s="68">
        <f>Detail!A$417</f>
        <v>417</v>
      </c>
      <c r="L46" s="790"/>
      <c r="M46" s="793"/>
      <c r="N46" s="793"/>
      <c r="O46" s="794"/>
      <c r="P46" s="795"/>
      <c r="Q46" s="796"/>
    </row>
    <row r="47" spans="1:17">
      <c r="A47" s="50">
        <f t="shared" si="1"/>
        <v>495</v>
      </c>
      <c r="B47" s="49"/>
      <c r="C47" s="49"/>
      <c r="D47" s="504"/>
      <c r="E47" s="504"/>
      <c r="F47" s="504"/>
      <c r="G47" s="504"/>
      <c r="H47" s="504"/>
      <c r="I47" s="109">
        <v>0</v>
      </c>
      <c r="K47" s="71"/>
      <c r="L47" s="24"/>
      <c r="O47" s="778"/>
      <c r="P47" s="780"/>
      <c r="Q47" s="779"/>
    </row>
    <row r="48" spans="1:17">
      <c r="A48" s="50">
        <f t="shared" si="1"/>
        <v>496</v>
      </c>
      <c r="B48" s="55" t="s">
        <v>654</v>
      </c>
      <c r="C48" s="505">
        <f>IF(ROUND(-Detail!H433,3)&lt;&gt;ROUND(SUM(D48:I48),3),#VALUE!,SUM(D48:I48))</f>
        <v>23639999.970686965</v>
      </c>
      <c r="D48" s="505">
        <f>-Detail!I433</f>
        <v>12708661.35424675</v>
      </c>
      <c r="E48" s="505">
        <f>-Detail!J433</f>
        <v>9839300.2193573862</v>
      </c>
      <c r="F48" s="505">
        <f>-Detail!K433</f>
        <v>0</v>
      </c>
      <c r="G48" s="505">
        <f>-Detail!L433</f>
        <v>93698.172368623258</v>
      </c>
      <c r="H48" s="505">
        <f>-Detail!M433</f>
        <v>998340.2247142042</v>
      </c>
      <c r="I48" s="98">
        <f>-Detail!N433</f>
        <v>0</v>
      </c>
      <c r="J48" s="2"/>
      <c r="K48" s="68">
        <f>Detail!A$433</f>
        <v>433</v>
      </c>
      <c r="L48" s="24"/>
      <c r="O48" s="778"/>
      <c r="P48" s="780"/>
      <c r="Q48" s="779"/>
    </row>
    <row r="49" spans="1:17">
      <c r="A49" s="50">
        <f t="shared" si="1"/>
        <v>497</v>
      </c>
      <c r="B49" s="55" t="s">
        <v>136</v>
      </c>
      <c r="C49" s="506">
        <f>Detail!H131</f>
        <v>5.2111806654366787E-2</v>
      </c>
      <c r="D49" s="506">
        <f>Detail!I131</f>
        <v>3.4707878421624594E-2</v>
      </c>
      <c r="E49" s="506">
        <f>Detail!J131</f>
        <v>0.15340052302060972</v>
      </c>
      <c r="F49" s="506">
        <v>0</v>
      </c>
      <c r="G49" s="506">
        <f>Detail!L131</f>
        <v>0.11053459581792362</v>
      </c>
      <c r="H49" s="506">
        <f>Detail!M131</f>
        <v>4.4389682073893544E-2</v>
      </c>
      <c r="I49" s="101">
        <f>Detail!N131</f>
        <v>0</v>
      </c>
      <c r="J49" s="27"/>
      <c r="K49" s="68">
        <f>Detail!A$131</f>
        <v>131</v>
      </c>
      <c r="L49" s="24"/>
      <c r="O49" s="778"/>
      <c r="P49" s="780"/>
      <c r="Q49" s="779"/>
    </row>
    <row r="50" spans="1:17">
      <c r="A50" s="50">
        <f t="shared" si="1"/>
        <v>498</v>
      </c>
      <c r="B50" s="55" t="s">
        <v>144</v>
      </c>
      <c r="C50" s="517">
        <f>C49/$C49</f>
        <v>1</v>
      </c>
      <c r="D50" s="517">
        <f t="shared" ref="D50:I50" si="9">D49/$C49</f>
        <v>0.66602715679818392</v>
      </c>
      <c r="E50" s="517">
        <f t="shared" si="9"/>
        <v>2.9436807677393255</v>
      </c>
      <c r="F50" s="517">
        <f t="shared" si="9"/>
        <v>0</v>
      </c>
      <c r="G50" s="517">
        <f t="shared" si="9"/>
        <v>2.1211046577419168</v>
      </c>
      <c r="H50" s="517">
        <f>H49/$C49</f>
        <v>0.85181621831516074</v>
      </c>
      <c r="I50" s="88">
        <f t="shared" si="9"/>
        <v>0</v>
      </c>
      <c r="J50" s="35"/>
      <c r="K50" s="72" t="str">
        <f>"% of "&amp;C$1&amp;$A49</f>
        <v>% of C497</v>
      </c>
      <c r="L50" s="439"/>
      <c r="M50" s="487"/>
      <c r="N50" s="487"/>
      <c r="O50" s="778"/>
      <c r="P50" s="781"/>
      <c r="Q50" s="781"/>
    </row>
    <row r="51" spans="1:17">
      <c r="A51" s="50">
        <f t="shared" si="1"/>
        <v>499</v>
      </c>
      <c r="B51" s="49"/>
      <c r="C51" s="507"/>
      <c r="D51" s="508"/>
      <c r="E51" s="508"/>
      <c r="F51" s="508"/>
      <c r="G51" s="508"/>
      <c r="H51" s="508"/>
      <c r="I51" s="35"/>
      <c r="J51" s="35"/>
      <c r="K51" s="72"/>
      <c r="L51" s="487"/>
      <c r="M51" s="487"/>
      <c r="N51" s="487"/>
      <c r="O51" s="487"/>
      <c r="P51" s="487"/>
      <c r="Q51" s="487"/>
    </row>
    <row r="52" spans="1:17">
      <c r="A52" s="50">
        <f t="shared" si="1"/>
        <v>500</v>
      </c>
      <c r="B52" s="146" t="s">
        <v>145</v>
      </c>
      <c r="C52" s="82">
        <f>Detail!H156</f>
        <v>11123000.000000004</v>
      </c>
      <c r="D52" s="82">
        <f>Detail!I156</f>
        <v>8978056.5226144325</v>
      </c>
      <c r="E52" s="82">
        <f>Detail!J156</f>
        <v>1572707.5337193601</v>
      </c>
      <c r="F52" s="82">
        <f>Detail!K156</f>
        <v>0</v>
      </c>
      <c r="G52" s="82">
        <f>Detail!L156</f>
        <v>20784.686950634383</v>
      </c>
      <c r="H52" s="82">
        <f>Detail!M156</f>
        <v>551451.25671557453</v>
      </c>
      <c r="I52" s="2">
        <f>Detail!N156</f>
        <v>0</v>
      </c>
      <c r="J52" s="2"/>
      <c r="K52" s="68">
        <f>Detail!A$156</f>
        <v>156</v>
      </c>
      <c r="L52" s="487"/>
      <c r="M52" s="487"/>
      <c r="N52" s="487"/>
      <c r="O52" s="487"/>
      <c r="P52" s="487"/>
      <c r="Q52" s="487"/>
    </row>
    <row r="53" spans="1:17">
      <c r="A53" s="50">
        <f t="shared" si="1"/>
        <v>501</v>
      </c>
      <c r="B53" t="s">
        <v>655</v>
      </c>
      <c r="C53" s="27">
        <f>C45/C48</f>
        <v>0.10537225055367092</v>
      </c>
      <c r="K53" s="71"/>
    </row>
    <row r="54" spans="1:17">
      <c r="A54" s="50">
        <f t="shared" si="1"/>
        <v>502</v>
      </c>
      <c r="K54" s="71"/>
    </row>
    <row r="55" spans="1:17">
      <c r="A55" s="50">
        <f t="shared" si="1"/>
        <v>503</v>
      </c>
      <c r="C55" s="27"/>
      <c r="D55" s="27"/>
      <c r="E55" s="27"/>
      <c r="F55" s="27"/>
      <c r="G55" s="27"/>
      <c r="H55" s="27"/>
      <c r="I55" s="2"/>
      <c r="J55" s="2"/>
      <c r="K55" s="71"/>
    </row>
    <row r="56" spans="1:17">
      <c r="A56" s="50">
        <f t="shared" si="1"/>
        <v>504</v>
      </c>
      <c r="B56" s="1" t="s">
        <v>185</v>
      </c>
      <c r="C56" s="82">
        <f>SUM(D56:I56)</f>
        <v>12790000</v>
      </c>
      <c r="D56" s="733">
        <v>9828000</v>
      </c>
      <c r="E56" s="733">
        <v>2492000</v>
      </c>
      <c r="F56" s="733">
        <v>0</v>
      </c>
      <c r="G56" s="733">
        <v>27000</v>
      </c>
      <c r="H56" s="733">
        <v>443000</v>
      </c>
      <c r="I56" s="23">
        <v>0</v>
      </c>
      <c r="J56" s="49"/>
      <c r="K56" s="518" t="s">
        <v>1213</v>
      </c>
      <c r="M56" s="2"/>
    </row>
    <row r="57" spans="1:17">
      <c r="A57" s="50">
        <f t="shared" si="1"/>
        <v>505</v>
      </c>
      <c r="B57" s="17" t="s">
        <v>186</v>
      </c>
      <c r="C57" s="82">
        <f>ROUND(SUM(D57:I57),-3)</f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39"/>
      <c r="K57" s="71" t="s">
        <v>231</v>
      </c>
    </row>
    <row r="58" spans="1:17">
      <c r="A58" s="50">
        <f t="shared" si="1"/>
        <v>506</v>
      </c>
      <c r="B58" t="s">
        <v>558</v>
      </c>
      <c r="C58" s="97">
        <f>C56+C57</f>
        <v>12790000</v>
      </c>
      <c r="D58" s="97">
        <f t="shared" ref="D58:I58" si="10">D56+D57</f>
        <v>9828000</v>
      </c>
      <c r="E58" s="97">
        <f t="shared" si="10"/>
        <v>2492000</v>
      </c>
      <c r="F58" s="97">
        <f t="shared" si="10"/>
        <v>0</v>
      </c>
      <c r="G58" s="97">
        <f t="shared" si="10"/>
        <v>27000</v>
      </c>
      <c r="H58" s="97">
        <f t="shared" si="10"/>
        <v>443000</v>
      </c>
      <c r="I58" s="97">
        <f t="shared" si="10"/>
        <v>0</v>
      </c>
      <c r="J58" s="39"/>
      <c r="K58" s="71" t="str">
        <f>A56&amp;"+"&amp;A57</f>
        <v>504+505</v>
      </c>
    </row>
    <row r="59" spans="1:17">
      <c r="A59" s="50">
        <f t="shared" si="1"/>
        <v>507</v>
      </c>
    </row>
    <row r="60" spans="1:17">
      <c r="A60" s="50">
        <f t="shared" si="1"/>
        <v>508</v>
      </c>
      <c r="B60" t="s">
        <v>564</v>
      </c>
      <c r="C60" s="2">
        <f>C57</f>
        <v>0</v>
      </c>
      <c r="D60" s="2">
        <f t="shared" ref="D60:I60" si="11">$C60*D61</f>
        <v>0</v>
      </c>
      <c r="E60" s="2">
        <f t="shared" si="11"/>
        <v>0</v>
      </c>
      <c r="F60" s="2">
        <f t="shared" si="11"/>
        <v>0</v>
      </c>
      <c r="G60" s="2">
        <f t="shared" si="11"/>
        <v>0</v>
      </c>
      <c r="H60" s="2">
        <f t="shared" si="11"/>
        <v>0</v>
      </c>
      <c r="I60" s="2">
        <f t="shared" si="11"/>
        <v>0</v>
      </c>
      <c r="K60" s="71" t="str">
        <f>C$1&amp;A60&amp;" * "&amp;A61</f>
        <v>C508 * 509</v>
      </c>
    </row>
    <row r="61" spans="1:17">
      <c r="A61" s="50">
        <f t="shared" si="1"/>
        <v>509</v>
      </c>
      <c r="B61" s="28" t="s">
        <v>565</v>
      </c>
      <c r="C61" s="102">
        <f>SUM(D61:H61)</f>
        <v>0.99999999999999989</v>
      </c>
      <c r="D61" s="102">
        <f>Detail!I424/Detail!$H424</f>
        <v>0.79244464842689477</v>
      </c>
      <c r="E61" s="102">
        <f>Detail!J424/Detail!$H424</f>
        <v>0.14676435866186421</v>
      </c>
      <c r="F61" s="102">
        <f>Detail!K424/Detail!$H424</f>
        <v>0</v>
      </c>
      <c r="G61" s="102">
        <f>Detail!L424/Detail!$H424</f>
        <v>1.9367810973158364E-3</v>
      </c>
      <c r="H61" s="102">
        <f>Detail!M424/Detail!$H424</f>
        <v>5.8854211813925049E-2</v>
      </c>
      <c r="I61" s="102">
        <f>Detail!N424/Detail!$H424</f>
        <v>0</v>
      </c>
      <c r="K61" s="71" t="str">
        <f>"% of "&amp;Detail!H$1&amp;Detail!A424</f>
        <v>% of H424</v>
      </c>
    </row>
    <row r="62" spans="1:17">
      <c r="A62" s="50">
        <f t="shared" si="1"/>
        <v>510</v>
      </c>
    </row>
    <row r="63" spans="1:17">
      <c r="A63" s="50">
        <f t="shared" si="1"/>
        <v>511</v>
      </c>
      <c r="B63" s="1" t="s">
        <v>559</v>
      </c>
      <c r="C63" s="98">
        <f t="shared" ref="C63:I63" si="12">C24+C56</f>
        <v>116201999.99999999</v>
      </c>
      <c r="D63" s="98">
        <f>D24+D56</f>
        <v>89296609.307138771</v>
      </c>
      <c r="E63" s="98">
        <f t="shared" si="12"/>
        <v>22637536.166025911</v>
      </c>
      <c r="F63" s="98">
        <f t="shared" si="12"/>
        <v>0</v>
      </c>
      <c r="G63" s="98">
        <f>G24+G56</f>
        <v>243984.02763022837</v>
      </c>
      <c r="H63" s="98">
        <f>H24+H56</f>
        <v>4023870.4992050868</v>
      </c>
      <c r="I63" s="98">
        <f t="shared" si="12"/>
        <v>0</v>
      </c>
      <c r="K63" s="71" t="str">
        <f>A24&amp;"+"&amp;A56</f>
        <v>472+504</v>
      </c>
    </row>
    <row r="64" spans="1:17">
      <c r="A64" s="50">
        <f t="shared" si="1"/>
        <v>512</v>
      </c>
      <c r="C64" s="21"/>
      <c r="D64" s="2"/>
      <c r="E64" s="2"/>
      <c r="F64" s="2"/>
      <c r="G64" s="2"/>
      <c r="H64" s="2"/>
      <c r="I64" s="2"/>
      <c r="J64" s="2"/>
      <c r="K64" s="71"/>
    </row>
    <row r="65" spans="1:13">
      <c r="A65" s="50">
        <f t="shared" si="1"/>
        <v>513</v>
      </c>
      <c r="B65" s="24" t="s">
        <v>557</v>
      </c>
      <c r="C65" s="39">
        <f>SUM(D65:I65)</f>
        <v>30674439.970686961</v>
      </c>
      <c r="D65" s="39">
        <f>-(Detail!I431+Detail!I406)+D91</f>
        <v>16942565.901303466</v>
      </c>
      <c r="E65" s="39">
        <f>-(Detail!J431+Detail!J406)+E91</f>
        <v>12369530.146104729</v>
      </c>
      <c r="F65" s="39">
        <f>-(Detail!K431+Detail!K406)+F91</f>
        <v>0</v>
      </c>
      <c r="G65" s="39">
        <f>-(Detail!L431+Detail!L406)+G91</f>
        <v>117741.90164288093</v>
      </c>
      <c r="H65" s="39">
        <f>-(Detail!M431+Detail!M406)+H91</f>
        <v>1244602.0216358863</v>
      </c>
      <c r="I65" s="39">
        <f>-(Detail!N431+Detail!N406)+I91</f>
        <v>0</v>
      </c>
      <c r="J65" s="2"/>
      <c r="K65" s="71" t="str">
        <f>"-"&amp;Detail!A431&amp;"-"&amp;Detail!A406&amp;"+"&amp;A91</f>
        <v>-431-406+539</v>
      </c>
    </row>
    <row r="66" spans="1:13">
      <c r="A66" s="50">
        <f t="shared" si="1"/>
        <v>514</v>
      </c>
      <c r="K66" s="71"/>
    </row>
    <row r="67" spans="1:13">
      <c r="A67" s="50">
        <f t="shared" si="1"/>
        <v>515</v>
      </c>
      <c r="K67" s="71"/>
    </row>
    <row r="68" spans="1:13">
      <c r="A68" s="50">
        <f t="shared" si="1"/>
        <v>516</v>
      </c>
      <c r="B68" s="30" t="s">
        <v>552</v>
      </c>
      <c r="C68" s="39"/>
      <c r="D68" s="39"/>
      <c r="E68" s="39"/>
      <c r="F68" s="39"/>
      <c r="G68" s="39"/>
      <c r="H68" s="39"/>
      <c r="I68" s="39"/>
      <c r="J68" s="2"/>
      <c r="K68" s="71"/>
    </row>
    <row r="69" spans="1:13">
      <c r="A69" s="50">
        <f t="shared" si="1"/>
        <v>517</v>
      </c>
      <c r="B69" s="103" t="s">
        <v>181</v>
      </c>
      <c r="C69" s="39">
        <f>Detail!$E232</f>
        <v>133000</v>
      </c>
      <c r="D69" s="39">
        <f>$C69*D$63/$C$63</f>
        <v>102205.2033342753</v>
      </c>
      <c r="E69" s="39">
        <f t="shared" ref="E69:I71" si="13">$C69*E$63/$C$63</f>
        <v>25909.987006088075</v>
      </c>
      <c r="F69" s="39">
        <f t="shared" si="13"/>
        <v>0</v>
      </c>
      <c r="G69" s="39">
        <f t="shared" si="13"/>
        <v>279.25402036815524</v>
      </c>
      <c r="H69" s="39">
        <f t="shared" si="13"/>
        <v>4605.5556392684857</v>
      </c>
      <c r="I69" s="39">
        <f t="shared" si="13"/>
        <v>0</v>
      </c>
      <c r="J69" s="2"/>
      <c r="K69" s="71" t="str">
        <f>Detail!A232&amp;" * % of "&amp;A$63</f>
        <v>232 * % of 511</v>
      </c>
    </row>
    <row r="70" spans="1:13">
      <c r="A70" s="50">
        <f t="shared" ref="A70:A133" si="14">Pg1Row+ROW(A70)</f>
        <v>518</v>
      </c>
      <c r="B70" s="103" t="s">
        <v>182</v>
      </c>
      <c r="C70" s="39">
        <f>Detail!$E317</f>
        <v>190440</v>
      </c>
      <c r="D70" s="39">
        <f>$C70*D$63/$C$63</f>
        <v>146345.55581187509</v>
      </c>
      <c r="E70" s="39">
        <f t="shared" si="13"/>
        <v>37099.984401800102</v>
      </c>
      <c r="F70" s="39">
        <f t="shared" si="13"/>
        <v>0</v>
      </c>
      <c r="G70" s="39">
        <f t="shared" si="13"/>
        <v>399.85816269858259</v>
      </c>
      <c r="H70" s="39">
        <f t="shared" si="13"/>
        <v>6594.601623626244</v>
      </c>
      <c r="I70" s="39">
        <f t="shared" si="13"/>
        <v>0</v>
      </c>
      <c r="J70" s="2"/>
      <c r="K70" s="71" t="str">
        <f>Detail!A317&amp;" * % of "&amp;A$63</f>
        <v>317 * % of 511</v>
      </c>
    </row>
    <row r="71" spans="1:13">
      <c r="A71" s="50">
        <f t="shared" si="14"/>
        <v>519</v>
      </c>
      <c r="B71" s="103" t="s">
        <v>183</v>
      </c>
      <c r="C71" s="39">
        <f>Detail!$E349</f>
        <v>4220000</v>
      </c>
      <c r="D71" s="39">
        <f>$C71*D$63/$C$63</f>
        <v>3242901.9403807651</v>
      </c>
      <c r="E71" s="39">
        <f t="shared" si="13"/>
        <v>822106.35462926072</v>
      </c>
      <c r="F71" s="39">
        <f t="shared" si="13"/>
        <v>0</v>
      </c>
      <c r="G71" s="39">
        <f t="shared" si="13"/>
        <v>8860.5410973956023</v>
      </c>
      <c r="H71" s="39">
        <f t="shared" si="13"/>
        <v>146131.16389257903</v>
      </c>
      <c r="I71" s="39">
        <f t="shared" si="13"/>
        <v>0</v>
      </c>
      <c r="J71" s="2"/>
      <c r="K71" s="71" t="str">
        <f>Detail!A349&amp;" * % of "&amp;A$63</f>
        <v>349 * % of 511</v>
      </c>
    </row>
    <row r="72" spans="1:13">
      <c r="A72" s="50">
        <f t="shared" si="14"/>
        <v>520</v>
      </c>
      <c r="B72" s="30" t="s">
        <v>553</v>
      </c>
      <c r="C72" s="41"/>
      <c r="D72" s="41"/>
      <c r="E72" s="41"/>
      <c r="F72" s="41"/>
      <c r="G72" s="41"/>
      <c r="H72" s="41"/>
      <c r="I72" s="41"/>
      <c r="J72" s="5"/>
      <c r="K72" s="71"/>
      <c r="L72" s="49"/>
    </row>
    <row r="73" spans="1:13">
      <c r="A73" s="50">
        <f t="shared" si="14"/>
        <v>521</v>
      </c>
      <c r="B73" s="103" t="s">
        <v>181</v>
      </c>
      <c r="C73" s="39">
        <f>ROUND($C$58*$L73,-3)</f>
        <v>43000</v>
      </c>
      <c r="D73" s="39">
        <f t="shared" ref="D73:I75" si="15">$C73*D$63/$C$63</f>
        <v>33043.787544164195</v>
      </c>
      <c r="E73" s="39">
        <f t="shared" si="15"/>
        <v>8376.9130921938886</v>
      </c>
      <c r="F73" s="39">
        <f t="shared" si="15"/>
        <v>0</v>
      </c>
      <c r="G73" s="39">
        <f t="shared" si="15"/>
        <v>90.285134404741925</v>
      </c>
      <c r="H73" s="39">
        <f t="shared" si="15"/>
        <v>1489.0142292371797</v>
      </c>
      <c r="I73" s="39">
        <f t="shared" si="15"/>
        <v>0</v>
      </c>
      <c r="J73" s="5"/>
      <c r="K73" s="71" t="str">
        <f>C$1&amp;$A$56&amp;"*"&amp;L$1&amp;$A73&amp;" * % of "&amp;A$63</f>
        <v>C504*L521 * % of 511</v>
      </c>
      <c r="L73" s="106">
        <v>3.326E-3</v>
      </c>
    </row>
    <row r="74" spans="1:13">
      <c r="A74" s="50">
        <f t="shared" si="14"/>
        <v>522</v>
      </c>
      <c r="B74" s="103" t="s">
        <v>182</v>
      </c>
      <c r="C74" s="39">
        <f>ROUND($C$58*$L74,-3)</f>
        <v>26000</v>
      </c>
      <c r="D74" s="39">
        <f t="shared" si="15"/>
        <v>19979.964561587651</v>
      </c>
      <c r="E74" s="39">
        <f t="shared" si="15"/>
        <v>5065.1102417916536</v>
      </c>
      <c r="F74" s="39">
        <f t="shared" si="15"/>
        <v>0</v>
      </c>
      <c r="G74" s="39">
        <f t="shared" si="15"/>
        <v>54.591011500541633</v>
      </c>
      <c r="H74" s="39">
        <f t="shared" si="15"/>
        <v>900.33418512015521</v>
      </c>
      <c r="I74" s="39">
        <f t="shared" si="15"/>
        <v>0</v>
      </c>
      <c r="J74" s="5"/>
      <c r="K74" s="71" t="str">
        <f>C$1&amp;$A$56&amp;"*"&amp;L$1&amp;$A74&amp;" * % of "&amp;A$63</f>
        <v>C504*L522 * % of 511</v>
      </c>
      <c r="L74" s="106">
        <v>2E-3</v>
      </c>
    </row>
    <row r="75" spans="1:13">
      <c r="A75" s="50">
        <f t="shared" si="14"/>
        <v>523</v>
      </c>
      <c r="B75" s="103" t="s">
        <v>183</v>
      </c>
      <c r="C75" s="39">
        <f>ROUND($C$58*$L75,-3)</f>
        <v>491000</v>
      </c>
      <c r="D75" s="39">
        <f t="shared" si="15"/>
        <v>377313.94614382833</v>
      </c>
      <c r="E75" s="39">
        <f t="shared" si="15"/>
        <v>95652.658796911623</v>
      </c>
      <c r="F75" s="39">
        <f t="shared" si="15"/>
        <v>0</v>
      </c>
      <c r="G75" s="39">
        <f t="shared" si="15"/>
        <v>1030.930255644844</v>
      </c>
      <c r="H75" s="39">
        <f t="shared" si="15"/>
        <v>17002.464803615239</v>
      </c>
      <c r="I75" s="39">
        <f t="shared" si="15"/>
        <v>0</v>
      </c>
      <c r="J75" s="5"/>
      <c r="K75" s="71" t="str">
        <f>C$1&amp;$A$56&amp;"*"&amp;L$1&amp;$A75&amp;" * % of "&amp;A$63</f>
        <v>C504*L523 * % of 511</v>
      </c>
      <c r="L75" s="106">
        <v>3.8392000000000003E-2</v>
      </c>
    </row>
    <row r="76" spans="1:13">
      <c r="A76" s="50">
        <f t="shared" si="14"/>
        <v>524</v>
      </c>
      <c r="B76" s="128" t="s">
        <v>657</v>
      </c>
      <c r="C76" s="39">
        <f>Detail!H156</f>
        <v>11123000.000000004</v>
      </c>
      <c r="D76" s="39">
        <f>Detail!I156</f>
        <v>8978056.5226144325</v>
      </c>
      <c r="E76" s="39">
        <f>Detail!J156</f>
        <v>1572707.5337193601</v>
      </c>
      <c r="F76" s="39">
        <f>Detail!K156</f>
        <v>0</v>
      </c>
      <c r="G76" s="39">
        <f>Detail!L156</f>
        <v>20784.686950634383</v>
      </c>
      <c r="H76" s="39">
        <f>Detail!M156</f>
        <v>551451.25671557453</v>
      </c>
      <c r="I76" s="39">
        <f>Detail!N156</f>
        <v>0</v>
      </c>
      <c r="J76" s="5"/>
      <c r="K76" s="71">
        <f>Detail!A156</f>
        <v>156</v>
      </c>
      <c r="L76" s="106"/>
    </row>
    <row r="77" spans="1:13">
      <c r="A77" s="50">
        <f t="shared" si="14"/>
        <v>525</v>
      </c>
      <c r="B77" s="104" t="s">
        <v>563</v>
      </c>
      <c r="C77" s="40">
        <f t="shared" ref="C77:I77" si="16">C56+C60+C65-SUM(C69:C76)</f>
        <v>27237999.970686954</v>
      </c>
      <c r="D77" s="40">
        <f>D56+D60+D65-SUM(D69:D76)</f>
        <v>13870718.980912538</v>
      </c>
      <c r="E77" s="40">
        <f t="shared" si="16"/>
        <v>12294611.604217323</v>
      </c>
      <c r="F77" s="40">
        <f t="shared" si="16"/>
        <v>0</v>
      </c>
      <c r="G77" s="40">
        <f t="shared" si="16"/>
        <v>113241.75501023408</v>
      </c>
      <c r="H77" s="40">
        <f t="shared" si="16"/>
        <v>959427.6305468654</v>
      </c>
      <c r="I77" s="40">
        <f t="shared" si="16"/>
        <v>0</v>
      </c>
      <c r="J77" s="2"/>
      <c r="K77" s="71" t="str">
        <f>A56&amp;"+"&amp;A60&amp;"+"&amp;A65&amp;"+"&amp;A69&amp;":"&amp;A75</f>
        <v>504+508+513+517:523</v>
      </c>
      <c r="L77" s="106">
        <v>0.200819</v>
      </c>
    </row>
    <row r="78" spans="1:13">
      <c r="A78" s="50">
        <f t="shared" si="14"/>
        <v>526</v>
      </c>
      <c r="B78" s="103" t="s">
        <v>554</v>
      </c>
      <c r="C78" s="39">
        <f>Detail!$E412</f>
        <v>-4523000</v>
      </c>
      <c r="D78" s="39">
        <f>$C78*D$77/$C$77</f>
        <v>-2303299.1415736885</v>
      </c>
      <c r="E78" s="39">
        <f t="shared" ref="E78:I80" si="17">$C78*E$77/$C$77</f>
        <v>-2041578.9832483975</v>
      </c>
      <c r="F78" s="39">
        <f t="shared" si="17"/>
        <v>0</v>
      </c>
      <c r="G78" s="39">
        <f t="shared" si="17"/>
        <v>-18804.334329337729</v>
      </c>
      <c r="H78" s="39">
        <f>$C78*H$77/$C$77</f>
        <v>-159317.54084857751</v>
      </c>
      <c r="I78" s="39">
        <f t="shared" si="17"/>
        <v>0</v>
      </c>
      <c r="J78" s="2"/>
      <c r="K78" s="71" t="str">
        <f>Detail!E$1&amp;Detail!A412&amp;" * % of "&amp;A77</f>
        <v>E412 * % of 525</v>
      </c>
    </row>
    <row r="79" spans="1:13">
      <c r="A79" s="50">
        <f t="shared" si="14"/>
        <v>527</v>
      </c>
      <c r="B79" s="103" t="s">
        <v>555</v>
      </c>
      <c r="C79" s="39">
        <f>ROUND($C$58*$L77,-3)</f>
        <v>2568000</v>
      </c>
      <c r="D79" s="39">
        <f>$C79*D$77/$C$77</f>
        <v>1307732.0794961823</v>
      </c>
      <c r="E79" s="39">
        <f t="shared" si="17"/>
        <v>1159136.5971660148</v>
      </c>
      <c r="F79" s="39">
        <f t="shared" si="17"/>
        <v>0</v>
      </c>
      <c r="G79" s="39">
        <f t="shared" si="17"/>
        <v>10676.438328043178</v>
      </c>
      <c r="H79" s="39">
        <f t="shared" si="17"/>
        <v>90454.88500976059</v>
      </c>
      <c r="I79" s="39">
        <f t="shared" si="17"/>
        <v>0</v>
      </c>
      <c r="J79" s="2"/>
      <c r="K79" s="71" t="str">
        <f>C$1&amp;A$58&amp;"*"&amp;L$1&amp;A$77&amp;"* % of "&amp;A$77</f>
        <v>C506*L525* % of 525</v>
      </c>
    </row>
    <row r="80" spans="1:13">
      <c r="A80" s="50">
        <f t="shared" si="14"/>
        <v>528</v>
      </c>
      <c r="B80" s="103" t="s">
        <v>556</v>
      </c>
      <c r="C80" s="39">
        <f>Detail!E415-C78</f>
        <v>7014000</v>
      </c>
      <c r="D80" s="39">
        <f>$C80*D$77/$C$77</f>
        <v>3571819.6283435444</v>
      </c>
      <c r="E80" s="39">
        <f t="shared" si="17"/>
        <v>3165959.537586615</v>
      </c>
      <c r="F80" s="39">
        <f t="shared" si="17"/>
        <v>0</v>
      </c>
      <c r="G80" s="39">
        <f t="shared" si="17"/>
        <v>29160.645807202043</v>
      </c>
      <c r="H80" s="39">
        <f t="shared" si="17"/>
        <v>247060.18826264044</v>
      </c>
      <c r="I80" s="39">
        <f t="shared" si="17"/>
        <v>0</v>
      </c>
      <c r="J80" s="2"/>
      <c r="K80" s="71" t="str">
        <f>Detail!E$1&amp;Detail!A415&amp;" - "&amp;C$1&amp;A78&amp;"* % of "&amp;A77</f>
        <v>E415 - C526* % of 525</v>
      </c>
      <c r="M80" s="534">
        <f>1-L73-L74-L75-L77</f>
        <v>0.755463</v>
      </c>
    </row>
    <row r="81" spans="1:12">
      <c r="A81" s="50">
        <f t="shared" si="14"/>
        <v>529</v>
      </c>
      <c r="B81" s="128" t="s">
        <v>656</v>
      </c>
      <c r="C81" s="39">
        <f>Detail!H156</f>
        <v>11123000.000000004</v>
      </c>
      <c r="D81" s="39">
        <f>Detail!I156</f>
        <v>8978056.5226144325</v>
      </c>
      <c r="E81" s="39">
        <f>Detail!J156</f>
        <v>1572707.5337193601</v>
      </c>
      <c r="F81" s="39">
        <f>Detail!K156</f>
        <v>0</v>
      </c>
      <c r="G81" s="39">
        <f>Detail!L156</f>
        <v>20784.686950634383</v>
      </c>
      <c r="H81" s="39">
        <f>Detail!M156</f>
        <v>551451.25671557453</v>
      </c>
      <c r="I81" s="39">
        <f>Detail!N156</f>
        <v>0</v>
      </c>
      <c r="J81" s="5"/>
      <c r="K81" s="71">
        <f>Detail!A156</f>
        <v>156</v>
      </c>
      <c r="L81" s="106"/>
    </row>
    <row r="82" spans="1:12">
      <c r="A82" s="50">
        <f t="shared" si="14"/>
        <v>530</v>
      </c>
      <c r="B82" s="105" t="s">
        <v>184</v>
      </c>
      <c r="C82" s="99">
        <f>IF(ROUND(C77-C78-C79-C80+C81,0)&lt;&gt;ROUND(SUM(D82:I82),0),#VALUE!,ROUND(SUM(D82:I82),0))</f>
        <v>33302000</v>
      </c>
      <c r="D82" s="99">
        <f t="shared" ref="D82:I82" si="18">D77-D78-D79-D80+D81</f>
        <v>20272522.937260933</v>
      </c>
      <c r="E82" s="99">
        <f t="shared" si="18"/>
        <v>11583801.986432452</v>
      </c>
      <c r="F82" s="99">
        <f t="shared" si="18"/>
        <v>0</v>
      </c>
      <c r="G82" s="99">
        <f t="shared" si="18"/>
        <v>112993.69215496095</v>
      </c>
      <c r="H82" s="99">
        <f t="shared" si="18"/>
        <v>1332681.3548386164</v>
      </c>
      <c r="I82" s="99">
        <f t="shared" si="18"/>
        <v>0</v>
      </c>
      <c r="J82" s="2"/>
      <c r="K82" s="71" t="str">
        <f>A77&amp;" - "&amp;A78&amp;":"&amp;A80&amp;" + "&amp;A81</f>
        <v>525 - 526:528 + 529</v>
      </c>
    </row>
    <row r="83" spans="1:12">
      <c r="A83" s="50">
        <f t="shared" si="14"/>
        <v>531</v>
      </c>
      <c r="B83" s="105" t="s">
        <v>652</v>
      </c>
      <c r="C83" s="100">
        <f>IF(C22,C82/C22,0)</f>
        <v>7.341063398289395E-2</v>
      </c>
      <c r="D83" s="100">
        <f t="shared" ref="D83:I83" si="19">IF(D22,D82/D22,0)</f>
        <v>5.5365096432515026E-2</v>
      </c>
      <c r="E83" s="100">
        <f t="shared" si="19"/>
        <v>0.18059833968578418</v>
      </c>
      <c r="F83" s="100">
        <v>0</v>
      </c>
      <c r="G83" s="100">
        <f t="shared" si="19"/>
        <v>0.13329728613261543</v>
      </c>
      <c r="H83" s="100">
        <f>IF(H22,H82/H22,0)</f>
        <v>5.9255652715011972E-2</v>
      </c>
      <c r="I83" s="100">
        <f t="shared" si="19"/>
        <v>0</v>
      </c>
      <c r="J83" s="2"/>
      <c r="K83" s="71" t="str">
        <f>A82&amp;" / "&amp;A22</f>
        <v>530 / 470</v>
      </c>
    </row>
    <row r="84" spans="1:12">
      <c r="A84" s="50">
        <f t="shared" si="14"/>
        <v>532</v>
      </c>
      <c r="B84" s="1" t="s">
        <v>653</v>
      </c>
      <c r="C84" s="88">
        <f t="shared" ref="C84:I84" si="20">C83/$C83</f>
        <v>1</v>
      </c>
      <c r="D84" s="88">
        <f t="shared" si="20"/>
        <v>0.75418360295616205</v>
      </c>
      <c r="E84" s="88">
        <f t="shared" si="20"/>
        <v>2.4601114291952166</v>
      </c>
      <c r="F84" s="88">
        <f t="shared" si="20"/>
        <v>0</v>
      </c>
      <c r="G84" s="88">
        <f t="shared" si="20"/>
        <v>1.815776256116739</v>
      </c>
      <c r="H84" s="88">
        <f>H83/$C83</f>
        <v>0.80718077886127026</v>
      </c>
      <c r="I84" s="88">
        <f t="shared" si="20"/>
        <v>0</v>
      </c>
      <c r="J84" s="35"/>
      <c r="K84" s="72" t="str">
        <f>"% of "&amp;C$1&amp;$A83</f>
        <v>% of C531</v>
      </c>
    </row>
    <row r="85" spans="1:12">
      <c r="A85" s="50">
        <f t="shared" si="14"/>
        <v>533</v>
      </c>
      <c r="K85" s="71"/>
    </row>
    <row r="86" spans="1:12">
      <c r="A86" s="50">
        <f t="shared" si="14"/>
        <v>534</v>
      </c>
      <c r="B86" s="17" t="s">
        <v>650</v>
      </c>
      <c r="C86" s="39">
        <f t="shared" ref="C86:I86" si="21">C129</f>
        <v>103411999.99999999</v>
      </c>
      <c r="D86" s="39">
        <f t="shared" si="21"/>
        <v>87460588.066974431</v>
      </c>
      <c r="E86" s="39">
        <f t="shared" si="21"/>
        <v>11997860.428368209</v>
      </c>
      <c r="F86" s="39">
        <f t="shared" si="21"/>
        <v>0</v>
      </c>
      <c r="G86" s="39">
        <f t="shared" si="21"/>
        <v>154875.60829762428</v>
      </c>
      <c r="H86" s="39">
        <f t="shared" si="21"/>
        <v>3798675.8963597147</v>
      </c>
      <c r="I86" s="39">
        <f t="shared" si="21"/>
        <v>0</v>
      </c>
      <c r="J86" s="2"/>
      <c r="K86" s="71">
        <f>A129</f>
        <v>577</v>
      </c>
    </row>
    <row r="87" spans="1:12">
      <c r="A87" s="50">
        <f t="shared" si="14"/>
        <v>535</v>
      </c>
      <c r="B87" s="24" t="s">
        <v>651</v>
      </c>
      <c r="C87" s="39">
        <f>SUM(D87:J87)</f>
        <v>-1.7404090613126755E-8</v>
      </c>
      <c r="D87" s="39">
        <f>D86-D24</f>
        <v>7991978.7598356605</v>
      </c>
      <c r="E87" s="39">
        <f t="shared" ref="E87:I87" si="22">E86-E24</f>
        <v>-8147675.7376577016</v>
      </c>
      <c r="F87" s="39">
        <f t="shared" si="22"/>
        <v>0</v>
      </c>
      <c r="G87" s="39">
        <f t="shared" si="22"/>
        <v>-62108.419332604099</v>
      </c>
      <c r="H87" s="39">
        <f t="shared" si="22"/>
        <v>217805.39715462783</v>
      </c>
      <c r="I87" s="39">
        <f t="shared" si="22"/>
        <v>0</v>
      </c>
      <c r="J87" s="2"/>
      <c r="K87" s="71" t="str">
        <f>A86&amp;"-"&amp;A24</f>
        <v>534-472</v>
      </c>
    </row>
    <row r="88" spans="1:12">
      <c r="A88" s="50">
        <f t="shared" si="14"/>
        <v>536</v>
      </c>
      <c r="B88" s="17" t="s">
        <v>649</v>
      </c>
      <c r="C88" s="127">
        <f>IF(C86,C87/C86,0)</f>
        <v>-1.6829855928834911E-16</v>
      </c>
      <c r="D88" s="127">
        <f t="shared" ref="D88:I88" si="23">IF(D86,D87/D86,0)</f>
        <v>9.1378058808793586E-2</v>
      </c>
      <c r="E88" s="127">
        <f t="shared" si="23"/>
        <v>-0.67909405900347197</v>
      </c>
      <c r="F88" s="127">
        <f t="shared" si="23"/>
        <v>0</v>
      </c>
      <c r="G88" s="127">
        <f t="shared" si="23"/>
        <v>-0.40102131003902447</v>
      </c>
      <c r="H88" s="127">
        <f t="shared" si="23"/>
        <v>5.7337188825019675E-2</v>
      </c>
      <c r="I88" s="127">
        <f t="shared" si="23"/>
        <v>0</v>
      </c>
      <c r="J88" s="2"/>
      <c r="K88" s="71" t="str">
        <f>A87&amp;"/"&amp;A86</f>
        <v>535/534</v>
      </c>
    </row>
    <row r="89" spans="1:12">
      <c r="A89" s="50">
        <f t="shared" si="14"/>
        <v>537</v>
      </c>
      <c r="C89" s="96"/>
      <c r="D89" s="96"/>
      <c r="E89" s="96"/>
      <c r="F89" s="96"/>
      <c r="G89" s="96"/>
      <c r="H89" s="96"/>
      <c r="I89" s="96"/>
      <c r="J89" s="2"/>
      <c r="K89" s="71"/>
    </row>
    <row r="90" spans="1:12">
      <c r="A90" s="50">
        <f t="shared" si="14"/>
        <v>538</v>
      </c>
      <c r="C90" s="96"/>
      <c r="D90" s="96"/>
      <c r="E90" s="39"/>
      <c r="F90" s="96"/>
      <c r="G90" s="96"/>
      <c r="H90" s="96"/>
      <c r="I90" s="96"/>
      <c r="J90" s="2"/>
      <c r="K90" s="71"/>
    </row>
    <row r="91" spans="1:12">
      <c r="A91" s="50">
        <f t="shared" si="14"/>
        <v>539</v>
      </c>
      <c r="B91" s="146" t="s">
        <v>560</v>
      </c>
      <c r="C91" s="82">
        <f>SUMIF(Detail!$C$172:$C$408,$L91,Detail!H$172:H$408)</f>
        <v>4543440</v>
      </c>
      <c r="D91" s="82">
        <f>SUMIF(Detail!$C$172:$C$408,$L91,Detail!I$172:I$408)</f>
        <v>3491479.3086917051</v>
      </c>
      <c r="E91" s="82">
        <f>SUMIF(Detail!$C$172:$C$408,$L91,Detail!J$172:J$408)</f>
        <v>885100.71208533598</v>
      </c>
      <c r="F91" s="82">
        <f>SUMIF(Detail!$C$172:$C$408,$L91,Detail!K$172:K$408)</f>
        <v>0</v>
      </c>
      <c r="G91" s="82">
        <f>SUMIF(Detail!$C$172:$C$408,$L91,Detail!L$172:L$408)</f>
        <v>9533.2641327533038</v>
      </c>
      <c r="H91" s="82">
        <f>SUMIF(Detail!$C$172:$C$408,$L91,Detail!M$172:M$408)</f>
        <v>157326.71509020578</v>
      </c>
      <c r="I91" s="2">
        <f>SUMIF(Detail!$C$172:$C$408,$L91,Detail!N$172:N$408)</f>
        <v>0</v>
      </c>
      <c r="J91" s="2"/>
      <c r="K91" s="71" t="str">
        <f>Detail!A$172&amp;":"&amp;Detail!A$408&amp;", col "&amp;Detail!C$1&amp;"= "</f>
        <v xml:space="preserve">172:408, col C= </v>
      </c>
      <c r="L91" s="11" t="s">
        <v>156</v>
      </c>
    </row>
    <row r="92" spans="1:12">
      <c r="A92" s="50">
        <f t="shared" si="14"/>
        <v>540</v>
      </c>
      <c r="B92" t="s">
        <v>561</v>
      </c>
      <c r="C92" s="2">
        <f>C24-C91</f>
        <v>98868559.999999985</v>
      </c>
      <c r="D92" s="2">
        <f t="shared" ref="D92:I92" si="24">D24-D91</f>
        <v>75977129.998447061</v>
      </c>
      <c r="E92" s="2">
        <f t="shared" si="24"/>
        <v>19260435.453940574</v>
      </c>
      <c r="F92" s="2">
        <f t="shared" si="24"/>
        <v>0</v>
      </c>
      <c r="G92" s="2">
        <f t="shared" si="24"/>
        <v>207450.76349747507</v>
      </c>
      <c r="H92" s="2">
        <f t="shared" si="24"/>
        <v>3423543.784114881</v>
      </c>
      <c r="I92" s="2">
        <f t="shared" si="24"/>
        <v>0</v>
      </c>
      <c r="J92" s="2"/>
      <c r="K92" s="71" t="str">
        <f>A24&amp;" - "&amp;A91</f>
        <v>472 - 539</v>
      </c>
    </row>
    <row r="93" spans="1:12">
      <c r="A93" s="50">
        <f t="shared" si="14"/>
        <v>541</v>
      </c>
      <c r="B93" t="s">
        <v>562</v>
      </c>
      <c r="C93" s="43">
        <f t="shared" ref="C93:I93" si="25">IF(C92,C91/C92,0)</f>
        <v>4.5954345850693086E-2</v>
      </c>
      <c r="D93" s="43">
        <f t="shared" si="25"/>
        <v>4.5954345850693086E-2</v>
      </c>
      <c r="E93" s="43">
        <f t="shared" si="25"/>
        <v>4.5954345850693086E-2</v>
      </c>
      <c r="F93" s="43">
        <f t="shared" si="25"/>
        <v>0</v>
      </c>
      <c r="G93" s="43">
        <f t="shared" si="25"/>
        <v>4.5954345850693072E-2</v>
      </c>
      <c r="H93" s="43">
        <f t="shared" si="25"/>
        <v>4.5954345850693086E-2</v>
      </c>
      <c r="I93" s="43">
        <f t="shared" si="25"/>
        <v>0</v>
      </c>
      <c r="J93" s="43"/>
      <c r="K93" s="71" t="str">
        <f>A91&amp;"/"&amp;A92</f>
        <v>539/540</v>
      </c>
    </row>
    <row r="94" spans="1:12">
      <c r="A94" s="50">
        <f t="shared" si="14"/>
        <v>542</v>
      </c>
      <c r="C94" s="43"/>
      <c r="D94" s="43"/>
      <c r="E94" s="43"/>
      <c r="F94" s="43"/>
      <c r="G94" s="43"/>
      <c r="H94" s="43"/>
      <c r="I94" s="43"/>
      <c r="J94" s="43"/>
      <c r="K94" s="71"/>
    </row>
    <row r="95" spans="1:12">
      <c r="A95" s="50">
        <f t="shared" si="14"/>
        <v>543</v>
      </c>
      <c r="B95" t="s">
        <v>199</v>
      </c>
      <c r="C95" s="21">
        <f>SUM(C69:C71,C73:C75)</f>
        <v>5103440</v>
      </c>
      <c r="D95" s="21">
        <f t="shared" ref="D95:I95" si="26">SUM(D69:D71,D73:D75)</f>
        <v>3921790.3977764957</v>
      </c>
      <c r="E95" s="21">
        <f t="shared" si="26"/>
        <v>994211.00816804613</v>
      </c>
      <c r="F95" s="21">
        <f t="shared" si="26"/>
        <v>0</v>
      </c>
      <c r="G95" s="21">
        <f t="shared" si="26"/>
        <v>10715.459682012466</v>
      </c>
      <c r="H95" s="21">
        <f t="shared" si="26"/>
        <v>176723.13437344634</v>
      </c>
      <c r="I95" s="21">
        <f t="shared" si="26"/>
        <v>0</v>
      </c>
      <c r="J95" s="2"/>
      <c r="K95" s="71" t="str">
        <f>A69&amp;":"&amp;A71&amp;" + "&amp;A73&amp;":"&amp;A75</f>
        <v>517:519 + 521:523</v>
      </c>
    </row>
    <row r="96" spans="1:12">
      <c r="A96" s="50">
        <f t="shared" si="14"/>
        <v>544</v>
      </c>
      <c r="B96" t="s">
        <v>204</v>
      </c>
      <c r="C96" s="21">
        <f>C63-C95</f>
        <v>111098559.99999999</v>
      </c>
      <c r="D96" s="21">
        <f t="shared" ref="D96:I96" si="27">D63-D95</f>
        <v>85374818.909362271</v>
      </c>
      <c r="E96" s="21">
        <f t="shared" si="27"/>
        <v>21643325.157857865</v>
      </c>
      <c r="F96" s="21">
        <f t="shared" si="27"/>
        <v>0</v>
      </c>
      <c r="G96" s="21">
        <f t="shared" si="27"/>
        <v>233268.5679482159</v>
      </c>
      <c r="H96" s="21">
        <f t="shared" si="27"/>
        <v>3847147.3648316404</v>
      </c>
      <c r="I96" s="21">
        <f t="shared" si="27"/>
        <v>0</v>
      </c>
      <c r="J96" s="2"/>
      <c r="K96" s="71" t="str">
        <f>A63&amp;" - "&amp;A95</f>
        <v>511 - 543</v>
      </c>
    </row>
    <row r="97" spans="1:12">
      <c r="A97" s="50">
        <f t="shared" si="14"/>
        <v>545</v>
      </c>
      <c r="B97" t="s">
        <v>200</v>
      </c>
      <c r="C97" s="43">
        <f>IF(C96,C95/C96,0)</f>
        <v>4.5936148947385104E-2</v>
      </c>
      <c r="D97" s="43">
        <f t="shared" ref="D97:I97" si="28">IF(D96,D95/D96,0)</f>
        <v>4.5936148947385104E-2</v>
      </c>
      <c r="E97" s="43">
        <f t="shared" si="28"/>
        <v>4.5936148947385104E-2</v>
      </c>
      <c r="F97" s="43">
        <f t="shared" si="28"/>
        <v>0</v>
      </c>
      <c r="G97" s="43">
        <f t="shared" si="28"/>
        <v>4.5936148947385097E-2</v>
      </c>
      <c r="H97" s="43">
        <f t="shared" si="28"/>
        <v>4.5936148947385104E-2</v>
      </c>
      <c r="I97" s="43">
        <f t="shared" si="28"/>
        <v>0</v>
      </c>
      <c r="J97" s="43"/>
      <c r="K97" s="71" t="str">
        <f>A95&amp;"/"&amp;A96</f>
        <v>543/544</v>
      </c>
      <c r="L97" s="49"/>
    </row>
    <row r="98" spans="1:12">
      <c r="A98" s="50">
        <f t="shared" si="14"/>
        <v>546</v>
      </c>
      <c r="B98" t="s">
        <v>201</v>
      </c>
      <c r="C98" s="21">
        <f>SUM(C78:C80)</f>
        <v>5059000</v>
      </c>
      <c r="D98" s="21">
        <f t="shared" ref="D98:I98" si="29">SUM(D78:D80)</f>
        <v>2576252.5662660385</v>
      </c>
      <c r="E98" s="21">
        <f>SUM(E78:E80)</f>
        <v>2283517.1515042325</v>
      </c>
      <c r="F98" s="21">
        <f t="shared" si="29"/>
        <v>0</v>
      </c>
      <c r="G98" s="21">
        <f t="shared" si="29"/>
        <v>21032.749805907493</v>
      </c>
      <c r="H98" s="21">
        <f t="shared" si="29"/>
        <v>178197.53242382352</v>
      </c>
      <c r="I98" s="21">
        <f t="shared" si="29"/>
        <v>0</v>
      </c>
      <c r="J98" s="2"/>
      <c r="K98" s="71" t="str">
        <f>A78&amp;":"&amp;A80</f>
        <v>526:528</v>
      </c>
    </row>
    <row r="99" spans="1:12">
      <c r="A99" s="50">
        <f t="shared" si="14"/>
        <v>547</v>
      </c>
      <c r="B99" t="s">
        <v>202</v>
      </c>
      <c r="C99" s="21">
        <f t="shared" ref="C99:I99" si="30">C83*C22</f>
        <v>33302000.000000004</v>
      </c>
      <c r="D99" s="21">
        <f t="shared" si="30"/>
        <v>20272522.937260933</v>
      </c>
      <c r="E99" s="21">
        <f t="shared" si="30"/>
        <v>11583801.986432452</v>
      </c>
      <c r="F99" s="21">
        <f t="shared" si="30"/>
        <v>0</v>
      </c>
      <c r="G99" s="21">
        <f t="shared" si="30"/>
        <v>112993.69215496095</v>
      </c>
      <c r="H99" s="21">
        <f t="shared" si="30"/>
        <v>1332681.3548386164</v>
      </c>
      <c r="I99" s="21">
        <f t="shared" si="30"/>
        <v>0</v>
      </c>
      <c r="J99" s="2"/>
      <c r="K99" s="71" t="str">
        <f>A83&amp;" * "&amp;A22</f>
        <v>531 * 470</v>
      </c>
    </row>
    <row r="100" spans="1:12">
      <c r="A100" s="50">
        <f t="shared" si="14"/>
        <v>548</v>
      </c>
      <c r="B100" t="s">
        <v>203</v>
      </c>
      <c r="C100" s="43">
        <f>IF(C99,C98/C99,0)</f>
        <v>0.15191279803014832</v>
      </c>
      <c r="D100" s="43">
        <f t="shared" ref="D100:I100" si="31">IF(D99,D98/D99,0)</f>
        <v>0.12708100389078272</v>
      </c>
      <c r="E100" s="43">
        <f t="shared" si="31"/>
        <v>0.19713019561097522</v>
      </c>
      <c r="F100" s="43">
        <f t="shared" si="31"/>
        <v>0</v>
      </c>
      <c r="G100" s="43">
        <f t="shared" si="31"/>
        <v>0.18614091994677825</v>
      </c>
      <c r="H100" s="43">
        <f t="shared" si="31"/>
        <v>0.13371353307888267</v>
      </c>
      <c r="I100" s="43">
        <f t="shared" si="31"/>
        <v>0</v>
      </c>
      <c r="J100" s="43"/>
      <c r="K100" s="71" t="str">
        <f>A98&amp;"/"&amp;A99</f>
        <v>546/547</v>
      </c>
    </row>
    <row r="101" spans="1:12">
      <c r="A101" s="50">
        <f t="shared" si="14"/>
        <v>549</v>
      </c>
      <c r="B101" t="s">
        <v>493</v>
      </c>
      <c r="C101" s="21">
        <f>C98</f>
        <v>5059000</v>
      </c>
      <c r="D101" s="21">
        <f t="shared" ref="D101:I101" si="32">$C101*D$82/$C$82</f>
        <v>3079655.6825296697</v>
      </c>
      <c r="E101" s="21">
        <f t="shared" si="32"/>
        <v>1759727.7715861441</v>
      </c>
      <c r="F101" s="21">
        <f t="shared" si="32"/>
        <v>0</v>
      </c>
      <c r="G101" s="21">
        <f t="shared" si="32"/>
        <v>17165.18793501734</v>
      </c>
      <c r="H101" s="21">
        <f t="shared" si="32"/>
        <v>202451.35349614319</v>
      </c>
      <c r="I101" s="21">
        <f t="shared" si="32"/>
        <v>0</v>
      </c>
      <c r="J101" s="2"/>
      <c r="K101" s="71" t="str">
        <f>C$1&amp;A98&amp;" * % of "&amp;A82</f>
        <v>C546 * % of 530</v>
      </c>
    </row>
    <row r="102" spans="1:12">
      <c r="A102" s="50">
        <f t="shared" si="14"/>
        <v>550</v>
      </c>
      <c r="K102" s="71"/>
    </row>
    <row r="103" spans="1:12">
      <c r="A103" s="50">
        <f t="shared" si="14"/>
        <v>551</v>
      </c>
      <c r="K103" s="71"/>
    </row>
    <row r="104" spans="1:12">
      <c r="A104" s="50">
        <f t="shared" si="14"/>
        <v>552</v>
      </c>
      <c r="K104" s="71"/>
    </row>
    <row r="105" spans="1:12">
      <c r="A105" s="50">
        <f t="shared" si="14"/>
        <v>553</v>
      </c>
      <c r="B105" s="55" t="s">
        <v>457</v>
      </c>
      <c r="C105" s="49"/>
      <c r="K105" s="71"/>
    </row>
    <row r="106" spans="1:12">
      <c r="A106" s="50">
        <f t="shared" si="14"/>
        <v>554</v>
      </c>
      <c r="K106" s="71"/>
    </row>
    <row r="107" spans="1:12">
      <c r="A107" s="50">
        <f t="shared" si="14"/>
        <v>555</v>
      </c>
      <c r="C107" s="34" t="s">
        <v>120</v>
      </c>
      <c r="D107" s="34" t="s">
        <v>398</v>
      </c>
      <c r="E107" s="34" t="s">
        <v>399</v>
      </c>
      <c r="F107" s="34" t="s">
        <v>400</v>
      </c>
      <c r="G107" s="34" t="s">
        <v>401</v>
      </c>
      <c r="H107" s="34" t="s">
        <v>402</v>
      </c>
      <c r="I107" s="34" t="s">
        <v>282</v>
      </c>
      <c r="J107" s="34"/>
      <c r="K107" s="71"/>
    </row>
    <row r="108" spans="1:12">
      <c r="A108" s="50">
        <f t="shared" si="14"/>
        <v>556</v>
      </c>
      <c r="B108" s="1" t="s">
        <v>494</v>
      </c>
      <c r="K108" s="71"/>
    </row>
    <row r="109" spans="1:12">
      <c r="A109" s="50">
        <f t="shared" si="14"/>
        <v>557</v>
      </c>
      <c r="B109" s="28" t="s">
        <v>116</v>
      </c>
      <c r="C109" s="2">
        <f>SUM(D109:I109)</f>
        <v>1041770.5284672901</v>
      </c>
      <c r="D109" s="2">
        <f t="shared" ref="D109:I109" si="33">D281</f>
        <v>695798.26931857818</v>
      </c>
      <c r="E109" s="2">
        <f t="shared" si="33"/>
        <v>306162.15386437107</v>
      </c>
      <c r="F109" s="2">
        <f t="shared" si="33"/>
        <v>0</v>
      </c>
      <c r="G109" s="2">
        <f t="shared" si="33"/>
        <v>4834.1989026451884</v>
      </c>
      <c r="H109" s="2">
        <f t="shared" si="33"/>
        <v>34975.906381695786</v>
      </c>
      <c r="I109" s="2">
        <f t="shared" si="33"/>
        <v>0</v>
      </c>
      <c r="J109" s="2"/>
      <c r="K109" s="71">
        <f>A281</f>
        <v>729</v>
      </c>
    </row>
    <row r="110" spans="1:12">
      <c r="A110" s="50">
        <f t="shared" si="14"/>
        <v>558</v>
      </c>
      <c r="B110" s="28" t="s">
        <v>357</v>
      </c>
      <c r="C110" s="2">
        <f>SUM(D110:I110)</f>
        <v>5603533.0066917809</v>
      </c>
      <c r="D110" s="2">
        <f t="shared" ref="D110:I110" si="34">D290</f>
        <v>3363982.1787012629</v>
      </c>
      <c r="E110" s="2">
        <f t="shared" si="34"/>
        <v>2144417.9474430862</v>
      </c>
      <c r="F110" s="2">
        <f t="shared" si="34"/>
        <v>0</v>
      </c>
      <c r="G110" s="2">
        <f t="shared" si="34"/>
        <v>25994.995202192407</v>
      </c>
      <c r="H110" s="2">
        <f t="shared" si="34"/>
        <v>69137.885345239338</v>
      </c>
      <c r="I110" s="2">
        <f t="shared" si="34"/>
        <v>0</v>
      </c>
      <c r="J110" s="2"/>
      <c r="K110" s="71">
        <f>A290</f>
        <v>738</v>
      </c>
    </row>
    <row r="111" spans="1:12">
      <c r="A111" s="50">
        <f t="shared" si="14"/>
        <v>559</v>
      </c>
      <c r="B111" s="28" t="s">
        <v>147</v>
      </c>
      <c r="C111" s="2">
        <f>SUM(D111:I111)</f>
        <v>56841737.852487624</v>
      </c>
      <c r="D111" s="2">
        <f t="shared" ref="D111:I111" si="35">D301</f>
        <v>41651649.251112737</v>
      </c>
      <c r="E111" s="2">
        <f t="shared" si="35"/>
        <v>12658395.324091153</v>
      </c>
      <c r="F111" s="2">
        <f t="shared" si="35"/>
        <v>0</v>
      </c>
      <c r="G111" s="2">
        <f t="shared" si="35"/>
        <v>130964.93163428335</v>
      </c>
      <c r="H111" s="2">
        <f t="shared" si="35"/>
        <v>2400728.3456494547</v>
      </c>
      <c r="I111" s="2">
        <f t="shared" si="35"/>
        <v>0</v>
      </c>
      <c r="J111" s="2"/>
      <c r="K111" s="71">
        <f>A301</f>
        <v>749</v>
      </c>
    </row>
    <row r="112" spans="1:12">
      <c r="A112" s="50">
        <f t="shared" si="14"/>
        <v>560</v>
      </c>
      <c r="B112" s="28" t="s">
        <v>148</v>
      </c>
      <c r="C112" s="2">
        <f>SUM(D112:I112)</f>
        <v>39924958.61235331</v>
      </c>
      <c r="D112" s="2">
        <f t="shared" ref="D112:I112" si="36">D310</f>
        <v>33757179.608006209</v>
      </c>
      <c r="E112" s="2">
        <f t="shared" si="36"/>
        <v>5036560.7406272972</v>
      </c>
      <c r="F112" s="2">
        <f t="shared" si="36"/>
        <v>0</v>
      </c>
      <c r="G112" s="2">
        <f t="shared" si="36"/>
        <v>55189.901891107394</v>
      </c>
      <c r="H112" s="2">
        <f t="shared" si="36"/>
        <v>1076028.3618286974</v>
      </c>
      <c r="I112" s="2">
        <f t="shared" si="36"/>
        <v>0</v>
      </c>
      <c r="J112" s="2"/>
      <c r="K112" s="71">
        <f>A310</f>
        <v>758</v>
      </c>
    </row>
    <row r="113" spans="1:18">
      <c r="A113" s="50">
        <f t="shared" si="14"/>
        <v>561</v>
      </c>
      <c r="B113" s="52" t="s">
        <v>172</v>
      </c>
      <c r="C113" s="4">
        <f>IF(ROUND(SUM(C109:C112),3)&lt;&gt;ROUND(SUM(D113:I113),3),#VALUE!,SUM(D113:I113))</f>
        <v>103412000</v>
      </c>
      <c r="D113" s="4">
        <f t="shared" ref="D113:I113" si="37">SUM(D109:D112)</f>
        <v>79468609.307138786</v>
      </c>
      <c r="E113" s="4">
        <f t="shared" si="37"/>
        <v>20145536.166025907</v>
      </c>
      <c r="F113" s="4">
        <f t="shared" si="37"/>
        <v>0</v>
      </c>
      <c r="G113" s="4">
        <f t="shared" si="37"/>
        <v>216984.02763022832</v>
      </c>
      <c r="H113" s="4">
        <f>SUM(H109:H112)</f>
        <v>3580870.4992050873</v>
      </c>
      <c r="I113" s="4">
        <f t="shared" si="37"/>
        <v>0</v>
      </c>
      <c r="J113" s="5"/>
      <c r="K113" s="71" t="str">
        <f>A109&amp;":"&amp;A112</f>
        <v>557:560</v>
      </c>
    </row>
    <row r="114" spans="1:18">
      <c r="A114" s="50">
        <f t="shared" si="14"/>
        <v>562</v>
      </c>
      <c r="B114" s="28" t="s">
        <v>458</v>
      </c>
      <c r="C114" s="2">
        <f>SUM(D114:I114)</f>
        <v>1045.954345850693</v>
      </c>
      <c r="D114" s="5">
        <f t="shared" ref="D114:I114" si="38">SUM(D$276:D$277)*(1+D$93)</f>
        <v>777.17833139820084</v>
      </c>
      <c r="E114" s="5">
        <f t="shared" si="38"/>
        <v>264.93732370823165</v>
      </c>
      <c r="F114" s="5">
        <f t="shared" si="38"/>
        <v>0</v>
      </c>
      <c r="G114" s="5">
        <f t="shared" si="38"/>
        <v>3.8386907442604814</v>
      </c>
      <c r="H114" s="5">
        <f t="shared" si="38"/>
        <v>0</v>
      </c>
      <c r="I114" s="5">
        <f t="shared" si="38"/>
        <v>0</v>
      </c>
      <c r="J114" s="5"/>
      <c r="K114" s="71" t="str">
        <f>A276&amp;":"&amp;A277&amp;"*(1+"&amp;A93&amp;")"</f>
        <v>724:725*(1+541)</v>
      </c>
      <c r="L114" s="49"/>
      <c r="M114" s="49"/>
      <c r="N114" s="49"/>
      <c r="O114" s="49"/>
      <c r="P114" s="49"/>
      <c r="Q114" s="49"/>
    </row>
    <row r="115" spans="1:18">
      <c r="A115" s="50">
        <f t="shared" si="14"/>
        <v>563</v>
      </c>
      <c r="B115" s="52" t="s">
        <v>459</v>
      </c>
      <c r="C115" s="4">
        <f>C113-C114</f>
        <v>103410954.04565415</v>
      </c>
      <c r="D115" s="4">
        <f t="shared" ref="D115:I115" si="39">D113-D114</f>
        <v>79467832.128807381</v>
      </c>
      <c r="E115" s="4">
        <f t="shared" si="39"/>
        <v>20145271.228702199</v>
      </c>
      <c r="F115" s="4">
        <f t="shared" si="39"/>
        <v>0</v>
      </c>
      <c r="G115" s="4">
        <f t="shared" si="39"/>
        <v>216980.18893948407</v>
      </c>
      <c r="H115" s="4">
        <f t="shared" si="39"/>
        <v>3580870.4992050873</v>
      </c>
      <c r="I115" s="4">
        <f t="shared" si="39"/>
        <v>0</v>
      </c>
      <c r="J115" s="5"/>
      <c r="K115" s="71" t="str">
        <f>A113&amp;"-"&amp;A114</f>
        <v>561-562</v>
      </c>
      <c r="L115" s="49"/>
      <c r="M115" s="553"/>
      <c r="N115" s="553"/>
      <c r="O115" s="553"/>
      <c r="P115" s="553"/>
      <c r="Q115" s="553"/>
      <c r="R115" s="143"/>
    </row>
    <row r="116" spans="1:18">
      <c r="A116" s="50">
        <f t="shared" si="14"/>
        <v>564</v>
      </c>
      <c r="C116" s="33">
        <f>ABS(ROUND(C113-Detail!$E$436,0))</f>
        <v>0</v>
      </c>
      <c r="K116" s="71"/>
      <c r="L116" s="49"/>
      <c r="M116" s="49"/>
      <c r="N116" s="49"/>
      <c r="O116" s="49"/>
      <c r="P116" s="49"/>
      <c r="Q116" s="49"/>
    </row>
    <row r="117" spans="1:18">
      <c r="A117" s="50">
        <f t="shared" si="14"/>
        <v>565</v>
      </c>
      <c r="B117" t="s">
        <v>479</v>
      </c>
      <c r="K117" s="71"/>
      <c r="L117" s="49"/>
      <c r="M117" s="49"/>
      <c r="N117" s="49"/>
      <c r="O117" s="49"/>
      <c r="P117" s="49"/>
      <c r="Q117" s="49"/>
    </row>
    <row r="118" spans="1:18">
      <c r="A118" s="50">
        <f t="shared" si="14"/>
        <v>566</v>
      </c>
      <c r="B118" s="28" t="s">
        <v>116</v>
      </c>
      <c r="C118" s="44">
        <f t="shared" ref="C118:I118" si="40">IF(C$177,(C109-C114)/C$177,0)</f>
        <v>4.3845073657730309E-3</v>
      </c>
      <c r="D118" s="44">
        <f t="shared" si="40"/>
        <v>5.052365901553166E-3</v>
      </c>
      <c r="E118" s="44">
        <f t="shared" si="40"/>
        <v>4.9628700080432131E-3</v>
      </c>
      <c r="F118" s="44">
        <f t="shared" si="40"/>
        <v>0</v>
      </c>
      <c r="G118" s="44">
        <f t="shared" si="40"/>
        <v>4.8634301263654851E-3</v>
      </c>
      <c r="H118" s="44">
        <f t="shared" si="40"/>
        <v>9.4096551525164635E-4</v>
      </c>
      <c r="I118" s="44">
        <f t="shared" si="40"/>
        <v>0</v>
      </c>
      <c r="J118" s="44"/>
      <c r="K118" s="71" t="str">
        <f>"("&amp;A109&amp;"-"&amp;A114&amp;")/"&amp;A$177</f>
        <v>(557-562)/625</v>
      </c>
      <c r="L118" s="49"/>
      <c r="M118" s="49"/>
      <c r="N118" s="49"/>
      <c r="O118" s="49"/>
      <c r="P118" s="49"/>
      <c r="Q118" s="49"/>
    </row>
    <row r="119" spans="1:18">
      <c r="A119" s="50">
        <f t="shared" si="14"/>
        <v>567</v>
      </c>
      <c r="B119" s="28" t="s">
        <v>357</v>
      </c>
      <c r="C119" s="44">
        <f t="shared" ref="C119:I121" si="41">IF(C$177,C110/C$177,0)</f>
        <v>2.3607333153378152E-2</v>
      </c>
      <c r="D119" s="44">
        <f t="shared" si="41"/>
        <v>2.4454033227915797E-2</v>
      </c>
      <c r="E119" s="44">
        <f t="shared" si="41"/>
        <v>3.4790991681547971E-2</v>
      </c>
      <c r="F119" s="44">
        <f t="shared" si="41"/>
        <v>0</v>
      </c>
      <c r="G119" s="44">
        <f t="shared" si="41"/>
        <v>2.6172963765639313E-2</v>
      </c>
      <c r="H119" s="44">
        <f t="shared" si="41"/>
        <v>1.8600337385777895E-3</v>
      </c>
      <c r="I119" s="44">
        <f t="shared" si="41"/>
        <v>0</v>
      </c>
      <c r="J119" s="44"/>
      <c r="K119" s="71" t="str">
        <f>A110&amp;"/"&amp;A$177</f>
        <v>558/625</v>
      </c>
      <c r="L119" s="49"/>
      <c r="M119" s="554"/>
      <c r="N119" s="554"/>
      <c r="O119" s="554"/>
      <c r="P119" s="554"/>
      <c r="Q119" s="554"/>
    </row>
    <row r="120" spans="1:18">
      <c r="A120" s="50">
        <f t="shared" si="14"/>
        <v>568</v>
      </c>
      <c r="B120" s="28" t="s">
        <v>147</v>
      </c>
      <c r="C120" s="44">
        <f t="shared" si="41"/>
        <v>0.23947067696365409</v>
      </c>
      <c r="D120" s="44">
        <f t="shared" si="41"/>
        <v>0.30278127548744577</v>
      </c>
      <c r="E120" s="44">
        <f t="shared" si="41"/>
        <v>0.20536953952810982</v>
      </c>
      <c r="F120" s="44">
        <f t="shared" si="41"/>
        <v>0</v>
      </c>
      <c r="G120" s="44">
        <f t="shared" si="41"/>
        <v>0.13186155194767774</v>
      </c>
      <c r="H120" s="44">
        <f t="shared" si="41"/>
        <v>6.4587392249125339E-2</v>
      </c>
      <c r="I120" s="44">
        <f t="shared" si="41"/>
        <v>0</v>
      </c>
      <c r="J120" s="44"/>
      <c r="K120" s="71" t="str">
        <f>A111&amp;"/"&amp;A$177</f>
        <v>559/625</v>
      </c>
      <c r="L120" s="49"/>
      <c r="M120" s="554"/>
      <c r="N120" s="554"/>
      <c r="O120" s="554"/>
      <c r="P120" s="554"/>
      <c r="Q120" s="554"/>
    </row>
    <row r="121" spans="1:18">
      <c r="A121" s="50">
        <f t="shared" si="14"/>
        <v>569</v>
      </c>
      <c r="B121" s="28" t="s">
        <v>148</v>
      </c>
      <c r="C121" s="44">
        <f t="shared" si="41"/>
        <v>0.16820134689509142</v>
      </c>
      <c r="D121" s="44">
        <f t="shared" si="41"/>
        <v>0.24539344977552974</v>
      </c>
      <c r="E121" s="44">
        <f t="shared" si="41"/>
        <v>8.1713055535516582E-2</v>
      </c>
      <c r="F121" s="44">
        <f t="shared" si="41"/>
        <v>0</v>
      </c>
      <c r="G121" s="44">
        <f t="shared" si="41"/>
        <v>5.5567746452336919E-2</v>
      </c>
      <c r="H121" s="44">
        <f t="shared" si="41"/>
        <v>2.8948658852867001E-2</v>
      </c>
      <c r="I121" s="44">
        <f t="shared" si="41"/>
        <v>0</v>
      </c>
      <c r="J121" s="44"/>
      <c r="K121" s="71" t="str">
        <f>A112&amp;"/"&amp;A$177</f>
        <v>560/625</v>
      </c>
      <c r="L121" s="555"/>
      <c r="M121" s="49"/>
      <c r="N121" s="49"/>
      <c r="O121" s="49"/>
      <c r="P121" s="49"/>
      <c r="Q121" s="49"/>
    </row>
    <row r="122" spans="1:18">
      <c r="A122" s="50">
        <f t="shared" si="14"/>
        <v>570</v>
      </c>
      <c r="B122" s="52" t="s">
        <v>480</v>
      </c>
      <c r="C122" s="45">
        <f t="shared" ref="C122:I122" si="42">IF(C$177,C115/C$177,0)</f>
        <v>0.43566386437789667</v>
      </c>
      <c r="D122" s="45">
        <f t="shared" si="42"/>
        <v>0.57768112439244435</v>
      </c>
      <c r="E122" s="45">
        <f t="shared" si="42"/>
        <v>0.32683645675321754</v>
      </c>
      <c r="F122" s="45">
        <f t="shared" si="42"/>
        <v>0</v>
      </c>
      <c r="G122" s="45">
        <f t="shared" si="42"/>
        <v>0.21846569229201945</v>
      </c>
      <c r="H122" s="45">
        <f t="shared" si="42"/>
        <v>9.6337050355821768E-2</v>
      </c>
      <c r="I122" s="45">
        <f t="shared" si="42"/>
        <v>0</v>
      </c>
      <c r="J122" s="67"/>
      <c r="K122" s="71" t="str">
        <f>A115&amp;"/"&amp;A$177</f>
        <v>563/625</v>
      </c>
      <c r="L122" s="49"/>
      <c r="M122" s="49"/>
      <c r="N122" s="49"/>
      <c r="O122" s="49"/>
      <c r="P122" s="49"/>
      <c r="Q122" s="49"/>
    </row>
    <row r="123" spans="1:18">
      <c r="A123" s="50">
        <f t="shared" si="14"/>
        <v>571</v>
      </c>
      <c r="K123" s="71"/>
      <c r="L123" s="49"/>
      <c r="M123" s="556"/>
      <c r="N123" s="556"/>
      <c r="O123" s="556"/>
      <c r="P123" s="556"/>
      <c r="Q123" s="556"/>
    </row>
    <row r="124" spans="1:18">
      <c r="A124" s="50">
        <f t="shared" si="14"/>
        <v>572</v>
      </c>
      <c r="B124" s="1" t="s">
        <v>149</v>
      </c>
      <c r="K124" s="71"/>
      <c r="L124" s="49"/>
      <c r="M124" s="556"/>
      <c r="N124" s="556"/>
      <c r="O124" s="556"/>
      <c r="P124" s="556"/>
      <c r="Q124" s="556"/>
    </row>
    <row r="125" spans="1:18">
      <c r="A125" s="50">
        <f t="shared" si="14"/>
        <v>573</v>
      </c>
      <c r="B125" s="28" t="s">
        <v>116</v>
      </c>
      <c r="C125" s="2">
        <f>SUM(D125:I125)</f>
        <v>1041770.5284672901</v>
      </c>
      <c r="D125" s="2">
        <f t="shared" ref="D125:I125" si="43">D$109</f>
        <v>695798.26931857818</v>
      </c>
      <c r="E125" s="2">
        <f t="shared" si="43"/>
        <v>306162.15386437107</v>
      </c>
      <c r="F125" s="2">
        <f t="shared" si="43"/>
        <v>0</v>
      </c>
      <c r="G125" s="2">
        <f t="shared" si="43"/>
        <v>4834.1989026451884</v>
      </c>
      <c r="H125" s="2">
        <f t="shared" si="43"/>
        <v>34975.906381695786</v>
      </c>
      <c r="I125" s="2">
        <f t="shared" si="43"/>
        <v>0</v>
      </c>
      <c r="J125" s="2"/>
      <c r="K125" s="71">
        <f>A109</f>
        <v>557</v>
      </c>
    </row>
    <row r="126" spans="1:18">
      <c r="A126" s="50">
        <f t="shared" si="14"/>
        <v>574</v>
      </c>
      <c r="B126" s="28" t="s">
        <v>357</v>
      </c>
      <c r="C126" s="2">
        <f>SUM(D126:I126)</f>
        <v>5179843.2903720941</v>
      </c>
      <c r="D126" s="2">
        <f t="shared" ref="D126:I126" si="44">D319</f>
        <v>3770435.984604571</v>
      </c>
      <c r="E126" s="2">
        <f t="shared" si="44"/>
        <v>1317708.6716989989</v>
      </c>
      <c r="F126" s="2">
        <f t="shared" si="44"/>
        <v>0</v>
      </c>
      <c r="G126" s="2">
        <f t="shared" si="44"/>
        <v>19087.69755529856</v>
      </c>
      <c r="H126" s="2">
        <f t="shared" si="44"/>
        <v>72610.93651322533</v>
      </c>
      <c r="I126" s="2">
        <f t="shared" si="44"/>
        <v>0</v>
      </c>
      <c r="J126" s="2"/>
      <c r="K126" s="71">
        <f>A319</f>
        <v>767</v>
      </c>
    </row>
    <row r="127" spans="1:18">
      <c r="A127" s="50">
        <f t="shared" si="14"/>
        <v>575</v>
      </c>
      <c r="B127" s="28" t="s">
        <v>147</v>
      </c>
      <c r="C127" s="2">
        <f>SUM(D127:I127)</f>
        <v>56379935.6243238</v>
      </c>
      <c r="D127" s="2">
        <f t="shared" ref="D127:I127" si="45">D326</f>
        <v>46964977.083678953</v>
      </c>
      <c r="E127" s="2">
        <f t="shared" si="45"/>
        <v>6747610.593389879</v>
      </c>
      <c r="F127" s="2">
        <f t="shared" si="45"/>
        <v>0</v>
      </c>
      <c r="G127" s="2">
        <f t="shared" si="45"/>
        <v>85944.704991887775</v>
      </c>
      <c r="H127" s="2">
        <f t="shared" si="45"/>
        <v>2581403.2422630857</v>
      </c>
      <c r="I127" s="2">
        <f t="shared" si="45"/>
        <v>0</v>
      </c>
      <c r="J127" s="2"/>
      <c r="K127" s="71">
        <f>A326</f>
        <v>774</v>
      </c>
    </row>
    <row r="128" spans="1:18">
      <c r="A128" s="50">
        <f t="shared" si="14"/>
        <v>576</v>
      </c>
      <c r="B128" s="28" t="s">
        <v>148</v>
      </c>
      <c r="C128" s="2">
        <f>SUM(D128:I128)</f>
        <v>40810450.556836791</v>
      </c>
      <c r="D128" s="2">
        <f t="shared" ref="D128:I128" si="46">D333</f>
        <v>36029376.729372337</v>
      </c>
      <c r="E128" s="2">
        <f t="shared" si="46"/>
        <v>3626379.0094149597</v>
      </c>
      <c r="F128" s="2">
        <f t="shared" si="46"/>
        <v>0</v>
      </c>
      <c r="G128" s="2">
        <f t="shared" si="46"/>
        <v>45009.006847792756</v>
      </c>
      <c r="H128" s="2">
        <f t="shared" si="46"/>
        <v>1109685.8112017077</v>
      </c>
      <c r="I128" s="2">
        <f t="shared" si="46"/>
        <v>0</v>
      </c>
      <c r="J128" s="2"/>
      <c r="K128" s="71">
        <f>A333</f>
        <v>781</v>
      </c>
    </row>
    <row r="129" spans="1:11">
      <c r="A129" s="50">
        <f t="shared" si="14"/>
        <v>577</v>
      </c>
      <c r="B129" s="52" t="s">
        <v>171</v>
      </c>
      <c r="C129" s="4">
        <f>IF(ROUND(SUM(C125:C128),3)&lt;&gt;ROUND(SUM(D129:I129),3),#VALUE!,SUM(D129:I129))</f>
        <v>103411999.99999999</v>
      </c>
      <c r="D129" s="4">
        <f t="shared" ref="D129:I129" si="47">SUM(D125:D128)</f>
        <v>87460588.066974431</v>
      </c>
      <c r="E129" s="4">
        <f t="shared" si="47"/>
        <v>11997860.428368209</v>
      </c>
      <c r="F129" s="4">
        <f t="shared" si="47"/>
        <v>0</v>
      </c>
      <c r="G129" s="4">
        <f t="shared" si="47"/>
        <v>154875.60829762428</v>
      </c>
      <c r="H129" s="4">
        <f t="shared" si="47"/>
        <v>3798675.8963597147</v>
      </c>
      <c r="I129" s="4">
        <f t="shared" si="47"/>
        <v>0</v>
      </c>
      <c r="J129" s="5"/>
      <c r="K129" s="71" t="str">
        <f>A125&amp;":"&amp;A128</f>
        <v>573:576</v>
      </c>
    </row>
    <row r="130" spans="1:11">
      <c r="A130" s="50">
        <f t="shared" si="14"/>
        <v>578</v>
      </c>
      <c r="B130" s="28" t="s">
        <v>458</v>
      </c>
      <c r="C130" s="2">
        <f>SUM(D130:I130)</f>
        <v>1045.954345850693</v>
      </c>
      <c r="D130" s="5">
        <f>SUM(D$276:D$277)*(1+D$93)</f>
        <v>777.17833139820084</v>
      </c>
      <c r="E130" s="5">
        <f t="shared" ref="E130:I130" si="48">SUM(E$276:E$277)*(1+E$93)</f>
        <v>264.93732370823165</v>
      </c>
      <c r="F130" s="5">
        <f t="shared" si="48"/>
        <v>0</v>
      </c>
      <c r="G130" s="5">
        <f t="shared" si="48"/>
        <v>3.8386907442604814</v>
      </c>
      <c r="H130" s="5">
        <f t="shared" si="48"/>
        <v>0</v>
      </c>
      <c r="I130" s="5">
        <f t="shared" si="48"/>
        <v>0</v>
      </c>
      <c r="J130" s="5"/>
      <c r="K130" s="71" t="str">
        <f>A276&amp;":"&amp;A277&amp;"*(1+"&amp;A93&amp;")"</f>
        <v>724:725*(1+541)</v>
      </c>
    </row>
    <row r="131" spans="1:11">
      <c r="A131" s="50">
        <f t="shared" si="14"/>
        <v>579</v>
      </c>
      <c r="B131" s="52" t="s">
        <v>485</v>
      </c>
      <c r="C131" s="4">
        <f t="shared" ref="C131:I131" si="49">C129-C130</f>
        <v>103410954.04565413</v>
      </c>
      <c r="D131" s="4">
        <f t="shared" si="49"/>
        <v>87459810.888643026</v>
      </c>
      <c r="E131" s="4">
        <f t="shared" si="49"/>
        <v>11997595.491044501</v>
      </c>
      <c r="F131" s="4">
        <f t="shared" si="49"/>
        <v>0</v>
      </c>
      <c r="G131" s="4">
        <f t="shared" si="49"/>
        <v>154871.76960688003</v>
      </c>
      <c r="H131" s="4">
        <f t="shared" si="49"/>
        <v>3798675.8963597147</v>
      </c>
      <c r="I131" s="4">
        <f t="shared" si="49"/>
        <v>0</v>
      </c>
      <c r="J131" s="5"/>
      <c r="K131" s="71" t="str">
        <f>A129&amp;"-"&amp;A130</f>
        <v>577-578</v>
      </c>
    </row>
    <row r="132" spans="1:11">
      <c r="A132" s="50">
        <f t="shared" si="14"/>
        <v>580</v>
      </c>
      <c r="C132" s="33">
        <f>ABS(ROUND(C129-Detail!$E$436,0))</f>
        <v>0</v>
      </c>
      <c r="K132" s="71"/>
    </row>
    <row r="133" spans="1:11">
      <c r="A133" s="50">
        <f t="shared" si="14"/>
        <v>581</v>
      </c>
      <c r="B133" t="s">
        <v>487</v>
      </c>
      <c r="K133" s="71"/>
    </row>
    <row r="134" spans="1:11">
      <c r="A134" s="50">
        <f t="shared" ref="A134:A197" si="50">Pg1Row+ROW(A134)</f>
        <v>582</v>
      </c>
      <c r="B134" s="28" t="s">
        <v>116</v>
      </c>
      <c r="C134" s="44">
        <f t="shared" ref="C134:I134" si="51">IF(C$177,(C125-C130)/C$177,0)</f>
        <v>4.3845073657730309E-3</v>
      </c>
      <c r="D134" s="44">
        <f t="shared" si="51"/>
        <v>5.052365901553166E-3</v>
      </c>
      <c r="E134" s="44">
        <f t="shared" si="51"/>
        <v>4.9628700080432131E-3</v>
      </c>
      <c r="F134" s="44">
        <f t="shared" si="51"/>
        <v>0</v>
      </c>
      <c r="G134" s="44">
        <f t="shared" si="51"/>
        <v>4.8634301263654851E-3</v>
      </c>
      <c r="H134" s="44">
        <f t="shared" si="51"/>
        <v>9.4096551525164635E-4</v>
      </c>
      <c r="I134" s="44">
        <f t="shared" si="51"/>
        <v>0</v>
      </c>
      <c r="J134" s="44"/>
      <c r="K134" s="71" t="str">
        <f>"("&amp;A125&amp;"-"&amp;A130&amp;")/"&amp;A$177</f>
        <v>(573-578)/625</v>
      </c>
    </row>
    <row r="135" spans="1:11">
      <c r="A135" s="50">
        <f t="shared" si="50"/>
        <v>583</v>
      </c>
      <c r="B135" s="28" t="s">
        <v>357</v>
      </c>
      <c r="C135" s="44">
        <f t="shared" ref="C135:I137" si="52">IF(C$177,C126/C$177,0)</f>
        <v>2.1822354948578707E-2</v>
      </c>
      <c r="D135" s="44">
        <f t="shared" si="52"/>
        <v>2.7408696584369625E-2</v>
      </c>
      <c r="E135" s="44">
        <f t="shared" si="52"/>
        <v>2.1378477777826109E-2</v>
      </c>
      <c r="F135" s="44">
        <f t="shared" si="52"/>
        <v>0</v>
      </c>
      <c r="G135" s="44">
        <f t="shared" si="52"/>
        <v>1.9218376945196621E-2</v>
      </c>
      <c r="H135" s="44">
        <f t="shared" si="52"/>
        <v>1.9534700986284775E-3</v>
      </c>
      <c r="I135" s="44">
        <f t="shared" si="52"/>
        <v>0</v>
      </c>
      <c r="J135" s="44"/>
      <c r="K135" s="71" t="str">
        <f>A126&amp;"/"&amp;A$177</f>
        <v>574/625</v>
      </c>
    </row>
    <row r="136" spans="1:11">
      <c r="A136" s="50">
        <f t="shared" si="50"/>
        <v>584</v>
      </c>
      <c r="B136" s="28" t="s">
        <v>147</v>
      </c>
      <c r="C136" s="44">
        <f t="shared" si="52"/>
        <v>0.23752513313653351</v>
      </c>
      <c r="D136" s="44">
        <f t="shared" si="52"/>
        <v>0.34140582474666542</v>
      </c>
      <c r="E136" s="44">
        <f t="shared" si="52"/>
        <v>0.1094730923628323</v>
      </c>
      <c r="F136" s="44">
        <f t="shared" si="52"/>
        <v>0</v>
      </c>
      <c r="G136" s="44">
        <f t="shared" si="52"/>
        <v>8.6533105011364769E-2</v>
      </c>
      <c r="H136" s="44">
        <f t="shared" si="52"/>
        <v>6.9448133964572487E-2</v>
      </c>
      <c r="I136" s="44">
        <f t="shared" si="52"/>
        <v>0</v>
      </c>
      <c r="J136" s="44"/>
      <c r="K136" s="71" t="str">
        <f>A127&amp;"/"&amp;A$177</f>
        <v>575/625</v>
      </c>
    </row>
    <row r="137" spans="1:11">
      <c r="A137" s="50">
        <f t="shared" si="50"/>
        <v>585</v>
      </c>
      <c r="B137" s="28" t="s">
        <v>148</v>
      </c>
      <c r="C137" s="44">
        <f t="shared" si="52"/>
        <v>0.17193186892701134</v>
      </c>
      <c r="D137" s="44">
        <f t="shared" si="52"/>
        <v>0.26191089278044893</v>
      </c>
      <c r="E137" s="44">
        <f t="shared" si="52"/>
        <v>5.8834296784882931E-2</v>
      </c>
      <c r="F137" s="44">
        <f t="shared" si="52"/>
        <v>0</v>
      </c>
      <c r="G137" s="44">
        <f t="shared" si="52"/>
        <v>4.531715032804999E-2</v>
      </c>
      <c r="H137" s="44">
        <f t="shared" si="52"/>
        <v>2.9854153591036395E-2</v>
      </c>
      <c r="I137" s="44">
        <f t="shared" si="52"/>
        <v>0</v>
      </c>
      <c r="J137" s="44"/>
      <c r="K137" s="71" t="str">
        <f>A128&amp;"/"&amp;A$177</f>
        <v>576/625</v>
      </c>
    </row>
    <row r="138" spans="1:11">
      <c r="A138" s="50">
        <f t="shared" si="50"/>
        <v>586</v>
      </c>
      <c r="B138" s="52" t="s">
        <v>495</v>
      </c>
      <c r="C138" s="45">
        <f>IF(C$177,C131/C$177,0)</f>
        <v>0.43566386437789661</v>
      </c>
      <c r="D138" s="45">
        <f t="shared" ref="D138:I138" si="53">IF(D$177,D131/D$177,0)</f>
        <v>0.63577778001303709</v>
      </c>
      <c r="E138" s="45">
        <f t="shared" si="53"/>
        <v>0.19464873693358456</v>
      </c>
      <c r="F138" s="45">
        <f t="shared" si="53"/>
        <v>0</v>
      </c>
      <c r="G138" s="45">
        <f t="shared" si="53"/>
        <v>0.15593206241097687</v>
      </c>
      <c r="H138" s="45">
        <f t="shared" si="53"/>
        <v>0.10219672316948902</v>
      </c>
      <c r="I138" s="45">
        <f t="shared" si="53"/>
        <v>0</v>
      </c>
      <c r="J138" s="67"/>
      <c r="K138" s="71" t="str">
        <f>A131&amp;"/"&amp;A$177</f>
        <v>579/625</v>
      </c>
    </row>
    <row r="139" spans="1:11">
      <c r="A139" s="50">
        <f t="shared" si="50"/>
        <v>587</v>
      </c>
      <c r="K139" s="71"/>
    </row>
    <row r="140" spans="1:11">
      <c r="A140" s="50">
        <f t="shared" si="50"/>
        <v>588</v>
      </c>
      <c r="B140" s="1" t="s">
        <v>496</v>
      </c>
      <c r="C140" s="88">
        <f t="shared" ref="C140:I140" si="54">IF(C131,C115/C131,0)</f>
        <v>1.0000000000000002</v>
      </c>
      <c r="D140" s="88">
        <f>IF(D131,D115/D131,0)</f>
        <v>0.90862112919485594</v>
      </c>
      <c r="E140" s="88">
        <f t="shared" si="54"/>
        <v>1.6791090551218748</v>
      </c>
      <c r="F140" s="88">
        <f t="shared" si="54"/>
        <v>0</v>
      </c>
      <c r="G140" s="88">
        <f t="shared" si="54"/>
        <v>1.4010312498543629</v>
      </c>
      <c r="H140" s="88">
        <f t="shared" si="54"/>
        <v>0.94266281117498041</v>
      </c>
      <c r="I140" s="88">
        <f t="shared" si="54"/>
        <v>0</v>
      </c>
      <c r="J140" s="35"/>
      <c r="K140" s="71" t="str">
        <f>A115&amp;"/"&amp;A131</f>
        <v>563/579</v>
      </c>
    </row>
    <row r="141" spans="1:11">
      <c r="A141" s="50">
        <f t="shared" si="50"/>
        <v>589</v>
      </c>
      <c r="K141" s="71"/>
    </row>
    <row r="142" spans="1:11">
      <c r="A142" s="50">
        <f t="shared" si="50"/>
        <v>590</v>
      </c>
      <c r="K142" s="71"/>
    </row>
    <row r="143" spans="1:11">
      <c r="A143" s="50">
        <f t="shared" si="50"/>
        <v>591</v>
      </c>
      <c r="B143" s="1" t="s">
        <v>497</v>
      </c>
      <c r="K143" s="71"/>
    </row>
    <row r="144" spans="1:11">
      <c r="A144" s="50">
        <f t="shared" si="50"/>
        <v>592</v>
      </c>
      <c r="B144" s="28" t="s">
        <v>116</v>
      </c>
      <c r="C144" s="2">
        <f>SUM(D144:I144)</f>
        <v>1041752.4043515956</v>
      </c>
      <c r="D144" s="21">
        <f t="shared" ref="D144:I144" si="55">D342</f>
        <v>695786.16422634467</v>
      </c>
      <c r="E144" s="2">
        <f t="shared" si="55"/>
        <v>306156.82743388915</v>
      </c>
      <c r="F144" s="2">
        <f t="shared" si="55"/>
        <v>0</v>
      </c>
      <c r="G144" s="2">
        <f t="shared" si="55"/>
        <v>4834.1148000738358</v>
      </c>
      <c r="H144" s="2">
        <f t="shared" si="55"/>
        <v>34975.297891287897</v>
      </c>
      <c r="I144" s="2">
        <f t="shared" si="55"/>
        <v>0</v>
      </c>
      <c r="J144" s="2"/>
      <c r="K144" s="71">
        <f>A$342</f>
        <v>790</v>
      </c>
    </row>
    <row r="145" spans="1:11">
      <c r="A145" s="50">
        <f t="shared" si="50"/>
        <v>593</v>
      </c>
      <c r="B145" s="28" t="s">
        <v>357</v>
      </c>
      <c r="C145" s="2">
        <f>SUM(D145:I145)</f>
        <v>6366291.5775051927</v>
      </c>
      <c r="D145" s="2">
        <f t="shared" ref="D145:I145" si="56">D349</f>
        <v>3863823.6246317741</v>
      </c>
      <c r="E145" s="2">
        <f t="shared" si="56"/>
        <v>2397268.6202906161</v>
      </c>
      <c r="F145" s="2">
        <f t="shared" si="56"/>
        <v>0</v>
      </c>
      <c r="G145" s="2">
        <f t="shared" si="56"/>
        <v>28997.728567228125</v>
      </c>
      <c r="H145" s="2">
        <f t="shared" si="56"/>
        <v>76201.604015575125</v>
      </c>
      <c r="I145" s="2">
        <f t="shared" si="56"/>
        <v>0</v>
      </c>
      <c r="J145" s="2"/>
      <c r="K145" s="71">
        <f>A349</f>
        <v>797</v>
      </c>
    </row>
    <row r="146" spans="1:11">
      <c r="A146" s="50">
        <f t="shared" si="50"/>
        <v>594</v>
      </c>
      <c r="B146" s="28" t="s">
        <v>147</v>
      </c>
      <c r="C146" s="2">
        <f>SUM(D146:I146)</f>
        <v>65570839.75370536</v>
      </c>
      <c r="D146" s="2">
        <f t="shared" ref="D146:I146" si="57">D356</f>
        <v>48185818.348009206</v>
      </c>
      <c r="E146" s="2">
        <f t="shared" si="57"/>
        <v>14466267.081392199</v>
      </c>
      <c r="F146" s="2">
        <f t="shared" si="57"/>
        <v>0</v>
      </c>
      <c r="G146" s="2">
        <f t="shared" si="57"/>
        <v>150536.74767807001</v>
      </c>
      <c r="H146" s="2">
        <f t="shared" si="57"/>
        <v>2768217.5766258803</v>
      </c>
      <c r="I146" s="2">
        <f t="shared" si="57"/>
        <v>0</v>
      </c>
      <c r="J146" s="2"/>
      <c r="K146" s="71">
        <f>A356</f>
        <v>804</v>
      </c>
    </row>
    <row r="147" spans="1:11">
      <c r="A147" s="50">
        <f t="shared" si="50"/>
        <v>595</v>
      </c>
      <c r="B147" s="28" t="s">
        <v>148</v>
      </c>
      <c r="C147" s="2">
        <f>SUM(D147:I147)</f>
        <v>43223116.264437862</v>
      </c>
      <c r="D147" s="2">
        <f t="shared" ref="D147:I147" si="58">D363</f>
        <v>36551181.170271464</v>
      </c>
      <c r="E147" s="2">
        <f t="shared" si="58"/>
        <v>5467843.6369092036</v>
      </c>
      <c r="F147" s="2">
        <f t="shared" si="58"/>
        <v>0</v>
      </c>
      <c r="G147" s="2">
        <f t="shared" si="58"/>
        <v>59615.436584856332</v>
      </c>
      <c r="H147" s="2">
        <f t="shared" si="58"/>
        <v>1144476.0206723437</v>
      </c>
      <c r="I147" s="2">
        <f t="shared" si="58"/>
        <v>0</v>
      </c>
      <c r="J147" s="2"/>
      <c r="K147" s="71">
        <f>A363</f>
        <v>811</v>
      </c>
    </row>
    <row r="148" spans="1:11">
      <c r="A148" s="50">
        <f t="shared" si="50"/>
        <v>596</v>
      </c>
      <c r="B148" s="52" t="s">
        <v>173</v>
      </c>
      <c r="C148" s="4">
        <f>IF(ROUND(SUM(C144:C147),3)&lt;&gt;ROUND(SUM(D148:I148),3),#VALUE!,SUM(D148:I148))</f>
        <v>116202000</v>
      </c>
      <c r="D148" s="4">
        <f t="shared" ref="D148:I148" si="59">SUM(D144:D147)</f>
        <v>89296609.307138786</v>
      </c>
      <c r="E148" s="4">
        <f t="shared" si="59"/>
        <v>22637536.166025907</v>
      </c>
      <c r="F148" s="4">
        <f t="shared" si="59"/>
        <v>0</v>
      </c>
      <c r="G148" s="4">
        <f t="shared" si="59"/>
        <v>243984.02763022829</v>
      </c>
      <c r="H148" s="4">
        <f t="shared" si="59"/>
        <v>4023870.4992050868</v>
      </c>
      <c r="I148" s="4">
        <f t="shared" si="59"/>
        <v>0</v>
      </c>
      <c r="J148" s="5"/>
      <c r="K148" s="71" t="str">
        <f>A144&amp;":"&amp;A147</f>
        <v>592:595</v>
      </c>
    </row>
    <row r="149" spans="1:11">
      <c r="A149" s="50">
        <f t="shared" si="50"/>
        <v>597</v>
      </c>
      <c r="B149" s="28" t="s">
        <v>458</v>
      </c>
      <c r="C149" s="2">
        <f>SUM(D149:I149)</f>
        <v>1045.9361489473849</v>
      </c>
      <c r="D149" s="5">
        <f t="shared" ref="D149:I149" si="60">SUM(D$276:D$277)*(1+D$97)</f>
        <v>777.16481050313917</v>
      </c>
      <c r="E149" s="5">
        <f t="shared" si="60"/>
        <v>264.9327144832867</v>
      </c>
      <c r="F149" s="5">
        <f t="shared" si="60"/>
        <v>0</v>
      </c>
      <c r="G149" s="5">
        <f t="shared" si="60"/>
        <v>3.8386239609591071</v>
      </c>
      <c r="H149" s="5">
        <f t="shared" si="60"/>
        <v>0</v>
      </c>
      <c r="I149" s="5">
        <f t="shared" si="60"/>
        <v>0</v>
      </c>
      <c r="J149" s="5"/>
      <c r="K149" s="71" t="str">
        <f>A276&amp;":"&amp;A277&amp;"*(1+"&amp;A97&amp;")"</f>
        <v>724:725*(1+545)</v>
      </c>
    </row>
    <row r="150" spans="1:11">
      <c r="A150" s="50">
        <f t="shared" si="50"/>
        <v>598</v>
      </c>
      <c r="B150" s="52" t="s">
        <v>490</v>
      </c>
      <c r="C150" s="4">
        <f t="shared" ref="C150:I150" si="61">C148-C149</f>
        <v>116200954.06385106</v>
      </c>
      <c r="D150" s="48">
        <f t="shared" si="61"/>
        <v>89295832.142328277</v>
      </c>
      <c r="E150" s="4">
        <f t="shared" si="61"/>
        <v>22637271.233311422</v>
      </c>
      <c r="F150" s="4">
        <f t="shared" si="61"/>
        <v>0</v>
      </c>
      <c r="G150" s="4">
        <f t="shared" si="61"/>
        <v>243980.18900626732</v>
      </c>
      <c r="H150" s="4">
        <f t="shared" si="61"/>
        <v>4023870.4992050868</v>
      </c>
      <c r="I150" s="4">
        <f t="shared" si="61"/>
        <v>0</v>
      </c>
      <c r="J150" s="5"/>
      <c r="K150" s="71" t="str">
        <f>A148&amp;"-"&amp;A149</f>
        <v>596-597</v>
      </c>
    </row>
    <row r="151" spans="1:11">
      <c r="A151" s="50">
        <f t="shared" si="50"/>
        <v>599</v>
      </c>
      <c r="C151" s="33"/>
      <c r="K151" s="71"/>
    </row>
    <row r="152" spans="1:11">
      <c r="A152" s="50">
        <f t="shared" si="50"/>
        <v>600</v>
      </c>
      <c r="B152" t="s">
        <v>488</v>
      </c>
      <c r="K152" s="71"/>
    </row>
    <row r="153" spans="1:11">
      <c r="A153" s="50">
        <f t="shared" si="50"/>
        <v>601</v>
      </c>
      <c r="B153" s="28" t="s">
        <v>116</v>
      </c>
      <c r="C153" s="44">
        <f>IF(C$177,(C144-C149)/C$177,0)</f>
        <v>4.384431086672606E-3</v>
      </c>
      <c r="D153" s="44">
        <f t="shared" ref="D153:I153" si="62">IF(D$177,(D144-D149)/D$177,0)</f>
        <v>5.0522780034396855E-3</v>
      </c>
      <c r="E153" s="44">
        <f t="shared" si="62"/>
        <v>4.9627836669270588E-3</v>
      </c>
      <c r="F153" s="44">
        <f t="shared" si="62"/>
        <v>0</v>
      </c>
      <c r="G153" s="44">
        <f t="shared" si="62"/>
        <v>4.8633455152463619E-3</v>
      </c>
      <c r="H153" s="44">
        <f t="shared" si="62"/>
        <v>9.4094914488274334E-4</v>
      </c>
      <c r="I153" s="44">
        <f t="shared" si="62"/>
        <v>0</v>
      </c>
      <c r="J153" s="44"/>
      <c r="K153" s="71" t="str">
        <f>"("&amp;A144&amp;"-"&amp;A$149&amp;")/"&amp;A$177</f>
        <v>(592-597)/625</v>
      </c>
    </row>
    <row r="154" spans="1:11">
      <c r="A154" s="50">
        <f t="shared" si="50"/>
        <v>602</v>
      </c>
      <c r="B154" s="28" t="s">
        <v>357</v>
      </c>
      <c r="C154" s="44">
        <f t="shared" ref="C154:I156" si="63">IF(C$177,C145/C$177,0)</f>
        <v>2.6820787178773033E-2</v>
      </c>
      <c r="D154" s="44">
        <f t="shared" si="63"/>
        <v>2.8087565951383793E-2</v>
      </c>
      <c r="E154" s="44">
        <f t="shared" si="63"/>
        <v>3.8893235680298913E-2</v>
      </c>
      <c r="F154" s="44">
        <f t="shared" si="63"/>
        <v>0</v>
      </c>
      <c r="G154" s="44">
        <f t="shared" si="63"/>
        <v>2.919625463181065E-2</v>
      </c>
      <c r="H154" s="44">
        <f t="shared" si="63"/>
        <v>2.0500707201984766E-3</v>
      </c>
      <c r="I154" s="44">
        <f t="shared" si="63"/>
        <v>0</v>
      </c>
      <c r="J154" s="44"/>
      <c r="K154" s="71" t="str">
        <f>A145&amp;"/"&amp;A$177</f>
        <v>593/625</v>
      </c>
    </row>
    <row r="155" spans="1:11">
      <c r="A155" s="50">
        <f t="shared" si="50"/>
        <v>603</v>
      </c>
      <c r="B155" s="28" t="s">
        <v>147</v>
      </c>
      <c r="C155" s="44">
        <f t="shared" si="63"/>
        <v>0.27624583586175327</v>
      </c>
      <c r="D155" s="44">
        <f t="shared" si="63"/>
        <v>0.35028057236957605</v>
      </c>
      <c r="E155" s="44">
        <f t="shared" si="63"/>
        <v>0.23470041289846316</v>
      </c>
      <c r="F155" s="44">
        <f t="shared" si="63"/>
        <v>0</v>
      </c>
      <c r="G155" s="44">
        <f t="shared" si="63"/>
        <v>0.15156736178366431</v>
      </c>
      <c r="H155" s="44">
        <f t="shared" si="63"/>
        <v>7.4474046501954966E-2</v>
      </c>
      <c r="I155" s="44">
        <f t="shared" si="63"/>
        <v>0</v>
      </c>
      <c r="J155" s="44"/>
      <c r="K155" s="71" t="str">
        <f>A146&amp;"/"&amp;A$177</f>
        <v>594/625</v>
      </c>
    </row>
    <row r="156" spans="1:11">
      <c r="A156" s="50">
        <f t="shared" si="50"/>
        <v>604</v>
      </c>
      <c r="B156" s="28" t="s">
        <v>148</v>
      </c>
      <c r="C156" s="44">
        <f t="shared" si="63"/>
        <v>0.18209627825217303</v>
      </c>
      <c r="D156" s="44">
        <f t="shared" si="63"/>
        <v>0.26570408265434642</v>
      </c>
      <c r="E156" s="44">
        <f t="shared" si="63"/>
        <v>8.8710180174782341E-2</v>
      </c>
      <c r="F156" s="44">
        <f t="shared" si="63"/>
        <v>0</v>
      </c>
      <c r="G156" s="44">
        <f t="shared" si="63"/>
        <v>6.0023579518745859E-2</v>
      </c>
      <c r="H156" s="44">
        <f t="shared" si="63"/>
        <v>3.0790123256067919E-2</v>
      </c>
      <c r="I156" s="44">
        <f t="shared" si="63"/>
        <v>0</v>
      </c>
      <c r="J156" s="44"/>
      <c r="K156" s="71" t="str">
        <f>A147&amp;"/"&amp;A$177</f>
        <v>595/625</v>
      </c>
    </row>
    <row r="157" spans="1:11">
      <c r="A157" s="50">
        <f t="shared" si="50"/>
        <v>605</v>
      </c>
      <c r="B157" s="52" t="s">
        <v>498</v>
      </c>
      <c r="C157" s="45">
        <f>IF(C$177,C150/C$177,0)</f>
        <v>0.48954733237937192</v>
      </c>
      <c r="D157" s="45">
        <f t="shared" ref="D157:I157" si="64">IF(D$177,D150/D$177,0)</f>
        <v>0.64912449897874591</v>
      </c>
      <c r="E157" s="45">
        <f t="shared" si="64"/>
        <v>0.36726661242047143</v>
      </c>
      <c r="F157" s="45">
        <f t="shared" si="64"/>
        <v>0</v>
      </c>
      <c r="G157" s="45">
        <f t="shared" si="64"/>
        <v>0.24565054144946716</v>
      </c>
      <c r="H157" s="45">
        <f t="shared" si="64"/>
        <v>0.1082551896231041</v>
      </c>
      <c r="I157" s="45">
        <f t="shared" si="64"/>
        <v>0</v>
      </c>
      <c r="J157" s="67"/>
      <c r="K157" s="71" t="str">
        <f>A148&amp;"/"&amp;A$177</f>
        <v>596/625</v>
      </c>
    </row>
    <row r="158" spans="1:11">
      <c r="A158" s="50">
        <f t="shared" si="50"/>
        <v>606</v>
      </c>
      <c r="K158" s="71"/>
    </row>
    <row r="159" spans="1:11">
      <c r="A159" s="50">
        <f t="shared" si="50"/>
        <v>607</v>
      </c>
      <c r="B159" s="1" t="s">
        <v>499</v>
      </c>
      <c r="K159" s="71"/>
    </row>
    <row r="160" spans="1:11">
      <c r="A160" s="50">
        <f t="shared" si="50"/>
        <v>608</v>
      </c>
      <c r="B160" s="28" t="s">
        <v>116</v>
      </c>
      <c r="C160" s="2">
        <f>SUM(D160:I160)</f>
        <v>1041752.4043515956</v>
      </c>
      <c r="D160" s="2">
        <f t="shared" ref="D160:I160" si="65">D373</f>
        <v>695786.16422634467</v>
      </c>
      <c r="E160" s="2">
        <f t="shared" si="65"/>
        <v>306156.82743388915</v>
      </c>
      <c r="F160" s="2">
        <f t="shared" si="65"/>
        <v>0</v>
      </c>
      <c r="G160" s="2">
        <f t="shared" si="65"/>
        <v>4834.1148000738358</v>
      </c>
      <c r="H160" s="2">
        <f t="shared" si="65"/>
        <v>34975.297891287897</v>
      </c>
      <c r="I160" s="2">
        <f t="shared" si="65"/>
        <v>0</v>
      </c>
      <c r="J160" s="2"/>
      <c r="K160" s="71">
        <f>A373</f>
        <v>821</v>
      </c>
    </row>
    <row r="161" spans="1:11">
      <c r="A161" s="50">
        <f t="shared" si="50"/>
        <v>609</v>
      </c>
      <c r="B161" s="28" t="s">
        <v>357</v>
      </c>
      <c r="C161" s="2">
        <f>SUM(D161:I161)</f>
        <v>5901149.5432724543</v>
      </c>
      <c r="D161" s="2">
        <f t="shared" ref="D161:I161" si="66">D380</f>
        <v>4295478.7126173796</v>
      </c>
      <c r="E161" s="2">
        <f t="shared" si="66"/>
        <v>1501202.9303311438</v>
      </c>
      <c r="F161" s="2">
        <f t="shared" si="66"/>
        <v>0</v>
      </c>
      <c r="G161" s="2">
        <f t="shared" si="66"/>
        <v>21745.707620139492</v>
      </c>
      <c r="H161" s="2">
        <f t="shared" si="66"/>
        <v>82722.192703792083</v>
      </c>
      <c r="I161" s="2">
        <f t="shared" si="66"/>
        <v>0</v>
      </c>
      <c r="J161" s="2"/>
      <c r="K161" s="71">
        <f>A380</f>
        <v>828</v>
      </c>
    </row>
    <row r="162" spans="1:11">
      <c r="A162" s="50">
        <f t="shared" si="50"/>
        <v>610</v>
      </c>
      <c r="B162" s="28" t="s">
        <v>147</v>
      </c>
      <c r="C162" s="2">
        <f>SUM(D162:I162)</f>
        <v>65098888.142942406</v>
      </c>
      <c r="D162" s="2">
        <f t="shared" ref="D162:I162" si="67">D387</f>
        <v>53828587.488688245</v>
      </c>
      <c r="E162" s="2">
        <f t="shared" si="67"/>
        <v>8059599.6430105101</v>
      </c>
      <c r="F162" s="2">
        <f t="shared" si="67"/>
        <v>0</v>
      </c>
      <c r="G162" s="2">
        <f t="shared" si="67"/>
        <v>103269.69139301919</v>
      </c>
      <c r="H162" s="2">
        <f t="shared" si="67"/>
        <v>3107431.3198506297</v>
      </c>
      <c r="I162" s="2">
        <f t="shared" si="67"/>
        <v>0</v>
      </c>
      <c r="J162" s="2"/>
      <c r="K162" s="71">
        <f>A387</f>
        <v>835</v>
      </c>
    </row>
    <row r="163" spans="1:11">
      <c r="A163" s="50">
        <f t="shared" si="50"/>
        <v>611</v>
      </c>
      <c r="B163" s="28" t="s">
        <v>148</v>
      </c>
      <c r="C163" s="2">
        <f>SUM(D163:I163)</f>
        <v>44160209.940093122</v>
      </c>
      <c r="D163" s="2">
        <f t="shared" ref="D163:I163" si="68">D394</f>
        <v>38964260.920291722</v>
      </c>
      <c r="E163" s="2">
        <f t="shared" si="68"/>
        <v>3939355.3242436675</v>
      </c>
      <c r="F163" s="2">
        <f t="shared" si="68"/>
        <v>0</v>
      </c>
      <c r="G163" s="2">
        <f t="shared" si="68"/>
        <v>48926.442438581165</v>
      </c>
      <c r="H163" s="2">
        <f t="shared" si="68"/>
        <v>1207667.2531191593</v>
      </c>
      <c r="I163" s="2">
        <f t="shared" si="68"/>
        <v>0</v>
      </c>
      <c r="J163" s="2"/>
      <c r="K163" s="71">
        <f>A394</f>
        <v>842</v>
      </c>
    </row>
    <row r="164" spans="1:11">
      <c r="A164" s="50">
        <f t="shared" si="50"/>
        <v>612</v>
      </c>
      <c r="B164" s="52" t="s">
        <v>491</v>
      </c>
      <c r="C164" s="4">
        <f>IF(ROUND(SUM(C160:C163),3)&lt;&gt;ROUND(SUM(D164:I164),3),#VALUE!,SUM(D164:I164))</f>
        <v>116202000.03065957</v>
      </c>
      <c r="D164" s="4">
        <f t="shared" ref="D164:I164" si="69">SUM(D160:D163)</f>
        <v>97784113.285823688</v>
      </c>
      <c r="E164" s="4">
        <f t="shared" si="69"/>
        <v>13806314.725019209</v>
      </c>
      <c r="F164" s="4">
        <f t="shared" si="69"/>
        <v>0</v>
      </c>
      <c r="G164" s="4">
        <f t="shared" si="69"/>
        <v>178775.95625181368</v>
      </c>
      <c r="H164" s="4">
        <f t="shared" si="69"/>
        <v>4432796.0635648686</v>
      </c>
      <c r="I164" s="4">
        <f t="shared" si="69"/>
        <v>0</v>
      </c>
      <c r="J164" s="5"/>
      <c r="K164" s="71" t="str">
        <f>A160&amp;":"&amp;A163</f>
        <v>608:611</v>
      </c>
    </row>
    <row r="165" spans="1:11">
      <c r="A165" s="50">
        <f t="shared" si="50"/>
        <v>613</v>
      </c>
      <c r="B165" s="28" t="s">
        <v>458</v>
      </c>
      <c r="C165" s="2">
        <f>SUM(D165:I165)</f>
        <v>1045.9361489473849</v>
      </c>
      <c r="D165" s="5">
        <f t="shared" ref="D165:I165" si="70">SUM(D$368:D$369)*(1+$C$97)</f>
        <v>777.16481050313917</v>
      </c>
      <c r="E165" s="5">
        <f t="shared" si="70"/>
        <v>264.9327144832867</v>
      </c>
      <c r="F165" s="5">
        <f t="shared" si="70"/>
        <v>0</v>
      </c>
      <c r="G165" s="5">
        <f t="shared" si="70"/>
        <v>3.8386239609591071</v>
      </c>
      <c r="H165" s="5">
        <f t="shared" si="70"/>
        <v>0</v>
      </c>
      <c r="I165" s="5">
        <f t="shared" si="70"/>
        <v>0</v>
      </c>
      <c r="J165" s="5"/>
      <c r="K165" s="71" t="str">
        <f>A368&amp;":"&amp;A369&amp;"*(1+"&amp;A97&amp;")"</f>
        <v>816:817*(1+545)</v>
      </c>
    </row>
    <row r="166" spans="1:11">
      <c r="A166" s="50">
        <f t="shared" si="50"/>
        <v>614</v>
      </c>
      <c r="B166" s="52" t="s">
        <v>492</v>
      </c>
      <c r="C166" s="4">
        <f t="shared" ref="C166:I166" si="71">C164-C165</f>
        <v>116200954.09451063</v>
      </c>
      <c r="D166" s="4">
        <f t="shared" si="71"/>
        <v>97783336.121013179</v>
      </c>
      <c r="E166" s="4">
        <f t="shared" si="71"/>
        <v>13806049.792304726</v>
      </c>
      <c r="F166" s="4">
        <f t="shared" si="71"/>
        <v>0</v>
      </c>
      <c r="G166" s="4">
        <f t="shared" si="71"/>
        <v>178772.11762785271</v>
      </c>
      <c r="H166" s="4">
        <f t="shared" si="71"/>
        <v>4432796.0635648686</v>
      </c>
      <c r="I166" s="4">
        <f t="shared" si="71"/>
        <v>0</v>
      </c>
      <c r="J166" s="5"/>
      <c r="K166" s="71" t="str">
        <f>A164&amp;"-"&amp;A165</f>
        <v>612-613</v>
      </c>
    </row>
    <row r="167" spans="1:11">
      <c r="A167" s="50">
        <f t="shared" si="50"/>
        <v>615</v>
      </c>
      <c r="C167" s="33"/>
      <c r="K167" s="71"/>
    </row>
    <row r="168" spans="1:11">
      <c r="A168" s="50">
        <f t="shared" si="50"/>
        <v>616</v>
      </c>
      <c r="B168" t="s">
        <v>489</v>
      </c>
      <c r="K168" s="71"/>
    </row>
    <row r="169" spans="1:11">
      <c r="A169" s="50">
        <f t="shared" si="50"/>
        <v>617</v>
      </c>
      <c r="B169" s="28" t="s">
        <v>116</v>
      </c>
      <c r="C169" s="44">
        <f t="shared" ref="C169:I169" si="72">IF(C$177,(C160-C165)/C$177,0)</f>
        <v>4.384431086672606E-3</v>
      </c>
      <c r="D169" s="44">
        <f t="shared" si="72"/>
        <v>5.0522780034396855E-3</v>
      </c>
      <c r="E169" s="44">
        <f t="shared" si="72"/>
        <v>4.9627836669270588E-3</v>
      </c>
      <c r="F169" s="44">
        <f t="shared" si="72"/>
        <v>0</v>
      </c>
      <c r="G169" s="44">
        <f t="shared" si="72"/>
        <v>4.8633455152463619E-3</v>
      </c>
      <c r="H169" s="44">
        <f t="shared" si="72"/>
        <v>9.4094914488274334E-4</v>
      </c>
      <c r="I169" s="44">
        <f t="shared" si="72"/>
        <v>0</v>
      </c>
      <c r="J169" s="44"/>
      <c r="K169" s="71" t="str">
        <f>"("&amp;A160&amp;"-"&amp;A$165&amp;")/"&amp;A$177</f>
        <v>(608-613)/625</v>
      </c>
    </row>
    <row r="170" spans="1:11">
      <c r="A170" s="50">
        <f t="shared" si="50"/>
        <v>618</v>
      </c>
      <c r="B170" s="28" t="s">
        <v>357</v>
      </c>
      <c r="C170" s="44">
        <f t="shared" ref="C170:I170" si="73">IF(C$177,C161/C$177,0)</f>
        <v>2.4861172958127065E-2</v>
      </c>
      <c r="D170" s="44">
        <f t="shared" si="73"/>
        <v>3.1225426767481867E-2</v>
      </c>
      <c r="E170" s="44">
        <f t="shared" si="73"/>
        <v>2.4355484770933359E-2</v>
      </c>
      <c r="F170" s="44">
        <f t="shared" si="73"/>
        <v>0</v>
      </c>
      <c r="G170" s="44">
        <f t="shared" si="73"/>
        <v>2.1894584444935607E-2</v>
      </c>
      <c r="H170" s="44">
        <f t="shared" si="73"/>
        <v>2.22549574071955E-3</v>
      </c>
      <c r="I170" s="44">
        <f t="shared" si="73"/>
        <v>0</v>
      </c>
      <c r="J170" s="44"/>
      <c r="K170" s="71" t="str">
        <f>A161&amp;"/"&amp;A$177</f>
        <v>609/625</v>
      </c>
    </row>
    <row r="171" spans="1:11">
      <c r="A171" s="50">
        <f t="shared" si="50"/>
        <v>619</v>
      </c>
      <c r="B171" s="28" t="s">
        <v>147</v>
      </c>
      <c r="C171" s="44">
        <f t="shared" ref="C171:I171" si="74">IF(C$177,C162/C$177,0)</f>
        <v>0.27425753332222169</v>
      </c>
      <c r="D171" s="44">
        <f t="shared" si="74"/>
        <v>0.39129995259616707</v>
      </c>
      <c r="E171" s="44">
        <f t="shared" si="74"/>
        <v>0.13075877511234438</v>
      </c>
      <c r="F171" s="44">
        <f t="shared" si="74"/>
        <v>0</v>
      </c>
      <c r="G171" s="44">
        <f t="shared" si="74"/>
        <v>0.1039767028189444</v>
      </c>
      <c r="H171" s="44">
        <f t="shared" si="74"/>
        <v>8.3599998269739864E-2</v>
      </c>
      <c r="I171" s="44">
        <f t="shared" si="74"/>
        <v>0</v>
      </c>
      <c r="J171" s="44"/>
      <c r="K171" s="71" t="str">
        <f>A162&amp;"/"&amp;A$177</f>
        <v>610/625</v>
      </c>
    </row>
    <row r="172" spans="1:11">
      <c r="A172" s="50">
        <f t="shared" si="50"/>
        <v>620</v>
      </c>
      <c r="B172" s="28" t="s">
        <v>148</v>
      </c>
      <c r="C172" s="44">
        <f t="shared" ref="C172:I172" si="75">IF(C$177,C163/C$177,0)</f>
        <v>0.18604419514151746</v>
      </c>
      <c r="D172" s="44">
        <f t="shared" si="75"/>
        <v>0.283245653701369</v>
      </c>
      <c r="E172" s="44">
        <f t="shared" si="75"/>
        <v>6.3912017934675769E-2</v>
      </c>
      <c r="F172" s="44">
        <f t="shared" si="75"/>
        <v>0</v>
      </c>
      <c r="G172" s="44">
        <f t="shared" si="75"/>
        <v>4.9261405711612569E-2</v>
      </c>
      <c r="H172" s="44">
        <f t="shared" si="75"/>
        <v>3.2490172711535995E-2</v>
      </c>
      <c r="I172" s="44">
        <f t="shared" si="75"/>
        <v>0</v>
      </c>
      <c r="J172" s="44"/>
      <c r="K172" s="71" t="str">
        <f>A163&amp;"/"&amp;A$177</f>
        <v>611/625</v>
      </c>
    </row>
    <row r="173" spans="1:11">
      <c r="A173" s="50">
        <f t="shared" si="50"/>
        <v>621</v>
      </c>
      <c r="B173" s="52" t="s">
        <v>500</v>
      </c>
      <c r="C173" s="45">
        <f>IF(C$177,C166/C$177,0)</f>
        <v>0.48954733250853882</v>
      </c>
      <c r="D173" s="45">
        <f t="shared" ref="D173:I173" si="76">IF(D$177,D166/D$177,0)</f>
        <v>0.71082331106845753</v>
      </c>
      <c r="E173" s="45">
        <f t="shared" si="76"/>
        <v>0.22398906148488054</v>
      </c>
      <c r="F173" s="45">
        <f t="shared" si="76"/>
        <v>0</v>
      </c>
      <c r="G173" s="45">
        <f t="shared" si="76"/>
        <v>0.17999603849073892</v>
      </c>
      <c r="H173" s="45">
        <f t="shared" si="76"/>
        <v>0.11925661586687815</v>
      </c>
      <c r="I173" s="45">
        <f t="shared" si="76"/>
        <v>0</v>
      </c>
      <c r="J173" s="67"/>
      <c r="K173" s="71" t="str">
        <f>A164&amp;"/"&amp;A$177</f>
        <v>612/625</v>
      </c>
    </row>
    <row r="174" spans="1:11">
      <c r="A174" s="50">
        <f t="shared" si="50"/>
        <v>622</v>
      </c>
      <c r="K174" s="71"/>
    </row>
    <row r="175" spans="1:11">
      <c r="A175" s="50">
        <f t="shared" si="50"/>
        <v>623</v>
      </c>
      <c r="B175" s="1" t="s">
        <v>501</v>
      </c>
      <c r="C175" s="88">
        <f t="shared" ref="C175:I175" si="77">IF(C166,C150/C166,0)</f>
        <v>0.99999999973615039</v>
      </c>
      <c r="D175" s="88">
        <f t="shared" si="77"/>
        <v>0.91320091627697109</v>
      </c>
      <c r="E175" s="88">
        <f t="shared" si="77"/>
        <v>1.6396631602711644</v>
      </c>
      <c r="F175" s="88">
        <f t="shared" si="77"/>
        <v>0</v>
      </c>
      <c r="G175" s="88">
        <f t="shared" si="77"/>
        <v>1.3647552663338547</v>
      </c>
      <c r="H175" s="88">
        <f t="shared" si="77"/>
        <v>0.90774997123803558</v>
      </c>
      <c r="I175" s="88">
        <f t="shared" si="77"/>
        <v>0</v>
      </c>
      <c r="J175" s="35"/>
      <c r="K175" s="71" t="str">
        <f>A150&amp;"/"&amp;A166</f>
        <v>598/614</v>
      </c>
    </row>
    <row r="176" spans="1:11">
      <c r="A176" s="50">
        <f t="shared" si="50"/>
        <v>624</v>
      </c>
      <c r="C176" s="2"/>
      <c r="D176" s="2"/>
      <c r="E176" s="2"/>
      <c r="F176" s="2"/>
      <c r="G176" s="2"/>
      <c r="H176" s="2"/>
      <c r="I176" s="2"/>
      <c r="J176" s="2"/>
      <c r="K176" s="71"/>
    </row>
    <row r="177" spans="1:11">
      <c r="A177" s="50">
        <f t="shared" si="50"/>
        <v>625</v>
      </c>
      <c r="B177" t="s">
        <v>521</v>
      </c>
      <c r="C177" s="2">
        <f>SUM(D177:I177)</f>
        <v>237364083.87534994</v>
      </c>
      <c r="D177" s="39">
        <f>Factors!E41</f>
        <v>137563490.95253</v>
      </c>
      <c r="E177" s="39">
        <f>Factors!F41</f>
        <v>61637160.764819965</v>
      </c>
      <c r="F177" s="39">
        <f>Factors!G41</f>
        <v>0</v>
      </c>
      <c r="G177" s="39">
        <f>Factors!H41</f>
        <v>993200.28999999806</v>
      </c>
      <c r="H177" s="39">
        <f>Factors!I41</f>
        <v>37170231.868000001</v>
      </c>
      <c r="I177" s="39">
        <f>Factors!J41</f>
        <v>0</v>
      </c>
      <c r="J177" s="39"/>
      <c r="K177" s="71">
        <f>Factors!A41</f>
        <v>1023</v>
      </c>
    </row>
    <row r="178" spans="1:11">
      <c r="A178" s="50">
        <f t="shared" si="50"/>
        <v>626</v>
      </c>
      <c r="B178" t="s">
        <v>523</v>
      </c>
      <c r="C178" s="2">
        <f>SUM(D178:I178)</f>
        <v>1934527.76271567</v>
      </c>
      <c r="D178" s="39">
        <f>Factors!E42</f>
        <v>1320911.469613963</v>
      </c>
      <c r="E178" s="39">
        <f>Factors!F42</f>
        <v>447095.24286160164</v>
      </c>
      <c r="F178" s="39">
        <f>Factors!G42</f>
        <v>0</v>
      </c>
      <c r="G178" s="39">
        <f>Factors!H42</f>
        <v>5616.7605313307513</v>
      </c>
      <c r="H178" s="39">
        <f>Factors!I42</f>
        <v>160904.28970877451</v>
      </c>
      <c r="I178" s="39">
        <f>Factors!J42</f>
        <v>0</v>
      </c>
      <c r="J178" s="39"/>
      <c r="K178" s="71">
        <f>Factors!A42</f>
        <v>1024</v>
      </c>
    </row>
    <row r="179" spans="1:11">
      <c r="A179" s="50">
        <f t="shared" si="50"/>
        <v>627</v>
      </c>
      <c r="B179" t="s">
        <v>522</v>
      </c>
      <c r="C179" s="2">
        <f>SUM(D179:I179)</f>
        <v>2022073.01</v>
      </c>
      <c r="D179" s="2">
        <f>Factors!E43</f>
        <v>1984339</v>
      </c>
      <c r="E179" s="2">
        <f>Factors!F43</f>
        <v>37254</v>
      </c>
      <c r="F179" s="2">
        <f>Factors!G43</f>
        <v>0.01</v>
      </c>
      <c r="G179" s="2">
        <f>Factors!H43</f>
        <v>24</v>
      </c>
      <c r="H179" s="2">
        <f>Factors!I43</f>
        <v>456</v>
      </c>
      <c r="I179" s="2">
        <f>Factors!J43</f>
        <v>0</v>
      </c>
      <c r="J179" s="2"/>
      <c r="K179" s="71">
        <f>Factors!A43</f>
        <v>1025</v>
      </c>
    </row>
    <row r="180" spans="1:11">
      <c r="A180" s="50">
        <f t="shared" si="50"/>
        <v>628</v>
      </c>
      <c r="K180" s="71"/>
    </row>
    <row r="181" spans="1:11">
      <c r="A181" s="50">
        <f t="shared" si="50"/>
        <v>629</v>
      </c>
      <c r="K181" s="71"/>
    </row>
    <row r="182" spans="1:11">
      <c r="A182" s="50">
        <f t="shared" si="50"/>
        <v>630</v>
      </c>
      <c r="K182" s="71"/>
    </row>
    <row r="183" spans="1:11">
      <c r="A183" s="50">
        <f t="shared" si="50"/>
        <v>631</v>
      </c>
      <c r="B183" s="55" t="s">
        <v>502</v>
      </c>
      <c r="C183" s="49"/>
      <c r="K183" s="71"/>
    </row>
    <row r="184" spans="1:11">
      <c r="A184" s="50">
        <f t="shared" si="50"/>
        <v>632</v>
      </c>
      <c r="K184" s="71"/>
    </row>
    <row r="185" spans="1:11">
      <c r="A185" s="50">
        <f t="shared" si="50"/>
        <v>633</v>
      </c>
      <c r="C185" s="34" t="s">
        <v>120</v>
      </c>
      <c r="D185" s="34" t="s">
        <v>398</v>
      </c>
      <c r="E185" s="34" t="s">
        <v>399</v>
      </c>
      <c r="F185" s="34" t="s">
        <v>400</v>
      </c>
      <c r="G185" s="34" t="s">
        <v>401</v>
      </c>
      <c r="H185" s="34" t="s">
        <v>402</v>
      </c>
      <c r="I185" s="34" t="s">
        <v>282</v>
      </c>
      <c r="J185" s="34"/>
      <c r="K185" s="71"/>
    </row>
    <row r="186" spans="1:11">
      <c r="A186" s="50">
        <f t="shared" si="50"/>
        <v>634</v>
      </c>
      <c r="B186" s="1" t="s">
        <v>503</v>
      </c>
      <c r="K186" s="71"/>
    </row>
    <row r="187" spans="1:11">
      <c r="A187" s="50">
        <f t="shared" si="50"/>
        <v>635</v>
      </c>
      <c r="B187" s="56" t="s">
        <v>465</v>
      </c>
      <c r="C187" s="2">
        <f>SUM(D187:I187)</f>
        <v>21679576.60925075</v>
      </c>
      <c r="D187" s="2">
        <f t="shared" ref="D187:I187" si="78">D410</f>
        <v>11306090.784037886</v>
      </c>
      <c r="E187" s="2">
        <f t="shared" si="78"/>
        <v>8474915.3009824026</v>
      </c>
      <c r="F187" s="2">
        <f t="shared" si="78"/>
        <v>0</v>
      </c>
      <c r="G187" s="2">
        <f t="shared" si="78"/>
        <v>110131.22909963584</v>
      </c>
      <c r="H187" s="2">
        <f t="shared" si="78"/>
        <v>1788439.2951308272</v>
      </c>
      <c r="I187" s="2">
        <f t="shared" si="78"/>
        <v>0</v>
      </c>
      <c r="J187" s="2"/>
      <c r="K187" s="71">
        <f>A410</f>
        <v>858</v>
      </c>
    </row>
    <row r="188" spans="1:11">
      <c r="A188" s="50">
        <f t="shared" si="50"/>
        <v>636</v>
      </c>
      <c r="B188" s="56" t="s">
        <v>158</v>
      </c>
      <c r="C188" s="2">
        <f>SUM(D188:I188)</f>
        <v>22167418.611047957</v>
      </c>
      <c r="D188" s="2">
        <f t="shared" ref="D188:I188" si="79">D419</f>
        <v>12104421.746670477</v>
      </c>
      <c r="E188" s="2">
        <f t="shared" si="79"/>
        <v>8377054.5869430685</v>
      </c>
      <c r="F188" s="2">
        <f t="shared" si="79"/>
        <v>0</v>
      </c>
      <c r="G188" s="2">
        <f t="shared" si="79"/>
        <v>85820.455064473426</v>
      </c>
      <c r="H188" s="2">
        <f t="shared" si="79"/>
        <v>1600121.8223699415</v>
      </c>
      <c r="I188" s="2">
        <f t="shared" si="79"/>
        <v>0</v>
      </c>
      <c r="J188" s="2"/>
      <c r="K188" s="71">
        <f>A419</f>
        <v>867</v>
      </c>
    </row>
    <row r="189" spans="1:11">
      <c r="A189" s="50">
        <f t="shared" si="50"/>
        <v>637</v>
      </c>
      <c r="B189" s="56" t="s">
        <v>159</v>
      </c>
      <c r="C189" s="2">
        <f>SUM(D189:I189)</f>
        <v>59565004.749041177</v>
      </c>
      <c r="D189" s="2">
        <f t="shared" ref="D189:I189" si="80">D428</f>
        <v>56058096.745770305</v>
      </c>
      <c r="E189" s="2">
        <f t="shared" si="80"/>
        <v>3293566.2781004352</v>
      </c>
      <c r="F189" s="2">
        <f t="shared" si="80"/>
        <v>0</v>
      </c>
      <c r="G189" s="2">
        <f t="shared" si="80"/>
        <v>21032.34346611912</v>
      </c>
      <c r="H189" s="2">
        <f t="shared" si="80"/>
        <v>192309.38170431741</v>
      </c>
      <c r="I189" s="2">
        <f t="shared" si="80"/>
        <v>0</v>
      </c>
      <c r="J189" s="2"/>
      <c r="K189" s="71">
        <f>A428</f>
        <v>876</v>
      </c>
    </row>
    <row r="190" spans="1:11">
      <c r="A190" s="50">
        <f t="shared" si="50"/>
        <v>638</v>
      </c>
      <c r="B190" s="57" t="s">
        <v>172</v>
      </c>
      <c r="C190" s="4">
        <f>IF(ROUND(SUM(C187:C189),3)&lt;&gt;ROUND(SUM(D190:I190),3),#VALUE!,SUM(D190:I190))</f>
        <v>103411999.96933989</v>
      </c>
      <c r="D190" s="4">
        <f t="shared" ref="D190:I190" si="81">SUM(D186:D189)</f>
        <v>79468609.276478678</v>
      </c>
      <c r="E190" s="4">
        <f t="shared" si="81"/>
        <v>20145536.166025907</v>
      </c>
      <c r="F190" s="4">
        <f t="shared" si="81"/>
        <v>0</v>
      </c>
      <c r="G190" s="4">
        <f t="shared" si="81"/>
        <v>216984.02763022837</v>
      </c>
      <c r="H190" s="4">
        <f t="shared" si="81"/>
        <v>3580870.4992050864</v>
      </c>
      <c r="I190" s="4">
        <f t="shared" si="81"/>
        <v>0</v>
      </c>
      <c r="J190" s="5"/>
      <c r="K190" s="71" t="str">
        <f>A186&amp;":"&amp;A189</f>
        <v>634:637</v>
      </c>
    </row>
    <row r="191" spans="1:11">
      <c r="A191" s="50">
        <f t="shared" si="50"/>
        <v>639</v>
      </c>
      <c r="K191" s="71"/>
    </row>
    <row r="192" spans="1:11">
      <c r="A192" s="50">
        <f t="shared" si="50"/>
        <v>640</v>
      </c>
      <c r="B192" t="s">
        <v>504</v>
      </c>
      <c r="K192" s="71"/>
    </row>
    <row r="193" spans="1:11">
      <c r="A193" s="50">
        <f t="shared" si="50"/>
        <v>641</v>
      </c>
      <c r="B193" s="56" t="s">
        <v>465</v>
      </c>
      <c r="C193" s="44">
        <f t="shared" ref="C193:I193" si="82">IF(C$177,C187/C$177,0)</f>
        <v>9.1334696704306897E-2</v>
      </c>
      <c r="D193" s="44">
        <f>IF(D$177,D187/D$177,0)</f>
        <v>8.2188164212402534E-2</v>
      </c>
      <c r="E193" s="44">
        <f t="shared" si="82"/>
        <v>0.13749684761306441</v>
      </c>
      <c r="F193" s="44">
        <f t="shared" si="82"/>
        <v>0</v>
      </c>
      <c r="G193" s="44">
        <f t="shared" si="82"/>
        <v>0.11088521641454217</v>
      </c>
      <c r="H193" s="44">
        <f t="shared" si="82"/>
        <v>4.8114827517944589E-2</v>
      </c>
      <c r="I193" s="44">
        <f t="shared" si="82"/>
        <v>0</v>
      </c>
      <c r="J193" s="44"/>
      <c r="K193" s="71" t="str">
        <f>A187&amp;"/"&amp;A$177</f>
        <v>635/625</v>
      </c>
    </row>
    <row r="194" spans="1:11">
      <c r="A194" s="50">
        <f t="shared" si="50"/>
        <v>642</v>
      </c>
      <c r="B194" s="56" t="s">
        <v>158</v>
      </c>
      <c r="C194" s="44">
        <f t="shared" ref="C194:I194" si="83">IF(C$177,C188/C$177,0)</f>
        <v>9.3389944464761648E-2</v>
      </c>
      <c r="D194" s="44">
        <f t="shared" si="83"/>
        <v>8.7991527860015087E-2</v>
      </c>
      <c r="E194" s="44">
        <f t="shared" si="83"/>
        <v>0.13590915744653115</v>
      </c>
      <c r="F194" s="44">
        <f t="shared" si="83"/>
        <v>0</v>
      </c>
      <c r="G194" s="44">
        <f t="shared" si="83"/>
        <v>8.6408004436319283E-2</v>
      </c>
      <c r="H194" s="44">
        <f t="shared" si="83"/>
        <v>4.3048475674091577E-2</v>
      </c>
      <c r="I194" s="44">
        <f t="shared" si="83"/>
        <v>0</v>
      </c>
      <c r="J194" s="47"/>
      <c r="K194" s="71" t="str">
        <f>A188&amp;"/"&amp;A$177</f>
        <v>636/625</v>
      </c>
    </row>
    <row r="195" spans="1:11">
      <c r="A195" s="50">
        <f t="shared" si="50"/>
        <v>643</v>
      </c>
      <c r="B195" s="56" t="s">
        <v>159</v>
      </c>
      <c r="C195" s="44">
        <f t="shared" ref="C195:I196" si="84">IF(C$177,C189/C$177,0)</f>
        <v>0.25094362961972511</v>
      </c>
      <c r="D195" s="44">
        <f t="shared" si="84"/>
        <v>0.40750708169447858</v>
      </c>
      <c r="E195" s="44">
        <f t="shared" si="84"/>
        <v>5.3434750031190137E-2</v>
      </c>
      <c r="F195" s="44">
        <f t="shared" si="84"/>
        <v>0</v>
      </c>
      <c r="G195" s="44">
        <f t="shared" si="84"/>
        <v>2.1176336412587194E-2</v>
      </c>
      <c r="H195" s="44">
        <f t="shared" si="84"/>
        <v>5.1737471637855808E-3</v>
      </c>
      <c r="I195" s="44">
        <f t="shared" si="84"/>
        <v>0</v>
      </c>
      <c r="J195" s="47"/>
      <c r="K195" s="71" t="str">
        <f>A189&amp;"/"&amp;A$177</f>
        <v>637/625</v>
      </c>
    </row>
    <row r="196" spans="1:11">
      <c r="A196" s="50">
        <f t="shared" si="50"/>
        <v>644</v>
      </c>
      <c r="B196" t="s">
        <v>505</v>
      </c>
      <c r="C196" s="45">
        <f t="shared" si="84"/>
        <v>0.43566827078879367</v>
      </c>
      <c r="D196" s="45">
        <f t="shared" si="84"/>
        <v>0.57768677376689626</v>
      </c>
      <c r="E196" s="45">
        <f t="shared" si="84"/>
        <v>0.3268407550907857</v>
      </c>
      <c r="F196" s="45">
        <f t="shared" si="84"/>
        <v>0</v>
      </c>
      <c r="G196" s="45">
        <f t="shared" si="84"/>
        <v>0.21846955726344863</v>
      </c>
      <c r="H196" s="45">
        <f t="shared" si="84"/>
        <v>9.6337050355821754E-2</v>
      </c>
      <c r="I196" s="45">
        <f t="shared" si="84"/>
        <v>0</v>
      </c>
      <c r="K196" s="71" t="str">
        <f>A190&amp;"/"&amp;A$177</f>
        <v>638/625</v>
      </c>
    </row>
    <row r="197" spans="1:11">
      <c r="A197" s="50">
        <f t="shared" si="50"/>
        <v>645</v>
      </c>
      <c r="K197" s="71"/>
    </row>
    <row r="198" spans="1:11">
      <c r="A198" s="50">
        <f t="shared" ref="A198:A261" si="85">Pg1Row+ROW(A198)</f>
        <v>646</v>
      </c>
      <c r="B198" t="s">
        <v>506</v>
      </c>
      <c r="K198" s="71"/>
    </row>
    <row r="199" spans="1:11">
      <c r="A199" s="50">
        <f t="shared" si="85"/>
        <v>647</v>
      </c>
      <c r="B199" s="56" t="s">
        <v>465</v>
      </c>
      <c r="C199" s="44">
        <f>C193</f>
        <v>9.1334696704306897E-2</v>
      </c>
      <c r="D199" s="44">
        <f t="shared" ref="D199:I199" si="86">D193</f>
        <v>8.2188164212402534E-2</v>
      </c>
      <c r="E199" s="44">
        <f t="shared" si="86"/>
        <v>0.13749684761306441</v>
      </c>
      <c r="F199" s="44">
        <f t="shared" si="86"/>
        <v>0</v>
      </c>
      <c r="G199" s="44">
        <f t="shared" si="86"/>
        <v>0.11088521641454217</v>
      </c>
      <c r="H199" s="44">
        <f t="shared" si="86"/>
        <v>4.8114827517944589E-2</v>
      </c>
      <c r="I199" s="44">
        <f t="shared" si="86"/>
        <v>0</v>
      </c>
      <c r="J199" s="44"/>
      <c r="K199" s="71">
        <f>A193</f>
        <v>641</v>
      </c>
    </row>
    <row r="200" spans="1:11">
      <c r="A200" s="50">
        <f t="shared" si="85"/>
        <v>648</v>
      </c>
      <c r="B200" s="56" t="s">
        <v>158</v>
      </c>
      <c r="C200" s="47">
        <f t="shared" ref="C200:I200" si="87">IF(C$178,C188/C$178,0)</f>
        <v>11.458826819796871</v>
      </c>
      <c r="D200" s="47">
        <f t="shared" si="87"/>
        <v>9.1636888808361991</v>
      </c>
      <c r="E200" s="47">
        <f t="shared" si="87"/>
        <v>18.736622052443053</v>
      </c>
      <c r="F200" s="47">
        <f t="shared" si="87"/>
        <v>0</v>
      </c>
      <c r="G200" s="47">
        <f t="shared" si="87"/>
        <v>15.279350897329499</v>
      </c>
      <c r="H200" s="47">
        <f t="shared" si="87"/>
        <v>9.9445566383969624</v>
      </c>
      <c r="I200" s="47">
        <f t="shared" si="87"/>
        <v>0</v>
      </c>
      <c r="J200" s="47"/>
      <c r="K200" s="71" t="str">
        <f>A188&amp;"/"&amp;A$178</f>
        <v>636/626</v>
      </c>
    </row>
    <row r="201" spans="1:11">
      <c r="A201" s="50">
        <f t="shared" si="85"/>
        <v>649</v>
      </c>
      <c r="B201" s="56" t="s">
        <v>159</v>
      </c>
      <c r="C201" s="47">
        <f t="shared" ref="C201:I201" si="88">IF(C$179,C189/C$179,0)</f>
        <v>29.457395679813349</v>
      </c>
      <c r="D201" s="47">
        <f t="shared" si="88"/>
        <v>28.250262049866635</v>
      </c>
      <c r="E201" s="47">
        <f t="shared" si="88"/>
        <v>88.408393141687739</v>
      </c>
      <c r="F201" s="47">
        <f t="shared" si="88"/>
        <v>0</v>
      </c>
      <c r="G201" s="47">
        <f t="shared" si="88"/>
        <v>876.34764442162998</v>
      </c>
      <c r="H201" s="47">
        <f t="shared" si="88"/>
        <v>421.73110022876625</v>
      </c>
      <c r="I201" s="47">
        <f t="shared" si="88"/>
        <v>0</v>
      </c>
      <c r="J201" s="47"/>
      <c r="K201" s="71" t="str">
        <f>A189&amp;"/"&amp;A$179</f>
        <v>637/627</v>
      </c>
    </row>
    <row r="202" spans="1:11">
      <c r="A202" s="50">
        <f t="shared" si="85"/>
        <v>650</v>
      </c>
      <c r="K202" s="71"/>
    </row>
    <row r="203" spans="1:11">
      <c r="A203" s="50">
        <f t="shared" si="85"/>
        <v>651</v>
      </c>
      <c r="B203" s="1" t="s">
        <v>507</v>
      </c>
      <c r="K203" s="71"/>
    </row>
    <row r="204" spans="1:11">
      <c r="A204" s="50">
        <f t="shared" si="85"/>
        <v>652</v>
      </c>
      <c r="B204" s="56" t="s">
        <v>465</v>
      </c>
      <c r="C204" s="2">
        <f>SUM(D204:I204)</f>
        <v>19830999.205488764</v>
      </c>
      <c r="D204" s="2">
        <f t="shared" ref="D204:I204" si="89">D449</f>
        <v>12679757.71288272</v>
      </c>
      <c r="E204" s="2">
        <f t="shared" si="89"/>
        <v>5175174.9206473483</v>
      </c>
      <c r="F204" s="2">
        <f t="shared" si="89"/>
        <v>0</v>
      </c>
      <c r="G204" s="2">
        <f t="shared" si="89"/>
        <v>80402.524494206518</v>
      </c>
      <c r="H204" s="2">
        <f t="shared" si="89"/>
        <v>1895664.0474644883</v>
      </c>
      <c r="I204" s="2">
        <f t="shared" si="89"/>
        <v>0</v>
      </c>
      <c r="J204" s="2"/>
      <c r="K204" s="71">
        <f>A449</f>
        <v>897</v>
      </c>
    </row>
    <row r="205" spans="1:11">
      <c r="A205" s="50">
        <f t="shared" si="85"/>
        <v>653</v>
      </c>
      <c r="B205" s="56" t="s">
        <v>158</v>
      </c>
      <c r="C205" s="2">
        <f>SUM(D205:I205)</f>
        <v>20442870.932087466</v>
      </c>
      <c r="D205" s="2">
        <f t="shared" ref="D205:I205" si="90">D456</f>
        <v>13958560.433439003</v>
      </c>
      <c r="E205" s="2">
        <f t="shared" si="90"/>
        <v>4724620.9231649963</v>
      </c>
      <c r="F205" s="2">
        <f t="shared" si="90"/>
        <v>0</v>
      </c>
      <c r="G205" s="2">
        <f t="shared" si="90"/>
        <v>59354.387572732834</v>
      </c>
      <c r="H205" s="2">
        <f t="shared" si="90"/>
        <v>1700335.1879107372</v>
      </c>
      <c r="I205" s="2">
        <f t="shared" si="90"/>
        <v>0</v>
      </c>
      <c r="J205" s="2"/>
      <c r="K205" s="71">
        <f>A456</f>
        <v>904</v>
      </c>
    </row>
    <row r="206" spans="1:11">
      <c r="A206" s="50">
        <f t="shared" si="85"/>
        <v>654</v>
      </c>
      <c r="B206" s="56" t="s">
        <v>159</v>
      </c>
      <c r="C206" s="2">
        <f>SUM(D206:I206)</f>
        <v>63138129.83176364</v>
      </c>
      <c r="D206" s="2">
        <f t="shared" ref="D206:I206" si="91">D463</f>
        <v>60822269.889992602</v>
      </c>
      <c r="E206" s="2">
        <f t="shared" si="91"/>
        <v>2098064.5845558653</v>
      </c>
      <c r="F206" s="2">
        <f t="shared" si="91"/>
        <v>0</v>
      </c>
      <c r="G206" s="2">
        <f t="shared" si="91"/>
        <v>15118.696230684944</v>
      </c>
      <c r="H206" s="2">
        <f t="shared" si="91"/>
        <v>202676.66098448887</v>
      </c>
      <c r="I206" s="2">
        <f t="shared" si="91"/>
        <v>0</v>
      </c>
      <c r="J206" s="2"/>
      <c r="K206" s="71">
        <f>A463</f>
        <v>911</v>
      </c>
    </row>
    <row r="207" spans="1:11">
      <c r="A207" s="50">
        <f t="shared" si="85"/>
        <v>655</v>
      </c>
      <c r="B207" s="52" t="s">
        <v>171</v>
      </c>
      <c r="C207" s="4">
        <f>IF(ROUND(SUM(C204:C206),3)&lt;&gt;ROUND(SUM(D207:I207),3),#VALUE!,SUM(D207:I207))</f>
        <v>103411999.96933988</v>
      </c>
      <c r="D207" s="4">
        <f t="shared" ref="D207:I207" si="92">SUM(D203:D206)</f>
        <v>87460588.036314324</v>
      </c>
      <c r="E207" s="4">
        <f t="shared" si="92"/>
        <v>11997860.428368211</v>
      </c>
      <c r="F207" s="4">
        <f t="shared" si="92"/>
        <v>0</v>
      </c>
      <c r="G207" s="4">
        <f t="shared" si="92"/>
        <v>154875.60829762428</v>
      </c>
      <c r="H207" s="4">
        <f t="shared" si="92"/>
        <v>3798675.8963597142</v>
      </c>
      <c r="I207" s="4">
        <f t="shared" si="92"/>
        <v>0</v>
      </c>
      <c r="J207" s="5"/>
      <c r="K207" s="71" t="str">
        <f>A203&amp;":"&amp;A206</f>
        <v>651:654</v>
      </c>
    </row>
    <row r="208" spans="1:11">
      <c r="A208" s="50">
        <f t="shared" si="85"/>
        <v>656</v>
      </c>
      <c r="K208" s="71"/>
    </row>
    <row r="209" spans="1:11">
      <c r="A209" s="50">
        <f t="shared" si="85"/>
        <v>657</v>
      </c>
      <c r="B209" t="s">
        <v>508</v>
      </c>
      <c r="K209" s="71"/>
    </row>
    <row r="210" spans="1:11">
      <c r="A210" s="50">
        <f t="shared" si="85"/>
        <v>658</v>
      </c>
      <c r="B210" s="28" t="s">
        <v>509</v>
      </c>
      <c r="C210" s="44">
        <f>IF(C$177,C204/C$177,0)</f>
        <v>8.3546756028611613E-2</v>
      </c>
      <c r="D210" s="44">
        <f t="shared" ref="D210:I210" si="93">IF(D$177,D204/D$177,0)</f>
        <v>9.2173858231456296E-2</v>
      </c>
      <c r="E210" s="44">
        <f t="shared" si="93"/>
        <v>8.3961929077063069E-2</v>
      </c>
      <c r="F210" s="44">
        <f t="shared" si="93"/>
        <v>0</v>
      </c>
      <c r="G210" s="44">
        <f t="shared" si="93"/>
        <v>8.0952981290618301E-2</v>
      </c>
      <c r="H210" s="44">
        <f t="shared" si="93"/>
        <v>5.0999521719327041E-2</v>
      </c>
      <c r="I210" s="44">
        <f t="shared" si="93"/>
        <v>0</v>
      </c>
      <c r="J210" s="44"/>
      <c r="K210" s="71" t="str">
        <f>A204&amp;"/"&amp;A$177</f>
        <v>652/625</v>
      </c>
    </row>
    <row r="211" spans="1:11">
      <c r="A211" s="50">
        <f t="shared" si="85"/>
        <v>659</v>
      </c>
      <c r="B211" s="28" t="s">
        <v>510</v>
      </c>
      <c r="C211" s="44">
        <f t="shared" ref="C211:I211" si="94">IF(C$177,C205/C$177,0)</f>
        <v>8.6124533241612469E-2</v>
      </c>
      <c r="D211" s="44">
        <f t="shared" si="94"/>
        <v>0.10146994916155321</v>
      </c>
      <c r="E211" s="44">
        <f t="shared" si="94"/>
        <v>7.6652150497198465E-2</v>
      </c>
      <c r="F211" s="44">
        <f t="shared" si="94"/>
        <v>0</v>
      </c>
      <c r="G211" s="44">
        <f t="shared" si="94"/>
        <v>5.9760743296533823E-2</v>
      </c>
      <c r="H211" s="44">
        <f t="shared" si="94"/>
        <v>4.5744540791378879E-2</v>
      </c>
      <c r="I211" s="44">
        <f t="shared" si="94"/>
        <v>0</v>
      </c>
      <c r="J211" s="47"/>
      <c r="K211" s="71" t="str">
        <f>A205&amp;"/"&amp;A$177</f>
        <v>653/625</v>
      </c>
    </row>
    <row r="212" spans="1:11">
      <c r="A212" s="50">
        <f t="shared" si="85"/>
        <v>660</v>
      </c>
      <c r="B212" s="28" t="s">
        <v>159</v>
      </c>
      <c r="C212" s="44">
        <f t="shared" ref="C212:I212" si="95">IF(C$177,C206/C$177,0)</f>
        <v>0.26599698151856949</v>
      </c>
      <c r="D212" s="44">
        <f t="shared" si="95"/>
        <v>0.44213962199447943</v>
      </c>
      <c r="E212" s="44">
        <f t="shared" si="95"/>
        <v>3.4038955696891166E-2</v>
      </c>
      <c r="F212" s="44">
        <f t="shared" si="95"/>
        <v>0</v>
      </c>
      <c r="G212" s="44">
        <f t="shared" si="95"/>
        <v>1.5222202795253889E-2</v>
      </c>
      <c r="H212" s="44">
        <f t="shared" si="95"/>
        <v>5.4526606587830843E-3</v>
      </c>
      <c r="I212" s="44">
        <f t="shared" si="95"/>
        <v>0</v>
      </c>
      <c r="J212" s="47"/>
      <c r="K212" s="71" t="str">
        <f>A206&amp;"/"&amp;A$177</f>
        <v>654/625</v>
      </c>
    </row>
    <row r="213" spans="1:11">
      <c r="A213" s="50">
        <f t="shared" si="85"/>
        <v>661</v>
      </c>
      <c r="B213" t="s">
        <v>511</v>
      </c>
      <c r="C213" s="45">
        <f t="shared" ref="C213:I213" si="96">IF(C$177,C207/C$177,0)</f>
        <v>0.43566827078879361</v>
      </c>
      <c r="D213" s="45">
        <f t="shared" si="96"/>
        <v>0.63578342938748889</v>
      </c>
      <c r="E213" s="45">
        <f t="shared" si="96"/>
        <v>0.19465303527115271</v>
      </c>
      <c r="F213" s="45">
        <f t="shared" si="96"/>
        <v>0</v>
      </c>
      <c r="G213" s="45">
        <f t="shared" si="96"/>
        <v>0.155935927382406</v>
      </c>
      <c r="H213" s="45">
        <f t="shared" si="96"/>
        <v>0.10219672316948901</v>
      </c>
      <c r="I213" s="45">
        <f t="shared" si="96"/>
        <v>0</v>
      </c>
      <c r="K213" s="71" t="str">
        <f>A207&amp;"/"&amp;A$177</f>
        <v>655/625</v>
      </c>
    </row>
    <row r="214" spans="1:11">
      <c r="A214" s="50">
        <f t="shared" si="85"/>
        <v>662</v>
      </c>
      <c r="K214" s="71"/>
    </row>
    <row r="215" spans="1:11">
      <c r="A215" s="50">
        <f t="shared" si="85"/>
        <v>663</v>
      </c>
      <c r="B215" t="s">
        <v>512</v>
      </c>
      <c r="K215" s="71"/>
    </row>
    <row r="216" spans="1:11">
      <c r="A216" s="50">
        <f t="shared" si="85"/>
        <v>664</v>
      </c>
      <c r="B216" s="28" t="s">
        <v>509</v>
      </c>
      <c r="C216" s="44">
        <f>C210</f>
        <v>8.3546756028611613E-2</v>
      </c>
      <c r="D216" s="44">
        <f t="shared" ref="D216:I216" si="97">D210</f>
        <v>9.2173858231456296E-2</v>
      </c>
      <c r="E216" s="44">
        <f t="shared" si="97"/>
        <v>8.3961929077063069E-2</v>
      </c>
      <c r="F216" s="44">
        <f t="shared" si="97"/>
        <v>0</v>
      </c>
      <c r="G216" s="44">
        <f t="shared" si="97"/>
        <v>8.0952981290618301E-2</v>
      </c>
      <c r="H216" s="44">
        <f t="shared" si="97"/>
        <v>5.0999521719327041E-2</v>
      </c>
      <c r="I216" s="44">
        <f t="shared" si="97"/>
        <v>0</v>
      </c>
      <c r="J216" s="44"/>
      <c r="K216" s="71">
        <f>A210</f>
        <v>658</v>
      </c>
    </row>
    <row r="217" spans="1:11">
      <c r="A217" s="50">
        <f t="shared" si="85"/>
        <v>665</v>
      </c>
      <c r="B217" s="28" t="s">
        <v>510</v>
      </c>
      <c r="C217" s="47">
        <f t="shared" ref="C217:I217" si="98">IF(C$178,C205/C$178,0)</f>
        <v>10.567370148976293</v>
      </c>
      <c r="D217" s="47">
        <f t="shared" si="98"/>
        <v>10.567370148976297</v>
      </c>
      <c r="E217" s="47">
        <f t="shared" si="98"/>
        <v>10.567370148976295</v>
      </c>
      <c r="F217" s="47">
        <f t="shared" si="98"/>
        <v>0</v>
      </c>
      <c r="G217" s="47">
        <f t="shared" si="98"/>
        <v>10.567370148976298</v>
      </c>
      <c r="H217" s="47">
        <f t="shared" si="98"/>
        <v>10.567370148976295</v>
      </c>
      <c r="I217" s="47">
        <f t="shared" si="98"/>
        <v>0</v>
      </c>
      <c r="J217" s="47"/>
      <c r="K217" s="71" t="str">
        <f>A205&amp;"/"&amp;A$178</f>
        <v>653/626</v>
      </c>
    </row>
    <row r="218" spans="1:11">
      <c r="A218" s="50">
        <f t="shared" si="85"/>
        <v>666</v>
      </c>
      <c r="B218" s="28" t="s">
        <v>159</v>
      </c>
      <c r="C218" s="47">
        <f>IF(C$179,C206/C$179,0)</f>
        <v>31.22445605055756</v>
      </c>
      <c r="D218" s="47">
        <f t="shared" ref="D218:I218" si="99">IF(D$179,D206/D$179,0)</f>
        <v>30.651148765403796</v>
      </c>
      <c r="E218" s="47">
        <f t="shared" si="99"/>
        <v>56.31783391195215</v>
      </c>
      <c r="F218" s="47">
        <f t="shared" si="99"/>
        <v>0</v>
      </c>
      <c r="G218" s="47">
        <f t="shared" si="99"/>
        <v>629.94567627853928</v>
      </c>
      <c r="H218" s="47">
        <f t="shared" si="99"/>
        <v>444.46636180808963</v>
      </c>
      <c r="I218" s="47">
        <f t="shared" si="99"/>
        <v>0</v>
      </c>
      <c r="J218" s="47"/>
      <c r="K218" s="71" t="str">
        <f>A206&amp;"/"&amp;A$179</f>
        <v>654/627</v>
      </c>
    </row>
    <row r="219" spans="1:11">
      <c r="A219" s="50">
        <f t="shared" si="85"/>
        <v>667</v>
      </c>
      <c r="K219" s="71"/>
    </row>
    <row r="220" spans="1:11">
      <c r="A220" s="50">
        <f t="shared" si="85"/>
        <v>668</v>
      </c>
      <c r="B220" s="1" t="s">
        <v>496</v>
      </c>
      <c r="C220" s="88">
        <f t="shared" ref="C220:I220" si="100">IF(C207,C190/C207,0)</f>
        <v>1.0000000000000002</v>
      </c>
      <c r="D220" s="88">
        <f>IF(D207,D190/D207,0)</f>
        <v>0.90862194115917316</v>
      </c>
      <c r="E220" s="88">
        <f t="shared" si="100"/>
        <v>1.6790940590034713</v>
      </c>
      <c r="F220" s="88">
        <f>IF(F207,F190/F207,0)</f>
        <v>0</v>
      </c>
      <c r="G220" s="88">
        <f t="shared" si="100"/>
        <v>1.4010213100390245</v>
      </c>
      <c r="H220" s="88">
        <f>IF(H207,H190/H207,0)</f>
        <v>0.9426628111749803</v>
      </c>
      <c r="I220" s="88">
        <f t="shared" si="100"/>
        <v>0</v>
      </c>
      <c r="J220" s="35"/>
      <c r="K220" s="71" t="str">
        <f>A190&amp;"/"&amp;A207</f>
        <v>638/655</v>
      </c>
    </row>
    <row r="221" spans="1:11">
      <c r="A221" s="50">
        <f t="shared" si="85"/>
        <v>669</v>
      </c>
      <c r="K221" s="71"/>
    </row>
    <row r="222" spans="1:11">
      <c r="A222" s="50">
        <f t="shared" si="85"/>
        <v>670</v>
      </c>
      <c r="K222" s="71"/>
    </row>
    <row r="223" spans="1:11">
      <c r="A223" s="50">
        <f t="shared" si="85"/>
        <v>671</v>
      </c>
      <c r="B223" s="1" t="s">
        <v>513</v>
      </c>
      <c r="K223" s="71"/>
    </row>
    <row r="224" spans="1:11">
      <c r="A224" s="50">
        <f t="shared" si="85"/>
        <v>672</v>
      </c>
      <c r="B224" s="28" t="s">
        <v>465</v>
      </c>
      <c r="C224" s="2">
        <f>SUM(D224:I224)</f>
        <v>24609105.107879005</v>
      </c>
      <c r="D224" s="2">
        <f t="shared" ref="D224:I224" si="101">D479</f>
        <v>12995375.271287587</v>
      </c>
      <c r="E224" s="2">
        <f t="shared" si="101"/>
        <v>9484148.9131070301</v>
      </c>
      <c r="F224" s="2">
        <f t="shared" si="101"/>
        <v>0</v>
      </c>
      <c r="G224" s="2">
        <f t="shared" si="101"/>
        <v>123054.89159220039</v>
      </c>
      <c r="H224" s="2">
        <f t="shared" si="101"/>
        <v>2006526.0318921895</v>
      </c>
      <c r="I224" s="2">
        <f t="shared" si="101"/>
        <v>0</v>
      </c>
      <c r="J224" s="2"/>
      <c r="K224" s="71">
        <f>A479</f>
        <v>927</v>
      </c>
    </row>
    <row r="225" spans="1:11">
      <c r="A225" s="50">
        <f t="shared" si="85"/>
        <v>673</v>
      </c>
      <c r="B225" s="28" t="s">
        <v>158</v>
      </c>
      <c r="C225" s="2">
        <f>SUM(D225:I225)</f>
        <v>25780080.383235913</v>
      </c>
      <c r="D225" s="2">
        <f t="shared" ref="D225:I225" si="102">D486</f>
        <v>14384627.438108951</v>
      </c>
      <c r="E225" s="2">
        <f t="shared" si="102"/>
        <v>9494177.7585317064</v>
      </c>
      <c r="F225" s="2">
        <f t="shared" si="102"/>
        <v>0</v>
      </c>
      <c r="G225" s="2">
        <f t="shared" si="102"/>
        <v>97325.996617538476</v>
      </c>
      <c r="H225" s="2">
        <f t="shared" si="102"/>
        <v>1803949.1899777206</v>
      </c>
      <c r="I225" s="2">
        <f t="shared" si="102"/>
        <v>0</v>
      </c>
      <c r="J225" s="2"/>
      <c r="K225" s="71">
        <f>A486</f>
        <v>934</v>
      </c>
    </row>
    <row r="226" spans="1:11">
      <c r="A226" s="50">
        <f t="shared" si="85"/>
        <v>674</v>
      </c>
      <c r="B226" s="28" t="s">
        <v>159</v>
      </c>
      <c r="C226" s="2">
        <f>SUM(D226:I226)</f>
        <v>65812814.478225499</v>
      </c>
      <c r="D226" s="2">
        <f t="shared" ref="D226:I226" si="103">D493</f>
        <v>61916606.567082666</v>
      </c>
      <c r="E226" s="2">
        <f t="shared" si="103"/>
        <v>3659209.4943871726</v>
      </c>
      <c r="F226" s="2">
        <f t="shared" si="103"/>
        <v>0</v>
      </c>
      <c r="G226" s="2">
        <f t="shared" si="103"/>
        <v>23603.13942048946</v>
      </c>
      <c r="H226" s="2">
        <f t="shared" si="103"/>
        <v>213395.27733517639</v>
      </c>
      <c r="I226" s="2">
        <f t="shared" si="103"/>
        <v>0</v>
      </c>
      <c r="J226" s="2"/>
      <c r="K226" s="71">
        <f>A493</f>
        <v>941</v>
      </c>
    </row>
    <row r="227" spans="1:11">
      <c r="A227" s="50">
        <f t="shared" si="85"/>
        <v>675</v>
      </c>
      <c r="B227" s="52" t="s">
        <v>173</v>
      </c>
      <c r="C227" s="4">
        <f>IF(ROUND(SUM(C224:C226),3)&lt;&gt;ROUND(SUM(D227:I227),3),#VALUE!,SUM(D227:I227))</f>
        <v>116201999.96934041</v>
      </c>
      <c r="D227" s="4">
        <f t="shared" ref="D227:I227" si="104">SUM(D223:D226)</f>
        <v>89296609.2764792</v>
      </c>
      <c r="E227" s="4">
        <f t="shared" si="104"/>
        <v>22637536.166025907</v>
      </c>
      <c r="F227" s="4">
        <f t="shared" si="104"/>
        <v>0</v>
      </c>
      <c r="G227" s="4">
        <f t="shared" si="104"/>
        <v>243984.02763022835</v>
      </c>
      <c r="H227" s="4">
        <f t="shared" si="104"/>
        <v>4023870.4992050864</v>
      </c>
      <c r="I227" s="4">
        <f t="shared" si="104"/>
        <v>0</v>
      </c>
      <c r="J227" s="5"/>
      <c r="K227" s="71" t="str">
        <f>A223&amp;":"&amp;A226</f>
        <v>671:674</v>
      </c>
    </row>
    <row r="228" spans="1:11">
      <c r="A228" s="50">
        <f t="shared" si="85"/>
        <v>676</v>
      </c>
      <c r="K228" s="71"/>
    </row>
    <row r="229" spans="1:11">
      <c r="A229" s="50">
        <f t="shared" si="85"/>
        <v>677</v>
      </c>
      <c r="B229" t="s">
        <v>514</v>
      </c>
      <c r="K229" s="71"/>
    </row>
    <row r="230" spans="1:11">
      <c r="A230" s="50">
        <f t="shared" si="85"/>
        <v>678</v>
      </c>
      <c r="B230" s="28" t="s">
        <v>509</v>
      </c>
      <c r="C230" s="44">
        <f>IF(C$177,C224/C$177,0)</f>
        <v>0.10367661655502314</v>
      </c>
      <c r="D230" s="44">
        <f t="shared" ref="D230:I230" si="105">IF(D$177,D224/D$177,0)</f>
        <v>9.4468199238793613E-2</v>
      </c>
      <c r="E230" s="44">
        <f t="shared" si="105"/>
        <v>0.15387063251168123</v>
      </c>
      <c r="F230" s="44">
        <f t="shared" si="105"/>
        <v>0</v>
      </c>
      <c r="G230" s="44">
        <f t="shared" si="105"/>
        <v>0.12389735769428806</v>
      </c>
      <c r="H230" s="44">
        <f t="shared" si="105"/>
        <v>5.398206928108016E-2</v>
      </c>
      <c r="I230" s="44">
        <f t="shared" si="105"/>
        <v>0</v>
      </c>
      <c r="J230" s="44"/>
      <c r="K230" s="71" t="str">
        <f>A224&amp;"/"&amp;A$177</f>
        <v>672/625</v>
      </c>
    </row>
    <row r="231" spans="1:11">
      <c r="A231" s="50">
        <f t="shared" si="85"/>
        <v>679</v>
      </c>
      <c r="B231" s="28" t="s">
        <v>510</v>
      </c>
      <c r="C231" s="44">
        <f t="shared" ref="C231:I231" si="106">IF(C$177,C225/C$177,0)</f>
        <v>0.10860986195693421</v>
      </c>
      <c r="D231" s="44">
        <f t="shared" si="106"/>
        <v>0.10456718812895462</v>
      </c>
      <c r="E231" s="44">
        <f t="shared" si="106"/>
        <v>0.15403334028894147</v>
      </c>
      <c r="F231" s="44">
        <f t="shared" si="106"/>
        <v>0</v>
      </c>
      <c r="G231" s="44">
        <f t="shared" si="106"/>
        <v>9.7992315948214906E-2</v>
      </c>
      <c r="H231" s="44">
        <f t="shared" si="106"/>
        <v>4.8532094079583817E-2</v>
      </c>
      <c r="I231" s="44">
        <f t="shared" si="106"/>
        <v>0</v>
      </c>
      <c r="J231" s="47"/>
      <c r="K231" s="71" t="str">
        <f>A225&amp;"/"&amp;A$177</f>
        <v>673/625</v>
      </c>
    </row>
    <row r="232" spans="1:11">
      <c r="A232" s="50">
        <f t="shared" si="85"/>
        <v>680</v>
      </c>
      <c r="B232" s="28" t="s">
        <v>159</v>
      </c>
      <c r="C232" s="44">
        <f t="shared" ref="C232:I232" si="107">IF(C$177,C226/C$177,0)</f>
        <v>0.27726526020165138</v>
      </c>
      <c r="D232" s="44">
        <f t="shared" si="107"/>
        <v>0.45009476088716494</v>
      </c>
      <c r="E232" s="44">
        <f t="shared" si="107"/>
        <v>5.9366937882636923E-2</v>
      </c>
      <c r="F232" s="44">
        <f t="shared" si="107"/>
        <v>0</v>
      </c>
      <c r="G232" s="44">
        <f t="shared" si="107"/>
        <v>2.3764732711152859E-2</v>
      </c>
      <c r="H232" s="44">
        <f t="shared" si="107"/>
        <v>5.7410262624401119E-3</v>
      </c>
      <c r="I232" s="44">
        <f t="shared" si="107"/>
        <v>0</v>
      </c>
      <c r="J232" s="47"/>
      <c r="K232" s="71" t="str">
        <f>A226&amp;"/"&amp;A$177</f>
        <v>674/625</v>
      </c>
    </row>
    <row r="233" spans="1:11">
      <c r="A233" s="50">
        <f t="shared" si="85"/>
        <v>681</v>
      </c>
      <c r="B233" s="52" t="s">
        <v>515</v>
      </c>
      <c r="C233" s="45">
        <f t="shared" ref="C233:I233" si="108">IF(C$177,C227/C$177,0)</f>
        <v>0.48955173871360869</v>
      </c>
      <c r="D233" s="45">
        <f t="shared" si="108"/>
        <v>0.64913014825491311</v>
      </c>
      <c r="E233" s="45">
        <f t="shared" si="108"/>
        <v>0.36727091068325962</v>
      </c>
      <c r="F233" s="45">
        <f t="shared" si="108"/>
        <v>0</v>
      </c>
      <c r="G233" s="45">
        <f t="shared" si="108"/>
        <v>0.24565440635365585</v>
      </c>
      <c r="H233" s="45">
        <f t="shared" si="108"/>
        <v>0.10825518962310408</v>
      </c>
      <c r="I233" s="45">
        <f t="shared" si="108"/>
        <v>0</v>
      </c>
      <c r="K233" s="71" t="str">
        <f>A227&amp;"/"&amp;A$177</f>
        <v>675/625</v>
      </c>
    </row>
    <row r="234" spans="1:11">
      <c r="A234" s="50">
        <f t="shared" si="85"/>
        <v>682</v>
      </c>
      <c r="K234" s="71"/>
    </row>
    <row r="235" spans="1:11">
      <c r="A235" s="50">
        <f t="shared" si="85"/>
        <v>683</v>
      </c>
      <c r="B235" t="s">
        <v>516</v>
      </c>
      <c r="K235" s="71"/>
    </row>
    <row r="236" spans="1:11">
      <c r="A236" s="50">
        <f t="shared" si="85"/>
        <v>684</v>
      </c>
      <c r="B236" s="28" t="s">
        <v>509</v>
      </c>
      <c r="C236" s="44">
        <f>C230</f>
        <v>0.10367661655502314</v>
      </c>
      <c r="D236" s="44">
        <f t="shared" ref="D236:I236" si="109">D230</f>
        <v>9.4468199238793613E-2</v>
      </c>
      <c r="E236" s="44">
        <f t="shared" si="109"/>
        <v>0.15387063251168123</v>
      </c>
      <c r="F236" s="44">
        <f t="shared" si="109"/>
        <v>0</v>
      </c>
      <c r="G236" s="44">
        <f t="shared" si="109"/>
        <v>0.12389735769428806</v>
      </c>
      <c r="H236" s="44">
        <f t="shared" si="109"/>
        <v>5.398206928108016E-2</v>
      </c>
      <c r="I236" s="44">
        <f t="shared" si="109"/>
        <v>0</v>
      </c>
      <c r="J236" s="44"/>
      <c r="K236" s="71">
        <f>A230</f>
        <v>678</v>
      </c>
    </row>
    <row r="237" spans="1:11">
      <c r="A237" s="50">
        <f t="shared" si="85"/>
        <v>685</v>
      </c>
      <c r="B237" s="28" t="s">
        <v>510</v>
      </c>
      <c r="C237" s="47">
        <f t="shared" ref="C237:I237" si="110">IF(C$178,C225/C$178,0)</f>
        <v>13.326291242802379</v>
      </c>
      <c r="D237" s="47">
        <f t="shared" si="110"/>
        <v>10.889925456028378</v>
      </c>
      <c r="E237" s="47">
        <f t="shared" si="110"/>
        <v>21.235246650724552</v>
      </c>
      <c r="F237" s="47">
        <f t="shared" si="110"/>
        <v>0</v>
      </c>
      <c r="G237" s="47">
        <f t="shared" si="110"/>
        <v>17.327781035820571</v>
      </c>
      <c r="H237" s="47">
        <f t="shared" si="110"/>
        <v>11.211318189482345</v>
      </c>
      <c r="I237" s="47">
        <f t="shared" si="110"/>
        <v>0</v>
      </c>
      <c r="J237" s="47"/>
      <c r="K237" s="71" t="str">
        <f>A225&amp;"/"&amp;A$178</f>
        <v>673/626</v>
      </c>
    </row>
    <row r="238" spans="1:11">
      <c r="A238" s="50">
        <f t="shared" si="85"/>
        <v>686</v>
      </c>
      <c r="B238" s="28" t="s">
        <v>159</v>
      </c>
      <c r="C238" s="47">
        <f t="shared" ref="C238:I238" si="111">IF(C$179,C226/C$179,0)</f>
        <v>32.547199904629309</v>
      </c>
      <c r="D238" s="47">
        <f t="shared" si="111"/>
        <v>31.202635520988434</v>
      </c>
      <c r="E238" s="47">
        <f t="shared" si="111"/>
        <v>98.223264465216417</v>
      </c>
      <c r="F238" s="47">
        <f t="shared" si="111"/>
        <v>0</v>
      </c>
      <c r="G238" s="47">
        <f t="shared" si="111"/>
        <v>983.46414252039415</v>
      </c>
      <c r="H238" s="47">
        <f t="shared" si="111"/>
        <v>467.97209941924649</v>
      </c>
      <c r="I238" s="47">
        <f t="shared" si="111"/>
        <v>0</v>
      </c>
      <c r="J238" s="47"/>
      <c r="K238" s="71" t="str">
        <f>A226&amp;"/"&amp;A$179</f>
        <v>674/627</v>
      </c>
    </row>
    <row r="239" spans="1:11">
      <c r="A239" s="50">
        <f t="shared" si="85"/>
        <v>687</v>
      </c>
      <c r="K239" s="71"/>
    </row>
    <row r="240" spans="1:11">
      <c r="A240" s="50">
        <f t="shared" si="85"/>
        <v>688</v>
      </c>
      <c r="B240" s="1" t="s">
        <v>517</v>
      </c>
      <c r="K240" s="71"/>
    </row>
    <row r="241" spans="1:11">
      <c r="A241" s="50">
        <f t="shared" si="85"/>
        <v>689</v>
      </c>
      <c r="B241" s="28" t="s">
        <v>465</v>
      </c>
      <c r="C241" s="2">
        <f>SUM(D241:I241)</f>
        <v>22661472.689984493</v>
      </c>
      <c r="D241" s="2">
        <f t="shared" ref="D241:I241" si="112">D509</f>
        <v>14454213.423179539</v>
      </c>
      <c r="E241" s="2">
        <f t="shared" si="112"/>
        <v>5907578.2523620147</v>
      </c>
      <c r="F241" s="2">
        <f t="shared" si="112"/>
        <v>0</v>
      </c>
      <c r="G241" s="2">
        <f t="shared" si="112"/>
        <v>91842.513097792515</v>
      </c>
      <c r="H241" s="2">
        <f t="shared" si="112"/>
        <v>2207838.501345146</v>
      </c>
      <c r="I241" s="2">
        <f t="shared" si="112"/>
        <v>0</v>
      </c>
      <c r="J241" s="2"/>
      <c r="K241" s="71">
        <f>A509</f>
        <v>957</v>
      </c>
    </row>
    <row r="242" spans="1:11">
      <c r="A242" s="50">
        <f t="shared" si="85"/>
        <v>690</v>
      </c>
      <c r="B242" s="28" t="s">
        <v>158</v>
      </c>
      <c r="C242" s="2">
        <f>SUM(D242:I242)</f>
        <v>23950689.712612476</v>
      </c>
      <c r="D242" s="2">
        <f t="shared" ref="D242:I242" si="113">D516</f>
        <v>16353727.951747587</v>
      </c>
      <c r="E242" s="2">
        <f t="shared" si="113"/>
        <v>5535324.7651154017</v>
      </c>
      <c r="F242" s="2">
        <f t="shared" si="113"/>
        <v>0</v>
      </c>
      <c r="G242" s="2">
        <f t="shared" si="113"/>
        <v>69539.084043490831</v>
      </c>
      <c r="H242" s="2">
        <f t="shared" si="113"/>
        <v>1992097.911705998</v>
      </c>
      <c r="I242" s="2">
        <f t="shared" si="113"/>
        <v>0</v>
      </c>
      <c r="J242" s="2"/>
      <c r="K242" s="71">
        <f>A516</f>
        <v>964</v>
      </c>
    </row>
    <row r="243" spans="1:11">
      <c r="A243" s="50">
        <f t="shared" si="85"/>
        <v>691</v>
      </c>
      <c r="B243" s="28" t="s">
        <v>159</v>
      </c>
      <c r="C243" s="2">
        <f>SUM(D243:I243)</f>
        <v>69589837.597403035</v>
      </c>
      <c r="D243" s="2">
        <f t="shared" ref="D243:I243" si="114">D523</f>
        <v>66976171.880236983</v>
      </c>
      <c r="E243" s="2">
        <f t="shared" si="114"/>
        <v>2363411.7075417945</v>
      </c>
      <c r="F243" s="2">
        <f t="shared" si="114"/>
        <v>0</v>
      </c>
      <c r="G243" s="2">
        <f t="shared" si="114"/>
        <v>17394.359110530349</v>
      </c>
      <c r="H243" s="2">
        <f t="shared" si="114"/>
        <v>232859.65051372463</v>
      </c>
      <c r="I243" s="2">
        <f t="shared" si="114"/>
        <v>0</v>
      </c>
      <c r="J243" s="2"/>
      <c r="K243" s="71">
        <f>A523</f>
        <v>971</v>
      </c>
    </row>
    <row r="244" spans="1:11">
      <c r="A244" s="50">
        <f t="shared" si="85"/>
        <v>692</v>
      </c>
      <c r="B244" s="52" t="s">
        <v>491</v>
      </c>
      <c r="C244" s="4">
        <f>IF(ROUND(SUM(C241:C243),3)&lt;&gt;ROUND(SUM(D244:I244),3),#VALUE!,SUM(D244:I244))</f>
        <v>116202000.00000001</v>
      </c>
      <c r="D244" s="4">
        <f t="shared" ref="D244:I244" si="115">SUM(D240:D243)</f>
        <v>97784113.255164117</v>
      </c>
      <c r="E244" s="4">
        <f t="shared" si="115"/>
        <v>13806314.725019209</v>
      </c>
      <c r="F244" s="4">
        <f t="shared" si="115"/>
        <v>0</v>
      </c>
      <c r="G244" s="4">
        <f t="shared" si="115"/>
        <v>178775.95625181368</v>
      </c>
      <c r="H244" s="4">
        <f t="shared" si="115"/>
        <v>4432796.0635648686</v>
      </c>
      <c r="I244" s="4">
        <f t="shared" si="115"/>
        <v>0</v>
      </c>
      <c r="J244" s="5"/>
      <c r="K244" s="71" t="str">
        <f>A240&amp;":"&amp;A243</f>
        <v>688:691</v>
      </c>
    </row>
    <row r="245" spans="1:11">
      <c r="A245" s="50">
        <f t="shared" si="85"/>
        <v>693</v>
      </c>
      <c r="K245" s="71"/>
    </row>
    <row r="246" spans="1:11">
      <c r="A246" s="50">
        <f t="shared" si="85"/>
        <v>694</v>
      </c>
      <c r="B246" t="s">
        <v>518</v>
      </c>
      <c r="K246" s="71"/>
    </row>
    <row r="247" spans="1:11">
      <c r="A247" s="50">
        <f t="shared" si="85"/>
        <v>695</v>
      </c>
      <c r="B247" s="28" t="s">
        <v>465</v>
      </c>
      <c r="C247" s="44">
        <f>IF(C$177,C241/C$177,0)</f>
        <v>9.5471363316638094E-2</v>
      </c>
      <c r="D247" s="44">
        <f t="shared" ref="D247:I247" si="116">IF(D$177,D241/D$177,0)</f>
        <v>0.10507303444463587</v>
      </c>
      <c r="E247" s="44">
        <f t="shared" si="116"/>
        <v>9.58444253281346E-2</v>
      </c>
      <c r="F247" s="44">
        <f t="shared" si="116"/>
        <v>0</v>
      </c>
      <c r="G247" s="44">
        <f t="shared" si="116"/>
        <v>9.2471291060328517E-2</v>
      </c>
      <c r="H247" s="44">
        <f t="shared" si="116"/>
        <v>5.9398028755529041E-2</v>
      </c>
      <c r="I247" s="44">
        <f t="shared" si="116"/>
        <v>0</v>
      </c>
      <c r="J247" s="44"/>
      <c r="K247" s="71" t="str">
        <f>A241&amp;"/"&amp;A$177</f>
        <v>689/625</v>
      </c>
    </row>
    <row r="248" spans="1:11">
      <c r="A248" s="50">
        <f t="shared" si="85"/>
        <v>696</v>
      </c>
      <c r="B248" s="28" t="s">
        <v>158</v>
      </c>
      <c r="C248" s="44">
        <f t="shared" ref="C248:I248" si="117">IF(C$177,C242/C$177,0)</f>
        <v>0.10090275378473017</v>
      </c>
      <c r="D248" s="44">
        <f t="shared" si="117"/>
        <v>0.11888130955756919</v>
      </c>
      <c r="E248" s="44">
        <f t="shared" si="117"/>
        <v>8.9804992579650827E-2</v>
      </c>
      <c r="F248" s="44">
        <f t="shared" si="117"/>
        <v>0</v>
      </c>
      <c r="G248" s="44">
        <f t="shared" si="117"/>
        <v>7.0015166873834647E-2</v>
      </c>
      <c r="H248" s="44">
        <f t="shared" si="117"/>
        <v>5.359390597240269E-2</v>
      </c>
      <c r="I248" s="44">
        <f t="shared" si="117"/>
        <v>0</v>
      </c>
      <c r="J248" s="47"/>
      <c r="K248" s="71" t="str">
        <f>A242&amp;"/"&amp;A$177</f>
        <v>690/625</v>
      </c>
    </row>
    <row r="249" spans="1:11">
      <c r="A249" s="50">
        <f t="shared" si="85"/>
        <v>697</v>
      </c>
      <c r="B249" s="28" t="s">
        <v>159</v>
      </c>
      <c r="C249" s="44">
        <f t="shared" ref="C249:I249" si="118">IF(C$177,C243/C$177,0)</f>
        <v>0.29317762174140738</v>
      </c>
      <c r="D249" s="44">
        <f t="shared" si="118"/>
        <v>0.48687461634241985</v>
      </c>
      <c r="E249" s="44">
        <f t="shared" si="118"/>
        <v>3.8343941839883315E-2</v>
      </c>
      <c r="F249" s="44">
        <f t="shared" si="118"/>
        <v>0</v>
      </c>
      <c r="G249" s="44">
        <f t="shared" si="118"/>
        <v>1.7513445460764398E-2</v>
      </c>
      <c r="H249" s="44">
        <f t="shared" si="118"/>
        <v>6.2646811389464162E-3</v>
      </c>
      <c r="I249" s="44">
        <f t="shared" si="118"/>
        <v>0</v>
      </c>
      <c r="J249" s="47"/>
      <c r="K249" s="71" t="str">
        <f>A243&amp;"/"&amp;A$177</f>
        <v>691/625</v>
      </c>
    </row>
    <row r="250" spans="1:11">
      <c r="A250" s="50">
        <f t="shared" si="85"/>
        <v>698</v>
      </c>
      <c r="B250" s="52" t="s">
        <v>519</v>
      </c>
      <c r="C250" s="45">
        <f t="shared" ref="C250:I250" si="119">IF(C$177,C244/C$177,0)</f>
        <v>0.4895517388427757</v>
      </c>
      <c r="D250" s="45">
        <f t="shared" si="119"/>
        <v>0.71082896034462495</v>
      </c>
      <c r="E250" s="45">
        <f t="shared" si="119"/>
        <v>0.22399335974766871</v>
      </c>
      <c r="F250" s="45">
        <f t="shared" si="119"/>
        <v>0</v>
      </c>
      <c r="G250" s="45">
        <f t="shared" si="119"/>
        <v>0.17999990339492755</v>
      </c>
      <c r="H250" s="45">
        <f t="shared" si="119"/>
        <v>0.11925661586687815</v>
      </c>
      <c r="I250" s="45">
        <f t="shared" si="119"/>
        <v>0</v>
      </c>
      <c r="K250" s="71" t="str">
        <f>A244&amp;"/"&amp;A$177</f>
        <v>692/625</v>
      </c>
    </row>
    <row r="251" spans="1:11">
      <c r="A251" s="50">
        <f t="shared" si="85"/>
        <v>699</v>
      </c>
      <c r="B251" s="52"/>
      <c r="K251" s="71"/>
    </row>
    <row r="252" spans="1:11">
      <c r="A252" s="50">
        <f t="shared" si="85"/>
        <v>700</v>
      </c>
      <c r="B252" t="s">
        <v>520</v>
      </c>
      <c r="K252" s="71"/>
    </row>
    <row r="253" spans="1:11">
      <c r="A253" s="50">
        <f t="shared" si="85"/>
        <v>701</v>
      </c>
      <c r="B253" s="28" t="s">
        <v>465</v>
      </c>
      <c r="C253" s="44">
        <f>C247</f>
        <v>9.5471363316638094E-2</v>
      </c>
      <c r="D253" s="44">
        <f t="shared" ref="D253:I253" si="120">D247</f>
        <v>0.10507303444463587</v>
      </c>
      <c r="E253" s="44">
        <f t="shared" si="120"/>
        <v>9.58444253281346E-2</v>
      </c>
      <c r="F253" s="44">
        <f t="shared" si="120"/>
        <v>0</v>
      </c>
      <c r="G253" s="44">
        <f t="shared" si="120"/>
        <v>9.2471291060328517E-2</v>
      </c>
      <c r="H253" s="44">
        <f t="shared" si="120"/>
        <v>5.9398028755529041E-2</v>
      </c>
      <c r="I253" s="44">
        <f t="shared" si="120"/>
        <v>0</v>
      </c>
      <c r="J253" s="44"/>
      <c r="K253" s="71">
        <f>A247</f>
        <v>695</v>
      </c>
    </row>
    <row r="254" spans="1:11">
      <c r="A254" s="50">
        <f t="shared" si="85"/>
        <v>702</v>
      </c>
      <c r="B254" s="28" t="s">
        <v>158</v>
      </c>
      <c r="C254" s="47">
        <f t="shared" ref="C254:I254" si="121">IF(C$178,C242/C$178,0)</f>
        <v>12.380638920886174</v>
      </c>
      <c r="D254" s="47">
        <f t="shared" si="121"/>
        <v>12.380638920886176</v>
      </c>
      <c r="E254" s="47">
        <f t="shared" si="121"/>
        <v>12.380638920886174</v>
      </c>
      <c r="F254" s="47">
        <f t="shared" si="121"/>
        <v>0</v>
      </c>
      <c r="G254" s="47">
        <f t="shared" si="121"/>
        <v>12.380638920886179</v>
      </c>
      <c r="H254" s="47">
        <f t="shared" si="121"/>
        <v>12.380638920886172</v>
      </c>
      <c r="I254" s="47">
        <f t="shared" si="121"/>
        <v>0</v>
      </c>
      <c r="J254" s="47"/>
      <c r="K254" s="71" t="str">
        <f>A242&amp;"/"&amp;A$178</f>
        <v>690/626</v>
      </c>
    </row>
    <row r="255" spans="1:11">
      <c r="A255" s="50">
        <f t="shared" si="85"/>
        <v>703</v>
      </c>
      <c r="B255" s="28" t="s">
        <v>159</v>
      </c>
      <c r="C255" s="47">
        <f>IF(C$179,C243/C$179,0)</f>
        <v>34.415096415041432</v>
      </c>
      <c r="D255" s="47">
        <f t="shared" ref="D255:I255" si="122">IF(D$179,D243/D$179,0)</f>
        <v>33.752383982896561</v>
      </c>
      <c r="E255" s="47">
        <f t="shared" si="122"/>
        <v>63.440481761469762</v>
      </c>
      <c r="F255" s="47">
        <f t="shared" si="122"/>
        <v>0</v>
      </c>
      <c r="G255" s="47">
        <f t="shared" si="122"/>
        <v>724.7649629387646</v>
      </c>
      <c r="H255" s="47">
        <f t="shared" si="122"/>
        <v>510.65712831957154</v>
      </c>
      <c r="I255" s="47">
        <f t="shared" si="122"/>
        <v>0</v>
      </c>
      <c r="J255" s="47"/>
      <c r="K255" s="71" t="str">
        <f>A243&amp;"/"&amp;A$179</f>
        <v>691/627</v>
      </c>
    </row>
    <row r="256" spans="1:11">
      <c r="A256" s="50">
        <f t="shared" si="85"/>
        <v>704</v>
      </c>
      <c r="B256" s="52"/>
      <c r="K256" s="71"/>
    </row>
    <row r="257" spans="1:11">
      <c r="A257" s="50">
        <f t="shared" si="85"/>
        <v>705</v>
      </c>
      <c r="B257" s="1" t="s">
        <v>1192</v>
      </c>
      <c r="C257" s="88">
        <f t="shared" ref="C257:I257" si="123">IF(C244,C227/C244,0)</f>
        <v>0.9999999997361525</v>
      </c>
      <c r="D257" s="88">
        <f t="shared" si="123"/>
        <v>0.91320160610817136</v>
      </c>
      <c r="E257" s="88">
        <f t="shared" si="123"/>
        <v>1.6396508856199792</v>
      </c>
      <c r="F257" s="88">
        <f t="shared" si="123"/>
        <v>0</v>
      </c>
      <c r="G257" s="88">
        <f t="shared" si="123"/>
        <v>1.36474743441767</v>
      </c>
      <c r="H257" s="88">
        <f t="shared" si="123"/>
        <v>0.90774997123803547</v>
      </c>
      <c r="I257" s="88">
        <f t="shared" si="123"/>
        <v>0</v>
      </c>
      <c r="J257" s="35"/>
      <c r="K257" s="71" t="str">
        <f>A227&amp;"/"&amp;A244</f>
        <v>675/692</v>
      </c>
    </row>
    <row r="258" spans="1:11">
      <c r="A258" s="50">
        <f t="shared" si="85"/>
        <v>706</v>
      </c>
      <c r="B258" s="1"/>
      <c r="C258" s="35"/>
      <c r="D258" s="35"/>
      <c r="E258" s="35"/>
      <c r="F258" s="35"/>
      <c r="G258" s="35"/>
      <c r="H258" s="35"/>
      <c r="I258" s="35"/>
      <c r="J258" s="35"/>
      <c r="K258" s="71"/>
    </row>
    <row r="259" spans="1:11">
      <c r="A259" s="50">
        <f t="shared" si="85"/>
        <v>707</v>
      </c>
      <c r="K259" s="71"/>
    </row>
    <row r="260" spans="1:11">
      <c r="A260" s="50">
        <f t="shared" si="85"/>
        <v>708</v>
      </c>
      <c r="B260" s="1"/>
      <c r="K260" s="71"/>
    </row>
    <row r="261" spans="1:11">
      <c r="A261" s="50">
        <f t="shared" si="85"/>
        <v>709</v>
      </c>
      <c r="B261" s="1"/>
      <c r="K261" s="71"/>
    </row>
    <row r="262" spans="1:11">
      <c r="A262" s="50">
        <f t="shared" ref="A262:A325" si="124">Pg1Row+ROW(A262)</f>
        <v>710</v>
      </c>
      <c r="B262" s="1"/>
      <c r="K262" s="71"/>
    </row>
    <row r="263" spans="1:11">
      <c r="A263" s="50">
        <f t="shared" si="124"/>
        <v>711</v>
      </c>
      <c r="B263" s="1"/>
      <c r="K263" s="71"/>
    </row>
    <row r="264" spans="1:11">
      <c r="A264" s="50">
        <f t="shared" si="124"/>
        <v>712</v>
      </c>
      <c r="B264" s="1"/>
      <c r="K264" s="71"/>
    </row>
    <row r="265" spans="1:11">
      <c r="A265" s="50">
        <f t="shared" si="124"/>
        <v>713</v>
      </c>
      <c r="B265" s="1"/>
      <c r="K265" s="71"/>
    </row>
    <row r="266" spans="1:11">
      <c r="A266" s="50">
        <f t="shared" si="124"/>
        <v>714</v>
      </c>
      <c r="B266" s="1"/>
      <c r="K266" s="71"/>
    </row>
    <row r="267" spans="1:11">
      <c r="A267" s="50">
        <f t="shared" si="124"/>
        <v>715</v>
      </c>
      <c r="B267" s="1"/>
      <c r="K267" s="71"/>
    </row>
    <row r="268" spans="1:11">
      <c r="A268" s="50">
        <f t="shared" si="124"/>
        <v>716</v>
      </c>
      <c r="B268" s="1"/>
      <c r="K268" s="71"/>
    </row>
    <row r="269" spans="1:11">
      <c r="A269" s="50">
        <f t="shared" si="124"/>
        <v>717</v>
      </c>
      <c r="B269" t="s">
        <v>460</v>
      </c>
      <c r="C269" s="21">
        <f>SUM(D269:I269)</f>
        <v>25583129.109055188</v>
      </c>
      <c r="D269" s="2">
        <f>Detail!I$148</f>
        <v>18622098.234295655</v>
      </c>
      <c r="E269" s="2">
        <f>Detail!J$148</f>
        <v>6508133.3906098679</v>
      </c>
      <c r="F269" s="2">
        <f>Detail!K$148</f>
        <v>0</v>
      </c>
      <c r="G269" s="2">
        <f>Detail!L$148</f>
        <v>94273.707441971957</v>
      </c>
      <c r="H269" s="2">
        <f>Detail!M$148</f>
        <v>358623.77670769487</v>
      </c>
      <c r="I269" s="2">
        <f>Detail!N$148</f>
        <v>0</v>
      </c>
      <c r="J269" s="2"/>
      <c r="K269" s="71">
        <f>Detail!$A148</f>
        <v>148</v>
      </c>
    </row>
    <row r="270" spans="1:11">
      <c r="A270" s="50">
        <f t="shared" si="124"/>
        <v>718</v>
      </c>
      <c r="B270" t="s">
        <v>167</v>
      </c>
      <c r="C270" s="21">
        <f>SUM(D270:I270)</f>
        <v>309238015.64858615</v>
      </c>
      <c r="D270" s="2">
        <f>SUM(Detail!I$149:I$150)</f>
        <v>243435567.36827186</v>
      </c>
      <c r="E270" s="2">
        <f>SUM(Detail!J$149:J$150)</f>
        <v>46531684.83680103</v>
      </c>
      <c r="F270" s="2">
        <f>SUM(Detail!K$149:K$150)</f>
        <v>0</v>
      </c>
      <c r="G270" s="2">
        <f>SUM(Detail!L$149:L$150)</f>
        <v>614455.01445345476</v>
      </c>
      <c r="H270" s="2">
        <f>SUM(Detail!M$149:M$150)</f>
        <v>18656308.429059774</v>
      </c>
      <c r="I270" s="2">
        <f>SUM(Detail!N$149:N$150)</f>
        <v>0</v>
      </c>
      <c r="J270" s="2"/>
      <c r="K270" s="71" t="str">
        <f>Detail!A149&amp;":"&amp;Detail!A150</f>
        <v>149:150</v>
      </c>
    </row>
    <row r="271" spans="1:11">
      <c r="A271" s="50">
        <f t="shared" si="124"/>
        <v>719</v>
      </c>
      <c r="B271" t="s">
        <v>170</v>
      </c>
      <c r="C271" s="2">
        <f>SUM(D271:I271)</f>
        <v>118818855.24235861</v>
      </c>
      <c r="D271" s="2">
        <f>Detail!I$151</f>
        <v>104103042.92200409</v>
      </c>
      <c r="E271" s="2">
        <f>Detail!J$151</f>
        <v>11101424.746287759</v>
      </c>
      <c r="F271" s="2">
        <f>Detail!K$151</f>
        <v>0</v>
      </c>
      <c r="G271" s="2">
        <f>Detail!L$151</f>
        <v>138953.14345436907</v>
      </c>
      <c r="H271" s="2">
        <f>Detail!M$151</f>
        <v>3475434.4306123853</v>
      </c>
      <c r="I271" s="2">
        <f>Detail!N$151</f>
        <v>0</v>
      </c>
      <c r="J271" s="2"/>
      <c r="K271" s="71">
        <f>Detail!$A151</f>
        <v>151</v>
      </c>
    </row>
    <row r="272" spans="1:11">
      <c r="A272" s="50">
        <f t="shared" si="124"/>
        <v>720</v>
      </c>
      <c r="B272" s="28" t="s">
        <v>110</v>
      </c>
      <c r="C272" s="4">
        <f>IF(ROUND(SUM(C269:C271),3)&lt;&gt;ROUND(SUM(D272:I272),3),#VALUE!,SUM(D272:I272))</f>
        <v>453639999.99999988</v>
      </c>
      <c r="D272" s="4">
        <f t="shared" ref="D272:I272" si="125">SUM(D269:D271)</f>
        <v>366160708.5245716</v>
      </c>
      <c r="E272" s="4">
        <f t="shared" si="125"/>
        <v>64141242.973698661</v>
      </c>
      <c r="F272" s="4">
        <f t="shared" si="125"/>
        <v>0</v>
      </c>
      <c r="G272" s="4">
        <f t="shared" si="125"/>
        <v>847681.86534979579</v>
      </c>
      <c r="H272" s="4">
        <f t="shared" si="125"/>
        <v>22490366.636379853</v>
      </c>
      <c r="I272" s="4">
        <f t="shared" si="125"/>
        <v>0</v>
      </c>
      <c r="J272" s="2"/>
      <c r="K272" s="71" t="str">
        <f>A269&amp;":"&amp;A271</f>
        <v>717:719</v>
      </c>
    </row>
    <row r="273" spans="1:12">
      <c r="A273" s="50">
        <f t="shared" si="124"/>
        <v>721</v>
      </c>
      <c r="C273" s="43"/>
      <c r="D273" s="43"/>
      <c r="E273" s="43"/>
      <c r="F273" s="43"/>
      <c r="G273" s="43"/>
      <c r="H273" s="43"/>
      <c r="I273" s="43"/>
      <c r="J273" s="43"/>
      <c r="K273" s="71"/>
    </row>
    <row r="274" spans="1:12">
      <c r="A274" s="50">
        <f t="shared" si="124"/>
        <v>722</v>
      </c>
      <c r="B274" s="30" t="s">
        <v>146</v>
      </c>
      <c r="C274" s="43"/>
      <c r="D274" s="43"/>
      <c r="E274" s="43"/>
      <c r="F274" s="43"/>
      <c r="G274" s="43"/>
      <c r="H274" s="43"/>
      <c r="I274" s="43"/>
      <c r="J274" s="43"/>
      <c r="K274" s="71"/>
    </row>
    <row r="275" spans="1:12">
      <c r="A275" s="50">
        <f t="shared" si="124"/>
        <v>723</v>
      </c>
      <c r="B275" s="30" t="str">
        <f>"Line "&amp;A109</f>
        <v>Line 557</v>
      </c>
      <c r="K275" s="71"/>
    </row>
    <row r="276" spans="1:12">
      <c r="A276" s="50">
        <f t="shared" si="124"/>
        <v>724</v>
      </c>
      <c r="B276" t="s">
        <v>472</v>
      </c>
      <c r="C276" s="21">
        <f>SUM(D276:I276)</f>
        <v>1000</v>
      </c>
      <c r="D276" s="21">
        <f>Detail!AT175</f>
        <v>743.03274753938524</v>
      </c>
      <c r="E276" s="21">
        <f>Detail!AU175</f>
        <v>253.2972158481291</v>
      </c>
      <c r="F276" s="21">
        <f>Detail!AV175</f>
        <v>0</v>
      </c>
      <c r="G276" s="21">
        <f>Detail!AW175</f>
        <v>3.6700366124856116</v>
      </c>
      <c r="H276" s="21">
        <f>Detail!AX175</f>
        <v>0</v>
      </c>
      <c r="I276" s="21">
        <f>Detail!AY175</f>
        <v>0</v>
      </c>
      <c r="J276" s="2"/>
      <c r="K276" s="71" t="str">
        <f>Detail!AY$1&amp;Detail!A175</f>
        <v>AY175</v>
      </c>
    </row>
    <row r="277" spans="1:12">
      <c r="A277" s="50">
        <f t="shared" si="124"/>
        <v>725</v>
      </c>
      <c r="B277" t="s">
        <v>473</v>
      </c>
      <c r="C277" s="21">
        <f>SUM(D277:I277)</f>
        <v>0</v>
      </c>
      <c r="D277" s="21">
        <f>Detail!BB175</f>
        <v>0</v>
      </c>
      <c r="E277" s="21">
        <f>Detail!BC175</f>
        <v>0</v>
      </c>
      <c r="F277" s="21">
        <f>Detail!BD175</f>
        <v>0</v>
      </c>
      <c r="G277" s="21">
        <f>Detail!BE175</f>
        <v>0</v>
      </c>
      <c r="H277" s="21">
        <f>Detail!BF175</f>
        <v>0</v>
      </c>
      <c r="I277" s="21">
        <f>Detail!BG175</f>
        <v>0</v>
      </c>
      <c r="J277" s="2"/>
      <c r="K277" s="71" t="str">
        <f>Detail!BG$1&amp;Detail!A175</f>
        <v>BG175</v>
      </c>
    </row>
    <row r="278" spans="1:12">
      <c r="A278" s="50">
        <f t="shared" si="124"/>
        <v>726</v>
      </c>
      <c r="B278" t="s">
        <v>474</v>
      </c>
      <c r="C278" s="21">
        <f>SUM(D278:I278)</f>
        <v>994999.99999999988</v>
      </c>
      <c r="D278" s="21">
        <f>SUMIF(Detail!$C$172:$C$433,$L278,Detail!I$172:I$433)-D276-D277</f>
        <v>664485.11232285877</v>
      </c>
      <c r="E278" s="21">
        <f>SUMIF(Detail!$C$172:$C$433,$L278,Detail!J$172:J$433)-E276-E277</f>
        <v>292457.52240923216</v>
      </c>
      <c r="F278" s="21">
        <f>SUMIF(Detail!$C$172:$C$433,$L278,Detail!K$172:K$433)-F276-F277</f>
        <v>0</v>
      </c>
      <c r="G278" s="21">
        <f>SUMIF(Detail!$C$172:$C$433,$L278,Detail!L$172:L$433)-G276-G277</f>
        <v>4618.1367581319337</v>
      </c>
      <c r="H278" s="21">
        <f>SUMIF(Detail!$C$172:$C$433,$L278,Detail!M$172:M$433)-H276-H277</f>
        <v>33439.228509777131</v>
      </c>
      <c r="I278" s="21">
        <f>SUMIF(Detail!$C$172:$C$433,$L278,Detail!N$172:N$433)-I276-I277</f>
        <v>0</v>
      </c>
      <c r="J278" s="2"/>
      <c r="K278" s="71" t="str">
        <f>Detail!A$172&amp;":"&amp;Detail!A$433&amp;", col "&amp;Detail!C$1&amp;"= "</f>
        <v xml:space="preserve">172:433, col C= </v>
      </c>
      <c r="L278" s="11" t="s">
        <v>154</v>
      </c>
    </row>
    <row r="279" spans="1:12">
      <c r="A279" s="50">
        <f t="shared" si="124"/>
        <v>727</v>
      </c>
      <c r="B279" s="28" t="s">
        <v>177</v>
      </c>
      <c r="C279" s="48">
        <f t="shared" ref="C279:I279" si="126">SUM(C276:C278)</f>
        <v>995999.99999999988</v>
      </c>
      <c r="D279" s="48">
        <f t="shared" si="126"/>
        <v>665228.14507039811</v>
      </c>
      <c r="E279" s="4">
        <f t="shared" si="126"/>
        <v>292710.81962508027</v>
      </c>
      <c r="F279" s="4">
        <f t="shared" si="126"/>
        <v>0</v>
      </c>
      <c r="G279" s="4">
        <f t="shared" si="126"/>
        <v>4621.8067947444197</v>
      </c>
      <c r="H279" s="4">
        <f t="shared" si="126"/>
        <v>33439.228509777131</v>
      </c>
      <c r="I279" s="4">
        <f t="shared" si="126"/>
        <v>0</v>
      </c>
      <c r="J279" s="5"/>
      <c r="K279" s="71" t="str">
        <f>A276&amp;":"&amp;A278</f>
        <v>724:726</v>
      </c>
    </row>
    <row r="280" spans="1:12">
      <c r="A280" s="50">
        <f t="shared" si="124"/>
        <v>728</v>
      </c>
      <c r="B280" t="s">
        <v>162</v>
      </c>
      <c r="C280" s="21">
        <f>SUM(D280:I280)</f>
        <v>45770.528467290314</v>
      </c>
      <c r="D280" s="21">
        <f t="shared" ref="D280:I280" si="127">D279*D$93</f>
        <v>30570.124248180109</v>
      </c>
      <c r="E280" s="21">
        <f t="shared" si="127"/>
        <v>13451.33423929078</v>
      </c>
      <c r="F280" s="21">
        <f t="shared" si="127"/>
        <v>0</v>
      </c>
      <c r="G280" s="21">
        <f t="shared" si="127"/>
        <v>212.39210790076828</v>
      </c>
      <c r="H280" s="21">
        <f t="shared" si="127"/>
        <v>1536.6778719186545</v>
      </c>
      <c r="I280" s="21">
        <f t="shared" si="127"/>
        <v>0</v>
      </c>
      <c r="J280" s="2"/>
      <c r="K280" s="71" t="str">
        <f>A279&amp;"*"&amp;A$93</f>
        <v>727*541</v>
      </c>
    </row>
    <row r="281" spans="1:12">
      <c r="A281" s="50">
        <f t="shared" si="124"/>
        <v>729</v>
      </c>
      <c r="B281" s="28" t="s">
        <v>164</v>
      </c>
      <c r="C281" s="48">
        <f>IF(ROUND(SUM(C279:C280),3)&lt;&gt;ROUND(SUM(D281:I281),3),#VALUE!,SUM(C279:C280))</f>
        <v>1041770.5284672902</v>
      </c>
      <c r="D281" s="48">
        <f t="shared" ref="D281:I281" si="128">SUM(D279:D280)</f>
        <v>695798.26931857818</v>
      </c>
      <c r="E281" s="4">
        <f t="shared" si="128"/>
        <v>306162.15386437107</v>
      </c>
      <c r="F281" s="4">
        <f t="shared" si="128"/>
        <v>0</v>
      </c>
      <c r="G281" s="4">
        <f t="shared" si="128"/>
        <v>4834.1989026451884</v>
      </c>
      <c r="H281" s="4">
        <f t="shared" si="128"/>
        <v>34975.906381695786</v>
      </c>
      <c r="I281" s="4">
        <f t="shared" si="128"/>
        <v>0</v>
      </c>
      <c r="J281" s="5"/>
      <c r="K281" s="71" t="str">
        <f>A279&amp;":"&amp;A280</f>
        <v>727:728</v>
      </c>
    </row>
    <row r="282" spans="1:12">
      <c r="A282" s="50">
        <f t="shared" si="124"/>
        <v>730</v>
      </c>
      <c r="C282" s="21"/>
      <c r="D282" s="21"/>
      <c r="E282" s="2"/>
      <c r="F282" s="2"/>
      <c r="G282" s="2"/>
      <c r="H282" s="2"/>
      <c r="I282" s="2"/>
      <c r="J282" s="2"/>
      <c r="K282" s="71"/>
    </row>
    <row r="283" spans="1:12">
      <c r="A283" s="50">
        <f t="shared" si="124"/>
        <v>731</v>
      </c>
      <c r="B283" s="30" t="str">
        <f>"Line "&amp;A110</f>
        <v>Line 558</v>
      </c>
      <c r="C283" s="49"/>
      <c r="D283" s="49"/>
      <c r="K283" s="71"/>
    </row>
    <row r="284" spans="1:12">
      <c r="A284" s="50">
        <f t="shared" si="124"/>
        <v>732</v>
      </c>
      <c r="B284" t="s">
        <v>461</v>
      </c>
      <c r="C284" s="21">
        <f t="shared" ref="C284:C289" si="129">SUM(D284:I284)</f>
        <v>3676999.9999999995</v>
      </c>
      <c r="D284" s="21">
        <f>SUMIF(Detail!$C$172:$C$433,$L284,Detail!I$172:I$433)</f>
        <v>2676508.2142852037</v>
      </c>
      <c r="E284" s="21">
        <f>SUMIF(Detail!$C$172:$C$433,$L284,Detail!J$172:J$433)</f>
        <v>935397.94820494717</v>
      </c>
      <c r="F284" s="21">
        <f>SUMIF(Detail!$C$172:$C$433,$L284,Detail!K$172:K$433)</f>
        <v>0</v>
      </c>
      <c r="G284" s="21">
        <f>SUMIF(Detail!$C$172:$C$433,$L284,Detail!L$172:L$433)</f>
        <v>13549.727274817042</v>
      </c>
      <c r="H284" s="21">
        <f>SUMIF(Detail!$C$172:$C$433,$L284,Detail!M$172:M$433)</f>
        <v>51544.110235031891</v>
      </c>
      <c r="I284" s="21">
        <f>SUMIF(Detail!$C$172:$C$433,$L284,Detail!N$172:N$433)</f>
        <v>0</v>
      </c>
      <c r="J284" s="2"/>
      <c r="K284" s="71" t="str">
        <f>Detail!A$172&amp;":"&amp;Detail!A$433&amp;", col "&amp;Detail!C$1&amp;"= "</f>
        <v xml:space="preserve">172:433, col C= </v>
      </c>
      <c r="L284" s="11" t="s">
        <v>395</v>
      </c>
    </row>
    <row r="285" spans="1:12">
      <c r="A285" s="50">
        <f t="shared" si="124"/>
        <v>733</v>
      </c>
      <c r="B285" t="s">
        <v>478</v>
      </c>
      <c r="C285" s="21">
        <f t="shared" si="129"/>
        <v>-198398.39565659154</v>
      </c>
      <c r="D285" s="21">
        <f>Detail!I440</f>
        <v>-144415.26670543192</v>
      </c>
      <c r="E285" s="21">
        <f>Detail!J440</f>
        <v>-50470.887197261094</v>
      </c>
      <c r="F285" s="21">
        <f>Detail!K440</f>
        <v>0</v>
      </c>
      <c r="G285" s="21">
        <f>Detail!L440</f>
        <v>-731.09713160404169</v>
      </c>
      <c r="H285" s="21">
        <f>Detail!M440</f>
        <v>-2781.1446222944869</v>
      </c>
      <c r="I285" s="21">
        <f>Detail!N440</f>
        <v>0</v>
      </c>
      <c r="J285" s="2"/>
      <c r="K285" s="71">
        <f>Detail!A440</f>
        <v>440</v>
      </c>
      <c r="L285" s="11"/>
    </row>
    <row r="286" spans="1:12">
      <c r="A286" s="50">
        <f t="shared" si="124"/>
        <v>734</v>
      </c>
      <c r="B286" s="28" t="s">
        <v>462</v>
      </c>
      <c r="C286" s="48">
        <f t="shared" ref="C286:I286" si="130">SUM(C284:C285)</f>
        <v>3478601.6043434078</v>
      </c>
      <c r="D286" s="48">
        <f t="shared" si="130"/>
        <v>2532092.9475797717</v>
      </c>
      <c r="E286" s="4">
        <f t="shared" si="130"/>
        <v>884927.06100768608</v>
      </c>
      <c r="F286" s="4">
        <f t="shared" si="130"/>
        <v>0</v>
      </c>
      <c r="G286" s="4">
        <f t="shared" si="130"/>
        <v>12818.630143213</v>
      </c>
      <c r="H286" s="4">
        <f t="shared" si="130"/>
        <v>48762.965612737404</v>
      </c>
      <c r="I286" s="4">
        <f t="shared" si="130"/>
        <v>0</v>
      </c>
      <c r="J286" s="5"/>
      <c r="K286" s="71" t="str">
        <f>A284&amp;":"&amp;A285</f>
        <v>732:733</v>
      </c>
    </row>
    <row r="287" spans="1:12">
      <c r="A287" s="50">
        <f t="shared" si="124"/>
        <v>735</v>
      </c>
      <c r="B287" t="s">
        <v>143</v>
      </c>
      <c r="C287" s="21">
        <f t="shared" si="129"/>
        <v>207714.06022035374</v>
      </c>
      <c r="D287" s="21">
        <f>Detail!I$415*IF(D$272,D269/D$272,0)</f>
        <v>37758.053768693404</v>
      </c>
      <c r="E287" s="21">
        <f>Detail!J$415*IF(E$272,E269/E$272,0)</f>
        <v>166924.11742316748</v>
      </c>
      <c r="F287" s="21">
        <f>Detail!K$415*IF(F$272,F269/F$272,0)</f>
        <v>0</v>
      </c>
      <c r="G287" s="21">
        <f>Detail!L$415*IF(G$272,G269/G$272,0)</f>
        <v>1613.7603050321582</v>
      </c>
      <c r="H287" s="21">
        <f>Detail!M$415*IF(H$272,H269/H$272,0)</f>
        <v>1418.1287234606737</v>
      </c>
      <c r="I287" s="21">
        <f>Detail!N$415*IF(I$272,I269/I$272,0)</f>
        <v>0</v>
      </c>
      <c r="J287" s="2"/>
      <c r="K287" s="71" t="str">
        <f>Detail!A$415&amp;"*"&amp;A269&amp;"/"&amp;A$272</f>
        <v>415*717/720</v>
      </c>
    </row>
    <row r="288" spans="1:12">
      <c r="A288" s="50">
        <f t="shared" si="124"/>
        <v>736</v>
      </c>
      <c r="B288" t="s">
        <v>163</v>
      </c>
      <c r="C288" s="21">
        <f>SUM(D288:I288)</f>
        <v>1671024.2890594807</v>
      </c>
      <c r="D288" s="21">
        <f t="shared" ref="D288:I288" si="131">D$49*D269</f>
        <v>646333.52147148363</v>
      </c>
      <c r="E288" s="2">
        <f t="shared" si="131"/>
        <v>998351.06600744778</v>
      </c>
      <c r="F288" s="2">
        <f t="shared" si="131"/>
        <v>0</v>
      </c>
      <c r="G288" s="2">
        <f t="shared" si="131"/>
        <v>10420.506148355547</v>
      </c>
      <c r="H288" s="2">
        <f t="shared" si="131"/>
        <v>15919.195432193565</v>
      </c>
      <c r="I288" s="2">
        <f t="shared" si="131"/>
        <v>0</v>
      </c>
      <c r="J288" s="2"/>
      <c r="K288" s="71" t="str">
        <f>A$49&amp;"*"&amp;A269</f>
        <v>497*717</v>
      </c>
    </row>
    <row r="289" spans="1:12">
      <c r="A289" s="50">
        <f t="shared" si="124"/>
        <v>737</v>
      </c>
      <c r="B289" t="s">
        <v>162</v>
      </c>
      <c r="C289" s="21">
        <f t="shared" si="129"/>
        <v>246193.05306853852</v>
      </c>
      <c r="D289" s="21">
        <f t="shared" ref="D289:I289" si="132">SUM(D286:D288)*D$93</f>
        <v>147797.65588131425</v>
      </c>
      <c r="E289" s="2">
        <f t="shared" si="132"/>
        <v>94215.703004784897</v>
      </c>
      <c r="F289" s="2">
        <f t="shared" si="132"/>
        <v>0</v>
      </c>
      <c r="G289" s="2">
        <f t="shared" si="132"/>
        <v>1142.0986055917017</v>
      </c>
      <c r="H289" s="2">
        <f t="shared" si="132"/>
        <v>3037.5955768476988</v>
      </c>
      <c r="I289" s="2">
        <f t="shared" si="132"/>
        <v>0</v>
      </c>
      <c r="J289" s="2"/>
      <c r="K289" s="71" t="str">
        <f>A286&amp;":"&amp;A288&amp;"*"&amp;A$93</f>
        <v>734:736*541</v>
      </c>
    </row>
    <row r="290" spans="1:12">
      <c r="A290" s="50">
        <f t="shared" si="124"/>
        <v>738</v>
      </c>
      <c r="B290" s="28" t="s">
        <v>463</v>
      </c>
      <c r="C290" s="48">
        <f>IF(ROUND(SUM(C286:C289),3)&lt;&gt;ROUND(SUM(D290:I290),3),#VALUE!,SUM(C286:C289))</f>
        <v>5603533.0066917809</v>
      </c>
      <c r="D290" s="48">
        <f t="shared" ref="D290:I290" si="133">SUM(D286:D289)</f>
        <v>3363982.1787012629</v>
      </c>
      <c r="E290" s="4">
        <f t="shared" si="133"/>
        <v>2144417.9474430862</v>
      </c>
      <c r="F290" s="4">
        <f t="shared" si="133"/>
        <v>0</v>
      </c>
      <c r="G290" s="4">
        <f t="shared" si="133"/>
        <v>25994.995202192407</v>
      </c>
      <c r="H290" s="4">
        <f t="shared" si="133"/>
        <v>69137.885345239338</v>
      </c>
      <c r="I290" s="4">
        <f t="shared" si="133"/>
        <v>0</v>
      </c>
      <c r="J290" s="5"/>
      <c r="K290" s="71" t="str">
        <f>A286&amp;":"&amp;A289</f>
        <v>734:737</v>
      </c>
    </row>
    <row r="291" spans="1:12">
      <c r="A291" s="50">
        <f t="shared" si="124"/>
        <v>739</v>
      </c>
      <c r="C291" s="21"/>
      <c r="D291" s="21"/>
      <c r="E291" s="2"/>
      <c r="F291" s="2"/>
      <c r="G291" s="2"/>
      <c r="H291" s="2"/>
      <c r="I291" s="2"/>
      <c r="J291" s="2"/>
      <c r="K291" s="71"/>
    </row>
    <row r="292" spans="1:12">
      <c r="A292" s="50">
        <f t="shared" si="124"/>
        <v>740</v>
      </c>
      <c r="B292" s="30" t="str">
        <f>"Line "&amp;A111</f>
        <v>Line 559</v>
      </c>
      <c r="C292" s="49"/>
      <c r="D292" s="49"/>
      <c r="K292" s="71"/>
    </row>
    <row r="293" spans="1:12">
      <c r="A293" s="50">
        <f t="shared" si="124"/>
        <v>741</v>
      </c>
      <c r="B293" t="s">
        <v>165</v>
      </c>
      <c r="C293" s="21">
        <f t="shared" ref="C293:C300" si="134">SUM(D293:I293)</f>
        <v>30617999.999999996</v>
      </c>
      <c r="D293" s="21">
        <f>SUMIF(Detail!$C$172:$C$433,$L293,Detail!I$172:I$433)</f>
        <v>25043666.841615681</v>
      </c>
      <c r="E293" s="21">
        <f>SUMIF(Detail!$C$172:$C$433,$L293,Detail!J$172:J$433)</f>
        <v>3986651.2265121513</v>
      </c>
      <c r="F293" s="21">
        <f>SUMIF(Detail!$C$172:$C$433,$L293,Detail!K$172:K$433)</f>
        <v>0</v>
      </c>
      <c r="G293" s="21">
        <f>SUMIF(Detail!$C$172:$C$433,$L293,Detail!L$172:L$433)</f>
        <v>51445.996974699665</v>
      </c>
      <c r="H293" s="21">
        <f>SUMIF(Detail!$C$172:$C$433,$L293,Detail!M$172:M$433)</f>
        <v>1536235.9348974649</v>
      </c>
      <c r="I293" s="21">
        <f>SUMIF(Detail!$C$172:$C$433,$L293,Detail!N$172:N$433)</f>
        <v>0</v>
      </c>
      <c r="J293" s="2"/>
      <c r="K293" s="71" t="str">
        <f>Detail!A$172&amp;":"&amp;Detail!A$433&amp;", col "&amp;Detail!C$1&amp;"= "</f>
        <v xml:space="preserve">172:433, col C= </v>
      </c>
      <c r="L293" s="11" t="s">
        <v>155</v>
      </c>
    </row>
    <row r="294" spans="1:12">
      <c r="A294" s="50">
        <f t="shared" si="124"/>
        <v>742</v>
      </c>
      <c r="B294" t="s">
        <v>482</v>
      </c>
      <c r="C294" s="21">
        <f t="shared" si="134"/>
        <v>7870000.0000000009</v>
      </c>
      <c r="D294" s="21">
        <f>SUMIF(Detail!$C$172:$C$433,$L294,Detail!I$172:I$433)</f>
        <v>7723137.5573483258</v>
      </c>
      <c r="E294" s="21">
        <f>SUMIF(Detail!$C$172:$C$433,$L294,Detail!J$172:J$433)</f>
        <v>144994.2608402367</v>
      </c>
      <c r="F294" s="21">
        <f>SUMIF(Detail!$C$172:$C$433,$L294,Detail!K$172:K$433)</f>
        <v>0</v>
      </c>
      <c r="G294" s="21">
        <f>SUMIF(Detail!$C$172:$C$433,$L294,Detail!L$172:L$433)</f>
        <v>93.409090571903178</v>
      </c>
      <c r="H294" s="21">
        <f>SUMIF(Detail!$C$172:$C$433,$L294,Detail!M$172:M$433)</f>
        <v>1774.7727208661606</v>
      </c>
      <c r="I294" s="21">
        <f>SUMIF(Detail!$C$172:$C$433,$L294,Detail!N$172:N$433)</f>
        <v>0</v>
      </c>
      <c r="J294" s="2"/>
      <c r="K294" s="71" t="str">
        <f>Detail!A$172&amp;":"&amp;Detail!A$433&amp;", col "&amp;Detail!C$1&amp;"= "</f>
        <v xml:space="preserve">172:433, col C= </v>
      </c>
      <c r="L294" s="11" t="s">
        <v>157</v>
      </c>
    </row>
    <row r="295" spans="1:12">
      <c r="A295" s="50">
        <f t="shared" si="124"/>
        <v>743</v>
      </c>
      <c r="B295" t="s">
        <v>481</v>
      </c>
      <c r="C295" s="21">
        <f>SUM(D295:I295)</f>
        <v>0</v>
      </c>
      <c r="D295" s="21">
        <f>SUMIF(Detail!$C$172:$C$433,$L295,Detail!I$172:I$433)</f>
        <v>0</v>
      </c>
      <c r="E295" s="21">
        <f>SUMIF(Detail!$C$172:$C$433,$L295,Detail!J$172:J$433)</f>
        <v>0</v>
      </c>
      <c r="F295" s="21">
        <f>SUMIF(Detail!$C$172:$C$433,$L295,Detail!K$172:K$433)</f>
        <v>0</v>
      </c>
      <c r="G295" s="21">
        <f>SUMIF(Detail!$C$172:$C$433,$L295,Detail!L$172:L$433)</f>
        <v>0</v>
      </c>
      <c r="H295" s="21">
        <f>SUMIF(Detail!$C$172:$C$433,$L295,Detail!M$172:M$433)</f>
        <v>0</v>
      </c>
      <c r="I295" s="21">
        <f>SUMIF(Detail!$C$172:$C$433,$L295,Detail!N$172:N$433)</f>
        <v>0</v>
      </c>
      <c r="J295" s="2"/>
      <c r="K295" s="71" t="str">
        <f>Detail!A$172&amp;":"&amp;Detail!A$433&amp;", col "&amp;Detail!C$1&amp;"= "</f>
        <v xml:space="preserve">172:433, col C= </v>
      </c>
      <c r="L295" s="11" t="s">
        <v>466</v>
      </c>
    </row>
    <row r="296" spans="1:12">
      <c r="A296" s="50">
        <f t="shared" si="124"/>
        <v>744</v>
      </c>
      <c r="B296" t="s">
        <v>483</v>
      </c>
      <c r="C296" s="21">
        <f t="shared" si="134"/>
        <v>-2398155.6720124464</v>
      </c>
      <c r="D296" s="21">
        <f>Detail!I441</f>
        <v>-1887854.523414118</v>
      </c>
      <c r="E296" s="21">
        <f>Detail!J441</f>
        <v>-360855.45202333585</v>
      </c>
      <c r="F296" s="21">
        <f>Detail!K441</f>
        <v>0</v>
      </c>
      <c r="G296" s="21">
        <f>Detail!L441</f>
        <v>-4765.1281651689769</v>
      </c>
      <c r="H296" s="21">
        <f>Detail!M441</f>
        <v>-144680.56840982346</v>
      </c>
      <c r="I296" s="21">
        <f>Detail!N441</f>
        <v>0</v>
      </c>
      <c r="J296" s="2"/>
      <c r="K296" s="71">
        <f>Detail!A441</f>
        <v>441</v>
      </c>
      <c r="L296" s="11"/>
    </row>
    <row r="297" spans="1:12">
      <c r="A297" s="50">
        <f t="shared" si="124"/>
        <v>745</v>
      </c>
      <c r="B297" s="28" t="s">
        <v>178</v>
      </c>
      <c r="C297" s="48">
        <f t="shared" ref="C297:I297" si="135">SUM(C293:C296)</f>
        <v>36089844.327987552</v>
      </c>
      <c r="D297" s="48">
        <f t="shared" si="135"/>
        <v>30878949.87554989</v>
      </c>
      <c r="E297" s="4">
        <f t="shared" si="135"/>
        <v>3770790.0353290522</v>
      </c>
      <c r="F297" s="4">
        <f t="shared" si="135"/>
        <v>0</v>
      </c>
      <c r="G297" s="4">
        <f t="shared" si="135"/>
        <v>46774.277900102592</v>
      </c>
      <c r="H297" s="4">
        <f t="shared" si="135"/>
        <v>1393330.1392085077</v>
      </c>
      <c r="I297" s="4">
        <f t="shared" si="135"/>
        <v>0</v>
      </c>
      <c r="J297" s="5"/>
      <c r="K297" s="71" t="str">
        <f>A293&amp;":"&amp;A296</f>
        <v>741:744</v>
      </c>
    </row>
    <row r="298" spans="1:12">
      <c r="A298" s="50">
        <f t="shared" si="124"/>
        <v>746</v>
      </c>
      <c r="B298" t="s">
        <v>143</v>
      </c>
      <c r="C298" s="21">
        <f t="shared" si="134"/>
        <v>1771350.2011169037</v>
      </c>
      <c r="D298" s="21">
        <f>Detail!I$415*IF(D$272,D270/D$272,0)</f>
        <v>493588.48429741675</v>
      </c>
      <c r="E298" s="21">
        <f>Detail!J$415*IF(E$272,E270/E$272,0)</f>
        <v>1193469.7642803136</v>
      </c>
      <c r="F298" s="21">
        <f>Detail!K$415*IF(F$272,F270/F$272,0)</f>
        <v>0</v>
      </c>
      <c r="G298" s="21">
        <f>Detail!L$415*IF(G$272,G270/G$272,0)</f>
        <v>10518.130011629093</v>
      </c>
      <c r="H298" s="21">
        <f>Detail!M$415*IF(H$272,H270/H$272,0)</f>
        <v>73773.822527544267</v>
      </c>
      <c r="I298" s="21">
        <f>Detail!N$415*IF(I$272,I270/I$272,0)</f>
        <v>0</v>
      </c>
      <c r="J298" s="2"/>
      <c r="K298" s="71" t="str">
        <f>Detail!A$415&amp;"*"&amp;A270&amp;"/"&amp;A$22</f>
        <v>415*718/470</v>
      </c>
    </row>
    <row r="299" spans="1:12">
      <c r="A299" s="50">
        <f t="shared" si="124"/>
        <v>747</v>
      </c>
      <c r="B299" t="s">
        <v>163</v>
      </c>
      <c r="C299" s="21">
        <f>SUM(D299:I299)</f>
        <v>16483183.003222007</v>
      </c>
      <c r="D299" s="21">
        <f t="shared" ref="D299:I299" si="136">D$49*D270</f>
        <v>8449132.0757171828</v>
      </c>
      <c r="E299" s="2">
        <f t="shared" si="136"/>
        <v>7137984.7909954526</v>
      </c>
      <c r="F299" s="2">
        <f t="shared" si="136"/>
        <v>0</v>
      </c>
      <c r="G299" s="2">
        <f t="shared" si="136"/>
        <v>67918.53667090903</v>
      </c>
      <c r="H299" s="2">
        <f t="shared" si="136"/>
        <v>828147.59983846371</v>
      </c>
      <c r="I299" s="2">
        <f t="shared" si="136"/>
        <v>0</v>
      </c>
      <c r="J299" s="2"/>
      <c r="K299" s="71" t="str">
        <f>A$49&amp;"*"&amp;A270</f>
        <v>497*718</v>
      </c>
    </row>
    <row r="300" spans="1:12">
      <c r="A300" s="50">
        <f t="shared" si="124"/>
        <v>748</v>
      </c>
      <c r="B300" t="s">
        <v>162</v>
      </c>
      <c r="C300" s="21">
        <f t="shared" si="134"/>
        <v>2497360.3201611652</v>
      </c>
      <c r="D300" s="21">
        <f t="shared" ref="D300:I300" si="137">SUM(D297:D299)*D$93</f>
        <v>1829978.8155482505</v>
      </c>
      <c r="E300" s="2">
        <f t="shared" si="137"/>
        <v>556150.7334863334</v>
      </c>
      <c r="F300" s="2">
        <f t="shared" si="137"/>
        <v>0</v>
      </c>
      <c r="G300" s="2">
        <f t="shared" si="137"/>
        <v>5753.9870516426354</v>
      </c>
      <c r="H300" s="2">
        <f t="shared" si="137"/>
        <v>105476.78407493868</v>
      </c>
      <c r="I300" s="2">
        <f t="shared" si="137"/>
        <v>0</v>
      </c>
      <c r="J300" s="2"/>
      <c r="K300" s="71" t="str">
        <f>A297&amp;":"&amp;A299&amp;"*"&amp;A$93</f>
        <v>745:747*541</v>
      </c>
    </row>
    <row r="301" spans="1:12">
      <c r="A301" s="50">
        <f t="shared" si="124"/>
        <v>749</v>
      </c>
      <c r="B301" s="28" t="s">
        <v>166</v>
      </c>
      <c r="C301" s="48">
        <f>IF(ROUND(SUM(C297:C300),3)&lt;&gt;ROUND(SUM(D301:I301),3),#VALUE!,SUM(C297:C300))</f>
        <v>56841737.852487624</v>
      </c>
      <c r="D301" s="48">
        <f t="shared" ref="D301:I301" si="138">SUM(D297:D300)</f>
        <v>41651649.251112737</v>
      </c>
      <c r="E301" s="4">
        <f t="shared" si="138"/>
        <v>12658395.324091153</v>
      </c>
      <c r="F301" s="4">
        <f t="shared" si="138"/>
        <v>0</v>
      </c>
      <c r="G301" s="4">
        <f t="shared" si="138"/>
        <v>130964.93163428335</v>
      </c>
      <c r="H301" s="4">
        <f t="shared" si="138"/>
        <v>2400728.3456494547</v>
      </c>
      <c r="I301" s="4">
        <f t="shared" si="138"/>
        <v>0</v>
      </c>
      <c r="J301" s="5"/>
      <c r="K301" s="71" t="str">
        <f>A297&amp;":"&amp;A300</f>
        <v>745:748</v>
      </c>
    </row>
    <row r="302" spans="1:12">
      <c r="A302" s="50">
        <f t="shared" si="124"/>
        <v>750</v>
      </c>
      <c r="B302" s="28"/>
      <c r="C302" s="21"/>
      <c r="D302" s="2"/>
      <c r="E302" s="2"/>
      <c r="F302" s="2"/>
      <c r="G302" s="2"/>
      <c r="H302" s="2"/>
      <c r="I302" s="2"/>
      <c r="J302" s="2"/>
      <c r="K302" s="71"/>
    </row>
    <row r="303" spans="1:12">
      <c r="A303" s="50">
        <f t="shared" si="124"/>
        <v>751</v>
      </c>
      <c r="B303" s="30" t="str">
        <f>"Line "&amp;A112</f>
        <v>Line 560</v>
      </c>
      <c r="D303" s="2"/>
      <c r="K303" s="71"/>
    </row>
    <row r="304" spans="1:12">
      <c r="A304" s="50">
        <f t="shared" si="124"/>
        <v>752</v>
      </c>
      <c r="B304" t="s">
        <v>168</v>
      </c>
      <c r="C304" s="2">
        <f t="shared" ref="C304:C309" si="139">SUM(D304:I304)</f>
        <v>33094560.02931305</v>
      </c>
      <c r="D304" s="21">
        <f>SUMIF(Detail!$C$172:$C$433,$L304,Detail!I$172:I$433)</f>
        <v>29257096.538242813</v>
      </c>
      <c r="E304" s="21">
        <f>SUMIF(Detail!$C$172:$C$433,$L304,Detail!J$172:J$433)</f>
        <v>2913670.1863538618</v>
      </c>
      <c r="F304" s="21">
        <f>SUMIF(Detail!$C$172:$C$433,$L304,Detail!K$172:K$433)</f>
        <v>0</v>
      </c>
      <c r="G304" s="21">
        <f>SUMIF(Detail!$C$172:$C$433,$L304,Detail!L$172:L$433)</f>
        <v>36104.999454270401</v>
      </c>
      <c r="H304" s="21">
        <f>SUMIF(Detail!$C$172:$C$433,$L304,Detail!M$172:M$433)</f>
        <v>887688.30526210554</v>
      </c>
      <c r="I304" s="21">
        <f>SUMIF(Detail!$C$172:$C$433,$L304,Detail!N$172:N$433)</f>
        <v>0</v>
      </c>
      <c r="J304" s="2"/>
      <c r="K304" s="71" t="str">
        <f>Detail!A$172&amp;":"&amp;Detail!A$226&amp;", col "&amp;Detail!C$1&amp;"= "</f>
        <v xml:space="preserve">172:226, col C= </v>
      </c>
      <c r="L304" s="11" t="s">
        <v>152</v>
      </c>
    </row>
    <row r="305" spans="1:12">
      <c r="A305" s="50">
        <f t="shared" si="124"/>
        <v>753</v>
      </c>
      <c r="B305" t="s">
        <v>484</v>
      </c>
      <c r="C305" s="21">
        <f t="shared" si="139"/>
        <v>-921445.93233096204</v>
      </c>
      <c r="D305" s="21">
        <f>Detail!I442</f>
        <v>-807324.10060755315</v>
      </c>
      <c r="E305" s="21">
        <f>Detail!J442</f>
        <v>-86092.082394498604</v>
      </c>
      <c r="F305" s="21">
        <f>Detail!K442</f>
        <v>0</v>
      </c>
      <c r="G305" s="21">
        <f>Detail!L442</f>
        <v>-1077.5883049829613</v>
      </c>
      <c r="H305" s="21">
        <f>Detail!M442</f>
        <v>-26952.161023927289</v>
      </c>
      <c r="I305" s="21">
        <f>Detail!N442</f>
        <v>0</v>
      </c>
      <c r="J305" s="2"/>
      <c r="K305" s="71">
        <f>Detail!A442</f>
        <v>442</v>
      </c>
      <c r="L305" s="11"/>
    </row>
    <row r="306" spans="1:12">
      <c r="A306" s="50">
        <f t="shared" si="124"/>
        <v>754</v>
      </c>
      <c r="B306" s="28" t="s">
        <v>179</v>
      </c>
      <c r="C306" s="4">
        <f t="shared" ref="C306:I306" si="140">SUM(C304:C305)</f>
        <v>32173114.096982088</v>
      </c>
      <c r="D306" s="4">
        <f t="shared" si="140"/>
        <v>28449772.437635262</v>
      </c>
      <c r="E306" s="4">
        <f t="shared" si="140"/>
        <v>2827578.1039593634</v>
      </c>
      <c r="F306" s="4">
        <f t="shared" si="140"/>
        <v>0</v>
      </c>
      <c r="G306" s="4">
        <f t="shared" si="140"/>
        <v>35027.411149287436</v>
      </c>
      <c r="H306" s="4">
        <f t="shared" si="140"/>
        <v>860736.14423817827</v>
      </c>
      <c r="I306" s="4">
        <f t="shared" si="140"/>
        <v>0</v>
      </c>
      <c r="J306" s="5"/>
      <c r="K306" s="71" t="str">
        <f>A304&amp;":"&amp;A305</f>
        <v>752:753</v>
      </c>
    </row>
    <row r="307" spans="1:12">
      <c r="A307" s="50">
        <f t="shared" si="124"/>
        <v>755</v>
      </c>
      <c r="B307" t="s">
        <v>143</v>
      </c>
      <c r="C307" s="2">
        <f t="shared" si="139"/>
        <v>511935.73866274249</v>
      </c>
      <c r="D307" s="2">
        <f>Detail!I$415*IF(D$22,D271/D$22,0)</f>
        <v>211078.70029890322</v>
      </c>
      <c r="E307" s="2">
        <f>Detail!J$415*IF(E$22,E271/E$22,0)</f>
        <v>284735.33295852493</v>
      </c>
      <c r="F307" s="2">
        <f>Detail!K$415*IF(F$22,F271/F$22,0)</f>
        <v>0</v>
      </c>
      <c r="G307" s="2">
        <f>Detail!L$415*IF(G$22,G271/G$22,0)</f>
        <v>2378.5748248431178</v>
      </c>
      <c r="H307" s="2">
        <f>Detail!M$415*IF(H$22,H271/H$22,0)</f>
        <v>13743.13058047125</v>
      </c>
      <c r="I307" s="2">
        <f>Detail!N$415*IF(I$22,I271/I$22,0)</f>
        <v>0</v>
      </c>
      <c r="J307" s="2"/>
      <c r="K307" s="71" t="str">
        <f>Detail!A$415&amp;"*"&amp;A271&amp;"/"&amp;A$22</f>
        <v>415*719/470</v>
      </c>
    </row>
    <row r="308" spans="1:12">
      <c r="A308" s="50">
        <f t="shared" si="124"/>
        <v>756</v>
      </c>
      <c r="B308" t="s">
        <v>163</v>
      </c>
      <c r="C308" s="2">
        <f>SUM(D308:I308)</f>
        <v>5485792.6784054721</v>
      </c>
      <c r="D308" s="2">
        <f t="shared" ref="D308:I308" si="141">D$49*D271</f>
        <v>3613195.7570580845</v>
      </c>
      <c r="E308" s="2">
        <f t="shared" si="141"/>
        <v>1702964.3623544818</v>
      </c>
      <c r="F308" s="2">
        <f t="shared" si="141"/>
        <v>0</v>
      </c>
      <c r="G308" s="2">
        <f t="shared" si="141"/>
        <v>15359.129549358644</v>
      </c>
      <c r="H308" s="2">
        <f t="shared" si="141"/>
        <v>154273.42944354701</v>
      </c>
      <c r="I308" s="2">
        <f t="shared" si="141"/>
        <v>0</v>
      </c>
      <c r="J308" s="2"/>
      <c r="K308" s="71" t="str">
        <f>A$49&amp;"*"&amp;A271</f>
        <v>497*719</v>
      </c>
    </row>
    <row r="309" spans="1:12">
      <c r="A309" s="50">
        <f t="shared" si="124"/>
        <v>757</v>
      </c>
      <c r="B309" t="s">
        <v>162</v>
      </c>
      <c r="C309" s="2">
        <f t="shared" si="139"/>
        <v>1754116.0983030067</v>
      </c>
      <c r="D309" s="2">
        <f t="shared" ref="D309:I309" si="142">SUM(D306:D308)*D$93</f>
        <v>1483132.713013961</v>
      </c>
      <c r="E309" s="2">
        <f t="shared" si="142"/>
        <v>221282.94135492679</v>
      </c>
      <c r="F309" s="2">
        <f t="shared" si="142"/>
        <v>0</v>
      </c>
      <c r="G309" s="2">
        <f t="shared" si="142"/>
        <v>2424.7863676181964</v>
      </c>
      <c r="H309" s="2">
        <f t="shared" si="142"/>
        <v>47275.657566500762</v>
      </c>
      <c r="I309" s="2">
        <f t="shared" si="142"/>
        <v>0</v>
      </c>
      <c r="J309" s="2"/>
      <c r="K309" s="71" t="str">
        <f>A306&amp;":"&amp;A308&amp;"*"&amp;A$93</f>
        <v>754:756*541</v>
      </c>
    </row>
    <row r="310" spans="1:12">
      <c r="A310" s="50">
        <f t="shared" si="124"/>
        <v>758</v>
      </c>
      <c r="B310" s="28" t="s">
        <v>169</v>
      </c>
      <c r="C310" s="4">
        <f>IF(ROUND(SUM(C306:C309),3)&lt;&gt;ROUND(SUM(D310:I310),3),#VALUE!,SUM(C306:C309))</f>
        <v>39924958.61235331</v>
      </c>
      <c r="D310" s="4">
        <f t="shared" ref="D310:I310" si="143">SUM(D306:D309)</f>
        <v>33757179.608006209</v>
      </c>
      <c r="E310" s="4">
        <f t="shared" si="143"/>
        <v>5036560.7406272972</v>
      </c>
      <c r="F310" s="4">
        <f t="shared" si="143"/>
        <v>0</v>
      </c>
      <c r="G310" s="4">
        <f t="shared" si="143"/>
        <v>55189.901891107394</v>
      </c>
      <c r="H310" s="4">
        <f t="shared" si="143"/>
        <v>1076028.3618286974</v>
      </c>
      <c r="I310" s="4">
        <f t="shared" si="143"/>
        <v>0</v>
      </c>
      <c r="J310" s="5"/>
      <c r="K310" s="71" t="str">
        <f>A306&amp;":"&amp;A309</f>
        <v>754:757</v>
      </c>
    </row>
    <row r="311" spans="1:12">
      <c r="A311" s="50">
        <f t="shared" si="124"/>
        <v>759</v>
      </c>
      <c r="B311" s="28"/>
      <c r="C311" s="2"/>
      <c r="D311" s="2"/>
      <c r="E311" s="2"/>
      <c r="F311" s="2"/>
      <c r="G311" s="2"/>
      <c r="H311" s="2"/>
      <c r="I311" s="2"/>
      <c r="J311" s="2"/>
      <c r="K311" s="71"/>
    </row>
    <row r="312" spans="1:12">
      <c r="A312" s="50">
        <f t="shared" si="124"/>
        <v>760</v>
      </c>
      <c r="B312" s="28"/>
      <c r="C312" s="2"/>
      <c r="D312" s="2"/>
      <c r="E312" s="2"/>
      <c r="F312" s="2"/>
      <c r="G312" s="2"/>
      <c r="H312" s="2"/>
      <c r="I312" s="2"/>
      <c r="J312" s="2"/>
      <c r="K312" s="71"/>
    </row>
    <row r="313" spans="1:12">
      <c r="A313" s="50">
        <f t="shared" si="124"/>
        <v>761</v>
      </c>
      <c r="B313" s="30" t="s">
        <v>149</v>
      </c>
      <c r="K313" s="71"/>
    </row>
    <row r="314" spans="1:12">
      <c r="A314" s="50">
        <f t="shared" si="124"/>
        <v>762</v>
      </c>
      <c r="B314" s="30" t="str">
        <f>"Line "&amp;A126</f>
        <v>Line 574</v>
      </c>
      <c r="K314" s="71"/>
    </row>
    <row r="315" spans="1:12">
      <c r="A315" s="50">
        <f t="shared" si="124"/>
        <v>763</v>
      </c>
      <c r="B315" t="s">
        <v>486</v>
      </c>
      <c r="C315" s="2">
        <f>SUM(D315:I315)</f>
        <v>3478601.6043434083</v>
      </c>
      <c r="D315" s="2">
        <f t="shared" ref="D315:I315" si="144">D$286</f>
        <v>2532092.9475797717</v>
      </c>
      <c r="E315" s="2">
        <f t="shared" si="144"/>
        <v>884927.06100768608</v>
      </c>
      <c r="F315" s="2">
        <f t="shared" si="144"/>
        <v>0</v>
      </c>
      <c r="G315" s="2">
        <f t="shared" si="144"/>
        <v>12818.630143213</v>
      </c>
      <c r="H315" s="2">
        <f t="shared" si="144"/>
        <v>48762.965612737404</v>
      </c>
      <c r="I315" s="2">
        <f t="shared" si="144"/>
        <v>0</v>
      </c>
      <c r="J315" s="2"/>
      <c r="K315" s="71">
        <f>A$286</f>
        <v>734</v>
      </c>
    </row>
    <row r="316" spans="1:12">
      <c r="A316" s="50">
        <f t="shared" si="124"/>
        <v>764</v>
      </c>
      <c r="B316" t="s">
        <v>143</v>
      </c>
      <c r="C316" s="2">
        <f>SUM(D316:I316)</f>
        <v>140480.50130203782</v>
      </c>
      <c r="D316" s="2">
        <f t="shared" ref="D316:I316" si="145">$C$53*D317</f>
        <v>102256.51772689896</v>
      </c>
      <c r="E316" s="2">
        <f t="shared" si="145"/>
        <v>35737.060832398311</v>
      </c>
      <c r="F316" s="2">
        <f t="shared" si="145"/>
        <v>0</v>
      </c>
      <c r="G316" s="2">
        <f t="shared" si="145"/>
        <v>517.66997010394141</v>
      </c>
      <c r="H316" s="2">
        <f t="shared" si="145"/>
        <v>1969.2527726366002</v>
      </c>
      <c r="I316" s="2">
        <f t="shared" si="145"/>
        <v>0</v>
      </c>
      <c r="J316" s="2"/>
      <c r="K316" s="71" t="str">
        <f>C$1&amp;A$53&amp;"*"&amp;A317</f>
        <v>C501*765</v>
      </c>
    </row>
    <row r="317" spans="1:12">
      <c r="A317" s="50">
        <f t="shared" si="124"/>
        <v>765</v>
      </c>
      <c r="B317" t="s">
        <v>163</v>
      </c>
      <c r="C317" s="2">
        <f>SUM(D317:I317)</f>
        <v>1333183.0777447866</v>
      </c>
      <c r="D317" s="2">
        <f t="shared" ref="D317:I317" si="146">$C$49*D$269</f>
        <v>970431.18268424028</v>
      </c>
      <c r="E317" s="2">
        <f t="shared" si="146"/>
        <v>339150.58893228997</v>
      </c>
      <c r="F317" s="2">
        <f t="shared" si="146"/>
        <v>0</v>
      </c>
      <c r="G317" s="2">
        <f t="shared" si="146"/>
        <v>4912.7732148063815</v>
      </c>
      <c r="H317" s="2">
        <f t="shared" si="146"/>
        <v>18688.532913450203</v>
      </c>
      <c r="I317" s="2">
        <f t="shared" si="146"/>
        <v>0</v>
      </c>
      <c r="J317" s="2"/>
      <c r="K317" s="71" t="str">
        <f>C$1&amp;$A$49&amp;"*"&amp;A$269</f>
        <v>C497*717</v>
      </c>
    </row>
    <row r="318" spans="1:12">
      <c r="A318" s="50">
        <f t="shared" si="124"/>
        <v>766</v>
      </c>
      <c r="B318" t="s">
        <v>162</v>
      </c>
      <c r="C318" s="2">
        <f>SUM(D318:I318)</f>
        <v>227578.10698186076</v>
      </c>
      <c r="D318" s="2">
        <f t="shared" ref="D318:I318" si="147">SUM(D315:D317)*$C$93</f>
        <v>165655.33661365986</v>
      </c>
      <c r="E318" s="2">
        <f t="shared" si="147"/>
        <v>57893.960926624575</v>
      </c>
      <c r="F318" s="2">
        <f t="shared" si="147"/>
        <v>0</v>
      </c>
      <c r="G318" s="2">
        <f t="shared" si="147"/>
        <v>838.62422717523782</v>
      </c>
      <c r="H318" s="2">
        <f t="shared" si="147"/>
        <v>3190.1852144011191</v>
      </c>
      <c r="I318" s="2">
        <f t="shared" si="147"/>
        <v>0</v>
      </c>
      <c r="J318" s="2"/>
      <c r="K318" s="71" t="str">
        <f>A315&amp;":"&amp;A317&amp;"*"&amp;C$1&amp;A$93</f>
        <v>763:765*C541</v>
      </c>
    </row>
    <row r="319" spans="1:12">
      <c r="A319" s="50">
        <f t="shared" si="124"/>
        <v>767</v>
      </c>
      <c r="B319" s="28" t="s">
        <v>463</v>
      </c>
      <c r="C319" s="4">
        <f>IF(ROUND(SUM(C315:C318),3)&lt;&gt;ROUND(SUM(D319:I319),3),#VALUE!,SUM(C315:C318))</f>
        <v>5179843.2903720932</v>
      </c>
      <c r="D319" s="4">
        <f t="shared" ref="D319:I319" si="148">SUM(D315:D318)</f>
        <v>3770435.984604571</v>
      </c>
      <c r="E319" s="4">
        <f t="shared" si="148"/>
        <v>1317708.6716989989</v>
      </c>
      <c r="F319" s="4">
        <f t="shared" si="148"/>
        <v>0</v>
      </c>
      <c r="G319" s="4">
        <f t="shared" si="148"/>
        <v>19087.69755529856</v>
      </c>
      <c r="H319" s="4">
        <f t="shared" si="148"/>
        <v>72610.93651322533</v>
      </c>
      <c r="I319" s="4">
        <f t="shared" si="148"/>
        <v>0</v>
      </c>
      <c r="J319" s="5"/>
      <c r="K319" s="71" t="str">
        <f>A315&amp;":"&amp;A318</f>
        <v>763:766</v>
      </c>
    </row>
    <row r="320" spans="1:12">
      <c r="A320" s="50">
        <f t="shared" si="124"/>
        <v>768</v>
      </c>
      <c r="B320" s="28"/>
      <c r="C320" s="2"/>
      <c r="D320" s="2"/>
      <c r="E320" s="2"/>
      <c r="F320" s="2"/>
      <c r="G320" s="2"/>
      <c r="H320" s="2"/>
      <c r="I320" s="2"/>
      <c r="J320" s="2"/>
      <c r="K320" s="71"/>
    </row>
    <row r="321" spans="1:11">
      <c r="A321" s="50">
        <f t="shared" si="124"/>
        <v>769</v>
      </c>
      <c r="B321" s="30" t="str">
        <f>"Line "&amp;A127</f>
        <v>Line 575</v>
      </c>
      <c r="K321" s="71"/>
    </row>
    <row r="322" spans="1:11">
      <c r="A322" s="50">
        <f t="shared" si="124"/>
        <v>770</v>
      </c>
      <c r="B322" t="s">
        <v>180</v>
      </c>
      <c r="C322" s="2">
        <f>SUM(D322:I322)</f>
        <v>36089844.327987552</v>
      </c>
      <c r="D322" s="2">
        <f t="shared" ref="D322:I322" si="149">D$297</f>
        <v>30878949.87554989</v>
      </c>
      <c r="E322" s="2">
        <f t="shared" si="149"/>
        <v>3770790.0353290522</v>
      </c>
      <c r="F322" s="2">
        <f t="shared" si="149"/>
        <v>0</v>
      </c>
      <c r="G322" s="2">
        <f t="shared" si="149"/>
        <v>46774.277900102592</v>
      </c>
      <c r="H322" s="2">
        <f t="shared" si="149"/>
        <v>1393330.1392085077</v>
      </c>
      <c r="I322" s="2">
        <f t="shared" si="149"/>
        <v>0</v>
      </c>
      <c r="J322" s="2"/>
      <c r="K322" s="71">
        <f>A$297</f>
        <v>745</v>
      </c>
    </row>
    <row r="323" spans="1:11">
      <c r="A323" s="50">
        <f t="shared" si="124"/>
        <v>771</v>
      </c>
      <c r="B323" t="s">
        <v>143</v>
      </c>
      <c r="C323" s="2">
        <f>SUM(D323:I323)</f>
        <v>1698068.7262600905</v>
      </c>
      <c r="D323" s="2">
        <f t="shared" ref="D323:I323" si="150">$C$53*D324</f>
        <v>1336738.3791428551</v>
      </c>
      <c r="E323" s="2">
        <f t="shared" si="150"/>
        <v>255511.91898525547</v>
      </c>
      <c r="F323" s="2">
        <f t="shared" si="150"/>
        <v>0</v>
      </c>
      <c r="G323" s="2">
        <f t="shared" si="150"/>
        <v>3374.057492733345</v>
      </c>
      <c r="H323" s="2">
        <f t="shared" si="150"/>
        <v>102444.37063924667</v>
      </c>
      <c r="I323" s="2">
        <f t="shared" si="150"/>
        <v>0</v>
      </c>
      <c r="J323" s="2"/>
      <c r="K323" s="71" t="str">
        <f>C$1&amp;A$53&amp;"*"&amp;A324</f>
        <v>C501*772</v>
      </c>
    </row>
    <row r="324" spans="1:11">
      <c r="A324" s="50">
        <f t="shared" si="124"/>
        <v>772</v>
      </c>
      <c r="B324" t="s">
        <v>163</v>
      </c>
      <c r="C324" s="2">
        <f>SUM(D324:I324)</f>
        <v>16114951.681659169</v>
      </c>
      <c r="D324" s="2">
        <f t="shared" ref="D324:I324" si="151">$C$49*D$270</f>
        <v>12685867.219491463</v>
      </c>
      <c r="E324" s="2">
        <f t="shared" si="151"/>
        <v>2424850.1635173061</v>
      </c>
      <c r="F324" s="2">
        <f t="shared" si="151"/>
        <v>0</v>
      </c>
      <c r="G324" s="2">
        <f t="shared" si="151"/>
        <v>32020.360911004584</v>
      </c>
      <c r="H324" s="2">
        <f t="shared" si="151"/>
        <v>972213.93773939623</v>
      </c>
      <c r="I324" s="2">
        <f t="shared" si="151"/>
        <v>0</v>
      </c>
      <c r="J324" s="2"/>
      <c r="K324" s="71" t="str">
        <f>C$1&amp;A$49&amp;"*"&amp;A$270</f>
        <v>C497*718</v>
      </c>
    </row>
    <row r="325" spans="1:11">
      <c r="A325" s="50">
        <f t="shared" si="124"/>
        <v>773</v>
      </c>
      <c r="B325" t="s">
        <v>162</v>
      </c>
      <c r="C325" s="2">
        <f>SUM(D325:I325)</f>
        <v>2477070.8884169897</v>
      </c>
      <c r="D325" s="2">
        <f t="shared" ref="D325:I325" si="152">SUM(D322:D324)*$C$93</f>
        <v>2063421.6094947425</v>
      </c>
      <c r="E325" s="2">
        <f t="shared" si="152"/>
        <v>296458.47555826511</v>
      </c>
      <c r="F325" s="2">
        <f t="shared" si="152"/>
        <v>0</v>
      </c>
      <c r="G325" s="2">
        <f t="shared" si="152"/>
        <v>3776.0086880472541</v>
      </c>
      <c r="H325" s="2">
        <f t="shared" si="152"/>
        <v>113414.79467593505</v>
      </c>
      <c r="I325" s="2">
        <f t="shared" si="152"/>
        <v>0</v>
      </c>
      <c r="J325" s="2"/>
      <c r="K325" s="71" t="str">
        <f>A322&amp;":"&amp;A324&amp;"*"&amp;C$1&amp;A$93</f>
        <v>770:772*C541</v>
      </c>
    </row>
    <row r="326" spans="1:11">
      <c r="A326" s="50">
        <f t="shared" ref="A326:A389" si="153">Pg1Row+ROW(A326)</f>
        <v>774</v>
      </c>
      <c r="B326" s="28" t="s">
        <v>166</v>
      </c>
      <c r="C326" s="4">
        <f>IF(ROUND(SUM(C322:C325),3)&lt;&gt;ROUND(SUM(D326:I326),3),#VALUE!,SUM(C322:C325))</f>
        <v>56379935.6243238</v>
      </c>
      <c r="D326" s="4">
        <f t="shared" ref="D326:I326" si="154">SUM(D322:D325)</f>
        <v>46964977.083678953</v>
      </c>
      <c r="E326" s="4">
        <f t="shared" si="154"/>
        <v>6747610.593389879</v>
      </c>
      <c r="F326" s="4">
        <f t="shared" si="154"/>
        <v>0</v>
      </c>
      <c r="G326" s="4">
        <f t="shared" si="154"/>
        <v>85944.704991887775</v>
      </c>
      <c r="H326" s="4">
        <f t="shared" si="154"/>
        <v>2581403.2422630857</v>
      </c>
      <c r="I326" s="4">
        <f t="shared" si="154"/>
        <v>0</v>
      </c>
      <c r="J326" s="5"/>
      <c r="K326" s="71" t="str">
        <f>A322&amp;":"&amp;A325</f>
        <v>770:773</v>
      </c>
    </row>
    <row r="327" spans="1:11">
      <c r="A327" s="50">
        <f t="shared" si="153"/>
        <v>775</v>
      </c>
      <c r="B327" s="28"/>
      <c r="C327" s="2"/>
      <c r="D327" s="2"/>
      <c r="E327" s="2"/>
      <c r="F327" s="2"/>
      <c r="G327" s="2"/>
      <c r="H327" s="2"/>
      <c r="I327" s="2"/>
      <c r="J327" s="2"/>
      <c r="K327" s="71"/>
    </row>
    <row r="328" spans="1:11">
      <c r="A328" s="50">
        <f t="shared" si="153"/>
        <v>776</v>
      </c>
      <c r="B328" s="30" t="str">
        <f>"Line "&amp;A128</f>
        <v>Line 576</v>
      </c>
      <c r="K328" s="71"/>
    </row>
    <row r="329" spans="1:11">
      <c r="A329" s="50">
        <f t="shared" si="153"/>
        <v>777</v>
      </c>
      <c r="B329" t="s">
        <v>168</v>
      </c>
      <c r="C329" s="2">
        <f>SUM(D329:I329)</f>
        <v>32173114.096982088</v>
      </c>
      <c r="D329" s="2">
        <f t="shared" ref="D329:I329" si="155">D$306</f>
        <v>28449772.437635262</v>
      </c>
      <c r="E329" s="2">
        <f t="shared" si="155"/>
        <v>2827578.1039593634</v>
      </c>
      <c r="F329" s="2">
        <f t="shared" si="155"/>
        <v>0</v>
      </c>
      <c r="G329" s="2">
        <f t="shared" si="155"/>
        <v>35027.411149287436</v>
      </c>
      <c r="H329" s="2">
        <f t="shared" si="155"/>
        <v>860736.14423817827</v>
      </c>
      <c r="I329" s="2">
        <f t="shared" si="155"/>
        <v>0</v>
      </c>
      <c r="J329" s="2"/>
      <c r="K329" s="71">
        <f>A$306</f>
        <v>754</v>
      </c>
    </row>
    <row r="330" spans="1:11">
      <c r="A330" s="50">
        <f t="shared" si="153"/>
        <v>778</v>
      </c>
      <c r="B330" t="s">
        <v>143</v>
      </c>
      <c r="C330" s="2">
        <f>SUM(D330:I330)</f>
        <v>652450.77243786945</v>
      </c>
      <c r="D330" s="2">
        <f t="shared" ref="D330:I330" si="156">$C$53*D331</f>
        <v>571644.21108965704</v>
      </c>
      <c r="E330" s="2">
        <f t="shared" si="156"/>
        <v>60959.45913720745</v>
      </c>
      <c r="F330" s="2">
        <f t="shared" si="156"/>
        <v>0</v>
      </c>
      <c r="G330" s="2">
        <f t="shared" si="156"/>
        <v>763.01093454023692</v>
      </c>
      <c r="H330" s="2">
        <f t="shared" si="156"/>
        <v>19084.091276464696</v>
      </c>
      <c r="I330" s="2">
        <f t="shared" si="156"/>
        <v>0</v>
      </c>
      <c r="J330" s="2"/>
      <c r="K330" s="71" t="str">
        <f>C$1&amp;A$53&amp;"*"&amp;A331</f>
        <v>C501*779</v>
      </c>
    </row>
    <row r="331" spans="1:11">
      <c r="A331" s="50">
        <f t="shared" si="153"/>
        <v>779</v>
      </c>
      <c r="B331" t="s">
        <v>163</v>
      </c>
      <c r="C331" s="2">
        <f>SUM(D331:I331)</f>
        <v>6191865.2112829862</v>
      </c>
      <c r="D331" s="2">
        <f t="shared" ref="D331:I331" si="157">$C$49*D$271</f>
        <v>5424997.6448827237</v>
      </c>
      <c r="E331" s="2">
        <f t="shared" si="157"/>
        <v>578515.29996655055</v>
      </c>
      <c r="F331" s="2">
        <f t="shared" si="157"/>
        <v>0</v>
      </c>
      <c r="G331" s="2">
        <f t="shared" si="157"/>
        <v>7241.0993457105724</v>
      </c>
      <c r="H331" s="2">
        <f t="shared" si="157"/>
        <v>181111.16708800194</v>
      </c>
      <c r="I331" s="2">
        <f t="shared" si="157"/>
        <v>0</v>
      </c>
      <c r="J331" s="2"/>
      <c r="K331" s="71" t="str">
        <f>C$1&amp;$A$49&amp;"*"&amp;A$271</f>
        <v>C497*719</v>
      </c>
    </row>
    <row r="332" spans="1:11">
      <c r="A332" s="50">
        <f t="shared" si="153"/>
        <v>780</v>
      </c>
      <c r="B332" t="s">
        <v>162</v>
      </c>
      <c r="C332" s="2">
        <f>SUM(D332:I332)</f>
        <v>1793020.4761338588</v>
      </c>
      <c r="D332" s="2">
        <f t="shared" ref="D332:I332" si="158">SUM(D329:D331)*$C$93</f>
        <v>1582962.4357647032</v>
      </c>
      <c r="E332" s="2">
        <f t="shared" si="158"/>
        <v>159326.14635183834</v>
      </c>
      <c r="F332" s="2">
        <f t="shared" si="158"/>
        <v>0</v>
      </c>
      <c r="G332" s="2">
        <f t="shared" si="158"/>
        <v>1977.4854182545116</v>
      </c>
      <c r="H332" s="2">
        <f t="shared" si="158"/>
        <v>48754.408599062852</v>
      </c>
      <c r="I332" s="2">
        <f t="shared" si="158"/>
        <v>0</v>
      </c>
      <c r="J332" s="2"/>
      <c r="K332" s="71" t="str">
        <f>A329&amp;":"&amp;A331&amp;"*"&amp;C$1&amp;A$93</f>
        <v>777:779*C541</v>
      </c>
    </row>
    <row r="333" spans="1:11">
      <c r="A333" s="50">
        <f t="shared" si="153"/>
        <v>781</v>
      </c>
      <c r="B333" s="28" t="s">
        <v>169</v>
      </c>
      <c r="C333" s="4">
        <f>IF(ROUND(SUM(C329:C332),3)&lt;&gt;ROUND(SUM(D333:I333),3),#VALUE!,SUM(C329:C332))</f>
        <v>40810450.556836806</v>
      </c>
      <c r="D333" s="4">
        <f t="shared" ref="D333:I333" si="159">SUM(D329:D332)</f>
        <v>36029376.729372337</v>
      </c>
      <c r="E333" s="4">
        <f t="shared" si="159"/>
        <v>3626379.0094149597</v>
      </c>
      <c r="F333" s="4">
        <f t="shared" si="159"/>
        <v>0</v>
      </c>
      <c r="G333" s="4">
        <f t="shared" si="159"/>
        <v>45009.006847792756</v>
      </c>
      <c r="H333" s="4">
        <f t="shared" si="159"/>
        <v>1109685.8112017077</v>
      </c>
      <c r="I333" s="4">
        <f t="shared" si="159"/>
        <v>0</v>
      </c>
      <c r="J333" s="5"/>
      <c r="K333" s="71" t="str">
        <f>A329&amp;":"&amp;A332</f>
        <v>777:780</v>
      </c>
    </row>
    <row r="334" spans="1:11">
      <c r="A334" s="50">
        <f t="shared" si="153"/>
        <v>782</v>
      </c>
      <c r="B334" s="28"/>
      <c r="C334" s="2"/>
      <c r="D334" s="2"/>
      <c r="E334" s="2"/>
      <c r="F334" s="2"/>
      <c r="G334" s="2"/>
      <c r="H334" s="2"/>
      <c r="I334" s="2"/>
      <c r="J334" s="2"/>
      <c r="K334" s="71"/>
    </row>
    <row r="335" spans="1:11">
      <c r="A335" s="50">
        <f t="shared" si="153"/>
        <v>783</v>
      </c>
      <c r="K335" s="71"/>
    </row>
    <row r="336" spans="1:11">
      <c r="A336" s="50">
        <f t="shared" si="153"/>
        <v>784</v>
      </c>
      <c r="B336" s="30" t="s">
        <v>150</v>
      </c>
      <c r="K336" s="71"/>
    </row>
    <row r="337" spans="1:11">
      <c r="A337" s="50">
        <f t="shared" si="153"/>
        <v>785</v>
      </c>
      <c r="B337" s="30" t="str">
        <f>"Line "&amp;A144</f>
        <v>Line 592</v>
      </c>
      <c r="K337" s="71"/>
    </row>
    <row r="338" spans="1:11">
      <c r="A338" s="50">
        <f t="shared" si="153"/>
        <v>786</v>
      </c>
      <c r="B338" t="s">
        <v>472</v>
      </c>
      <c r="C338" s="21">
        <f>SUM(D338:I338)</f>
        <v>1000</v>
      </c>
      <c r="D338" s="21">
        <f t="shared" ref="D338:I338" si="160">D276</f>
        <v>743.03274753938524</v>
      </c>
      <c r="E338" s="21">
        <f t="shared" si="160"/>
        <v>253.2972158481291</v>
      </c>
      <c r="F338" s="21">
        <f t="shared" si="160"/>
        <v>0</v>
      </c>
      <c r="G338" s="21">
        <f t="shared" si="160"/>
        <v>3.6700366124856116</v>
      </c>
      <c r="H338" s="21">
        <f t="shared" si="160"/>
        <v>0</v>
      </c>
      <c r="I338" s="21">
        <f t="shared" si="160"/>
        <v>0</v>
      </c>
      <c r="J338" s="2"/>
      <c r="K338" s="71">
        <f>A276</f>
        <v>724</v>
      </c>
    </row>
    <row r="339" spans="1:11">
      <c r="A339" s="50">
        <f t="shared" si="153"/>
        <v>787</v>
      </c>
      <c r="B339" t="s">
        <v>473</v>
      </c>
      <c r="C339" s="21">
        <f>SUM(D339:I339)</f>
        <v>0</v>
      </c>
      <c r="D339" s="21">
        <f t="shared" ref="D339:I340" si="161">D277</f>
        <v>0</v>
      </c>
      <c r="E339" s="21">
        <f t="shared" si="161"/>
        <v>0</v>
      </c>
      <c r="F339" s="21">
        <f t="shared" si="161"/>
        <v>0</v>
      </c>
      <c r="G339" s="21">
        <f t="shared" si="161"/>
        <v>0</v>
      </c>
      <c r="H339" s="21">
        <f t="shared" si="161"/>
        <v>0</v>
      </c>
      <c r="I339" s="21">
        <f t="shared" si="161"/>
        <v>0</v>
      </c>
      <c r="J339" s="2"/>
      <c r="K339" s="71">
        <f>A277</f>
        <v>725</v>
      </c>
    </row>
    <row r="340" spans="1:11">
      <c r="A340" s="50">
        <f t="shared" si="153"/>
        <v>788</v>
      </c>
      <c r="B340" t="s">
        <v>474</v>
      </c>
      <c r="C340" s="21">
        <f>SUM(D340:I340)</f>
        <v>994999.99999999988</v>
      </c>
      <c r="D340" s="21">
        <f t="shared" si="161"/>
        <v>664485.11232285877</v>
      </c>
      <c r="E340" s="21">
        <f t="shared" si="161"/>
        <v>292457.52240923216</v>
      </c>
      <c r="F340" s="21">
        <f t="shared" si="161"/>
        <v>0</v>
      </c>
      <c r="G340" s="21">
        <f t="shared" si="161"/>
        <v>4618.1367581319337</v>
      </c>
      <c r="H340" s="21">
        <f t="shared" si="161"/>
        <v>33439.228509777131</v>
      </c>
      <c r="I340" s="21">
        <f t="shared" si="161"/>
        <v>0</v>
      </c>
      <c r="J340" s="2"/>
      <c r="K340" s="71">
        <f>A278</f>
        <v>726</v>
      </c>
    </row>
    <row r="341" spans="1:11">
      <c r="A341" s="50">
        <f t="shared" si="153"/>
        <v>789</v>
      </c>
      <c r="B341" t="s">
        <v>162</v>
      </c>
      <c r="C341" s="2">
        <f>SUM(D341:I341)</f>
        <v>45752.404351595564</v>
      </c>
      <c r="D341" s="2">
        <f t="shared" ref="D341:I341" si="162">SUM(D338:D340)*D$97</f>
        <v>30558.019155946513</v>
      </c>
      <c r="E341" s="2">
        <f t="shared" si="162"/>
        <v>13446.007808808863</v>
      </c>
      <c r="F341" s="2">
        <f t="shared" si="162"/>
        <v>0</v>
      </c>
      <c r="G341" s="2">
        <f t="shared" si="162"/>
        <v>212.30800532941618</v>
      </c>
      <c r="H341" s="2">
        <f t="shared" si="162"/>
        <v>1536.0693815107686</v>
      </c>
      <c r="I341" s="2">
        <f t="shared" si="162"/>
        <v>0</v>
      </c>
      <c r="J341" s="2"/>
      <c r="K341" s="71" t="str">
        <f>A338&amp;":"&amp;A340&amp;"*"&amp;A$97</f>
        <v>786:788*545</v>
      </c>
    </row>
    <row r="342" spans="1:11">
      <c r="A342" s="50">
        <f t="shared" si="153"/>
        <v>790</v>
      </c>
      <c r="B342" s="28" t="s">
        <v>164</v>
      </c>
      <c r="C342" s="4">
        <f>IF(ROUND(SUM(C338:C341),3)&lt;&gt;ROUND(SUM(D342:I342),3),#VALUE!,SUM(C338:C341))</f>
        <v>1041752.4043515954</v>
      </c>
      <c r="D342" s="4">
        <f t="shared" ref="D342:I342" si="163">SUM(D338:D341)</f>
        <v>695786.16422634467</v>
      </c>
      <c r="E342" s="4">
        <f t="shared" si="163"/>
        <v>306156.82743388915</v>
      </c>
      <c r="F342" s="4">
        <f t="shared" si="163"/>
        <v>0</v>
      </c>
      <c r="G342" s="4">
        <f t="shared" si="163"/>
        <v>4834.1148000738358</v>
      </c>
      <c r="H342" s="4">
        <f t="shared" si="163"/>
        <v>34975.297891287897</v>
      </c>
      <c r="I342" s="4">
        <f t="shared" si="163"/>
        <v>0</v>
      </c>
      <c r="J342" s="5"/>
      <c r="K342" s="71" t="str">
        <f>A338&amp;":"&amp;A341</f>
        <v>786:789</v>
      </c>
    </row>
    <row r="343" spans="1:11">
      <c r="A343" s="50">
        <f t="shared" si="153"/>
        <v>791</v>
      </c>
      <c r="J343" s="2"/>
      <c r="K343" s="71"/>
    </row>
    <row r="344" spans="1:11">
      <c r="A344" s="50">
        <f t="shared" si="153"/>
        <v>792</v>
      </c>
      <c r="B344" s="30" t="str">
        <f>"Line "&amp;A145</f>
        <v>Line 593</v>
      </c>
      <c r="K344" s="71"/>
    </row>
    <row r="345" spans="1:11">
      <c r="A345" s="50">
        <f t="shared" si="153"/>
        <v>793</v>
      </c>
      <c r="B345" t="s">
        <v>486</v>
      </c>
      <c r="C345" s="2">
        <f>SUM(D345:I345)</f>
        <v>3478601.6043434083</v>
      </c>
      <c r="D345" s="2">
        <f t="shared" ref="D345:I345" si="164">D$286</f>
        <v>2532092.9475797717</v>
      </c>
      <c r="E345" s="2">
        <f t="shared" si="164"/>
        <v>884927.06100768608</v>
      </c>
      <c r="F345" s="2">
        <f t="shared" si="164"/>
        <v>0</v>
      </c>
      <c r="G345" s="2">
        <f t="shared" si="164"/>
        <v>12818.630143213</v>
      </c>
      <c r="H345" s="2">
        <f t="shared" si="164"/>
        <v>48762.965612737404</v>
      </c>
      <c r="I345" s="2">
        <f t="shared" si="164"/>
        <v>0</v>
      </c>
      <c r="J345" s="2"/>
      <c r="K345" s="107">
        <f>A$286</f>
        <v>734</v>
      </c>
    </row>
    <row r="346" spans="1:11">
      <c r="A346" s="50">
        <f t="shared" si="153"/>
        <v>794</v>
      </c>
      <c r="B346" t="s">
        <v>143</v>
      </c>
      <c r="C346" s="2">
        <f>SUM(D346:I346)</f>
        <v>367901.50120885711</v>
      </c>
      <c r="D346" s="2">
        <f t="shared" ref="D346:I346" si="165">D$100*D347</f>
        <v>131022.32776060684</v>
      </c>
      <c r="E346" s="2">
        <f t="shared" si="165"/>
        <v>231698.56916912267</v>
      </c>
      <c r="F346" s="2">
        <f t="shared" si="165"/>
        <v>0</v>
      </c>
      <c r="G346" s="2">
        <f t="shared" si="165"/>
        <v>2339.1267207115466</v>
      </c>
      <c r="H346" s="2">
        <f t="shared" si="165"/>
        <v>2841.4775584160984</v>
      </c>
      <c r="I346" s="2">
        <f t="shared" si="165"/>
        <v>0</v>
      </c>
      <c r="J346" s="2"/>
      <c r="K346" s="71" t="str">
        <f>A$100&amp;"*"&amp;A347</f>
        <v>548*795</v>
      </c>
    </row>
    <row r="347" spans="1:11">
      <c r="A347" s="50">
        <f t="shared" si="153"/>
        <v>795</v>
      </c>
      <c r="B347" t="s">
        <v>163</v>
      </c>
      <c r="C347" s="2">
        <f>SUM(D347:I347)</f>
        <v>2240189.2646389143</v>
      </c>
      <c r="D347" s="2">
        <f t="shared" ref="D347:I347" si="166">D$83*D$269</f>
        <v>1031014.2645175467</v>
      </c>
      <c r="E347" s="2">
        <f t="shared" si="166"/>
        <v>1175358.0847977551</v>
      </c>
      <c r="F347" s="2">
        <f t="shared" si="166"/>
        <v>0</v>
      </c>
      <c r="G347" s="2">
        <f t="shared" si="166"/>
        <v>12566.429355675013</v>
      </c>
      <c r="H347" s="2">
        <f t="shared" si="166"/>
        <v>21250.485967937166</v>
      </c>
      <c r="I347" s="2">
        <f t="shared" si="166"/>
        <v>0</v>
      </c>
      <c r="J347" s="2"/>
      <c r="K347" s="71" t="str">
        <f>A83&amp;"*"&amp;A$269</f>
        <v>531*717</v>
      </c>
    </row>
    <row r="348" spans="1:11">
      <c r="A348" s="50">
        <f t="shared" si="153"/>
        <v>796</v>
      </c>
      <c r="B348" t="s">
        <v>162</v>
      </c>
      <c r="C348" s="2">
        <f>SUM(D348:I348)</f>
        <v>279599.20731401443</v>
      </c>
      <c r="D348" s="2">
        <f t="shared" ref="D348:I348" si="167">SUM(D345:D347)*D$97</f>
        <v>169694.08477384885</v>
      </c>
      <c r="E348" s="2">
        <f t="shared" si="167"/>
        <v>105284.90531605259</v>
      </c>
      <c r="F348" s="2">
        <f t="shared" si="167"/>
        <v>0</v>
      </c>
      <c r="G348" s="2">
        <f t="shared" si="167"/>
        <v>1273.5423476285666</v>
      </c>
      <c r="H348" s="2">
        <f t="shared" si="167"/>
        <v>3346.6748764844565</v>
      </c>
      <c r="I348" s="2">
        <f t="shared" si="167"/>
        <v>0</v>
      </c>
      <c r="J348" s="2"/>
      <c r="K348" s="71" t="str">
        <f>A345&amp;":"&amp;A347&amp;"*"&amp;A$97</f>
        <v>793:795*545</v>
      </c>
    </row>
    <row r="349" spans="1:11">
      <c r="A349" s="50">
        <f t="shared" si="153"/>
        <v>797</v>
      </c>
      <c r="B349" s="28" t="s">
        <v>463</v>
      </c>
      <c r="C349" s="4">
        <f>IF(ROUND(SUM(C345:C348),3)&lt;&gt;ROUND(SUM(D349:I349),3),#VALUE!,SUM(C345:C348))</f>
        <v>6366291.5775051937</v>
      </c>
      <c r="D349" s="4">
        <f t="shared" ref="D349:I349" si="168">SUM(D345:D348)</f>
        <v>3863823.6246317741</v>
      </c>
      <c r="E349" s="4">
        <f t="shared" si="168"/>
        <v>2397268.6202906161</v>
      </c>
      <c r="F349" s="4">
        <f t="shared" si="168"/>
        <v>0</v>
      </c>
      <c r="G349" s="4">
        <f t="shared" si="168"/>
        <v>28997.728567228125</v>
      </c>
      <c r="H349" s="4">
        <f t="shared" si="168"/>
        <v>76201.604015575125</v>
      </c>
      <c r="I349" s="4">
        <f t="shared" si="168"/>
        <v>0</v>
      </c>
      <c r="J349" s="5"/>
      <c r="K349" s="71" t="str">
        <f>A345&amp;":"&amp;A348</f>
        <v>793:796</v>
      </c>
    </row>
    <row r="350" spans="1:11">
      <c r="A350" s="50">
        <f t="shared" si="153"/>
        <v>798</v>
      </c>
      <c r="B350" s="28"/>
      <c r="C350" s="2"/>
      <c r="D350" s="2"/>
      <c r="E350" s="2"/>
      <c r="F350" s="2"/>
      <c r="G350" s="2"/>
      <c r="H350" s="2"/>
      <c r="I350" s="2"/>
      <c r="J350" s="2"/>
      <c r="K350" s="71"/>
    </row>
    <row r="351" spans="1:11">
      <c r="A351" s="50">
        <f t="shared" si="153"/>
        <v>799</v>
      </c>
      <c r="B351" s="30" t="str">
        <f>"Line "&amp;A146</f>
        <v>Line 594</v>
      </c>
      <c r="K351" s="71"/>
    </row>
    <row r="352" spans="1:11">
      <c r="A352" s="50">
        <f t="shared" si="153"/>
        <v>800</v>
      </c>
      <c r="B352" t="s">
        <v>180</v>
      </c>
      <c r="C352" s="2">
        <f>SUM(D352:I352)</f>
        <v>36089844.327987552</v>
      </c>
      <c r="D352" s="2">
        <f t="shared" ref="D352:I352" si="169">D$297-D$60</f>
        <v>30878949.87554989</v>
      </c>
      <c r="E352" s="2">
        <f t="shared" si="169"/>
        <v>3770790.0353290522</v>
      </c>
      <c r="F352" s="2">
        <f t="shared" si="169"/>
        <v>0</v>
      </c>
      <c r="G352" s="2">
        <f t="shared" si="169"/>
        <v>46774.277900102592</v>
      </c>
      <c r="H352" s="2">
        <f t="shared" si="169"/>
        <v>1393330.1392085077</v>
      </c>
      <c r="I352" s="2">
        <f t="shared" si="169"/>
        <v>0</v>
      </c>
      <c r="J352" s="2"/>
      <c r="K352" s="71" t="str">
        <f>A$297&amp;"-"&amp;A$60</f>
        <v>745-508</v>
      </c>
    </row>
    <row r="353" spans="1:11">
      <c r="A353" s="50">
        <f t="shared" si="153"/>
        <v>801</v>
      </c>
      <c r="B353" t="s">
        <v>143</v>
      </c>
      <c r="C353" s="2">
        <f>SUM(D353:I353)</f>
        <v>3532434.2186499625</v>
      </c>
      <c r="D353" s="2">
        <f t="shared" ref="D353:I353" si="170">D$100*D354</f>
        <v>1712776.6320969251</v>
      </c>
      <c r="E353" s="2">
        <f t="shared" si="170"/>
        <v>1656592.4744675613</v>
      </c>
      <c r="F353" s="2">
        <f t="shared" si="170"/>
        <v>0</v>
      </c>
      <c r="G353" s="2">
        <f t="shared" si="170"/>
        <v>15245.906647598069</v>
      </c>
      <c r="H353" s="2">
        <f t="shared" si="170"/>
        <v>147819.205437878</v>
      </c>
      <c r="I353" s="2">
        <f t="shared" si="170"/>
        <v>0</v>
      </c>
      <c r="J353" s="2"/>
      <c r="K353" s="71" t="str">
        <f>A$100&amp;"*"&amp;A354</f>
        <v>548*802</v>
      </c>
    </row>
    <row r="354" spans="1:11">
      <c r="A354" s="50">
        <f t="shared" si="153"/>
        <v>802</v>
      </c>
      <c r="B354" t="s">
        <v>163</v>
      </c>
      <c r="C354" s="2">
        <f>SUM(D354:I354)</f>
        <v>23068775.605850566</v>
      </c>
      <c r="D354" s="2">
        <f t="shared" ref="D354:I354" si="171">D$83*D$270</f>
        <v>13477833.66244838</v>
      </c>
      <c r="E354" s="2">
        <f t="shared" si="171"/>
        <v>8403545.0243084449</v>
      </c>
      <c r="F354" s="2">
        <f t="shared" si="171"/>
        <v>0</v>
      </c>
      <c r="G354" s="2">
        <f t="shared" si="171"/>
        <v>81905.18587722251</v>
      </c>
      <c r="H354" s="2">
        <f t="shared" si="171"/>
        <v>1105491.7332165164</v>
      </c>
      <c r="I354" s="2">
        <f t="shared" si="171"/>
        <v>0</v>
      </c>
      <c r="J354" s="2"/>
      <c r="K354" s="71" t="str">
        <f>A83&amp;"*"&amp;A$270</f>
        <v>531*718</v>
      </c>
    </row>
    <row r="355" spans="1:11">
      <c r="A355" s="50">
        <f t="shared" si="153"/>
        <v>803</v>
      </c>
      <c r="B355" t="s">
        <v>162</v>
      </c>
      <c r="C355" s="2">
        <f>SUM(D355:I355)</f>
        <v>2879785.6012172773</v>
      </c>
      <c r="D355" s="2">
        <f t="shared" ref="D355:I355" si="172">SUM(D352:D354)*D$97</f>
        <v>2116258.1779140127</v>
      </c>
      <c r="E355" s="2">
        <f t="shared" si="172"/>
        <v>635339.54728713969</v>
      </c>
      <c r="F355" s="2">
        <f t="shared" si="172"/>
        <v>0</v>
      </c>
      <c r="G355" s="2">
        <f t="shared" si="172"/>
        <v>6611.3772531468449</v>
      </c>
      <c r="H355" s="2">
        <f t="shared" si="172"/>
        <v>121576.49876297812</v>
      </c>
      <c r="I355" s="2">
        <f t="shared" si="172"/>
        <v>0</v>
      </c>
      <c r="J355" s="2"/>
      <c r="K355" s="71" t="str">
        <f>A352&amp;":"&amp;A354&amp;"*"&amp;A$97</f>
        <v>800:802*545</v>
      </c>
    </row>
    <row r="356" spans="1:11">
      <c r="A356" s="50">
        <f t="shared" si="153"/>
        <v>804</v>
      </c>
      <c r="B356" s="28" t="s">
        <v>166</v>
      </c>
      <c r="C356" s="4">
        <f>IF(ROUND(SUM(C352:C355),3)&lt;&gt;ROUND(SUM(D356:I356),3),#VALUE!,SUM(C352:C355))</f>
        <v>65570839.75370536</v>
      </c>
      <c r="D356" s="4">
        <f t="shared" ref="D356:I356" si="173">SUM(D352:D355)</f>
        <v>48185818.348009206</v>
      </c>
      <c r="E356" s="4">
        <f t="shared" si="173"/>
        <v>14466267.081392199</v>
      </c>
      <c r="F356" s="4">
        <f t="shared" si="173"/>
        <v>0</v>
      </c>
      <c r="G356" s="4">
        <f t="shared" si="173"/>
        <v>150536.74767807001</v>
      </c>
      <c r="H356" s="4">
        <f t="shared" si="173"/>
        <v>2768217.5766258803</v>
      </c>
      <c r="I356" s="4">
        <f t="shared" si="173"/>
        <v>0</v>
      </c>
      <c r="J356" s="5"/>
      <c r="K356" s="71" t="str">
        <f>A352&amp;":"&amp;A355</f>
        <v>800:803</v>
      </c>
    </row>
    <row r="357" spans="1:11">
      <c r="A357" s="50">
        <f t="shared" si="153"/>
        <v>805</v>
      </c>
      <c r="B357" s="28"/>
      <c r="C357" s="2"/>
      <c r="D357" s="2"/>
      <c r="E357" s="2"/>
      <c r="F357" s="2"/>
      <c r="G357" s="2"/>
      <c r="H357" s="2"/>
      <c r="I357" s="2"/>
      <c r="J357" s="2"/>
      <c r="K357" s="71"/>
    </row>
    <row r="358" spans="1:11">
      <c r="A358" s="50">
        <f t="shared" si="153"/>
        <v>806</v>
      </c>
      <c r="B358" s="30" t="str">
        <f>"Line "&amp;A147</f>
        <v>Line 595</v>
      </c>
      <c r="K358" s="71"/>
    </row>
    <row r="359" spans="1:11">
      <c r="A359" s="50">
        <f t="shared" si="153"/>
        <v>807</v>
      </c>
      <c r="B359" t="s">
        <v>168</v>
      </c>
      <c r="C359" s="2">
        <f>SUM(D359:I359)</f>
        <v>32173114.096982088</v>
      </c>
      <c r="D359" s="2">
        <f t="shared" ref="D359:I359" si="174">D$306</f>
        <v>28449772.437635262</v>
      </c>
      <c r="E359" s="2">
        <f t="shared" si="174"/>
        <v>2827578.1039593634</v>
      </c>
      <c r="F359" s="2">
        <f t="shared" si="174"/>
        <v>0</v>
      </c>
      <c r="G359" s="2">
        <f t="shared" si="174"/>
        <v>35027.411149287436</v>
      </c>
      <c r="H359" s="2">
        <f t="shared" si="174"/>
        <v>860736.14423817827</v>
      </c>
      <c r="I359" s="2">
        <f t="shared" si="174"/>
        <v>0</v>
      </c>
      <c r="J359" s="2"/>
      <c r="K359" s="71">
        <f>A$306</f>
        <v>754</v>
      </c>
    </row>
    <row r="360" spans="1:11">
      <c r="A360" s="50">
        <f t="shared" si="153"/>
        <v>808</v>
      </c>
      <c r="B360" t="s">
        <v>143</v>
      </c>
      <c r="C360" s="2">
        <f>SUM(D360:I360)</f>
        <v>1158664.2801411818</v>
      </c>
      <c r="D360" s="2">
        <f t="shared" ref="D360:I360" si="175">D$100*D361</f>
        <v>732453.60640850698</v>
      </c>
      <c r="E360" s="2">
        <f t="shared" si="175"/>
        <v>395226.10786754772</v>
      </c>
      <c r="F360" s="2">
        <f t="shared" si="175"/>
        <v>0</v>
      </c>
      <c r="G360" s="2">
        <f t="shared" si="175"/>
        <v>3447.7164375978709</v>
      </c>
      <c r="H360" s="2">
        <f t="shared" si="175"/>
        <v>27536.849427529414</v>
      </c>
      <c r="I360" s="2">
        <f t="shared" si="175"/>
        <v>0</v>
      </c>
      <c r="J360" s="2"/>
      <c r="K360" s="71" t="str">
        <f>A$100&amp;"*"&amp;A361</f>
        <v>548*809</v>
      </c>
    </row>
    <row r="361" spans="1:11">
      <c r="A361" s="50">
        <f t="shared" si="153"/>
        <v>809</v>
      </c>
      <c r="B361" t="s">
        <v>163</v>
      </c>
      <c r="C361" s="2">
        <f>SUM(D361:I361)</f>
        <v>7993035.100197481</v>
      </c>
      <c r="D361" s="2">
        <f t="shared" ref="D361:I361" si="176">D$83*D$271</f>
        <v>5763675.0102950074</v>
      </c>
      <c r="E361" s="2">
        <f t="shared" si="176"/>
        <v>2004898.8773262473</v>
      </c>
      <c r="F361" s="2">
        <f t="shared" si="176"/>
        <v>0</v>
      </c>
      <c r="G361" s="2">
        <f t="shared" si="176"/>
        <v>18522.076922063392</v>
      </c>
      <c r="H361" s="2">
        <f t="shared" si="176"/>
        <v>205939.13565416288</v>
      </c>
      <c r="I361" s="2">
        <f t="shared" si="176"/>
        <v>0</v>
      </c>
      <c r="J361" s="2"/>
      <c r="K361" s="71" t="str">
        <f>A83&amp;"*"&amp;A$271</f>
        <v>531*719</v>
      </c>
    </row>
    <row r="362" spans="1:11">
      <c r="A362" s="50">
        <f t="shared" si="153"/>
        <v>810</v>
      </c>
      <c r="B362" t="s">
        <v>162</v>
      </c>
      <c r="C362" s="2">
        <f>SUM(D362:I362)</f>
        <v>1898302.7871171134</v>
      </c>
      <c r="D362" s="2">
        <f t="shared" ref="D362:I362" si="177">SUM(D359:D361)*D$97</f>
        <v>1605280.1159326881</v>
      </c>
      <c r="E362" s="2">
        <f t="shared" si="177"/>
        <v>240140.54775604472</v>
      </c>
      <c r="F362" s="2">
        <f t="shared" si="177"/>
        <v>0</v>
      </c>
      <c r="G362" s="2">
        <f t="shared" si="177"/>
        <v>2618.2320759076365</v>
      </c>
      <c r="H362" s="2">
        <f t="shared" si="177"/>
        <v>50263.891352472987</v>
      </c>
      <c r="I362" s="2">
        <f t="shared" si="177"/>
        <v>0</v>
      </c>
      <c r="J362" s="2"/>
      <c r="K362" s="71" t="str">
        <f>A359&amp;":"&amp;A361&amp;"*"&amp;A$97</f>
        <v>807:809*545</v>
      </c>
    </row>
    <row r="363" spans="1:11">
      <c r="A363" s="50">
        <f t="shared" si="153"/>
        <v>811</v>
      </c>
      <c r="B363" s="28" t="s">
        <v>169</v>
      </c>
      <c r="C363" s="4">
        <f>IF(ROUND(SUM(C359:C362),3)&lt;&gt;ROUND(SUM(D363:I363),3),#VALUE!,SUM(C359:C362))</f>
        <v>43223116.264437869</v>
      </c>
      <c r="D363" s="4">
        <f t="shared" ref="D363:I363" si="178">SUM(D359:D362)</f>
        <v>36551181.170271464</v>
      </c>
      <c r="E363" s="4">
        <f t="shared" si="178"/>
        <v>5467843.6369092036</v>
      </c>
      <c r="F363" s="4">
        <f t="shared" si="178"/>
        <v>0</v>
      </c>
      <c r="G363" s="4">
        <f t="shared" si="178"/>
        <v>59615.436584856332</v>
      </c>
      <c r="H363" s="4">
        <f t="shared" si="178"/>
        <v>1144476.0206723437</v>
      </c>
      <c r="I363" s="4">
        <f t="shared" si="178"/>
        <v>0</v>
      </c>
      <c r="J363" s="5"/>
      <c r="K363" s="71" t="str">
        <f>A359&amp;":"&amp;A362</f>
        <v>807:810</v>
      </c>
    </row>
    <row r="364" spans="1:11">
      <c r="A364" s="50">
        <f t="shared" si="153"/>
        <v>812</v>
      </c>
      <c r="B364" s="28"/>
      <c r="C364" s="2"/>
      <c r="D364" s="2"/>
      <c r="E364" s="2"/>
      <c r="F364" s="2"/>
      <c r="G364" s="2"/>
      <c r="H364" s="2"/>
      <c r="I364" s="2"/>
      <c r="J364" s="2"/>
      <c r="K364" s="71"/>
    </row>
    <row r="365" spans="1:11">
      <c r="A365" s="50">
        <f t="shared" si="153"/>
        <v>813</v>
      </c>
      <c r="K365" s="71"/>
    </row>
    <row r="366" spans="1:11">
      <c r="A366" s="50">
        <f t="shared" si="153"/>
        <v>814</v>
      </c>
      <c r="B366" s="30" t="s">
        <v>151</v>
      </c>
      <c r="K366" s="71"/>
    </row>
    <row r="367" spans="1:11">
      <c r="A367" s="50">
        <f t="shared" si="153"/>
        <v>815</v>
      </c>
      <c r="B367" s="30" t="str">
        <f>"Line "&amp;A160</f>
        <v>Line 608</v>
      </c>
      <c r="K367" s="71"/>
    </row>
    <row r="368" spans="1:11">
      <c r="A368" s="50">
        <f t="shared" si="153"/>
        <v>816</v>
      </c>
      <c r="B368" t="s">
        <v>472</v>
      </c>
      <c r="C368" s="21">
        <f>SUM(D368:I368)</f>
        <v>1000</v>
      </c>
      <c r="D368" s="21">
        <f t="shared" ref="D368:I370" si="179">D276</f>
        <v>743.03274753938524</v>
      </c>
      <c r="E368" s="21">
        <f t="shared" si="179"/>
        <v>253.2972158481291</v>
      </c>
      <c r="F368" s="21">
        <f t="shared" si="179"/>
        <v>0</v>
      </c>
      <c r="G368" s="21">
        <f t="shared" si="179"/>
        <v>3.6700366124856116</v>
      </c>
      <c r="H368" s="21">
        <f t="shared" si="179"/>
        <v>0</v>
      </c>
      <c r="I368" s="21">
        <f t="shared" si="179"/>
        <v>0</v>
      </c>
      <c r="J368" s="2"/>
      <c r="K368" s="71">
        <f>A276</f>
        <v>724</v>
      </c>
    </row>
    <row r="369" spans="1:11">
      <c r="A369" s="50">
        <f t="shared" si="153"/>
        <v>817</v>
      </c>
      <c r="B369" t="s">
        <v>473</v>
      </c>
      <c r="C369" s="21">
        <f>SUM(D369:I369)</f>
        <v>0</v>
      </c>
      <c r="D369" s="21">
        <f t="shared" si="179"/>
        <v>0</v>
      </c>
      <c r="E369" s="21">
        <f t="shared" si="179"/>
        <v>0</v>
      </c>
      <c r="F369" s="21">
        <f t="shared" si="179"/>
        <v>0</v>
      </c>
      <c r="G369" s="21">
        <f t="shared" si="179"/>
        <v>0</v>
      </c>
      <c r="H369" s="21">
        <f t="shared" si="179"/>
        <v>0</v>
      </c>
      <c r="I369" s="21">
        <f t="shared" si="179"/>
        <v>0</v>
      </c>
      <c r="J369" s="2"/>
      <c r="K369" s="71">
        <f>A277</f>
        <v>725</v>
      </c>
    </row>
    <row r="370" spans="1:11">
      <c r="A370" s="50">
        <f t="shared" si="153"/>
        <v>818</v>
      </c>
      <c r="B370" t="s">
        <v>474</v>
      </c>
      <c r="C370" s="21">
        <f>SUM(D370:I370)</f>
        <v>994999.99999999988</v>
      </c>
      <c r="D370" s="21">
        <f t="shared" si="179"/>
        <v>664485.11232285877</v>
      </c>
      <c r="E370" s="21">
        <f t="shared" si="179"/>
        <v>292457.52240923216</v>
      </c>
      <c r="F370" s="21">
        <f t="shared" si="179"/>
        <v>0</v>
      </c>
      <c r="G370" s="21">
        <f t="shared" si="179"/>
        <v>4618.1367581319337</v>
      </c>
      <c r="H370" s="21">
        <f t="shared" si="179"/>
        <v>33439.228509777131</v>
      </c>
      <c r="I370" s="21">
        <f t="shared" si="179"/>
        <v>0</v>
      </c>
      <c r="J370" s="2"/>
      <c r="K370" s="71">
        <f>A278</f>
        <v>726</v>
      </c>
    </row>
    <row r="371" spans="1:11">
      <c r="A371" s="50">
        <f t="shared" si="153"/>
        <v>819</v>
      </c>
      <c r="B371" s="28" t="s">
        <v>177</v>
      </c>
      <c r="C371" s="48">
        <f t="shared" ref="C371:I371" si="180">SUM(C368:C370)</f>
        <v>995999.99999999988</v>
      </c>
      <c r="D371" s="48">
        <f t="shared" si="180"/>
        <v>665228.14507039811</v>
      </c>
      <c r="E371" s="4">
        <f t="shared" si="180"/>
        <v>292710.81962508027</v>
      </c>
      <c r="F371" s="4">
        <f t="shared" si="180"/>
        <v>0</v>
      </c>
      <c r="G371" s="4">
        <f t="shared" si="180"/>
        <v>4621.8067947444197</v>
      </c>
      <c r="H371" s="4">
        <f t="shared" si="180"/>
        <v>33439.228509777131</v>
      </c>
      <c r="I371" s="4">
        <f t="shared" si="180"/>
        <v>0</v>
      </c>
      <c r="J371" s="5"/>
      <c r="K371" s="71" t="str">
        <f>A368&amp;":"&amp;A370</f>
        <v>816:818</v>
      </c>
    </row>
    <row r="372" spans="1:11">
      <c r="A372" s="50">
        <f t="shared" si="153"/>
        <v>820</v>
      </c>
      <c r="B372" t="s">
        <v>162</v>
      </c>
      <c r="C372" s="2">
        <f>SUM(D372:I372)</f>
        <v>45752.404351595564</v>
      </c>
      <c r="D372" s="2">
        <f t="shared" ref="D372:I372" si="181">D371*$C$97</f>
        <v>30558.019155946513</v>
      </c>
      <c r="E372" s="2">
        <f t="shared" si="181"/>
        <v>13446.007808808863</v>
      </c>
      <c r="F372" s="2">
        <f t="shared" si="181"/>
        <v>0</v>
      </c>
      <c r="G372" s="2">
        <f t="shared" si="181"/>
        <v>212.3080053294162</v>
      </c>
      <c r="H372" s="2">
        <f t="shared" si="181"/>
        <v>1536.0693815107686</v>
      </c>
      <c r="I372" s="2">
        <f t="shared" si="181"/>
        <v>0</v>
      </c>
      <c r="J372" s="2"/>
      <c r="K372" s="71" t="str">
        <f>A371&amp;"*"&amp;A$97</f>
        <v>819*545</v>
      </c>
    </row>
    <row r="373" spans="1:11">
      <c r="A373" s="50">
        <f t="shared" si="153"/>
        <v>821</v>
      </c>
      <c r="B373" s="28" t="s">
        <v>164</v>
      </c>
      <c r="C373" s="48">
        <f>IF(ROUND(SUM(C371:C372),3)&lt;&gt;ROUND(SUM(D373:I373),3),#VALUE!,SUM(C371:C372))</f>
        <v>1041752.4043515954</v>
      </c>
      <c r="D373" s="48">
        <f t="shared" ref="D373:I373" si="182">SUM(D371:D372)</f>
        <v>695786.16422634467</v>
      </c>
      <c r="E373" s="4">
        <f t="shared" si="182"/>
        <v>306156.82743388915</v>
      </c>
      <c r="F373" s="4">
        <f t="shared" si="182"/>
        <v>0</v>
      </c>
      <c r="G373" s="4">
        <f t="shared" si="182"/>
        <v>4834.1148000738358</v>
      </c>
      <c r="H373" s="4">
        <f t="shared" si="182"/>
        <v>34975.297891287897</v>
      </c>
      <c r="I373" s="4">
        <f t="shared" si="182"/>
        <v>0</v>
      </c>
      <c r="J373" s="5"/>
      <c r="K373" s="71" t="str">
        <f>A371&amp;":"&amp;A372</f>
        <v>819:820</v>
      </c>
    </row>
    <row r="374" spans="1:11">
      <c r="A374" s="50">
        <f t="shared" si="153"/>
        <v>822</v>
      </c>
      <c r="C374" s="2"/>
      <c r="D374" s="2"/>
      <c r="E374" s="2"/>
      <c r="F374" s="2"/>
      <c r="G374" s="2"/>
      <c r="H374" s="2"/>
      <c r="I374" s="2"/>
      <c r="J374" s="2"/>
      <c r="K374" s="71"/>
    </row>
    <row r="375" spans="1:11">
      <c r="A375" s="50">
        <f t="shared" si="153"/>
        <v>823</v>
      </c>
      <c r="B375" s="30" t="str">
        <f>"Line "&amp;A161</f>
        <v>Line 609</v>
      </c>
      <c r="K375" s="71"/>
    </row>
    <row r="376" spans="1:11">
      <c r="A376" s="50">
        <f t="shared" si="153"/>
        <v>824</v>
      </c>
      <c r="B376" t="s">
        <v>486</v>
      </c>
      <c r="C376" s="2">
        <f>SUM(D376:I376)</f>
        <v>3478601.6043434083</v>
      </c>
      <c r="D376" s="2">
        <f t="shared" ref="D376:I376" si="183">D345</f>
        <v>2532092.9475797717</v>
      </c>
      <c r="E376" s="2">
        <f t="shared" si="183"/>
        <v>884927.06100768608</v>
      </c>
      <c r="F376" s="2">
        <f t="shared" si="183"/>
        <v>0</v>
      </c>
      <c r="G376" s="2">
        <f t="shared" si="183"/>
        <v>12818.630143213</v>
      </c>
      <c r="H376" s="2">
        <f t="shared" si="183"/>
        <v>48762.965612737404</v>
      </c>
      <c r="I376" s="2">
        <f t="shared" si="183"/>
        <v>0</v>
      </c>
      <c r="J376" s="2"/>
      <c r="K376" s="71">
        <f>A345</f>
        <v>793</v>
      </c>
    </row>
    <row r="377" spans="1:11">
      <c r="A377" s="50">
        <f t="shared" si="153"/>
        <v>825</v>
      </c>
      <c r="B377" t="s">
        <v>143</v>
      </c>
      <c r="C377" s="2">
        <f>SUM(D377:I377)</f>
        <v>285303.43480008427</v>
      </c>
      <c r="D377" s="2">
        <f t="shared" ref="D377:I377" si="184">$C$100*D378</f>
        <v>207673.91536747583</v>
      </c>
      <c r="E377" s="2">
        <f t="shared" si="184"/>
        <v>72578.799980370619</v>
      </c>
      <c r="F377" s="2">
        <f t="shared" si="184"/>
        <v>0</v>
      </c>
      <c r="G377" s="2">
        <f t="shared" si="184"/>
        <v>1051.3417819172389</v>
      </c>
      <c r="H377" s="2">
        <f t="shared" si="184"/>
        <v>3999.3776703205817</v>
      </c>
      <c r="I377" s="2">
        <f t="shared" si="184"/>
        <v>0</v>
      </c>
      <c r="J377" s="2"/>
      <c r="K377" s="71" t="str">
        <f>C$1&amp;$A$100&amp;"*"&amp;A378</f>
        <v>C548*826</v>
      </c>
    </row>
    <row r="378" spans="1:11">
      <c r="A378" s="50">
        <f t="shared" si="153"/>
        <v>826</v>
      </c>
      <c r="B378" t="s">
        <v>163</v>
      </c>
      <c r="C378" s="2">
        <f>SUM(D378:I378)</f>
        <v>1878073.7271619705</v>
      </c>
      <c r="D378" s="2">
        <f t="shared" ref="D378:I378" si="185">$C$83*D$269</f>
        <v>1367060.037471374</v>
      </c>
      <c r="E378" s="2">
        <f t="shared" si="185"/>
        <v>477766.1982499116</v>
      </c>
      <c r="F378" s="2">
        <f t="shared" si="185"/>
        <v>0</v>
      </c>
      <c r="G378" s="2">
        <f t="shared" si="185"/>
        <v>6920.6926312330288</v>
      </c>
      <c r="H378" s="2">
        <f t="shared" si="185"/>
        <v>26326.798809451677</v>
      </c>
      <c r="I378" s="2">
        <f t="shared" si="185"/>
        <v>0</v>
      </c>
      <c r="J378" s="2"/>
      <c r="K378" s="71" t="str">
        <f>C$1&amp;A83&amp;"*"&amp;A$269</f>
        <v>C531*717</v>
      </c>
    </row>
    <row r="379" spans="1:11">
      <c r="A379" s="50">
        <f t="shared" si="153"/>
        <v>827</v>
      </c>
      <c r="B379" t="s">
        <v>162</v>
      </c>
      <c r="C379" s="2">
        <f>SUM(D379:I379)</f>
        <v>259170.77696699181</v>
      </c>
      <c r="D379" s="2">
        <f t="shared" ref="D379:I379" si="186">SUM(D376:D378)*$C$97</f>
        <v>188651.81219875769</v>
      </c>
      <c r="E379" s="2">
        <f t="shared" si="186"/>
        <v>65930.871093175447</v>
      </c>
      <c r="F379" s="2">
        <f t="shared" si="186"/>
        <v>0</v>
      </c>
      <c r="G379" s="2">
        <f t="shared" si="186"/>
        <v>955.04306377622345</v>
      </c>
      <c r="H379" s="2">
        <f t="shared" si="186"/>
        <v>3633.0506112824287</v>
      </c>
      <c r="I379" s="2">
        <f t="shared" si="186"/>
        <v>0</v>
      </c>
      <c r="J379" s="2"/>
      <c r="K379" s="71" t="str">
        <f>A376&amp;":"&amp;A378&amp;"*"&amp;C$1&amp;A$97</f>
        <v>824:826*C545</v>
      </c>
    </row>
    <row r="380" spans="1:11">
      <c r="A380" s="50">
        <f t="shared" si="153"/>
        <v>828</v>
      </c>
      <c r="B380" s="28" t="s">
        <v>463</v>
      </c>
      <c r="C380" s="4">
        <f>IF(ROUND(SUM(C376:C379),3)&lt;&gt;ROUND(SUM(D380:I380),3),#VALUE!,SUM(C376:C379))</f>
        <v>5901149.5432724552</v>
      </c>
      <c r="D380" s="4">
        <f t="shared" ref="D380:I380" si="187">SUM(D376:D379)</f>
        <v>4295478.7126173796</v>
      </c>
      <c r="E380" s="4">
        <f t="shared" si="187"/>
        <v>1501202.9303311438</v>
      </c>
      <c r="F380" s="4">
        <f t="shared" si="187"/>
        <v>0</v>
      </c>
      <c r="G380" s="4">
        <f t="shared" si="187"/>
        <v>21745.707620139492</v>
      </c>
      <c r="H380" s="4">
        <f t="shared" si="187"/>
        <v>82722.192703792083</v>
      </c>
      <c r="I380" s="4">
        <f t="shared" si="187"/>
        <v>0</v>
      </c>
      <c r="J380" s="5"/>
      <c r="K380" s="71" t="str">
        <f>A376&amp;":"&amp;A379</f>
        <v>824:827</v>
      </c>
    </row>
    <row r="381" spans="1:11">
      <c r="A381" s="50">
        <f t="shared" si="153"/>
        <v>829</v>
      </c>
      <c r="B381" s="28"/>
      <c r="C381" s="2"/>
      <c r="D381" s="2"/>
      <c r="E381" s="2"/>
      <c r="F381" s="2"/>
      <c r="G381" s="2"/>
      <c r="H381" s="2"/>
      <c r="I381" s="2"/>
      <c r="J381" s="2"/>
      <c r="K381" s="71"/>
    </row>
    <row r="382" spans="1:11">
      <c r="A382" s="50">
        <f t="shared" si="153"/>
        <v>830</v>
      </c>
      <c r="B382" s="30" t="str">
        <f>"Line "&amp;A162</f>
        <v>Line 610</v>
      </c>
      <c r="K382" s="71"/>
    </row>
    <row r="383" spans="1:11">
      <c r="A383" s="50">
        <f t="shared" si="153"/>
        <v>831</v>
      </c>
      <c r="B383" t="s">
        <v>180</v>
      </c>
      <c r="C383" s="2">
        <f>SUM(D383:I383)</f>
        <v>36089844.327987552</v>
      </c>
      <c r="D383" s="2">
        <f t="shared" ref="D383:I383" si="188">D352</f>
        <v>30878949.87554989</v>
      </c>
      <c r="E383" s="2">
        <f t="shared" si="188"/>
        <v>3770790.0353290522</v>
      </c>
      <c r="F383" s="2">
        <f t="shared" si="188"/>
        <v>0</v>
      </c>
      <c r="G383" s="2">
        <f t="shared" si="188"/>
        <v>46774.277900102592</v>
      </c>
      <c r="H383" s="2">
        <f t="shared" si="188"/>
        <v>1393330.1392085077</v>
      </c>
      <c r="I383" s="2">
        <f t="shared" si="188"/>
        <v>0</v>
      </c>
      <c r="J383" s="2"/>
      <c r="K383" s="71">
        <f>A352</f>
        <v>800</v>
      </c>
    </row>
    <row r="384" spans="1:11">
      <c r="A384" s="50">
        <f t="shared" si="153"/>
        <v>832</v>
      </c>
      <c r="B384" t="s">
        <v>143</v>
      </c>
      <c r="C384" s="2">
        <f>SUM(D384:I384)</f>
        <v>3448626.9314130098</v>
      </c>
      <c r="D384" s="2">
        <f t="shared" ref="D384:I384" si="189">$C$100*D385</f>
        <v>2714797.0534258173</v>
      </c>
      <c r="E384" s="2">
        <f t="shared" si="189"/>
        <v>518922.03859751445</v>
      </c>
      <c r="F384" s="2">
        <f t="shared" si="189"/>
        <v>0</v>
      </c>
      <c r="G384" s="2">
        <f t="shared" si="189"/>
        <v>6852.411423419514</v>
      </c>
      <c r="H384" s="2">
        <f t="shared" si="189"/>
        <v>208055.42796625828</v>
      </c>
      <c r="I384" s="2">
        <f t="shared" si="189"/>
        <v>0</v>
      </c>
      <c r="J384" s="2"/>
      <c r="K384" s="71" t="str">
        <f>C$1&amp;$A$100&amp;"*"&amp;A385</f>
        <v>C548*833</v>
      </c>
    </row>
    <row r="385" spans="1:11">
      <c r="A385" s="50">
        <f t="shared" si="153"/>
        <v>833</v>
      </c>
      <c r="B385" t="s">
        <v>163</v>
      </c>
      <c r="C385" s="2">
        <f>SUM(D385:I385)</f>
        <v>22701358.780374784</v>
      </c>
      <c r="D385" s="2">
        <f t="shared" ref="D385:I385" si="190">$C$83*D$270</f>
        <v>17870759.334490329</v>
      </c>
      <c r="E385" s="2">
        <f t="shared" si="190"/>
        <v>3415920.484161777</v>
      </c>
      <c r="F385" s="2">
        <f t="shared" si="190"/>
        <v>0</v>
      </c>
      <c r="G385" s="2">
        <f t="shared" si="190"/>
        <v>45107.532164996381</v>
      </c>
      <c r="H385" s="2">
        <f t="shared" si="190"/>
        <v>1369571.4295576862</v>
      </c>
      <c r="I385" s="2">
        <f t="shared" si="190"/>
        <v>0</v>
      </c>
      <c r="J385" s="2"/>
      <c r="K385" s="71" t="str">
        <f>C$1&amp;A83&amp;"*"&amp;A$270</f>
        <v>C531*718</v>
      </c>
    </row>
    <row r="386" spans="1:11">
      <c r="A386" s="50">
        <f t="shared" si="153"/>
        <v>834</v>
      </c>
      <c r="B386" t="s">
        <v>162</v>
      </c>
      <c r="C386" s="2">
        <f>SUM(D386:I386)</f>
        <v>2859058.1031670538</v>
      </c>
      <c r="D386" s="2">
        <f t="shared" ref="D386:I386" si="191">SUM(D383:D385)*$C$97</f>
        <v>2364081.2252222095</v>
      </c>
      <c r="E386" s="2">
        <f t="shared" si="191"/>
        <v>353967.08492216625</v>
      </c>
      <c r="F386" s="2">
        <f t="shared" si="191"/>
        <v>0</v>
      </c>
      <c r="G386" s="2">
        <f t="shared" si="191"/>
        <v>4535.4699045006964</v>
      </c>
      <c r="H386" s="2">
        <f t="shared" si="191"/>
        <v>136474.32311817782</v>
      </c>
      <c r="I386" s="2">
        <f t="shared" si="191"/>
        <v>0</v>
      </c>
      <c r="J386" s="2"/>
      <c r="K386" s="71" t="str">
        <f>A383&amp;":"&amp;A385&amp;"*"&amp;C$1&amp;$A$97</f>
        <v>831:833*C545</v>
      </c>
    </row>
    <row r="387" spans="1:11">
      <c r="A387" s="50">
        <f t="shared" si="153"/>
        <v>835</v>
      </c>
      <c r="B387" s="28" t="s">
        <v>166</v>
      </c>
      <c r="C387" s="4">
        <f>IF(ROUND(SUM(C383:C386),3)&lt;&gt;ROUND(SUM(D387:I387),3),#VALUE!,SUM(C383:C386))</f>
        <v>65098888.142942399</v>
      </c>
      <c r="D387" s="4">
        <f t="shared" ref="D387:I387" si="192">SUM(D383:D386)</f>
        <v>53828587.488688245</v>
      </c>
      <c r="E387" s="4">
        <f t="shared" si="192"/>
        <v>8059599.6430105101</v>
      </c>
      <c r="F387" s="4">
        <f t="shared" si="192"/>
        <v>0</v>
      </c>
      <c r="G387" s="4">
        <f t="shared" si="192"/>
        <v>103269.69139301919</v>
      </c>
      <c r="H387" s="4">
        <f t="shared" si="192"/>
        <v>3107431.3198506297</v>
      </c>
      <c r="I387" s="4">
        <f t="shared" si="192"/>
        <v>0</v>
      </c>
      <c r="J387" s="5"/>
      <c r="K387" s="71" t="str">
        <f>A383&amp;":"&amp;A386</f>
        <v>831:834</v>
      </c>
    </row>
    <row r="388" spans="1:11">
      <c r="A388" s="50">
        <f t="shared" si="153"/>
        <v>836</v>
      </c>
      <c r="B388" s="28"/>
      <c r="C388" s="2"/>
      <c r="D388" s="2"/>
      <c r="E388" s="2"/>
      <c r="F388" s="2"/>
      <c r="G388" s="2"/>
      <c r="H388" s="2"/>
      <c r="I388" s="2"/>
      <c r="J388" s="2"/>
      <c r="K388" s="71"/>
    </row>
    <row r="389" spans="1:11">
      <c r="A389" s="50">
        <f t="shared" si="153"/>
        <v>837</v>
      </c>
      <c r="B389" s="30" t="str">
        <f>"Line "&amp;A163</f>
        <v>Line 611</v>
      </c>
      <c r="K389" s="71"/>
    </row>
    <row r="390" spans="1:11">
      <c r="A390" s="50">
        <f t="shared" ref="A390:A453" si="193">Pg1Row+ROW(A390)</f>
        <v>838</v>
      </c>
      <c r="B390" t="s">
        <v>168</v>
      </c>
      <c r="C390" s="2">
        <f>SUM(D390:I390)</f>
        <v>32173114.096982088</v>
      </c>
      <c r="D390" s="2">
        <f t="shared" ref="D390:I390" si="194">D359</f>
        <v>28449772.437635262</v>
      </c>
      <c r="E390" s="2">
        <f t="shared" si="194"/>
        <v>2827578.1039593634</v>
      </c>
      <c r="F390" s="2">
        <f t="shared" si="194"/>
        <v>0</v>
      </c>
      <c r="G390" s="2">
        <f t="shared" si="194"/>
        <v>35027.411149287436</v>
      </c>
      <c r="H390" s="2">
        <f t="shared" si="194"/>
        <v>860736.14423817827</v>
      </c>
      <c r="I390" s="2">
        <f t="shared" si="194"/>
        <v>0</v>
      </c>
      <c r="J390" s="2"/>
      <c r="K390" s="71">
        <f>A359</f>
        <v>807</v>
      </c>
    </row>
    <row r="391" spans="1:11">
      <c r="A391" s="50">
        <f t="shared" si="193"/>
        <v>839</v>
      </c>
      <c r="B391" t="s">
        <v>143</v>
      </c>
      <c r="C391" s="2">
        <f>SUM(D391:I391)</f>
        <v>1325069.6337869067</v>
      </c>
      <c r="D391" s="2">
        <f t="shared" ref="D391:I391" si="195">$C$100*D392</f>
        <v>1160958.676797502</v>
      </c>
      <c r="E391" s="2">
        <f t="shared" si="195"/>
        <v>123803.25322165106</v>
      </c>
      <c r="F391" s="2">
        <f t="shared" si="195"/>
        <v>0</v>
      </c>
      <c r="G391" s="2">
        <f t="shared" si="195"/>
        <v>1549.607514186697</v>
      </c>
      <c r="H391" s="2">
        <f t="shared" si="195"/>
        <v>38758.096253566837</v>
      </c>
      <c r="I391" s="2">
        <f t="shared" si="195"/>
        <v>0</v>
      </c>
      <c r="J391" s="2"/>
      <c r="K391" s="71" t="str">
        <f>C$1&amp;$A$100&amp;"*"&amp;A392</f>
        <v>C548*840</v>
      </c>
    </row>
    <row r="392" spans="1:11">
      <c r="A392" s="50">
        <f t="shared" si="193"/>
        <v>840</v>
      </c>
      <c r="B392" t="s">
        <v>163</v>
      </c>
      <c r="C392" s="2">
        <f>SUM(D392:I392)</f>
        <v>8722567.4924632479</v>
      </c>
      <c r="D392" s="2">
        <f t="shared" ref="D392:I392" si="196">$C$83*D$271</f>
        <v>7642270.3804527409</v>
      </c>
      <c r="E392" s="2">
        <f t="shared" si="196"/>
        <v>814962.628738372</v>
      </c>
      <c r="F392" s="2">
        <f t="shared" si="196"/>
        <v>0</v>
      </c>
      <c r="G392" s="2">
        <f t="shared" si="196"/>
        <v>10200.638354901244</v>
      </c>
      <c r="H392" s="2">
        <f t="shared" si="196"/>
        <v>255133.84491723325</v>
      </c>
      <c r="I392" s="2">
        <f t="shared" si="196"/>
        <v>0</v>
      </c>
      <c r="J392" s="2"/>
      <c r="K392" s="71" t="str">
        <f>C$1&amp;A83&amp;"*"&amp;A$271</f>
        <v>C531*719</v>
      </c>
    </row>
    <row r="393" spans="1:11">
      <c r="A393" s="50">
        <f t="shared" si="193"/>
        <v>841</v>
      </c>
      <c r="B393" t="s">
        <v>162</v>
      </c>
      <c r="C393" s="2">
        <f>SUM(D393:I393)</f>
        <v>1939458.7168608878</v>
      </c>
      <c r="D393" s="2">
        <f t="shared" ref="D393:I393" si="197">SUM(D390:D392)*$C$97</f>
        <v>1711259.4254062204</v>
      </c>
      <c r="E393" s="2">
        <f t="shared" si="197"/>
        <v>173011.33832428104</v>
      </c>
      <c r="F393" s="2">
        <f t="shared" si="197"/>
        <v>0</v>
      </c>
      <c r="G393" s="2">
        <f t="shared" si="197"/>
        <v>2148.7854202057856</v>
      </c>
      <c r="H393" s="2">
        <f t="shared" si="197"/>
        <v>53039.167710180918</v>
      </c>
      <c r="I393" s="2">
        <f t="shared" si="197"/>
        <v>0</v>
      </c>
      <c r="J393" s="2"/>
      <c r="K393" s="71" t="str">
        <f>A390&amp;":"&amp;A392&amp;"*"&amp;C$1&amp;$A$97</f>
        <v>838:840*C545</v>
      </c>
    </row>
    <row r="394" spans="1:11">
      <c r="A394" s="50">
        <f t="shared" si="193"/>
        <v>842</v>
      </c>
      <c r="B394" s="28" t="s">
        <v>169</v>
      </c>
      <c r="C394" s="4">
        <f>IF(ROUND(SUM(C390:C393),3)&lt;&gt;ROUND(SUM(D394:I394),3),#VALUE!,SUM(C390:C393))</f>
        <v>44160209.94009313</v>
      </c>
      <c r="D394" s="4">
        <f t="shared" ref="D394:I394" si="198">SUM(D390:D393)</f>
        <v>38964260.920291722</v>
      </c>
      <c r="E394" s="4">
        <f t="shared" si="198"/>
        <v>3939355.3242436675</v>
      </c>
      <c r="F394" s="4">
        <f t="shared" si="198"/>
        <v>0</v>
      </c>
      <c r="G394" s="4">
        <f t="shared" si="198"/>
        <v>48926.442438581165</v>
      </c>
      <c r="H394" s="4">
        <f t="shared" si="198"/>
        <v>1207667.2531191593</v>
      </c>
      <c r="I394" s="4">
        <f t="shared" si="198"/>
        <v>0</v>
      </c>
      <c r="J394" s="5"/>
      <c r="K394" s="71" t="str">
        <f>A390&amp;":"&amp;A393</f>
        <v>838:841</v>
      </c>
    </row>
    <row r="395" spans="1:11">
      <c r="A395" s="50">
        <f t="shared" si="193"/>
        <v>843</v>
      </c>
      <c r="B395" s="28"/>
      <c r="C395" s="2"/>
      <c r="D395" s="2"/>
      <c r="E395" s="2"/>
      <c r="F395" s="2"/>
      <c r="G395" s="2"/>
      <c r="H395" s="2"/>
      <c r="I395" s="2"/>
      <c r="J395" s="2"/>
      <c r="K395" s="71"/>
    </row>
    <row r="396" spans="1:11">
      <c r="A396" s="50">
        <f t="shared" si="193"/>
        <v>844</v>
      </c>
      <c r="B396" s="28"/>
      <c r="C396" s="2"/>
      <c r="D396" s="2"/>
      <c r="E396" s="2"/>
      <c r="F396" s="2"/>
      <c r="G396" s="2"/>
      <c r="H396" s="2"/>
      <c r="I396" s="2"/>
      <c r="J396" s="2"/>
      <c r="K396" s="71"/>
    </row>
    <row r="397" spans="1:11">
      <c r="A397" s="50">
        <f t="shared" si="193"/>
        <v>845</v>
      </c>
      <c r="K397" s="71"/>
    </row>
    <row r="398" spans="1:11">
      <c r="A398" s="50">
        <f t="shared" si="193"/>
        <v>846</v>
      </c>
      <c r="B398" t="s">
        <v>525</v>
      </c>
      <c r="C398" s="21">
        <f>SUM(D398:I398)</f>
        <v>100390295.97979811</v>
      </c>
      <c r="D398" s="2">
        <f>Detail!AT$139</f>
        <v>62935960.049140513</v>
      </c>
      <c r="E398" s="2">
        <f>Detail!AU$139</f>
        <v>25976665.775611833</v>
      </c>
      <c r="F398" s="2">
        <f>Detail!AV$139</f>
        <v>0</v>
      </c>
      <c r="G398" s="2">
        <f>Detail!AW$139</f>
        <v>405749.88133910345</v>
      </c>
      <c r="H398" s="2">
        <f>Detail!AX$139</f>
        <v>11071920.273706654</v>
      </c>
      <c r="I398" s="2">
        <f>Detail!AY$139</f>
        <v>0</v>
      </c>
      <c r="J398" s="2"/>
      <c r="K398" s="71" t="str">
        <f>Detail!AY$1&amp;Detail!A$139</f>
        <v>AY139</v>
      </c>
    </row>
    <row r="399" spans="1:11">
      <c r="A399" s="50">
        <f t="shared" si="193"/>
        <v>847</v>
      </c>
      <c r="B399" t="s">
        <v>192</v>
      </c>
      <c r="C399" s="21">
        <f>SUM(D399:I399)</f>
        <v>124411604.15584439</v>
      </c>
      <c r="D399" s="2">
        <f>Detail!BB$139</f>
        <v>84949266.715011045</v>
      </c>
      <c r="E399" s="2">
        <f>Detail!BC$139</f>
        <v>28753185.892134484</v>
      </c>
      <c r="F399" s="2">
        <f>Detail!BD$139</f>
        <v>0</v>
      </c>
      <c r="G399" s="2">
        <f>Detail!BE$139</f>
        <v>361220.03588159289</v>
      </c>
      <c r="H399" s="2">
        <f>Detail!BF$139</f>
        <v>10347931.512817264</v>
      </c>
      <c r="I399" s="2">
        <f>Detail!BG$139</f>
        <v>0</v>
      </c>
      <c r="J399" s="2"/>
      <c r="K399" s="71" t="str">
        <f>Detail!BG$1&amp;Detail!A$139</f>
        <v>BG139</v>
      </c>
    </row>
    <row r="400" spans="1:11">
      <c r="A400" s="50">
        <f t="shared" si="193"/>
        <v>848</v>
      </c>
      <c r="B400" t="s">
        <v>194</v>
      </c>
      <c r="C400" s="21">
        <f>SUM(D400:I400)</f>
        <v>228838099.86435744</v>
      </c>
      <c r="D400" s="2">
        <f>Detail!BJ$139</f>
        <v>218275481.76042008</v>
      </c>
      <c r="E400" s="2">
        <f>Detail!BK$139</f>
        <v>9411391.3059523441</v>
      </c>
      <c r="F400" s="2">
        <f>Detail!BL$139</f>
        <v>0</v>
      </c>
      <c r="G400" s="2">
        <f>Detail!BM$139</f>
        <v>80711.948129099605</v>
      </c>
      <c r="H400" s="2">
        <f>Detail!BN$139</f>
        <v>1070514.8498559403</v>
      </c>
      <c r="I400" s="2">
        <f>Detail!BO$139</f>
        <v>0</v>
      </c>
      <c r="J400" s="2"/>
      <c r="K400" s="71" t="str">
        <f>Detail!BO$1&amp;Detail!A$139</f>
        <v>BO139</v>
      </c>
    </row>
    <row r="401" spans="1:12">
      <c r="A401" s="50">
        <f t="shared" si="193"/>
        <v>849</v>
      </c>
      <c r="C401" s="21"/>
      <c r="D401" s="2"/>
      <c r="E401" s="2"/>
      <c r="F401" s="2"/>
      <c r="G401" s="2"/>
      <c r="H401" s="2"/>
      <c r="I401" s="2"/>
      <c r="J401" s="2"/>
      <c r="K401" s="71"/>
    </row>
    <row r="402" spans="1:12">
      <c r="A402" s="50">
        <f t="shared" si="193"/>
        <v>850</v>
      </c>
      <c r="B402" s="30" t="s">
        <v>187</v>
      </c>
      <c r="C402" s="21"/>
      <c r="D402" s="2"/>
      <c r="E402" s="2"/>
      <c r="F402" s="2"/>
      <c r="G402" s="2"/>
      <c r="H402" s="2"/>
      <c r="I402" s="2"/>
      <c r="J402" s="2"/>
      <c r="K402" s="71"/>
    </row>
    <row r="403" spans="1:12">
      <c r="A403" s="50">
        <f t="shared" si="193"/>
        <v>851</v>
      </c>
      <c r="B403" s="30" t="str">
        <f>"Line "&amp;A187</f>
        <v>Line 635</v>
      </c>
      <c r="K403" s="71"/>
    </row>
    <row r="404" spans="1:12">
      <c r="A404" s="50">
        <f t="shared" si="193"/>
        <v>852</v>
      </c>
      <c r="B404" t="s">
        <v>528</v>
      </c>
      <c r="C404" s="21">
        <f>SUM(D404:I404)</f>
        <v>12804398.851778541</v>
      </c>
      <c r="D404" s="2">
        <f>SUMIF(Detail!$C$172:$C$407,"*",Detail!AT$172:AT$407)-SUMIF(Detail!$C$172:$C$407,$L404,Detail!AT$172:AT$407)</f>
        <v>8147315.9908292154</v>
      </c>
      <c r="E404" s="2">
        <f>SUMIF(Detail!$C$172:$C$407,"*",Detail!AU$172:AU$407)-SUMIF(Detail!$C$172:$C$407,$L404,Detail!AU$172:AU$407)</f>
        <v>3360105.8107938003</v>
      </c>
      <c r="F404" s="2">
        <f>SUMIF(Detail!$C$172:$C$407,"*",Detail!AV$172:AV$407)-SUMIF(Detail!$C$172:$C$407,$L404,Detail!AV$172:AV$407)</f>
        <v>0</v>
      </c>
      <c r="G404" s="2">
        <f>SUMIF(Detail!$C$172:$C$407,"*",Detail!AW$172:AW$407)-SUMIF(Detail!$C$172:$C$407,$L404,Detail!AW$172:AW$407)</f>
        <v>52403.400745860665</v>
      </c>
      <c r="H404" s="2">
        <f>SUMIF(Detail!$C$172:$C$407,"*",Detail!AX$172:AX$407)-SUMIF(Detail!$C$172:$C$407,$L404,Detail!AX$172:AX$407)</f>
        <v>1244573.6494096625</v>
      </c>
      <c r="I404" s="2">
        <f>SUMIF(Detail!$C$172:$C$407,"*",Detail!AY$172:AY$407)-SUMIF(Detail!$C$172:$C$407,$L404,Detail!AY$172:AY$407)</f>
        <v>0</v>
      </c>
      <c r="J404" s="2"/>
      <c r="K404" s="71" t="str">
        <f>Detail!A$172&amp;":"&amp;Detail!A$407&amp;", col "&amp;Detail!C$1&amp;"&lt;&gt; "</f>
        <v xml:space="preserve">172:407, col C&lt;&gt; </v>
      </c>
      <c r="L404" s="11" t="s">
        <v>156</v>
      </c>
    </row>
    <row r="405" spans="1:12">
      <c r="A405" s="50">
        <f t="shared" si="193"/>
        <v>853</v>
      </c>
      <c r="B405" t="s">
        <v>533</v>
      </c>
      <c r="C405" s="21">
        <f>SUM(D405:I405)</f>
        <v>372542.22767670389</v>
      </c>
      <c r="D405" s="2">
        <f>SUMIF(Detail!$C$419:$C$432,"*",Detail!AT$419:AT$432)-SUMIF(Detail!$C$419:$C$432,$L405,Detail!AT$419:AT$432)</f>
        <v>350055.77968160377</v>
      </c>
      <c r="E405" s="2">
        <f>SUMIF(Detail!$C$419:$C$432,"*",Detail!AU$419:AU$432)-SUMIF(Detail!$C$419:$C$432,$L405,Detail!AU$419:AU$432)</f>
        <v>91363.65921374764</v>
      </c>
      <c r="F405" s="2">
        <f>SUMIF(Detail!$C$419:$C$432,"*",Detail!AV$419:AV$432)-SUMIF(Detail!$C$419:$C$432,$L405,Detail!AV$419:AV$432)</f>
        <v>0</v>
      </c>
      <c r="G405" s="2">
        <f>SUMIF(Detail!$C$419:$C$432,"*",Detail!AW$419:AW$432)-SUMIF(Detail!$C$419:$C$432,$L405,Detail!AW$419:AW$432)</f>
        <v>1094.2244715164722</v>
      </c>
      <c r="H405" s="2">
        <f>SUMIF(Detail!$C$419:$C$432,"*",Detail!AX$419:AX$432)-SUMIF(Detail!$C$419:$C$432,$L405,Detail!AX$419:AX$432)</f>
        <v>-69971.435690164028</v>
      </c>
      <c r="I405" s="2">
        <f>SUMIF(Detail!$C$419:$C$432,"*",Detail!AY$419:AY$432)-SUMIF(Detail!$C$419:$C$432,$L405,Detail!AY$419:AY$432)</f>
        <v>0</v>
      </c>
      <c r="J405" s="2"/>
      <c r="K405" s="71" t="str">
        <f>Detail!A$419&amp;":"&amp;Detail!A$432&amp;", col "&amp;Detail!C$1&amp;"&lt;&gt; "</f>
        <v xml:space="preserve">419:432, col C&lt;&gt; </v>
      </c>
      <c r="L405" s="11" t="s">
        <v>156</v>
      </c>
    </row>
    <row r="406" spans="1:12">
      <c r="A406" s="50">
        <f t="shared" si="193"/>
        <v>854</v>
      </c>
      <c r="B406" s="28" t="s">
        <v>526</v>
      </c>
      <c r="C406" s="48">
        <f t="shared" ref="C406:I406" si="199">SUM(C404:C405)</f>
        <v>13176941.079455245</v>
      </c>
      <c r="D406" s="4">
        <f t="shared" si="199"/>
        <v>8497371.7705108188</v>
      </c>
      <c r="E406" s="4">
        <f t="shared" si="199"/>
        <v>3451469.4700075481</v>
      </c>
      <c r="F406" s="4">
        <f t="shared" si="199"/>
        <v>0</v>
      </c>
      <c r="G406" s="4">
        <f t="shared" si="199"/>
        <v>53497.625217377135</v>
      </c>
      <c r="H406" s="4">
        <f t="shared" si="199"/>
        <v>1174602.2137194984</v>
      </c>
      <c r="I406" s="4">
        <f t="shared" si="199"/>
        <v>0</v>
      </c>
      <c r="J406" s="5"/>
      <c r="K406" s="71" t="str">
        <f>A404&amp;":"&amp;A405</f>
        <v>852:853</v>
      </c>
    </row>
    <row r="407" spans="1:12">
      <c r="A407" s="50">
        <f t="shared" si="193"/>
        <v>855</v>
      </c>
      <c r="B407" t="s">
        <v>143</v>
      </c>
      <c r="C407" s="21">
        <f>SUM(D407:I407)</f>
        <v>844600.06365726388</v>
      </c>
      <c r="D407" s="2">
        <f>Detail!I$415*IF(D$22,D398/D$22,0)</f>
        <v>127608.57201061091</v>
      </c>
      <c r="E407" s="2">
        <f>Detail!J$415*IF(E$22,E398/E$22,0)</f>
        <v>666263.54254614795</v>
      </c>
      <c r="F407" s="2">
        <f>Detail!K$415*IF(F$22,F398/F$22,0)</f>
        <v>0</v>
      </c>
      <c r="G407" s="2">
        <f>Detail!L$415*IF(G$22,G398/G$22,0)</f>
        <v>6945.5532199111849</v>
      </c>
      <c r="H407" s="2">
        <f>Detail!M$415*IF(H$22,H398/H$22,0)</f>
        <v>43782.395880593795</v>
      </c>
      <c r="I407" s="2">
        <f>Detail!N$415*IF(I$22,I398/I$22,0)</f>
        <v>0</v>
      </c>
      <c r="J407" s="2"/>
      <c r="K407" s="71" t="str">
        <f>Detail!A$415&amp;"*"&amp;A398&amp;"/"&amp;A$22</f>
        <v>415*846/470</v>
      </c>
    </row>
    <row r="408" spans="1:12">
      <c r="A408" s="50">
        <f t="shared" si="193"/>
        <v>856</v>
      </c>
      <c r="B408" t="s">
        <v>163</v>
      </c>
      <c r="C408" s="21">
        <f>SUM(D408:I408)</f>
        <v>6705536.1860785419</v>
      </c>
      <c r="D408" s="21">
        <f t="shared" ref="D408:I408" si="200">D$49*D398</f>
        <v>2184373.6497337916</v>
      </c>
      <c r="E408" s="2">
        <f t="shared" si="200"/>
        <v>3984834.1163104274</v>
      </c>
      <c r="F408" s="2">
        <f t="shared" si="200"/>
        <v>0</v>
      </c>
      <c r="G408" s="2">
        <f t="shared" si="200"/>
        <v>44849.399136988271</v>
      </c>
      <c r="H408" s="2">
        <f t="shared" si="200"/>
        <v>491479.02089733479</v>
      </c>
      <c r="I408" s="2">
        <f t="shared" si="200"/>
        <v>0</v>
      </c>
      <c r="J408" s="2"/>
      <c r="K408" s="71" t="str">
        <f>A$49&amp;"*"&amp;A398</f>
        <v>497*846</v>
      </c>
    </row>
    <row r="409" spans="1:12">
      <c r="A409" s="50">
        <f t="shared" si="193"/>
        <v>857</v>
      </c>
      <c r="B409" t="s">
        <v>162</v>
      </c>
      <c r="C409" s="21">
        <f>SUM(D409:I409)</f>
        <v>952499.28005970526</v>
      </c>
      <c r="D409" s="2">
        <f t="shared" ref="D409:I409" si="201">SUM(D406:D408)*D$93</f>
        <v>496736.79178266641</v>
      </c>
      <c r="E409" s="2">
        <f t="shared" si="201"/>
        <v>372348.17211827921</v>
      </c>
      <c r="F409" s="2">
        <f t="shared" si="201"/>
        <v>0</v>
      </c>
      <c r="G409" s="2">
        <f t="shared" si="201"/>
        <v>4838.6515253592361</v>
      </c>
      <c r="H409" s="2">
        <f t="shared" si="201"/>
        <v>78575.664633400433</v>
      </c>
      <c r="I409" s="2">
        <f t="shared" si="201"/>
        <v>0</v>
      </c>
      <c r="J409" s="2"/>
      <c r="K409" s="71" t="str">
        <f>A406&amp;":"&amp;A408&amp;"*"&amp;A$93</f>
        <v>854:856*541</v>
      </c>
    </row>
    <row r="410" spans="1:12">
      <c r="A410" s="50">
        <f t="shared" si="193"/>
        <v>858</v>
      </c>
      <c r="B410" s="28" t="s">
        <v>527</v>
      </c>
      <c r="C410" s="48">
        <f>IF(ROUND(SUM(C406:C409),3)&lt;&gt;ROUND(SUM(D410:I410),3),#VALUE!,SUM(C406:C409))</f>
        <v>21679576.609250758</v>
      </c>
      <c r="D410" s="4">
        <f t="shared" ref="D410:I410" si="202">SUM(D406:D409)</f>
        <v>11306090.784037886</v>
      </c>
      <c r="E410" s="4">
        <f t="shared" si="202"/>
        <v>8474915.3009824026</v>
      </c>
      <c r="F410" s="4">
        <f t="shared" si="202"/>
        <v>0</v>
      </c>
      <c r="G410" s="4">
        <f t="shared" si="202"/>
        <v>110131.22909963584</v>
      </c>
      <c r="H410" s="4">
        <f t="shared" si="202"/>
        <v>1788439.2951308272</v>
      </c>
      <c r="I410" s="4">
        <f t="shared" si="202"/>
        <v>0</v>
      </c>
      <c r="J410" s="5"/>
      <c r="K410" s="71" t="str">
        <f>A406&amp;":"&amp;A409</f>
        <v>854:857</v>
      </c>
    </row>
    <row r="411" spans="1:12">
      <c r="A411" s="50">
        <f t="shared" si="193"/>
        <v>859</v>
      </c>
      <c r="C411" s="21"/>
      <c r="D411" s="2"/>
      <c r="E411" s="2"/>
      <c r="F411" s="2"/>
      <c r="G411" s="2"/>
      <c r="H411" s="2"/>
      <c r="I411" s="2"/>
      <c r="J411" s="2"/>
      <c r="K411" s="71"/>
    </row>
    <row r="412" spans="1:12">
      <c r="A412" s="50">
        <f t="shared" si="193"/>
        <v>860</v>
      </c>
      <c r="B412" s="30" t="str">
        <f>"Line "&amp;A188</f>
        <v>Line 636</v>
      </c>
      <c r="K412" s="71"/>
    </row>
    <row r="413" spans="1:12">
      <c r="A413" s="50">
        <f t="shared" si="193"/>
        <v>861</v>
      </c>
      <c r="B413" t="s">
        <v>529</v>
      </c>
      <c r="C413" s="21">
        <f>SUM(D413:I413)</f>
        <v>13346200.058933681</v>
      </c>
      <c r="D413" s="2">
        <f>SUMIF(Detail!$C$172:$C$407,"*",Detail!BB$172:BB$407)-SUMIF(Detail!$C$172:$C$407,$L413,Detail!BB$172:BB$407)</f>
        <v>9112895.1847454663</v>
      </c>
      <c r="E413" s="2">
        <f>SUMIF(Detail!$C$172:$C$407,"*",Detail!BC$172:BC$407)-SUMIF(Detail!$C$172:$C$407,$L413,Detail!BC$172:BC$407)</f>
        <v>3084485.3569079991</v>
      </c>
      <c r="F413" s="2">
        <f>SUMIF(Detail!$C$172:$C$407,"*",Detail!BD$172:BD$407)-SUMIF(Detail!$C$172:$C$407,$L413,Detail!BD$172:BD$407)</f>
        <v>0</v>
      </c>
      <c r="G413" s="2">
        <f>SUMIF(Detail!$C$172:$C$407,"*",Detail!BE$172:BE$407)-SUMIF(Detail!$C$172:$C$407,$L413,Detail!BE$172:BE$407)</f>
        <v>38749.720308501237</v>
      </c>
      <c r="H413" s="2">
        <f>SUMIF(Detail!$C$172:$C$407,"*",Detail!BF$172:BF$407)-SUMIF(Detail!$C$172:$C$407,$L413,Detail!BF$172:BF$407)</f>
        <v>1110069.7969717141</v>
      </c>
      <c r="I413" s="2">
        <f>SUMIF(Detail!$C$172:$C$407,"*",Detail!BG$172:BG$407)-SUMIF(Detail!$C$172:$C$407,$L413,Detail!BG$172:BG$407)</f>
        <v>0</v>
      </c>
      <c r="J413" s="2"/>
      <c r="K413" s="71" t="str">
        <f>Detail!A$172&amp;":"&amp;Detail!A$407&amp;", col "&amp;Detail!C$1&amp;"&lt;&gt; "</f>
        <v xml:space="preserve">172:407, col C&lt;&gt; </v>
      </c>
      <c r="L413" s="11" t="s">
        <v>156</v>
      </c>
    </row>
    <row r="414" spans="1:12">
      <c r="A414" s="50">
        <f t="shared" si="193"/>
        <v>862</v>
      </c>
      <c r="B414" t="s">
        <v>532</v>
      </c>
      <c r="C414" s="21">
        <f>SUM(D414:I414)</f>
        <v>-967968.13079833961</v>
      </c>
      <c r="D414" s="2">
        <f>SUMIF(Detail!$C$419:$C$432,"*",Detail!BB$419:BB$432)-SUMIF(Detail!$C$419:$C$432,$L414,Detail!BB$419:BB$432)</f>
        <v>-660936.60211804346</v>
      </c>
      <c r="E414" s="2">
        <f>SUMIF(Detail!$C$419:$C$432,"*",Detail!BC$419:BC$432)-SUMIF(Detail!$C$419:$C$432,$L414,Detail!BC$419:BC$432)</f>
        <v>-223710.38289678027</v>
      </c>
      <c r="F414" s="2">
        <f>SUMIF(Detail!$C$419:$C$432,"*",Detail!BD$419:BD$432)-SUMIF(Detail!$C$419:$C$432,$L414,Detail!BD$419:BD$432)</f>
        <v>0</v>
      </c>
      <c r="G414" s="2">
        <f>SUMIF(Detail!$C$419:$C$432,"*",Detail!BE$419:BE$432)-SUMIF(Detail!$C$419:$C$432,$L414,Detail!BE$419:BE$432)</f>
        <v>-2810.4250026486716</v>
      </c>
      <c r="H414" s="2">
        <f>SUMIF(Detail!$C$419:$C$432,"*",Detail!BF$419:BF$432)-SUMIF(Detail!$C$419:$C$432,$L414,Detail!BF$419:BF$432)</f>
        <v>-80510.720780867181</v>
      </c>
      <c r="I414" s="2">
        <f>SUMIF(Detail!$C$419:$C$432,"*",Detail!BG$419:BG$432)-SUMIF(Detail!$C$419:$C$432,$L414,Detail!BG$419:BG$432)</f>
        <v>0</v>
      </c>
      <c r="J414" s="2"/>
      <c r="K414" s="71" t="str">
        <f>Detail!A$419&amp;":"&amp;Detail!A$432&amp;", col "&amp;Detail!C$1&amp;"&lt;&gt; "</f>
        <v xml:space="preserve">419:432, col C&lt;&gt; </v>
      </c>
      <c r="L414" s="11" t="s">
        <v>156</v>
      </c>
    </row>
    <row r="415" spans="1:12">
      <c r="A415" s="50">
        <f t="shared" si="193"/>
        <v>863</v>
      </c>
      <c r="B415" s="28" t="s">
        <v>191</v>
      </c>
      <c r="C415" s="48">
        <f t="shared" ref="C415:I415" si="203">SUM(C413:C414)</f>
        <v>12378231.928135341</v>
      </c>
      <c r="D415" s="4">
        <f t="shared" si="203"/>
        <v>8451958.5826274231</v>
      </c>
      <c r="E415" s="4">
        <f t="shared" si="203"/>
        <v>2860774.9740112191</v>
      </c>
      <c r="F415" s="4">
        <f t="shared" si="203"/>
        <v>0</v>
      </c>
      <c r="G415" s="4">
        <f t="shared" si="203"/>
        <v>35939.295305852567</v>
      </c>
      <c r="H415" s="4">
        <f t="shared" si="203"/>
        <v>1029559.076190847</v>
      </c>
      <c r="I415" s="4">
        <f t="shared" si="203"/>
        <v>0</v>
      </c>
      <c r="J415" s="5"/>
      <c r="K415" s="71" t="str">
        <f>A413&amp;":"&amp;A414</f>
        <v>861:862</v>
      </c>
    </row>
    <row r="416" spans="1:12">
      <c r="A416" s="50">
        <f t="shared" si="193"/>
        <v>864</v>
      </c>
      <c r="B416" t="s">
        <v>143</v>
      </c>
      <c r="C416" s="21">
        <f>SUM(D416:I416)</f>
        <v>956822.62899124273</v>
      </c>
      <c r="D416" s="2">
        <f>Detail!I$415*IF(D$22,D399/D$22,0)</f>
        <v>172242.61948792054</v>
      </c>
      <c r="E416" s="2">
        <f>Detail!J$415*IF(E$22,E399/E$22,0)</f>
        <v>737477.22888928896</v>
      </c>
      <c r="F416" s="2">
        <f>Detail!K$415*IF(F$22,F399/F$22,0)</f>
        <v>0</v>
      </c>
      <c r="G416" s="2">
        <f>Detail!L$415*IF(G$22,G399/G$22,0)</f>
        <v>6183.2993642136225</v>
      </c>
      <c r="H416" s="2">
        <f>Detail!M$415*IF(H$22,H399/H$22,0)</f>
        <v>40919.481249819641</v>
      </c>
      <c r="I416" s="2">
        <f>Detail!N$415*IF(I$22,I399/I$22,0)</f>
        <v>0</v>
      </c>
      <c r="J416" s="2"/>
      <c r="K416" s="71" t="str">
        <f>Detail!A$415&amp;"*"&amp;A399&amp;"/"&amp;A$22</f>
        <v>415*847/470</v>
      </c>
    </row>
    <row r="417" spans="1:12">
      <c r="A417" s="50">
        <f t="shared" si="193"/>
        <v>865</v>
      </c>
      <c r="B417" t="s">
        <v>163</v>
      </c>
      <c r="C417" s="21">
        <f>SUM(D417:I417)</f>
        <v>7858431.2761569005</v>
      </c>
      <c r="D417" s="2">
        <f t="shared" ref="D417:I417" si="204">D$49*D399</f>
        <v>2948408.8211507644</v>
      </c>
      <c r="E417" s="2">
        <f t="shared" si="204"/>
        <v>4410753.754362247</v>
      </c>
      <c r="F417" s="2">
        <f t="shared" si="204"/>
        <v>0</v>
      </c>
      <c r="G417" s="2">
        <f t="shared" si="204"/>
        <v>39927.310667507736</v>
      </c>
      <c r="H417" s="2">
        <f t="shared" si="204"/>
        <v>459341.3899763826</v>
      </c>
      <c r="I417" s="2">
        <f t="shared" si="204"/>
        <v>0</v>
      </c>
      <c r="J417" s="2"/>
      <c r="K417" s="71" t="str">
        <f>A$49&amp;"*"&amp;A399</f>
        <v>497*847</v>
      </c>
    </row>
    <row r="418" spans="1:12">
      <c r="A418" s="50">
        <f t="shared" si="193"/>
        <v>866</v>
      </c>
      <c r="B418" t="s">
        <v>162</v>
      </c>
      <c r="C418" s="21">
        <f>SUM(D418:I418)</f>
        <v>973932.77776447369</v>
      </c>
      <c r="D418" s="2">
        <f t="shared" ref="D418:I418" si="205">SUM(D415:D417)*D$93</f>
        <v>531811.72340436815</v>
      </c>
      <c r="E418" s="2">
        <f t="shared" si="205"/>
        <v>368048.62968031387</v>
      </c>
      <c r="F418" s="2">
        <f t="shared" si="205"/>
        <v>0</v>
      </c>
      <c r="G418" s="2">
        <f t="shared" si="205"/>
        <v>3770.5497268995</v>
      </c>
      <c r="H418" s="2">
        <f t="shared" si="205"/>
        <v>70301.874952892191</v>
      </c>
      <c r="I418" s="2">
        <f t="shared" si="205"/>
        <v>0</v>
      </c>
      <c r="J418" s="2"/>
      <c r="K418" s="71" t="str">
        <f>A415&amp;":"&amp;A417&amp;"*"&amp;A$93</f>
        <v>863:865*541</v>
      </c>
    </row>
    <row r="419" spans="1:12">
      <c r="A419" s="50">
        <f t="shared" si="193"/>
        <v>867</v>
      </c>
      <c r="B419" s="28" t="s">
        <v>196</v>
      </c>
      <c r="C419" s="48">
        <f>IF(ROUND(SUM(C415:C418),3)&lt;&gt;ROUND(SUM(D419:I419),3),#VALUE!,SUM(C415:C418))</f>
        <v>22167418.611047957</v>
      </c>
      <c r="D419" s="4">
        <f t="shared" ref="D419:I419" si="206">SUM(D415:D418)</f>
        <v>12104421.746670477</v>
      </c>
      <c r="E419" s="4">
        <f t="shared" si="206"/>
        <v>8377054.5869430685</v>
      </c>
      <c r="F419" s="4">
        <f t="shared" si="206"/>
        <v>0</v>
      </c>
      <c r="G419" s="4">
        <f t="shared" si="206"/>
        <v>85820.455064473426</v>
      </c>
      <c r="H419" s="4">
        <f t="shared" si="206"/>
        <v>1600121.8223699415</v>
      </c>
      <c r="I419" s="4">
        <f t="shared" si="206"/>
        <v>0</v>
      </c>
      <c r="J419" s="5"/>
      <c r="K419" s="71" t="str">
        <f>A415&amp;":"&amp;A418</f>
        <v>863:866</v>
      </c>
    </row>
    <row r="420" spans="1:12">
      <c r="A420" s="50">
        <f t="shared" si="193"/>
        <v>868</v>
      </c>
      <c r="C420" s="21"/>
      <c r="D420" s="2"/>
      <c r="E420" s="2"/>
      <c r="F420" s="2"/>
      <c r="G420" s="2"/>
      <c r="H420" s="2"/>
      <c r="I420" s="2"/>
      <c r="J420" s="2"/>
      <c r="K420" s="71"/>
    </row>
    <row r="421" spans="1:12">
      <c r="A421" s="50">
        <f t="shared" si="193"/>
        <v>869</v>
      </c>
      <c r="B421" s="30" t="str">
        <f>"Line "&amp;A189</f>
        <v>Line 637</v>
      </c>
      <c r="K421" s="71"/>
    </row>
    <row r="422" spans="1:12">
      <c r="A422" s="50">
        <f t="shared" si="193"/>
        <v>870</v>
      </c>
      <c r="B422" t="s">
        <v>530</v>
      </c>
      <c r="C422" s="21">
        <f>SUM(D422:I422)</f>
        <v>48961961.089287773</v>
      </c>
      <c r="D422" s="2">
        <f>SUMIF(Detail!$C$172:$C$407,"*",Detail!BJ$172:BJ$407)-SUMIF(Detail!$C$172:$C$407,$L422,Detail!BJ$172:BJ$407)</f>
        <v>47274119.743947349</v>
      </c>
      <c r="E422" s="2">
        <f>SUMIF(Detail!$C$172:$C$407,"*",Detail!BK$172:BK$407)-SUMIF(Detail!$C$172:$C$407,$L422,Detail!BK$172:BK$407)</f>
        <v>1536971.2757331184</v>
      </c>
      <c r="F422" s="2">
        <f>SUMIF(Detail!$C$172:$C$407,"*",Detail!BL$172:BL$407)-SUMIF(Detail!$C$172:$C$407,$L422,Detail!BL$172:BL$407)</f>
        <v>0</v>
      </c>
      <c r="G422" s="2">
        <f>SUMIF(Detail!$C$172:$C$407,"*",Detail!BM$172:BM$407)-SUMIF(Detail!$C$172:$C$407,$L422,Detail!BM$172:BM$407)</f>
        <v>10433.18242772212</v>
      </c>
      <c r="H422" s="2">
        <f>SUMIF(Detail!$C$172:$C$407,"*",Detail!BN$172:BN$407)-SUMIF(Detail!$C$172:$C$407,$L422,Detail!BN$172:BN$407)</f>
        <v>140436.88717958028</v>
      </c>
      <c r="I422" s="2">
        <f>SUMIF(Detail!$C$172:$C$407,"*",Detail!BO$172:BO$407)-SUMIF(Detail!$C$172:$C$407,$L422,Detail!BO$172:BO$407)</f>
        <v>0</v>
      </c>
      <c r="J422" s="2"/>
      <c r="K422" s="71" t="str">
        <f>Detail!A$172&amp;":"&amp;Detail!A$407&amp;", col "&amp;Detail!C$1&amp;"&lt;&gt; "</f>
        <v xml:space="preserve">172:407, col C&lt;&gt; </v>
      </c>
      <c r="L422" s="11" t="s">
        <v>156</v>
      </c>
    </row>
    <row r="423" spans="1:12">
      <c r="A423" s="50">
        <f t="shared" si="193"/>
        <v>871</v>
      </c>
      <c r="B423" t="s">
        <v>531</v>
      </c>
      <c r="C423" s="21">
        <f>SUM(D423:I423)</f>
        <v>-1779574.0968783642</v>
      </c>
      <c r="D423" s="2">
        <f>SUMIF(Detail!$C$419:$C$432,"*",Detail!BJ$419:BJ$432)-SUMIF(Detail!$C$419:$C$432,$L423,Detail!BJ$419:BJ$432)</f>
        <v>-1697406.7205633309</v>
      </c>
      <c r="E423" s="2">
        <f>SUMIF(Detail!$C$419:$C$432,"*",Detail!BK$419:BK$432)-SUMIF(Detail!$C$419:$C$432,$L423,Detail!BK$419:BK$432)</f>
        <v>-73209.699830703263</v>
      </c>
      <c r="F423" s="2">
        <f>SUMIF(Detail!$C$419:$C$432,"*",Detail!BL$419:BL$432)-SUMIF(Detail!$C$419:$C$432,$L423,Detail!BL$419:BL$432)</f>
        <v>0</v>
      </c>
      <c r="G423" s="2">
        <f>SUMIF(Detail!$C$419:$C$432,"*",Detail!BM$419:BM$432)-SUMIF(Detail!$C$419:$C$432,$L423,Detail!BM$419:BM$432)</f>
        <v>-627.9769636043718</v>
      </c>
      <c r="H423" s="2">
        <f>SUMIF(Detail!$C$419:$C$432,"*",Detail!BN$419:BN$432)-SUMIF(Detail!$C$419:$C$432,$L423,Detail!BN$419:BN$432)</f>
        <v>-8329.6995207258296</v>
      </c>
      <c r="I423" s="2">
        <f>SUMIF(Detail!$C$419:$C$432,"*",Detail!BO$419:BO$432)-SUMIF(Detail!$C$419:$C$432,$L423,Detail!BO$419:BO$432)</f>
        <v>0</v>
      </c>
      <c r="J423" s="2"/>
      <c r="K423" s="71" t="str">
        <f>Detail!A$419&amp;":"&amp;Detail!A$432&amp;", col "&amp;Detail!C$1&amp;"&lt;&gt; "</f>
        <v xml:space="preserve">419:432, col C&lt;&gt; </v>
      </c>
      <c r="L423" s="11" t="s">
        <v>156</v>
      </c>
    </row>
    <row r="424" spans="1:12">
      <c r="A424" s="50">
        <f t="shared" si="193"/>
        <v>872</v>
      </c>
      <c r="B424" s="28" t="s">
        <v>193</v>
      </c>
      <c r="C424" s="48">
        <f t="shared" ref="C424:I424" si="207">SUM(C422:C423)</f>
        <v>47182386.992409408</v>
      </c>
      <c r="D424" s="4">
        <f t="shared" si="207"/>
        <v>45576713.02338402</v>
      </c>
      <c r="E424" s="4">
        <f t="shared" si="207"/>
        <v>1463761.5759024152</v>
      </c>
      <c r="F424" s="4">
        <f t="shared" si="207"/>
        <v>0</v>
      </c>
      <c r="G424" s="4">
        <f t="shared" si="207"/>
        <v>9805.2054641177492</v>
      </c>
      <c r="H424" s="4">
        <f t="shared" si="207"/>
        <v>132107.18765885447</v>
      </c>
      <c r="I424" s="4">
        <f t="shared" si="207"/>
        <v>0</v>
      </c>
      <c r="J424" s="5"/>
      <c r="K424" s="71" t="str">
        <f>A422&amp;":"&amp;A423</f>
        <v>870:871</v>
      </c>
    </row>
    <row r="425" spans="1:12">
      <c r="A425" s="50">
        <f t="shared" si="193"/>
        <v>873</v>
      </c>
      <c r="B425" t="s">
        <v>143</v>
      </c>
      <c r="C425" s="21">
        <f>SUM(D425:I425)</f>
        <v>689577.30735149293</v>
      </c>
      <c r="D425" s="2">
        <f>Detail!I$415*IF(D$22,D400/D$22,0)</f>
        <v>442574.04686648201</v>
      </c>
      <c r="E425" s="2">
        <f>Detail!J$415*IF(E$22,E400/E$22,0)</f>
        <v>241388.44322656866</v>
      </c>
      <c r="F425" s="2">
        <f>Detail!K$415*IF(F$22,F400/F$22,0)</f>
        <v>0</v>
      </c>
      <c r="G425" s="2">
        <f>Detail!L$415*IF(G$22,G400/G$22,0)</f>
        <v>1381.6125573795614</v>
      </c>
      <c r="H425" s="2">
        <f>Detail!M$415*IF(H$22,H400/H$22,0)</f>
        <v>4233.2047010627712</v>
      </c>
      <c r="I425" s="2">
        <f>Detail!N$415*IF(I$22,I400/I$22,0)</f>
        <v>0</v>
      </c>
      <c r="J425" s="2"/>
      <c r="K425" s="71" t="str">
        <f>Detail!A$415&amp;"*"&amp;A400&amp;"/"&amp;A$22</f>
        <v>415*848/470</v>
      </c>
    </row>
    <row r="426" spans="1:12">
      <c r="A426" s="50">
        <f t="shared" si="193"/>
        <v>874</v>
      </c>
      <c r="B426" t="s">
        <v>163</v>
      </c>
      <c r="C426" s="21">
        <f>SUM(D426:I426)</f>
        <v>9076032.5084515214</v>
      </c>
      <c r="D426" s="2">
        <f t="shared" ref="D426:I426" si="208">D$49*D400</f>
        <v>7575878.8833621973</v>
      </c>
      <c r="E426" s="2">
        <f t="shared" si="208"/>
        <v>1443712.3486847088</v>
      </c>
      <c r="F426" s="2">
        <f t="shared" si="208"/>
        <v>0</v>
      </c>
      <c r="G426" s="2">
        <f t="shared" si="208"/>
        <v>8921.4625641272414</v>
      </c>
      <c r="H426" s="2">
        <f t="shared" si="208"/>
        <v>47519.81384048707</v>
      </c>
      <c r="I426" s="2">
        <f t="shared" si="208"/>
        <v>0</v>
      </c>
      <c r="J426" s="2"/>
      <c r="K426" s="71" t="str">
        <f>A$49&amp;"*"&amp;A400</f>
        <v>497*848</v>
      </c>
    </row>
    <row r="427" spans="1:12">
      <c r="A427" s="50">
        <f t="shared" si="193"/>
        <v>875</v>
      </c>
      <c r="B427" t="s">
        <v>162</v>
      </c>
      <c r="C427" s="21">
        <f>SUM(D427:I427)</f>
        <v>2617007.9408287597</v>
      </c>
      <c r="D427" s="2">
        <f t="shared" ref="D427:I427" si="209">SUM(D424:D426)*D$93</f>
        <v>2462930.792157609</v>
      </c>
      <c r="E427" s="2">
        <f t="shared" si="209"/>
        <v>144703.91028674276</v>
      </c>
      <c r="F427" s="2">
        <f t="shared" si="209"/>
        <v>0</v>
      </c>
      <c r="G427" s="2">
        <f t="shared" si="209"/>
        <v>924.06288049456782</v>
      </c>
      <c r="H427" s="2">
        <f t="shared" si="209"/>
        <v>8449.175503913124</v>
      </c>
      <c r="I427" s="2">
        <f t="shared" si="209"/>
        <v>0</v>
      </c>
      <c r="J427" s="2"/>
      <c r="K427" s="71" t="str">
        <f>A424&amp;":"&amp;A426&amp;"*"&amp;A$93</f>
        <v>872:874*541</v>
      </c>
    </row>
    <row r="428" spans="1:12">
      <c r="A428" s="50">
        <f t="shared" si="193"/>
        <v>876</v>
      </c>
      <c r="B428" s="28" t="s">
        <v>197</v>
      </c>
      <c r="C428" s="48">
        <f>IF(ROUND(SUM(C424:C427),3)&lt;&gt;ROUND(SUM(D428:I428),3),#VALUE!,SUM(C424:C427))</f>
        <v>59565004.749041185</v>
      </c>
      <c r="D428" s="4">
        <f t="shared" ref="D428:I428" si="210">SUM(D424:D427)</f>
        <v>56058096.745770305</v>
      </c>
      <c r="E428" s="4">
        <f t="shared" si="210"/>
        <v>3293566.2781004352</v>
      </c>
      <c r="F428" s="4">
        <f t="shared" si="210"/>
        <v>0</v>
      </c>
      <c r="G428" s="4">
        <f t="shared" si="210"/>
        <v>21032.34346611912</v>
      </c>
      <c r="H428" s="4">
        <f t="shared" si="210"/>
        <v>192309.38170431741</v>
      </c>
      <c r="I428" s="4">
        <f t="shared" si="210"/>
        <v>0</v>
      </c>
      <c r="J428" s="5"/>
      <c r="K428" s="71" t="str">
        <f>A424&amp;":"&amp;A427</f>
        <v>872:875</v>
      </c>
    </row>
    <row r="429" spans="1:12">
      <c r="A429" s="50">
        <f t="shared" si="193"/>
        <v>877</v>
      </c>
      <c r="C429" s="21"/>
      <c r="D429" s="2"/>
      <c r="E429" s="2"/>
      <c r="F429" s="2"/>
      <c r="G429" s="2"/>
      <c r="H429" s="2"/>
      <c r="I429" s="2"/>
      <c r="J429" s="2"/>
      <c r="K429" s="71"/>
    </row>
    <row r="430" spans="1:12">
      <c r="A430" s="50">
        <f t="shared" si="193"/>
        <v>878</v>
      </c>
      <c r="B430" t="s">
        <v>198</v>
      </c>
      <c r="C430" s="2">
        <f>C410+C419+C428</f>
        <v>103411999.96933991</v>
      </c>
      <c r="D430" s="2">
        <f t="shared" ref="D430:H430" si="211">D410+D419+D428</f>
        <v>79468609.276478678</v>
      </c>
      <c r="E430" s="2">
        <f t="shared" si="211"/>
        <v>20145536.166025907</v>
      </c>
      <c r="F430" s="2">
        <f t="shared" si="211"/>
        <v>0</v>
      </c>
      <c r="G430" s="2">
        <f t="shared" si="211"/>
        <v>216984.02763022837</v>
      </c>
      <c r="H430" s="2">
        <f t="shared" si="211"/>
        <v>3580870.4992050864</v>
      </c>
      <c r="K430" s="71"/>
    </row>
    <row r="431" spans="1:12">
      <c r="A431" s="50">
        <f t="shared" si="193"/>
        <v>879</v>
      </c>
      <c r="C431" s="33">
        <f>ROUND(C430-Detail!E436,0)</f>
        <v>0</v>
      </c>
      <c r="K431" s="71"/>
    </row>
    <row r="432" spans="1:12">
      <c r="A432" s="50">
        <f t="shared" si="193"/>
        <v>880</v>
      </c>
      <c r="K432" s="71"/>
    </row>
    <row r="433" spans="1:12">
      <c r="A433" s="50">
        <f t="shared" si="193"/>
        <v>881</v>
      </c>
      <c r="B433" s="30" t="s">
        <v>120</v>
      </c>
      <c r="K433" s="71"/>
    </row>
    <row r="434" spans="1:12">
      <c r="A434" s="50">
        <f t="shared" si="193"/>
        <v>882</v>
      </c>
      <c r="B434" t="s">
        <v>534</v>
      </c>
      <c r="C434" s="2">
        <f>C404+C413+C422</f>
        <v>75112560</v>
      </c>
      <c r="D434" s="2">
        <f t="shared" ref="D434:H434" si="212">D404+D413+D422</f>
        <v>64534330.919522032</v>
      </c>
      <c r="E434" s="2">
        <f t="shared" si="212"/>
        <v>7981562.4434349183</v>
      </c>
      <c r="F434" s="2">
        <f t="shared" si="212"/>
        <v>0</v>
      </c>
      <c r="G434" s="2">
        <f t="shared" si="212"/>
        <v>101586.30348208401</v>
      </c>
      <c r="H434" s="2">
        <f t="shared" si="212"/>
        <v>2495080.3335609566</v>
      </c>
      <c r="K434" s="71" t="str">
        <f t="shared" ref="K434:K440" si="213">A404&amp;"+"&amp;A413&amp;"+"&amp;A422</f>
        <v>852+861+870</v>
      </c>
    </row>
    <row r="435" spans="1:12">
      <c r="A435" s="50">
        <f t="shared" si="193"/>
        <v>883</v>
      </c>
      <c r="B435" t="s">
        <v>160</v>
      </c>
      <c r="C435" s="2">
        <f t="shared" ref="C435:H440" si="214">C405+C414+C423</f>
        <v>-2375000</v>
      </c>
      <c r="D435" s="2">
        <f t="shared" si="214"/>
        <v>-2008287.5429997705</v>
      </c>
      <c r="E435" s="2">
        <f t="shared" si="214"/>
        <v>-205556.42351373588</v>
      </c>
      <c r="F435" s="2">
        <f t="shared" si="214"/>
        <v>0</v>
      </c>
      <c r="G435" s="2">
        <f t="shared" si="214"/>
        <v>-2344.1774947365711</v>
      </c>
      <c r="H435" s="2">
        <f t="shared" si="214"/>
        <v>-158811.85599175701</v>
      </c>
      <c r="K435" s="71" t="str">
        <f t="shared" si="213"/>
        <v>853+862+871</v>
      </c>
    </row>
    <row r="436" spans="1:12">
      <c r="A436" s="50">
        <f t="shared" si="193"/>
        <v>884</v>
      </c>
      <c r="B436" s="28" t="s">
        <v>535</v>
      </c>
      <c r="C436" s="4">
        <f t="shared" si="214"/>
        <v>72737560</v>
      </c>
      <c r="D436" s="4">
        <f t="shared" si="214"/>
        <v>62526043.376522258</v>
      </c>
      <c r="E436" s="4">
        <f t="shared" si="214"/>
        <v>7776006.0199211827</v>
      </c>
      <c r="F436" s="4">
        <f t="shared" si="214"/>
        <v>0</v>
      </c>
      <c r="G436" s="4">
        <f t="shared" si="214"/>
        <v>99242.125987347448</v>
      </c>
      <c r="H436" s="4">
        <f t="shared" si="214"/>
        <v>2336268.4775691996</v>
      </c>
      <c r="K436" s="71" t="str">
        <f t="shared" si="213"/>
        <v>854+863+872</v>
      </c>
    </row>
    <row r="437" spans="1:12">
      <c r="A437" s="50">
        <f t="shared" si="193"/>
        <v>885</v>
      </c>
      <c r="B437" t="s">
        <v>143</v>
      </c>
      <c r="C437" s="2">
        <f t="shared" si="214"/>
        <v>2490999.9999999995</v>
      </c>
      <c r="D437" s="2">
        <f t="shared" si="214"/>
        <v>742425.23836501339</v>
      </c>
      <c r="E437" s="2">
        <f t="shared" si="214"/>
        <v>1645129.2146620054</v>
      </c>
      <c r="F437" s="2">
        <f t="shared" si="214"/>
        <v>0</v>
      </c>
      <c r="G437" s="2">
        <f t="shared" si="214"/>
        <v>14510.46514150437</v>
      </c>
      <c r="H437" s="2">
        <f t="shared" si="214"/>
        <v>88935.0818314762</v>
      </c>
      <c r="K437" s="71" t="str">
        <f t="shared" si="213"/>
        <v>855+864+873</v>
      </c>
    </row>
    <row r="438" spans="1:12">
      <c r="A438" s="50">
        <f t="shared" si="193"/>
        <v>886</v>
      </c>
      <c r="B438" t="s">
        <v>163</v>
      </c>
      <c r="C438" s="2">
        <f t="shared" si="214"/>
        <v>23639999.970686965</v>
      </c>
      <c r="D438" s="2">
        <f t="shared" si="214"/>
        <v>12708661.354246754</v>
      </c>
      <c r="E438" s="2">
        <f t="shared" si="214"/>
        <v>9839300.2193573844</v>
      </c>
      <c r="F438" s="2">
        <f t="shared" si="214"/>
        <v>0</v>
      </c>
      <c r="G438" s="2">
        <f t="shared" si="214"/>
        <v>93698.172368623244</v>
      </c>
      <c r="H438" s="2">
        <f t="shared" si="214"/>
        <v>998340.22471420444</v>
      </c>
      <c r="K438" s="71" t="str">
        <f t="shared" si="213"/>
        <v>856+865+874</v>
      </c>
    </row>
    <row r="439" spans="1:12">
      <c r="A439" s="50">
        <f t="shared" si="193"/>
        <v>887</v>
      </c>
      <c r="B439" t="s">
        <v>162</v>
      </c>
      <c r="C439" s="2">
        <f t="shared" si="214"/>
        <v>4543439.9986529388</v>
      </c>
      <c r="D439" s="2">
        <f t="shared" si="214"/>
        <v>3491479.3073446434</v>
      </c>
      <c r="E439" s="2">
        <f t="shared" si="214"/>
        <v>885100.71208533575</v>
      </c>
      <c r="F439" s="2">
        <f t="shared" si="214"/>
        <v>0</v>
      </c>
      <c r="G439" s="2">
        <f t="shared" si="214"/>
        <v>9533.2641327533038</v>
      </c>
      <c r="H439" s="2">
        <f t="shared" si="214"/>
        <v>157326.71509020578</v>
      </c>
      <c r="K439" s="71" t="str">
        <f t="shared" si="213"/>
        <v>857+866+875</v>
      </c>
    </row>
    <row r="440" spans="1:12">
      <c r="A440" s="50">
        <f t="shared" si="193"/>
        <v>888</v>
      </c>
      <c r="B440" s="28" t="s">
        <v>208</v>
      </c>
      <c r="C440" s="4">
        <f t="shared" si="214"/>
        <v>103411999.96933991</v>
      </c>
      <c r="D440" s="4">
        <f t="shared" si="214"/>
        <v>79468609.276478678</v>
      </c>
      <c r="E440" s="4">
        <f t="shared" si="214"/>
        <v>20145536.166025907</v>
      </c>
      <c r="F440" s="4">
        <f t="shared" si="214"/>
        <v>0</v>
      </c>
      <c r="G440" s="4">
        <f t="shared" si="214"/>
        <v>216984.02763022837</v>
      </c>
      <c r="H440" s="4">
        <f t="shared" si="214"/>
        <v>3580870.4992050864</v>
      </c>
      <c r="K440" s="71" t="str">
        <f t="shared" si="213"/>
        <v>858+867+876</v>
      </c>
    </row>
    <row r="441" spans="1:12">
      <c r="A441" s="50">
        <f t="shared" si="193"/>
        <v>889</v>
      </c>
      <c r="K441" s="71"/>
    </row>
    <row r="442" spans="1:12">
      <c r="A442" s="50">
        <f t="shared" si="193"/>
        <v>890</v>
      </c>
      <c r="K442" s="71"/>
    </row>
    <row r="443" spans="1:12">
      <c r="A443" s="50">
        <f t="shared" si="193"/>
        <v>891</v>
      </c>
      <c r="B443" s="30" t="s">
        <v>188</v>
      </c>
      <c r="K443" s="71"/>
    </row>
    <row r="444" spans="1:12">
      <c r="A444" s="50">
        <f t="shared" si="193"/>
        <v>892</v>
      </c>
      <c r="B444" s="30" t="str">
        <f>"Line "&amp;A204</f>
        <v>Line 652</v>
      </c>
      <c r="K444" s="71"/>
    </row>
    <row r="445" spans="1:12">
      <c r="A445" s="50">
        <f t="shared" si="193"/>
        <v>893</v>
      </c>
      <c r="B445" t="s">
        <v>536</v>
      </c>
      <c r="C445" s="2">
        <f>SUM(D445:I445)</f>
        <v>13176941.079455242</v>
      </c>
      <c r="D445" s="2">
        <f t="shared" ref="D445:I445" si="215">D$406</f>
        <v>8497371.7705108188</v>
      </c>
      <c r="E445" s="2">
        <f t="shared" si="215"/>
        <v>3451469.4700075481</v>
      </c>
      <c r="F445" s="2">
        <f t="shared" si="215"/>
        <v>0</v>
      </c>
      <c r="G445" s="2">
        <f t="shared" si="215"/>
        <v>53497.625217377135</v>
      </c>
      <c r="H445" s="2">
        <f t="shared" si="215"/>
        <v>1174602.2137194984</v>
      </c>
      <c r="I445" s="2">
        <f t="shared" si="215"/>
        <v>0</v>
      </c>
      <c r="J445" s="2"/>
      <c r="K445" s="71">
        <f>A$406</f>
        <v>854</v>
      </c>
    </row>
    <row r="446" spans="1:12">
      <c r="A446" s="50">
        <f t="shared" si="193"/>
        <v>894</v>
      </c>
      <c r="B446" t="s">
        <v>143</v>
      </c>
      <c r="C446" s="2">
        <f>SUM(D446:I446)</f>
        <v>551257.00398041809</v>
      </c>
      <c r="D446" s="2">
        <f t="shared" ref="D446:I446" si="216">$C$53*D447</f>
        <v>345590.06366812653</v>
      </c>
      <c r="E446" s="2">
        <f t="shared" si="216"/>
        <v>142641.46558294908</v>
      </c>
      <c r="F446" s="2">
        <f t="shared" si="216"/>
        <v>0</v>
      </c>
      <c r="G446" s="2">
        <f t="shared" si="216"/>
        <v>2228.0287329505909</v>
      </c>
      <c r="H446" s="2">
        <f t="shared" si="216"/>
        <v>60797.44599639198</v>
      </c>
      <c r="I446" s="2">
        <f t="shared" si="216"/>
        <v>0</v>
      </c>
      <c r="J446" s="2"/>
      <c r="K446" s="71" t="str">
        <f>C$1&amp;$A$53&amp;"*"&amp;A447</f>
        <v>C501*895</v>
      </c>
      <c r="L446" s="49"/>
    </row>
    <row r="447" spans="1:12">
      <c r="A447" s="50">
        <f t="shared" si="193"/>
        <v>895</v>
      </c>
      <c r="B447" t="s">
        <v>163</v>
      </c>
      <c r="C447" s="2">
        <f>SUM(D447:I447)</f>
        <v>5231519.6940738941</v>
      </c>
      <c r="D447" s="2">
        <f t="shared" ref="D447:I447" si="217">$C$49*D$398</f>
        <v>3279706.5816877629</v>
      </c>
      <c r="E447" s="2">
        <f t="shared" si="217"/>
        <v>1353690.9844237906</v>
      </c>
      <c r="F447" s="2">
        <f t="shared" si="217"/>
        <v>0</v>
      </c>
      <c r="G447" s="2">
        <f t="shared" si="217"/>
        <v>21144.359366375626</v>
      </c>
      <c r="H447" s="2">
        <f t="shared" si="217"/>
        <v>576977.768595965</v>
      </c>
      <c r="I447" s="2">
        <f t="shared" si="217"/>
        <v>0</v>
      </c>
      <c r="J447" s="2"/>
      <c r="K447" s="71" t="str">
        <f>C$1&amp;$A$49&amp;"*"&amp;A$398</f>
        <v>C497*846</v>
      </c>
    </row>
    <row r="448" spans="1:12">
      <c r="A448" s="50">
        <f t="shared" si="193"/>
        <v>896</v>
      </c>
      <c r="B448" t="s">
        <v>162</v>
      </c>
      <c r="C448" s="2">
        <f>SUM(D448:I448)</f>
        <v>871281.42797920818</v>
      </c>
      <c r="D448" s="2">
        <f t="shared" ref="D448:I448" si="218">SUM(D445:D447)*$C$93</f>
        <v>557089.29701601237</v>
      </c>
      <c r="E448" s="2">
        <f t="shared" si="218"/>
        <v>227373.00063305988</v>
      </c>
      <c r="F448" s="2">
        <f t="shared" si="218"/>
        <v>0</v>
      </c>
      <c r="G448" s="2">
        <f t="shared" si="218"/>
        <v>3532.5111775031687</v>
      </c>
      <c r="H448" s="2">
        <f t="shared" si="218"/>
        <v>83286.619152632731</v>
      </c>
      <c r="I448" s="2">
        <f t="shared" si="218"/>
        <v>0</v>
      </c>
      <c r="J448" s="2"/>
      <c r="K448" s="71" t="str">
        <f>A445&amp;":"&amp;A447&amp;"*"&amp;C$1&amp;$A$93</f>
        <v>893:895*C541</v>
      </c>
    </row>
    <row r="449" spans="1:11">
      <c r="A449" s="50">
        <f t="shared" si="193"/>
        <v>897</v>
      </c>
      <c r="B449" s="28" t="s">
        <v>527</v>
      </c>
      <c r="C449" s="4">
        <f>IF(ROUND(SUM(C445:C448),3)&lt;&gt;ROUND(SUM(D449:I449),3),#VALUE!,SUM(C445:C448))</f>
        <v>19830999.205488764</v>
      </c>
      <c r="D449" s="4">
        <f t="shared" ref="D449:I449" si="219">SUM(D445:D448)</f>
        <v>12679757.71288272</v>
      </c>
      <c r="E449" s="4">
        <f t="shared" si="219"/>
        <v>5175174.9206473483</v>
      </c>
      <c r="F449" s="4">
        <f t="shared" si="219"/>
        <v>0</v>
      </c>
      <c r="G449" s="4">
        <f t="shared" si="219"/>
        <v>80402.524494206518</v>
      </c>
      <c r="H449" s="4">
        <f t="shared" si="219"/>
        <v>1895664.0474644883</v>
      </c>
      <c r="I449" s="4">
        <f t="shared" si="219"/>
        <v>0</v>
      </c>
      <c r="J449" s="5"/>
      <c r="K449" s="71" t="str">
        <f>A445&amp;":"&amp;A448</f>
        <v>893:896</v>
      </c>
    </row>
    <row r="450" spans="1:11">
      <c r="A450" s="50">
        <f t="shared" si="193"/>
        <v>898</v>
      </c>
      <c r="C450" s="2"/>
      <c r="D450" s="2"/>
      <c r="E450" s="2"/>
      <c r="F450" s="2"/>
      <c r="G450" s="2"/>
      <c r="H450" s="2"/>
      <c r="I450" s="2"/>
      <c r="J450" s="2"/>
      <c r="K450" s="71"/>
    </row>
    <row r="451" spans="1:11">
      <c r="A451" s="50">
        <f t="shared" si="193"/>
        <v>899</v>
      </c>
      <c r="B451" s="30" t="str">
        <f>"Line "&amp;A205</f>
        <v>Line 653</v>
      </c>
      <c r="K451" s="71"/>
    </row>
    <row r="452" spans="1:11">
      <c r="A452" s="50">
        <f t="shared" si="193"/>
        <v>900</v>
      </c>
      <c r="B452" t="s">
        <v>206</v>
      </c>
      <c r="C452" s="2">
        <f>SUM(D452:I452)</f>
        <v>12378231.928135343</v>
      </c>
      <c r="D452" s="2">
        <f t="shared" ref="D452:I452" si="220">D$415</f>
        <v>8451958.5826274231</v>
      </c>
      <c r="E452" s="2">
        <f t="shared" si="220"/>
        <v>2860774.9740112191</v>
      </c>
      <c r="F452" s="2">
        <f t="shared" si="220"/>
        <v>0</v>
      </c>
      <c r="G452" s="2">
        <f t="shared" si="220"/>
        <v>35939.295305852567</v>
      </c>
      <c r="H452" s="2">
        <f t="shared" si="220"/>
        <v>1029559.076190847</v>
      </c>
      <c r="I452" s="2">
        <f t="shared" si="220"/>
        <v>0</v>
      </c>
      <c r="J452" s="2"/>
      <c r="K452" s="71">
        <f>A$415</f>
        <v>863</v>
      </c>
    </row>
    <row r="453" spans="1:11">
      <c r="A453" s="50">
        <f t="shared" si="193"/>
        <v>901</v>
      </c>
      <c r="B453" t="s">
        <v>143</v>
      </c>
      <c r="C453" s="2">
        <f>SUM(D453:I453)</f>
        <v>683161.33046514448</v>
      </c>
      <c r="D453" s="2">
        <f t="shared" ref="D453:I453" si="221">$C$53*D454</f>
        <v>466468.17605831136</v>
      </c>
      <c r="E453" s="2">
        <f t="shared" si="221"/>
        <v>157887.72166763723</v>
      </c>
      <c r="F453" s="2">
        <f t="shared" si="221"/>
        <v>0</v>
      </c>
      <c r="G453" s="2">
        <f t="shared" si="221"/>
        <v>1983.5091909466696</v>
      </c>
      <c r="H453" s="2">
        <f t="shared" si="221"/>
        <v>56821.923548249237</v>
      </c>
      <c r="I453" s="2">
        <f t="shared" si="221"/>
        <v>0</v>
      </c>
      <c r="J453" s="2"/>
      <c r="K453" s="71" t="str">
        <f>C$1&amp;$A$53&amp;"*"&amp;A454</f>
        <v>C501*902</v>
      </c>
    </row>
    <row r="454" spans="1:11">
      <c r="A454" s="50">
        <f t="shared" ref="A454:A517" si="222">Pg1Row+ROW(A454)</f>
        <v>902</v>
      </c>
      <c r="B454" t="s">
        <v>163</v>
      </c>
      <c r="C454" s="2">
        <f>SUM(D454:I454)</f>
        <v>6483313.4613289777</v>
      </c>
      <c r="D454" s="2">
        <f t="shared" ref="D454:I454" si="223">$C$49*D$399</f>
        <v>4426859.7624828918</v>
      </c>
      <c r="E454" s="2">
        <f t="shared" si="223"/>
        <v>1498380.463907979</v>
      </c>
      <c r="F454" s="2">
        <f t="shared" si="223"/>
        <v>0</v>
      </c>
      <c r="G454" s="2">
        <f t="shared" si="223"/>
        <v>18823.828669545001</v>
      </c>
      <c r="H454" s="2">
        <f t="shared" si="223"/>
        <v>539249.40626856242</v>
      </c>
      <c r="I454" s="2">
        <f t="shared" si="223"/>
        <v>0</v>
      </c>
      <c r="J454" s="2"/>
      <c r="K454" s="71" t="str">
        <f>C$1&amp;$A$49&amp;"*"&amp;A$399</f>
        <v>C497*847</v>
      </c>
    </row>
    <row r="455" spans="1:11">
      <c r="A455" s="50">
        <f t="shared" si="222"/>
        <v>903</v>
      </c>
      <c r="B455" t="s">
        <v>162</v>
      </c>
      <c r="C455" s="2">
        <f>SUM(D455:I455)</f>
        <v>898164.21215800394</v>
      </c>
      <c r="D455" s="2">
        <f t="shared" ref="D455:I455" si="224">SUM(D452:D454)*$C$93</f>
        <v>613273.91227037588</v>
      </c>
      <c r="E455" s="2">
        <f t="shared" si="224"/>
        <v>207577.7635781609</v>
      </c>
      <c r="F455" s="2">
        <f t="shared" si="224"/>
        <v>0</v>
      </c>
      <c r="G455" s="2">
        <f t="shared" si="224"/>
        <v>2607.7544063885939</v>
      </c>
      <c r="H455" s="2">
        <f t="shared" si="224"/>
        <v>74704.781903078561</v>
      </c>
      <c r="I455" s="2">
        <f t="shared" si="224"/>
        <v>0</v>
      </c>
      <c r="J455" s="2"/>
      <c r="K455" s="71" t="str">
        <f>A452&amp;":"&amp;A454&amp;"*"&amp;C$1&amp;$A$93</f>
        <v>900:902*C541</v>
      </c>
    </row>
    <row r="456" spans="1:11">
      <c r="A456" s="50">
        <f t="shared" si="222"/>
        <v>904</v>
      </c>
      <c r="B456" s="28" t="s">
        <v>196</v>
      </c>
      <c r="C456" s="4">
        <f>IF(ROUND(SUM(C452:C455),3)&lt;&gt;ROUND(SUM(D456:I456),3),#VALUE!,SUM(C452:C455))</f>
        <v>20442870.93208747</v>
      </c>
      <c r="D456" s="4">
        <f t="shared" ref="D456:I456" si="225">SUM(D452:D455)</f>
        <v>13958560.433439003</v>
      </c>
      <c r="E456" s="4">
        <f t="shared" si="225"/>
        <v>4724620.9231649963</v>
      </c>
      <c r="F456" s="4">
        <f t="shared" si="225"/>
        <v>0</v>
      </c>
      <c r="G456" s="4">
        <f t="shared" si="225"/>
        <v>59354.387572732834</v>
      </c>
      <c r="H456" s="4">
        <f t="shared" si="225"/>
        <v>1700335.1879107372</v>
      </c>
      <c r="I456" s="4">
        <f t="shared" si="225"/>
        <v>0</v>
      </c>
      <c r="J456" s="5"/>
      <c r="K456" s="71" t="str">
        <f>A452&amp;":"&amp;A455</f>
        <v>900:903</v>
      </c>
    </row>
    <row r="457" spans="1:11">
      <c r="A457" s="50">
        <f t="shared" si="222"/>
        <v>905</v>
      </c>
      <c r="B457" s="28"/>
      <c r="C457" s="2"/>
      <c r="D457" s="2"/>
      <c r="E457" s="2"/>
      <c r="F457" s="2"/>
      <c r="G457" s="2"/>
      <c r="H457" s="2"/>
      <c r="I457" s="2"/>
      <c r="J457" s="2"/>
      <c r="K457" s="71"/>
    </row>
    <row r="458" spans="1:11">
      <c r="A458" s="50">
        <f t="shared" si="222"/>
        <v>906</v>
      </c>
      <c r="B458" s="30" t="str">
        <f>"Line "&amp;A206</f>
        <v>Line 654</v>
      </c>
      <c r="K458" s="71"/>
    </row>
    <row r="459" spans="1:11">
      <c r="A459" s="50">
        <f t="shared" si="222"/>
        <v>907</v>
      </c>
      <c r="B459" t="s">
        <v>209</v>
      </c>
      <c r="C459" s="2">
        <f>SUM(D459:I459)</f>
        <v>47182386.992409408</v>
      </c>
      <c r="D459" s="2">
        <f t="shared" ref="D459:I459" si="226">D$424</f>
        <v>45576713.02338402</v>
      </c>
      <c r="E459" s="2">
        <f t="shared" si="226"/>
        <v>1463761.5759024152</v>
      </c>
      <c r="F459" s="2">
        <f t="shared" si="226"/>
        <v>0</v>
      </c>
      <c r="G459" s="2">
        <f t="shared" si="226"/>
        <v>9805.2054641177492</v>
      </c>
      <c r="H459" s="2">
        <f t="shared" si="226"/>
        <v>132107.18765885447</v>
      </c>
      <c r="I459" s="2">
        <f t="shared" si="226"/>
        <v>0</v>
      </c>
      <c r="J459" s="2"/>
      <c r="K459" s="71">
        <f>A$424</f>
        <v>872</v>
      </c>
    </row>
    <row r="460" spans="1:11">
      <c r="A460" s="50">
        <f t="shared" si="222"/>
        <v>908</v>
      </c>
      <c r="B460" t="s">
        <v>143</v>
      </c>
      <c r="C460" s="2">
        <f>SUM(D460:I460)</f>
        <v>1256581.6655544352</v>
      </c>
      <c r="D460" s="2">
        <f t="shared" ref="D460:I460" si="227">$C$53*D461</f>
        <v>1198580.8682329734</v>
      </c>
      <c r="E460" s="2">
        <f t="shared" si="227"/>
        <v>51679.251704274917</v>
      </c>
      <c r="F460" s="2">
        <f t="shared" si="227"/>
        <v>0</v>
      </c>
      <c r="G460" s="2">
        <f t="shared" si="227"/>
        <v>443.20047348026401</v>
      </c>
      <c r="H460" s="2">
        <f t="shared" si="227"/>
        <v>5878.3451437067843</v>
      </c>
      <c r="I460" s="2">
        <f t="shared" si="227"/>
        <v>0</v>
      </c>
      <c r="J460" s="2"/>
      <c r="K460" s="71" t="str">
        <f>C$1&amp;$A$53&amp;"*"&amp;A461</f>
        <v>C501*909</v>
      </c>
    </row>
    <row r="461" spans="1:11">
      <c r="A461" s="50">
        <f t="shared" si="222"/>
        <v>909</v>
      </c>
      <c r="B461" t="s">
        <v>163</v>
      </c>
      <c r="C461" s="2">
        <f>SUM(D461:I461)</f>
        <v>11925166.815284075</v>
      </c>
      <c r="D461" s="2">
        <f t="shared" ref="D461:I461" si="228">$C$49*D$400</f>
        <v>11374729.702887775</v>
      </c>
      <c r="E461" s="2">
        <f t="shared" si="228"/>
        <v>490444.60408437706</v>
      </c>
      <c r="F461" s="2">
        <f t="shared" si="228"/>
        <v>0</v>
      </c>
      <c r="G461" s="2">
        <f t="shared" si="228"/>
        <v>4206.0454356009195</v>
      </c>
      <c r="H461" s="2">
        <f t="shared" si="228"/>
        <v>55786.462876321253</v>
      </c>
      <c r="I461" s="2">
        <f t="shared" si="228"/>
        <v>0</v>
      </c>
      <c r="J461" s="2"/>
      <c r="K461" s="71" t="str">
        <f>C$1&amp;$A$49&amp;"*"&amp;A$400</f>
        <v>C497*848</v>
      </c>
    </row>
    <row r="462" spans="1:11">
      <c r="A462" s="50">
        <f t="shared" si="222"/>
        <v>910</v>
      </c>
      <c r="B462" t="s">
        <v>162</v>
      </c>
      <c r="C462" s="2">
        <f>SUM(D462:I462)</f>
        <v>2773994.3585157255</v>
      </c>
      <c r="D462" s="2">
        <f t="shared" ref="D462:I462" si="229">SUM(D459:D461)*$C$93</f>
        <v>2672246.2954878351</v>
      </c>
      <c r="E462" s="2">
        <f t="shared" si="229"/>
        <v>92179.152864798103</v>
      </c>
      <c r="F462" s="2">
        <f t="shared" si="229"/>
        <v>0</v>
      </c>
      <c r="G462" s="2">
        <f t="shared" si="229"/>
        <v>664.24485748600944</v>
      </c>
      <c r="H462" s="2">
        <f t="shared" si="229"/>
        <v>8904.6653056063715</v>
      </c>
      <c r="I462" s="2">
        <f t="shared" si="229"/>
        <v>0</v>
      </c>
      <c r="J462" s="2"/>
      <c r="K462" s="71" t="str">
        <f>A459&amp;":"&amp;A461&amp;"*"&amp;C$1&amp;$A$93</f>
        <v>907:909*C541</v>
      </c>
    </row>
    <row r="463" spans="1:11">
      <c r="A463" s="50">
        <f t="shared" si="222"/>
        <v>911</v>
      </c>
      <c r="B463" s="28" t="s">
        <v>197</v>
      </c>
      <c r="C463" s="4">
        <f>IF(ROUND(SUM(C459:C462),3)&lt;&gt;ROUND(SUM(D463:I463),3),#VALUE!,SUM(C459:C462))</f>
        <v>63138129.83176364</v>
      </c>
      <c r="D463" s="4">
        <f t="shared" ref="D463:I463" si="230">SUM(D459:D462)</f>
        <v>60822269.889992602</v>
      </c>
      <c r="E463" s="4">
        <f t="shared" si="230"/>
        <v>2098064.5845558653</v>
      </c>
      <c r="F463" s="4">
        <f t="shared" si="230"/>
        <v>0</v>
      </c>
      <c r="G463" s="4">
        <f t="shared" si="230"/>
        <v>15118.696230684944</v>
      </c>
      <c r="H463" s="4">
        <f t="shared" si="230"/>
        <v>202676.66098448887</v>
      </c>
      <c r="I463" s="4">
        <f t="shared" si="230"/>
        <v>0</v>
      </c>
      <c r="J463" s="5"/>
      <c r="K463" s="71" t="str">
        <f>A459&amp;":"&amp;A462</f>
        <v>907:910</v>
      </c>
    </row>
    <row r="464" spans="1:11">
      <c r="A464" s="50">
        <f t="shared" si="222"/>
        <v>912</v>
      </c>
      <c r="B464" s="28"/>
      <c r="C464" s="2"/>
      <c r="D464" s="2"/>
      <c r="E464" s="2"/>
      <c r="F464" s="2"/>
      <c r="G464" s="2"/>
      <c r="H464" s="2"/>
      <c r="I464" s="2"/>
      <c r="J464" s="2"/>
      <c r="K464" s="71"/>
    </row>
    <row r="465" spans="1:12">
      <c r="A465" s="50">
        <f t="shared" si="222"/>
        <v>913</v>
      </c>
      <c r="B465" s="30" t="s">
        <v>120</v>
      </c>
      <c r="C465" s="2"/>
      <c r="K465" s="71"/>
    </row>
    <row r="466" spans="1:12">
      <c r="A466" s="50">
        <f t="shared" si="222"/>
        <v>914</v>
      </c>
      <c r="B466" t="s">
        <v>207</v>
      </c>
      <c r="C466" s="2">
        <f>SUM(D466:I466)</f>
        <v>72737559.999999985</v>
      </c>
      <c r="D466" s="2">
        <f t="shared" ref="D466:I466" si="231">D445+D452+D459</f>
        <v>62526043.376522258</v>
      </c>
      <c r="E466" s="2">
        <f t="shared" si="231"/>
        <v>7776006.0199211827</v>
      </c>
      <c r="F466" s="2">
        <f t="shared" si="231"/>
        <v>0</v>
      </c>
      <c r="G466" s="2">
        <f t="shared" si="231"/>
        <v>99242.125987347448</v>
      </c>
      <c r="H466" s="2">
        <f t="shared" si="231"/>
        <v>2336268.4775691996</v>
      </c>
      <c r="I466" s="2">
        <f t="shared" si="231"/>
        <v>0</v>
      </c>
      <c r="J466" s="2"/>
      <c r="K466" s="71" t="str">
        <f>A445&amp;"+"&amp;A452&amp;"+"&amp;A459</f>
        <v>893+900+907</v>
      </c>
    </row>
    <row r="467" spans="1:12">
      <c r="A467" s="50">
        <f t="shared" si="222"/>
        <v>915</v>
      </c>
      <c r="B467" t="s">
        <v>143</v>
      </c>
      <c r="C467" s="2">
        <f>SUM(D467:I467)</f>
        <v>2490999.9999999981</v>
      </c>
      <c r="D467" s="2">
        <f t="shared" ref="D467:I467" si="232">$C$53*D468</f>
        <v>2010639.1079594113</v>
      </c>
      <c r="E467" s="2">
        <f t="shared" si="232"/>
        <v>352208.43895486125</v>
      </c>
      <c r="F467" s="2">
        <f t="shared" si="232"/>
        <v>0</v>
      </c>
      <c r="G467" s="2">
        <f t="shared" si="232"/>
        <v>4654.738397377525</v>
      </c>
      <c r="H467" s="2">
        <f t="shared" si="232"/>
        <v>123497.714688348</v>
      </c>
      <c r="I467" s="2">
        <f t="shared" si="232"/>
        <v>0</v>
      </c>
      <c r="J467" s="2"/>
      <c r="K467" s="71" t="str">
        <f>C$1&amp;$A$53&amp;"*"&amp;A468</f>
        <v>C501*916</v>
      </c>
    </row>
    <row r="468" spans="1:12">
      <c r="A468" s="50">
        <f t="shared" si="222"/>
        <v>916</v>
      </c>
      <c r="B468" t="s">
        <v>163</v>
      </c>
      <c r="C468" s="2">
        <f>SUM(D468:I468)</f>
        <v>23639999.970686942</v>
      </c>
      <c r="D468" s="2">
        <f t="shared" ref="D468:I469" si="233">D447+D454+D461</f>
        <v>19081296.04705843</v>
      </c>
      <c r="E468" s="2">
        <f t="shared" si="233"/>
        <v>3342516.0524161467</v>
      </c>
      <c r="F468" s="2">
        <f t="shared" si="233"/>
        <v>0</v>
      </c>
      <c r="G468" s="2">
        <f t="shared" si="233"/>
        <v>44174.233471521547</v>
      </c>
      <c r="H468" s="2">
        <f t="shared" si="233"/>
        <v>1172013.6377408486</v>
      </c>
      <c r="I468" s="2">
        <f t="shared" si="233"/>
        <v>0</v>
      </c>
      <c r="J468" s="2"/>
      <c r="K468" s="71" t="str">
        <f>A447&amp;"+"&amp;A454&amp;"+"&amp;A461</f>
        <v>895+902+909</v>
      </c>
    </row>
    <row r="469" spans="1:12">
      <c r="A469" s="50">
        <f t="shared" si="222"/>
        <v>917</v>
      </c>
      <c r="B469" t="s">
        <v>162</v>
      </c>
      <c r="C469" s="2">
        <f>SUM(D469:I469)</f>
        <v>4543439.9986529369</v>
      </c>
      <c r="D469" s="2">
        <f t="shared" si="233"/>
        <v>3842609.5047742231</v>
      </c>
      <c r="E469" s="2">
        <f t="shared" si="233"/>
        <v>527129.91707601887</v>
      </c>
      <c r="F469" s="2">
        <f t="shared" si="233"/>
        <v>0</v>
      </c>
      <c r="G469" s="2">
        <f t="shared" si="233"/>
        <v>6804.5104413777717</v>
      </c>
      <c r="H469" s="2">
        <f t="shared" si="233"/>
        <v>166896.06636131767</v>
      </c>
      <c r="I469" s="2">
        <f t="shared" si="233"/>
        <v>0</v>
      </c>
      <c r="J469" s="2"/>
      <c r="K469" s="71" t="str">
        <f>A448&amp;"+"&amp;A455&amp;"+"&amp;A462</f>
        <v>896+903+910</v>
      </c>
    </row>
    <row r="470" spans="1:12">
      <c r="A470" s="50">
        <f t="shared" si="222"/>
        <v>918</v>
      </c>
      <c r="B470" s="28" t="s">
        <v>208</v>
      </c>
      <c r="C470" s="4">
        <f>IF(ROUND(SUM(C466:C469),3)&lt;&gt;ROUND(SUM(D470:I470),3),#VALUE!,SUM(C466:C469))</f>
        <v>103411999.96933986</v>
      </c>
      <c r="D470" s="4">
        <f t="shared" ref="D470:I470" si="234">SUM(D466:D469)</f>
        <v>87460588.036314324</v>
      </c>
      <c r="E470" s="4">
        <f t="shared" si="234"/>
        <v>11997860.428368209</v>
      </c>
      <c r="F470" s="4">
        <f t="shared" si="234"/>
        <v>0</v>
      </c>
      <c r="G470" s="4">
        <f t="shared" si="234"/>
        <v>154875.60829762428</v>
      </c>
      <c r="H470" s="4">
        <f t="shared" si="234"/>
        <v>3798675.8963597142</v>
      </c>
      <c r="I470" s="4">
        <f t="shared" si="234"/>
        <v>0</v>
      </c>
      <c r="J470" s="5"/>
      <c r="K470" s="71" t="str">
        <f>A466&amp;":"&amp;A469</f>
        <v>914:917</v>
      </c>
    </row>
    <row r="471" spans="1:12">
      <c r="A471" s="50">
        <f t="shared" si="222"/>
        <v>919</v>
      </c>
      <c r="K471" s="71"/>
    </row>
    <row r="472" spans="1:12">
      <c r="A472" s="50">
        <f t="shared" si="222"/>
        <v>920</v>
      </c>
      <c r="K472" s="71"/>
    </row>
    <row r="473" spans="1:12">
      <c r="A473" s="50">
        <f t="shared" si="222"/>
        <v>921</v>
      </c>
      <c r="B473" s="30" t="s">
        <v>189</v>
      </c>
      <c r="K473" s="71"/>
    </row>
    <row r="474" spans="1:12">
      <c r="A474" s="50">
        <f t="shared" si="222"/>
        <v>922</v>
      </c>
      <c r="B474" s="30" t="str">
        <f>"Line "&amp;A224</f>
        <v>Line 672</v>
      </c>
      <c r="K474" s="71"/>
    </row>
    <row r="475" spans="1:12">
      <c r="A475" s="50">
        <f t="shared" si="222"/>
        <v>923</v>
      </c>
      <c r="B475" t="s">
        <v>205</v>
      </c>
      <c r="C475" s="2">
        <f>SUM(D475:I475)</f>
        <v>13176941.079455242</v>
      </c>
      <c r="D475" s="2">
        <f>D$406-D$60*Detail!AT$42</f>
        <v>8497371.7705108188</v>
      </c>
      <c r="E475" s="2">
        <f>E$406-E$60*Detail!AU$42</f>
        <v>3451469.4700075481</v>
      </c>
      <c r="F475" s="2">
        <f>F$406-F$60*Detail!AV$42</f>
        <v>0</v>
      </c>
      <c r="G475" s="2">
        <f>G$406-G$60*Detail!AW$42</f>
        <v>53497.625217377135</v>
      </c>
      <c r="H475" s="2">
        <f>H$406-H$60*Detail!AX$42</f>
        <v>1174602.2137194984</v>
      </c>
      <c r="I475" s="2">
        <f>I$406-I$60*Detail!AY$42</f>
        <v>0</v>
      </c>
      <c r="J475" s="2"/>
      <c r="K475" s="71" t="str">
        <f>A$406&amp;"-"&amp;A$60&amp;"*"&amp;Detail!AY$1&amp;Detail!$A42</f>
        <v>854-508*AY42</v>
      </c>
    </row>
    <row r="476" spans="1:12">
      <c r="A476" s="50">
        <f t="shared" si="222"/>
        <v>924</v>
      </c>
      <c r="B476" t="s">
        <v>143</v>
      </c>
      <c r="C476" s="2">
        <f>SUM(D476:I476)</f>
        <v>1465406.861059295</v>
      </c>
      <c r="D476" s="2">
        <f t="shared" ref="D476:I476" si="235">D$100*D477</f>
        <v>442808.10259611631</v>
      </c>
      <c r="E476" s="2">
        <f t="shared" si="235"/>
        <v>924805.30603103864</v>
      </c>
      <c r="F476" s="2">
        <f t="shared" si="235"/>
        <v>0</v>
      </c>
      <c r="G476" s="2">
        <f t="shared" si="235"/>
        <v>10067.498299566012</v>
      </c>
      <c r="H476" s="2">
        <f t="shared" si="235"/>
        <v>87725.954132573956</v>
      </c>
      <c r="I476" s="2">
        <f t="shared" si="235"/>
        <v>0</v>
      </c>
      <c r="J476" s="2"/>
      <c r="K476" s="71" t="str">
        <f>A$100&amp;"*"&amp;A477</f>
        <v>548*925</v>
      </c>
      <c r="L476" s="49"/>
    </row>
    <row r="477" spans="1:12">
      <c r="A477" s="50">
        <f t="shared" si="222"/>
        <v>925</v>
      </c>
      <c r="B477" t="s">
        <v>163</v>
      </c>
      <c r="C477" s="2">
        <f>SUM(D477:I477)</f>
        <v>8885957.4274998028</v>
      </c>
      <c r="D477" s="2">
        <f t="shared" ref="D477:I477" si="236">D$83*D$398</f>
        <v>3484455.4971935777</v>
      </c>
      <c r="E477" s="2">
        <f t="shared" si="236"/>
        <v>4691342.7096480299</v>
      </c>
      <c r="F477" s="2">
        <f t="shared" si="236"/>
        <v>0</v>
      </c>
      <c r="G477" s="2">
        <f t="shared" si="236"/>
        <v>54085.358031133233</v>
      </c>
      <c r="H477" s="2">
        <f t="shared" si="236"/>
        <v>656073.86262706178</v>
      </c>
      <c r="I477" s="2">
        <f t="shared" si="236"/>
        <v>0</v>
      </c>
      <c r="J477" s="2"/>
      <c r="K477" s="71" t="str">
        <f>A83&amp;"*"&amp;A$398</f>
        <v>531*846</v>
      </c>
    </row>
    <row r="478" spans="1:12">
      <c r="A478" s="50">
        <f t="shared" si="222"/>
        <v>926</v>
      </c>
      <c r="B478" t="s">
        <v>162</v>
      </c>
      <c r="C478" s="2">
        <f>SUM(D478:I478)</f>
        <v>1080799.7398646672</v>
      </c>
      <c r="D478" s="2">
        <f t="shared" ref="D478:I478" si="237">SUM(D475:D477)*D$97</f>
        <v>570739.90098707366</v>
      </c>
      <c r="E478" s="2">
        <f t="shared" si="237"/>
        <v>416531.42742041405</v>
      </c>
      <c r="F478" s="2">
        <f t="shared" si="237"/>
        <v>0</v>
      </c>
      <c r="G478" s="2">
        <f t="shared" si="237"/>
        <v>5404.4100441240189</v>
      </c>
      <c r="H478" s="2">
        <f t="shared" si="237"/>
        <v>88124.001413055521</v>
      </c>
      <c r="I478" s="2">
        <f t="shared" si="237"/>
        <v>0</v>
      </c>
      <c r="J478" s="2"/>
      <c r="K478" s="71" t="str">
        <f>A475&amp;":"&amp;A477&amp;"*"&amp;A$97</f>
        <v>923:925*545</v>
      </c>
    </row>
    <row r="479" spans="1:12">
      <c r="A479" s="50">
        <f t="shared" si="222"/>
        <v>927</v>
      </c>
      <c r="B479" s="28" t="s">
        <v>195</v>
      </c>
      <c r="C479" s="4">
        <f>IF(ROUND(SUM(C475:C478),3)&lt;&gt;ROUND(SUM(D479:I479),3),#VALUE!,SUM(C475:C478))</f>
        <v>24609105.107879005</v>
      </c>
      <c r="D479" s="4">
        <f t="shared" ref="D479:I479" si="238">SUM(D475:D478)</f>
        <v>12995375.271287587</v>
      </c>
      <c r="E479" s="4">
        <f t="shared" si="238"/>
        <v>9484148.9131070301</v>
      </c>
      <c r="F479" s="4">
        <f t="shared" si="238"/>
        <v>0</v>
      </c>
      <c r="G479" s="4">
        <f t="shared" si="238"/>
        <v>123054.89159220039</v>
      </c>
      <c r="H479" s="4">
        <f t="shared" si="238"/>
        <v>2006526.0318921895</v>
      </c>
      <c r="I479" s="4">
        <f t="shared" si="238"/>
        <v>0</v>
      </c>
      <c r="J479" s="5"/>
      <c r="K479" s="71" t="str">
        <f>A475&amp;":"&amp;A478</f>
        <v>923:926</v>
      </c>
    </row>
    <row r="480" spans="1:12">
      <c r="A480" s="50">
        <f t="shared" si="222"/>
        <v>928</v>
      </c>
      <c r="C480" s="2"/>
      <c r="D480" s="2"/>
      <c r="E480" s="2"/>
      <c r="F480" s="2"/>
      <c r="G480" s="2"/>
      <c r="H480" s="2"/>
      <c r="I480" s="2"/>
      <c r="J480" s="2"/>
      <c r="K480" s="71"/>
    </row>
    <row r="481" spans="1:11">
      <c r="A481" s="50">
        <f t="shared" si="222"/>
        <v>929</v>
      </c>
      <c r="B481" s="30" t="str">
        <f>"Line "&amp;A225</f>
        <v>Line 673</v>
      </c>
      <c r="K481" s="71"/>
    </row>
    <row r="482" spans="1:11">
      <c r="A482" s="50">
        <f t="shared" si="222"/>
        <v>930</v>
      </c>
      <c r="B482" t="s">
        <v>206</v>
      </c>
      <c r="C482" s="2">
        <f>SUM(D482:I482)</f>
        <v>12378231.928135343</v>
      </c>
      <c r="D482" s="2">
        <f>D$415-D$60*Detail!BB$42</f>
        <v>8451958.5826274231</v>
      </c>
      <c r="E482" s="2">
        <f>E$415-E$60*Detail!BC$42</f>
        <v>2860774.9740112191</v>
      </c>
      <c r="F482" s="2">
        <f>F$415-F$60*Detail!BD$42</f>
        <v>0</v>
      </c>
      <c r="G482" s="2">
        <f>G$415-G$60*Detail!BE$42</f>
        <v>35939.295305852567</v>
      </c>
      <c r="H482" s="2">
        <f>H$415-H$60*Detail!BF$42</f>
        <v>1029559.076190847</v>
      </c>
      <c r="I482" s="2">
        <f>I$415-I$60*Detail!BG$42</f>
        <v>0</v>
      </c>
      <c r="J482" s="2"/>
      <c r="K482" s="71" t="str">
        <f>A$415&amp;"-"&amp;A$60&amp;"*"&amp;Detail!BG$1&amp;Detail!$A42</f>
        <v>863-508*BG42</v>
      </c>
    </row>
    <row r="483" spans="1:11">
      <c r="A483" s="50">
        <f t="shared" si="222"/>
        <v>931</v>
      </c>
      <c r="B483" t="s">
        <v>143</v>
      </c>
      <c r="C483" s="2">
        <f>SUM(D483:I483)</f>
        <v>1712295.9483778025</v>
      </c>
      <c r="D483" s="2">
        <f t="shared" ref="D483:I483" si="239">D$100*D484</f>
        <v>597690.47110165074</v>
      </c>
      <c r="E483" s="2">
        <f t="shared" si="239"/>
        <v>1023653.270517412</v>
      </c>
      <c r="F483" s="2">
        <f t="shared" si="239"/>
        <v>0</v>
      </c>
      <c r="G483" s="2">
        <f t="shared" si="239"/>
        <v>8962.6202354150646</v>
      </c>
      <c r="H483" s="2">
        <f t="shared" si="239"/>
        <v>81989.58652332463</v>
      </c>
      <c r="I483" s="2">
        <f t="shared" si="239"/>
        <v>0</v>
      </c>
      <c r="J483" s="2"/>
      <c r="K483" s="71" t="str">
        <f>A$100&amp;"*"&amp;A484</f>
        <v>548*932</v>
      </c>
    </row>
    <row r="484" spans="1:11">
      <c r="A484" s="50">
        <f t="shared" si="222"/>
        <v>932</v>
      </c>
      <c r="B484" t="s">
        <v>163</v>
      </c>
      <c r="C484" s="2">
        <f>SUM(D484:I484)</f>
        <v>10557325.062866198</v>
      </c>
      <c r="D484" s="2">
        <f t="shared" ref="D484:I484" si="240">D$83*D$399</f>
        <v>4703224.3435480259</v>
      </c>
      <c r="E484" s="2">
        <f t="shared" si="240"/>
        <v>5192777.6327962009</v>
      </c>
      <c r="F484" s="2">
        <f t="shared" si="240"/>
        <v>0</v>
      </c>
      <c r="G484" s="2">
        <f t="shared" si="240"/>
        <v>48149.650479742304</v>
      </c>
      <c r="H484" s="2">
        <f t="shared" si="240"/>
        <v>613173.43604222825</v>
      </c>
      <c r="I484" s="2">
        <f t="shared" si="240"/>
        <v>0</v>
      </c>
      <c r="J484" s="2"/>
      <c r="K484" s="71" t="str">
        <f>A83&amp;"*"&amp;A$399</f>
        <v>531*847</v>
      </c>
    </row>
    <row r="485" spans="1:11">
      <c r="A485" s="50">
        <f t="shared" si="222"/>
        <v>933</v>
      </c>
      <c r="B485" t="s">
        <v>162</v>
      </c>
      <c r="C485" s="2">
        <f>SUM(D485:I485)</f>
        <v>1132227.4438565734</v>
      </c>
      <c r="D485" s="2">
        <f t="shared" ref="D485:I485" si="241">SUM(D482:D484)*D$97</f>
        <v>631754.04083185107</v>
      </c>
      <c r="E485" s="2">
        <f t="shared" si="241"/>
        <v>416971.88120687299</v>
      </c>
      <c r="F485" s="2">
        <f t="shared" si="241"/>
        <v>0</v>
      </c>
      <c r="G485" s="2">
        <f t="shared" si="241"/>
        <v>4274.4305965285503</v>
      </c>
      <c r="H485" s="2">
        <f t="shared" si="241"/>
        <v>79227.091221320632</v>
      </c>
      <c r="I485" s="2">
        <f t="shared" si="241"/>
        <v>0</v>
      </c>
      <c r="J485" s="2"/>
      <c r="K485" s="71" t="str">
        <f>A482&amp;":"&amp;A484&amp;"*"&amp;A$97</f>
        <v>930:932*545</v>
      </c>
    </row>
    <row r="486" spans="1:11">
      <c r="A486" s="50">
        <f t="shared" si="222"/>
        <v>934</v>
      </c>
      <c r="B486" s="28" t="s">
        <v>196</v>
      </c>
      <c r="C486" s="4">
        <f>IF(ROUND(SUM(C482:C485),3)&lt;&gt;ROUND(SUM(D486:I486),3),#VALUE!,SUM(C482:C485))</f>
        <v>25780080.383235916</v>
      </c>
      <c r="D486" s="4">
        <f t="shared" ref="D486:I486" si="242">SUM(D482:D485)</f>
        <v>14384627.438108951</v>
      </c>
      <c r="E486" s="4">
        <f t="shared" si="242"/>
        <v>9494177.7585317064</v>
      </c>
      <c r="F486" s="4">
        <f t="shared" si="242"/>
        <v>0</v>
      </c>
      <c r="G486" s="4">
        <f t="shared" si="242"/>
        <v>97325.996617538476</v>
      </c>
      <c r="H486" s="4">
        <f t="shared" si="242"/>
        <v>1803949.1899777206</v>
      </c>
      <c r="I486" s="4">
        <f t="shared" si="242"/>
        <v>0</v>
      </c>
      <c r="J486" s="5"/>
      <c r="K486" s="71" t="str">
        <f>A482&amp;":"&amp;A485</f>
        <v>930:933</v>
      </c>
    </row>
    <row r="487" spans="1:11">
      <c r="A487" s="50">
        <f t="shared" si="222"/>
        <v>935</v>
      </c>
      <c r="B487" s="28"/>
      <c r="C487" s="2"/>
      <c r="D487" s="2"/>
      <c r="E487" s="2"/>
      <c r="F487" s="2"/>
      <c r="G487" s="2"/>
      <c r="H487" s="2"/>
      <c r="I487" s="2"/>
      <c r="J487" s="2"/>
      <c r="K487" s="71"/>
    </row>
    <row r="488" spans="1:11">
      <c r="A488" s="50">
        <f t="shared" si="222"/>
        <v>936</v>
      </c>
      <c r="B488" s="30" t="str">
        <f>"Line "&amp;A226</f>
        <v>Line 674</v>
      </c>
      <c r="K488" s="71"/>
    </row>
    <row r="489" spans="1:11">
      <c r="A489" s="50">
        <f t="shared" si="222"/>
        <v>937</v>
      </c>
      <c r="B489" t="s">
        <v>209</v>
      </c>
      <c r="C489" s="2">
        <f>SUM(D489:I489)</f>
        <v>47182386.992409408</v>
      </c>
      <c r="D489" s="2">
        <f>D$424-D$60*Detail!BJ$42</f>
        <v>45576713.02338402</v>
      </c>
      <c r="E489" s="2">
        <f>E$424-E$60*Detail!BK$42</f>
        <v>1463761.5759024152</v>
      </c>
      <c r="F489" s="2">
        <f>F$424-F$60*Detail!BL$42</f>
        <v>0</v>
      </c>
      <c r="G489" s="2">
        <f>G$424-G$60*Detail!BM$42</f>
        <v>9805.2054641177492</v>
      </c>
      <c r="H489" s="2">
        <f>H$424-H$60*Detail!BN$42</f>
        <v>132107.18765885447</v>
      </c>
      <c r="I489" s="2">
        <f>I$424-I$60*Detail!BO$42</f>
        <v>0</v>
      </c>
      <c r="J489" s="2"/>
      <c r="K489" s="71" t="str">
        <f>A$424&amp;"-"&amp;A$60&amp;"*"&amp;Detail!BO$1&amp;Detail!$A42</f>
        <v>872-508*BO42</v>
      </c>
    </row>
    <row r="490" spans="1:11">
      <c r="A490" s="50">
        <f t="shared" si="222"/>
        <v>938</v>
      </c>
      <c r="B490" t="s">
        <v>143</v>
      </c>
      <c r="C490" s="2">
        <f>SUM(D490:I490)</f>
        <v>1881297.1905629046</v>
      </c>
      <c r="D490" s="2">
        <f t="shared" ref="D490:I490" si="243">D$100*D491</f>
        <v>1535753.9925682719</v>
      </c>
      <c r="E490" s="2">
        <f t="shared" si="243"/>
        <v>335058.57495578128</v>
      </c>
      <c r="F490" s="2">
        <f t="shared" si="243"/>
        <v>0</v>
      </c>
      <c r="G490" s="2">
        <f t="shared" si="243"/>
        <v>2002.6312709264137</v>
      </c>
      <c r="H490" s="2">
        <f t="shared" si="243"/>
        <v>8481.9917679249775</v>
      </c>
      <c r="I490" s="2">
        <f t="shared" si="243"/>
        <v>0</v>
      </c>
      <c r="J490" s="2"/>
      <c r="K490" s="71" t="str">
        <f>A$100&amp;"*"&amp;A491</f>
        <v>548*939</v>
      </c>
    </row>
    <row r="491" spans="1:11">
      <c r="A491" s="50">
        <f t="shared" si="222"/>
        <v>939</v>
      </c>
      <c r="B491" t="s">
        <v>163</v>
      </c>
      <c r="C491" s="2">
        <f>SUM(D491:I491)</f>
        <v>13858717.480320964</v>
      </c>
      <c r="D491" s="2">
        <f t="shared" ref="D491:I491" si="244">D$83*D$400</f>
        <v>12084843.096519332</v>
      </c>
      <c r="E491" s="2">
        <f t="shared" si="244"/>
        <v>1699681.6439882175</v>
      </c>
      <c r="F491" s="2">
        <f t="shared" si="244"/>
        <v>0</v>
      </c>
      <c r="G491" s="2">
        <f t="shared" si="244"/>
        <v>10758.683644085404</v>
      </c>
      <c r="H491" s="2">
        <f t="shared" si="244"/>
        <v>63434.056169326781</v>
      </c>
      <c r="I491" s="2">
        <f t="shared" si="244"/>
        <v>0</v>
      </c>
      <c r="J491" s="2"/>
      <c r="K491" s="71" t="str">
        <f>A83&amp;"*"&amp;A$400</f>
        <v>531*848</v>
      </c>
    </row>
    <row r="492" spans="1:11">
      <c r="A492" s="50">
        <f t="shared" si="222"/>
        <v>940</v>
      </c>
      <c r="B492" t="s">
        <v>162</v>
      </c>
      <c r="C492" s="2">
        <f>SUM(D492:I492)</f>
        <v>2890412.8149322323</v>
      </c>
      <c r="D492" s="2">
        <f t="shared" ref="D492:I492" si="245">SUM(D489:D491)*D$97</f>
        <v>2719296.454611043</v>
      </c>
      <c r="E492" s="2">
        <f t="shared" si="245"/>
        <v>160707.69954075897</v>
      </c>
      <c r="F492" s="2">
        <f t="shared" si="245"/>
        <v>0</v>
      </c>
      <c r="G492" s="2">
        <f t="shared" si="245"/>
        <v>1036.619041359897</v>
      </c>
      <c r="H492" s="2">
        <f t="shared" si="245"/>
        <v>9372.0417390701768</v>
      </c>
      <c r="I492" s="2">
        <f t="shared" si="245"/>
        <v>0</v>
      </c>
      <c r="J492" s="2"/>
      <c r="K492" s="71" t="str">
        <f>A489&amp;":"&amp;A491&amp;"*"&amp;A$97</f>
        <v>937:939*545</v>
      </c>
    </row>
    <row r="493" spans="1:11">
      <c r="A493" s="50">
        <f t="shared" si="222"/>
        <v>941</v>
      </c>
      <c r="B493" s="28" t="s">
        <v>197</v>
      </c>
      <c r="C493" s="4">
        <f>IF(ROUND(SUM(C489:C492),3)&lt;&gt;ROUND(SUM(D493:I493),3),#VALUE!,SUM(C489:C492))</f>
        <v>65812814.478225507</v>
      </c>
      <c r="D493" s="4">
        <f t="shared" ref="D493:I493" si="246">SUM(D489:D492)</f>
        <v>61916606.567082666</v>
      </c>
      <c r="E493" s="4">
        <f t="shared" si="246"/>
        <v>3659209.4943871726</v>
      </c>
      <c r="F493" s="4">
        <f t="shared" si="246"/>
        <v>0</v>
      </c>
      <c r="G493" s="4">
        <f t="shared" si="246"/>
        <v>23603.13942048946</v>
      </c>
      <c r="H493" s="4">
        <f t="shared" si="246"/>
        <v>213395.27733517639</v>
      </c>
      <c r="I493" s="4">
        <f t="shared" si="246"/>
        <v>0</v>
      </c>
      <c r="J493" s="5"/>
      <c r="K493" s="71" t="str">
        <f>A489&amp;":"&amp;A492</f>
        <v>937:940</v>
      </c>
    </row>
    <row r="494" spans="1:11">
      <c r="A494" s="50">
        <f t="shared" si="222"/>
        <v>942</v>
      </c>
      <c r="B494" s="28"/>
      <c r="C494" s="2"/>
      <c r="D494" s="2"/>
      <c r="E494" s="2"/>
      <c r="F494" s="2"/>
      <c r="G494" s="2"/>
      <c r="H494" s="2"/>
      <c r="I494" s="2"/>
      <c r="J494" s="2"/>
      <c r="K494" s="71"/>
    </row>
    <row r="495" spans="1:11">
      <c r="A495" s="50">
        <f t="shared" si="222"/>
        <v>943</v>
      </c>
      <c r="B495" s="30" t="s">
        <v>120</v>
      </c>
      <c r="C495" s="2"/>
      <c r="K495" s="71"/>
    </row>
    <row r="496" spans="1:11">
      <c r="A496" s="50">
        <f t="shared" si="222"/>
        <v>944</v>
      </c>
      <c r="B496" t="s">
        <v>207</v>
      </c>
      <c r="C496" s="2">
        <f>SUM(D496:I496)</f>
        <v>72737559.999999985</v>
      </c>
      <c r="D496" s="2">
        <f t="shared" ref="D496:I496" si="247">D475+D482+D489</f>
        <v>62526043.376522258</v>
      </c>
      <c r="E496" s="2">
        <f t="shared" si="247"/>
        <v>7776006.0199211827</v>
      </c>
      <c r="F496" s="2">
        <f t="shared" si="247"/>
        <v>0</v>
      </c>
      <c r="G496" s="2">
        <f t="shared" si="247"/>
        <v>99242.125987347448</v>
      </c>
      <c r="H496" s="2">
        <f t="shared" si="247"/>
        <v>2336268.4775691996</v>
      </c>
      <c r="I496" s="2">
        <f t="shared" si="247"/>
        <v>0</v>
      </c>
      <c r="J496" s="2"/>
      <c r="K496" s="71" t="str">
        <f>A475&amp;"+"&amp;A482&amp;"+"&amp;A489</f>
        <v>923+930+937</v>
      </c>
    </row>
    <row r="497" spans="1:12">
      <c r="A497" s="50">
        <f t="shared" si="222"/>
        <v>945</v>
      </c>
      <c r="B497" t="s">
        <v>143</v>
      </c>
      <c r="C497" s="2">
        <f>SUM(D497:I497)</f>
        <v>5059000.0000000019</v>
      </c>
      <c r="D497" s="2">
        <f t="shared" ref="D497:I497" si="248">D$100*D498</f>
        <v>2576252.5662660389</v>
      </c>
      <c r="E497" s="2">
        <f t="shared" si="248"/>
        <v>2283517.1515042316</v>
      </c>
      <c r="F497" s="2">
        <f t="shared" si="248"/>
        <v>0</v>
      </c>
      <c r="G497" s="2">
        <f t="shared" si="248"/>
        <v>21032.749805907493</v>
      </c>
      <c r="H497" s="2">
        <f t="shared" si="248"/>
        <v>178197.53242382358</v>
      </c>
      <c r="I497" s="2">
        <f t="shared" si="248"/>
        <v>0</v>
      </c>
      <c r="J497" s="2"/>
      <c r="K497" s="71" t="str">
        <f>A$100&amp;"*"&amp;A498</f>
        <v>548*946</v>
      </c>
    </row>
    <row r="498" spans="1:12">
      <c r="A498" s="50">
        <f t="shared" si="222"/>
        <v>946</v>
      </c>
      <c r="B498" t="s">
        <v>163</v>
      </c>
      <c r="C498" s="2">
        <f>SUM(D498:I498)</f>
        <v>33301999.970686965</v>
      </c>
      <c r="D498" s="2">
        <f t="shared" ref="D498:I498" si="249">D477+D484+D491</f>
        <v>20272522.937260937</v>
      </c>
      <c r="E498" s="2">
        <f t="shared" si="249"/>
        <v>11583801.986432448</v>
      </c>
      <c r="F498" s="2">
        <f t="shared" si="249"/>
        <v>0</v>
      </c>
      <c r="G498" s="2">
        <f t="shared" si="249"/>
        <v>112993.69215496095</v>
      </c>
      <c r="H498" s="2">
        <f t="shared" si="249"/>
        <v>1332681.3548386169</v>
      </c>
      <c r="I498" s="2">
        <f t="shared" si="249"/>
        <v>0</v>
      </c>
      <c r="J498" s="2"/>
      <c r="K498" s="71" t="str">
        <f>A477&amp;"+"&amp;A484&amp;"+"&amp;A491</f>
        <v>925+932+939</v>
      </c>
    </row>
    <row r="499" spans="1:12">
      <c r="A499" s="50">
        <f t="shared" si="222"/>
        <v>947</v>
      </c>
      <c r="B499" t="s">
        <v>162</v>
      </c>
      <c r="C499" s="2">
        <f>SUM(D499:I499)</f>
        <v>5103439.9986534724</v>
      </c>
      <c r="D499" s="2">
        <f t="shared" ref="D499:I499" si="250">D478+D485+D492</f>
        <v>3921790.3964299676</v>
      </c>
      <c r="E499" s="2">
        <f t="shared" si="250"/>
        <v>994211.00816804601</v>
      </c>
      <c r="F499" s="2">
        <f t="shared" si="250"/>
        <v>0</v>
      </c>
      <c r="G499" s="2">
        <f t="shared" si="250"/>
        <v>10715.459682012464</v>
      </c>
      <c r="H499" s="2">
        <f t="shared" si="250"/>
        <v>176723.13437344632</v>
      </c>
      <c r="I499" s="2">
        <f t="shared" si="250"/>
        <v>0</v>
      </c>
      <c r="J499" s="2"/>
      <c r="K499" s="71" t="str">
        <f>A478&amp;"+"&amp;A485&amp;"+"&amp;A492</f>
        <v>926+933+940</v>
      </c>
    </row>
    <row r="500" spans="1:12">
      <c r="A500" s="50">
        <f t="shared" si="222"/>
        <v>948</v>
      </c>
      <c r="B500" s="28" t="s">
        <v>208</v>
      </c>
      <c r="C500" s="4">
        <f>IF(ROUND(SUM(C496:C499),3)&lt;&gt;ROUND(SUM(D500:I500),3),#VALUE!,SUM(C496:C499))</f>
        <v>116201999.96934041</v>
      </c>
      <c r="D500" s="4">
        <f t="shared" ref="D500:I500" si="251">SUM(D496:D499)</f>
        <v>89296609.2764792</v>
      </c>
      <c r="E500" s="4">
        <f t="shared" si="251"/>
        <v>22637536.166025907</v>
      </c>
      <c r="F500" s="4">
        <f t="shared" si="251"/>
        <v>0</v>
      </c>
      <c r="G500" s="4">
        <f t="shared" si="251"/>
        <v>243984.02763022835</v>
      </c>
      <c r="H500" s="4">
        <f t="shared" si="251"/>
        <v>4023870.4992050868</v>
      </c>
      <c r="I500" s="4">
        <f t="shared" si="251"/>
        <v>0</v>
      </c>
      <c r="J500" s="5"/>
      <c r="K500" s="71" t="str">
        <f>A496&amp;":"&amp;A499</f>
        <v>944:947</v>
      </c>
    </row>
    <row r="501" spans="1:12">
      <c r="A501" s="50">
        <f t="shared" si="222"/>
        <v>949</v>
      </c>
      <c r="K501" s="71"/>
    </row>
    <row r="502" spans="1:12">
      <c r="A502" s="50">
        <f t="shared" si="222"/>
        <v>950</v>
      </c>
      <c r="K502" s="71"/>
    </row>
    <row r="503" spans="1:12">
      <c r="A503" s="50">
        <f t="shared" si="222"/>
        <v>951</v>
      </c>
      <c r="B503" s="30" t="s">
        <v>190</v>
      </c>
      <c r="K503" s="71"/>
    </row>
    <row r="504" spans="1:12">
      <c r="A504" s="50">
        <f t="shared" si="222"/>
        <v>952</v>
      </c>
      <c r="B504" s="30" t="str">
        <f>"Line "&amp;A241</f>
        <v>Line 689</v>
      </c>
      <c r="K504" s="71"/>
    </row>
    <row r="505" spans="1:12">
      <c r="A505" s="50">
        <f t="shared" si="222"/>
        <v>953</v>
      </c>
      <c r="B505" t="s">
        <v>205</v>
      </c>
      <c r="C505" s="2">
        <f>SUM(D505:I505)</f>
        <v>13176941.079455242</v>
      </c>
      <c r="D505" s="2">
        <f>D$406-D$60*Detail!AT$42</f>
        <v>8497371.7705108188</v>
      </c>
      <c r="E505" s="2">
        <f>E$406-E$60*Detail!AU$42</f>
        <v>3451469.4700075481</v>
      </c>
      <c r="F505" s="2">
        <f>F$406-F$60*Detail!AV$42</f>
        <v>0</v>
      </c>
      <c r="G505" s="2">
        <f>G$406-G$60*Detail!AW$42</f>
        <v>53497.625217377135</v>
      </c>
      <c r="H505" s="2">
        <f>H$406-H$60*Detail!AX$42</f>
        <v>1174602.2137194984</v>
      </c>
      <c r="I505" s="2">
        <f>I$406-I$60*Detail!AY$42</f>
        <v>0</v>
      </c>
      <c r="J505" s="2"/>
      <c r="K505" s="71" t="str">
        <f>A$406&amp;"-"&amp;A60&amp;"*"&amp;Detail!AY$1&amp;Detail!A42</f>
        <v>854-508*AY42</v>
      </c>
    </row>
    <row r="506" spans="1:12">
      <c r="A506" s="50">
        <f t="shared" si="222"/>
        <v>954</v>
      </c>
      <c r="B506" t="s">
        <v>143</v>
      </c>
      <c r="C506" s="2">
        <f>SUM(D506:I506)</f>
        <v>1119554.0678992125</v>
      </c>
      <c r="D506" s="2">
        <f t="shared" ref="D506:I506" si="252">$C$100*D507</f>
        <v>701862.75877039484</v>
      </c>
      <c r="E506" s="2">
        <f t="shared" si="252"/>
        <v>289692.16153518273</v>
      </c>
      <c r="F506" s="2">
        <f t="shared" si="252"/>
        <v>0</v>
      </c>
      <c r="G506" s="2">
        <f t="shared" si="252"/>
        <v>4524.9286872730027</v>
      </c>
      <c r="H506" s="2">
        <f t="shared" si="252"/>
        <v>123474.21890636181</v>
      </c>
      <c r="I506" s="2">
        <f t="shared" si="252"/>
        <v>0</v>
      </c>
      <c r="J506" s="2"/>
      <c r="K506" s="71" t="str">
        <f>C$1&amp;$A$100&amp;"*"&amp;A507</f>
        <v>C548*955</v>
      </c>
      <c r="L506" s="49"/>
    </row>
    <row r="507" spans="1:12">
      <c r="A507" s="50">
        <f t="shared" si="222"/>
        <v>955</v>
      </c>
      <c r="B507" t="s">
        <v>163</v>
      </c>
      <c r="C507" s="2">
        <f>SUM(D507:I507)</f>
        <v>7369715.2736073481</v>
      </c>
      <c r="D507" s="2">
        <f t="shared" ref="D507:I507" si="253">$C$83*D$398</f>
        <v>4620168.7275294904</v>
      </c>
      <c r="E507" s="2">
        <f t="shared" si="253"/>
        <v>1906963.5033494083</v>
      </c>
      <c r="F507" s="2">
        <f t="shared" si="253"/>
        <v>0</v>
      </c>
      <c r="G507" s="2">
        <f t="shared" si="253"/>
        <v>29786.356027587575</v>
      </c>
      <c r="H507" s="2">
        <f t="shared" si="253"/>
        <v>812796.68670086213</v>
      </c>
      <c r="I507" s="2">
        <f t="shared" si="253"/>
        <v>0</v>
      </c>
      <c r="J507" s="2"/>
      <c r="K507" s="71" t="str">
        <f>C$1&amp;A83&amp;"*"&amp;A$398</f>
        <v>C531*846</v>
      </c>
    </row>
    <row r="508" spans="1:12">
      <c r="A508" s="50">
        <f t="shared" si="222"/>
        <v>956</v>
      </c>
      <c r="B508" t="s">
        <v>162</v>
      </c>
      <c r="C508" s="2">
        <f>SUM(D508:I508)</f>
        <v>995262.26902268874</v>
      </c>
      <c r="D508" s="2">
        <f t="shared" ref="D508:I508" si="254">SUM(D505:D507)*$C$97</f>
        <v>634810.16636883526</v>
      </c>
      <c r="E508" s="2">
        <f t="shared" si="254"/>
        <v>259453.11746987491</v>
      </c>
      <c r="F508" s="2">
        <f t="shared" si="254"/>
        <v>0</v>
      </c>
      <c r="G508" s="2">
        <f t="shared" si="254"/>
        <v>4033.6031655547949</v>
      </c>
      <c r="H508" s="2">
        <f t="shared" si="254"/>
        <v>96965.382018423727</v>
      </c>
      <c r="I508" s="2">
        <f t="shared" si="254"/>
        <v>0</v>
      </c>
      <c r="J508" s="2"/>
      <c r="K508" s="71" t="str">
        <f>A505&amp;":"&amp;A507&amp;"*"&amp;C$1&amp;$A$97</f>
        <v>953:955*C545</v>
      </c>
    </row>
    <row r="509" spans="1:12">
      <c r="A509" s="50">
        <f t="shared" si="222"/>
        <v>957</v>
      </c>
      <c r="B509" s="28" t="s">
        <v>195</v>
      </c>
      <c r="C509" s="4">
        <f>IF(ROUND(SUM(C505:C508),3)&lt;&gt;ROUND(SUM(D509:I509),3),#VALUE!,SUM(C505:C508))</f>
        <v>22661472.689984489</v>
      </c>
      <c r="D509" s="4">
        <f t="shared" ref="D509:I509" si="255">SUM(D505:D508)</f>
        <v>14454213.423179539</v>
      </c>
      <c r="E509" s="4">
        <f t="shared" si="255"/>
        <v>5907578.2523620147</v>
      </c>
      <c r="F509" s="4">
        <f t="shared" si="255"/>
        <v>0</v>
      </c>
      <c r="G509" s="4">
        <f t="shared" si="255"/>
        <v>91842.513097792515</v>
      </c>
      <c r="H509" s="4">
        <f t="shared" si="255"/>
        <v>2207838.501345146</v>
      </c>
      <c r="I509" s="4">
        <f t="shared" si="255"/>
        <v>0</v>
      </c>
      <c r="J509" s="5"/>
      <c r="K509" s="71" t="str">
        <f>A505&amp;":"&amp;A508</f>
        <v>953:956</v>
      </c>
    </row>
    <row r="510" spans="1:12">
      <c r="A510" s="50">
        <f t="shared" si="222"/>
        <v>958</v>
      </c>
      <c r="C510" s="2"/>
      <c r="D510" s="2"/>
      <c r="E510" s="2"/>
      <c r="F510" s="2"/>
      <c r="G510" s="2"/>
      <c r="H510" s="2"/>
      <c r="I510" s="2"/>
      <c r="J510" s="2"/>
      <c r="K510" s="71"/>
    </row>
    <row r="511" spans="1:12">
      <c r="A511" s="50">
        <f t="shared" si="222"/>
        <v>959</v>
      </c>
      <c r="B511" s="30" t="str">
        <f>"Line "&amp;A242</f>
        <v>Line 690</v>
      </c>
      <c r="K511" s="71"/>
    </row>
    <row r="512" spans="1:12">
      <c r="A512" s="50">
        <f t="shared" si="222"/>
        <v>960</v>
      </c>
      <c r="B512" t="s">
        <v>206</v>
      </c>
      <c r="C512" s="2">
        <f>SUM(D512:I512)</f>
        <v>12378231.928135343</v>
      </c>
      <c r="D512" s="2">
        <f>D$415-D$60*Detail!BB$42</f>
        <v>8451958.5826274231</v>
      </c>
      <c r="E512" s="2">
        <f>E$415-E$60*Detail!BC$42</f>
        <v>2860774.9740112191</v>
      </c>
      <c r="F512" s="2">
        <f>F$415-F$60*Detail!BD$42</f>
        <v>0</v>
      </c>
      <c r="G512" s="2">
        <f>G$415-G$60*Detail!BE$42</f>
        <v>35939.295305852567</v>
      </c>
      <c r="H512" s="2">
        <f>H$415-H$60*Detail!BF$42</f>
        <v>1029559.076190847</v>
      </c>
      <c r="I512" s="2">
        <f>I$415-I$60*Detail!BG$42</f>
        <v>0</v>
      </c>
      <c r="J512" s="2"/>
      <c r="K512" s="71" t="str">
        <f>A$415&amp;"-"&amp;A60&amp;"*"&amp;Detail!BG$1&amp;Detail!A42</f>
        <v>863-508*BG42</v>
      </c>
    </row>
    <row r="513" spans="1:11">
      <c r="A513" s="50">
        <f t="shared" si="222"/>
        <v>961</v>
      </c>
      <c r="B513" t="s">
        <v>143</v>
      </c>
      <c r="C513" s="2">
        <f>SUM(D513:I513)</f>
        <v>1387440.0525183335</v>
      </c>
      <c r="D513" s="2">
        <f t="shared" ref="D513:I513" si="256">$C$100*D514</f>
        <v>947355.48080248863</v>
      </c>
      <c r="E513" s="2">
        <f t="shared" si="256"/>
        <v>320655.95500464767</v>
      </c>
      <c r="F513" s="2">
        <f t="shared" si="256"/>
        <v>0</v>
      </c>
      <c r="G513" s="2">
        <f t="shared" si="256"/>
        <v>4028.3311910876</v>
      </c>
      <c r="H513" s="2">
        <f t="shared" si="256"/>
        <v>115400.28552010965</v>
      </c>
      <c r="I513" s="2">
        <f t="shared" si="256"/>
        <v>0</v>
      </c>
      <c r="J513" s="2"/>
      <c r="K513" s="71" t="str">
        <f>C$1&amp;$A$100&amp;"*"&amp;A514</f>
        <v>C548*962</v>
      </c>
    </row>
    <row r="514" spans="1:11">
      <c r="A514" s="50">
        <f t="shared" si="222"/>
        <v>962</v>
      </c>
      <c r="B514" t="s">
        <v>163</v>
      </c>
      <c r="C514" s="2">
        <f>SUM(D514:I514)</f>
        <v>9133134.7359093782</v>
      </c>
      <c r="D514" s="2">
        <f t="shared" ref="D514:I514" si="257">$C$83*D$399</f>
        <v>6236179.5259309113</v>
      </c>
      <c r="E514" s="2">
        <f t="shared" si="257"/>
        <v>2110789.6053695944</v>
      </c>
      <c r="F514" s="2">
        <f t="shared" si="257"/>
        <v>0</v>
      </c>
      <c r="G514" s="2">
        <f t="shared" si="257"/>
        <v>26517.391841391436</v>
      </c>
      <c r="H514" s="2">
        <f t="shared" si="257"/>
        <v>759648.21276748215</v>
      </c>
      <c r="I514" s="2">
        <f t="shared" si="257"/>
        <v>0</v>
      </c>
      <c r="J514" s="2"/>
      <c r="K514" s="71" t="str">
        <f>C$1&amp;A83&amp;"*"&amp;A$399</f>
        <v>C531*847</v>
      </c>
    </row>
    <row r="515" spans="1:11">
      <c r="A515" s="50">
        <f t="shared" si="222"/>
        <v>963</v>
      </c>
      <c r="B515" t="s">
        <v>162</v>
      </c>
      <c r="C515" s="2">
        <f>SUM(D515:I515)</f>
        <v>1051882.996049423</v>
      </c>
      <c r="D515" s="2">
        <f t="shared" ref="D515:I515" si="258">SUM(D512:D514)*$C$97</f>
        <v>718234.36238676379</v>
      </c>
      <c r="E515" s="2">
        <f t="shared" si="258"/>
        <v>243104.23072994055</v>
      </c>
      <c r="F515" s="2">
        <f t="shared" si="258"/>
        <v>0</v>
      </c>
      <c r="G515" s="2">
        <f t="shared" si="258"/>
        <v>3054.0657051592307</v>
      </c>
      <c r="H515" s="2">
        <f t="shared" si="258"/>
        <v>87490.337227559416</v>
      </c>
      <c r="I515" s="2">
        <f t="shared" si="258"/>
        <v>0</v>
      </c>
      <c r="J515" s="2"/>
      <c r="K515" s="71" t="str">
        <f>A512&amp;":"&amp;A514&amp;"*"&amp;C$1&amp;$A$97</f>
        <v>960:962*C545</v>
      </c>
    </row>
    <row r="516" spans="1:11">
      <c r="A516" s="50">
        <f t="shared" si="222"/>
        <v>964</v>
      </c>
      <c r="B516" s="28" t="s">
        <v>196</v>
      </c>
      <c r="C516" s="4">
        <f>IF(ROUND(SUM(C512:C515),3)&lt;&gt;ROUND(SUM(D516:I516),3),#VALUE!,SUM(C512:C515))</f>
        <v>23950689.712612476</v>
      </c>
      <c r="D516" s="4">
        <f t="shared" ref="D516:I516" si="259">SUM(D512:D515)</f>
        <v>16353727.951747587</v>
      </c>
      <c r="E516" s="4">
        <f t="shared" si="259"/>
        <v>5535324.7651154017</v>
      </c>
      <c r="F516" s="4">
        <f t="shared" si="259"/>
        <v>0</v>
      </c>
      <c r="G516" s="4">
        <f t="shared" si="259"/>
        <v>69539.084043490831</v>
      </c>
      <c r="H516" s="4">
        <f t="shared" si="259"/>
        <v>1992097.911705998</v>
      </c>
      <c r="I516" s="4">
        <f t="shared" si="259"/>
        <v>0</v>
      </c>
      <c r="J516" s="5"/>
      <c r="K516" s="71" t="str">
        <f>A512&amp;":"&amp;A515</f>
        <v>960:963</v>
      </c>
    </row>
    <row r="517" spans="1:11">
      <c r="A517" s="50">
        <f t="shared" si="222"/>
        <v>965</v>
      </c>
      <c r="B517" s="28"/>
      <c r="C517" s="2"/>
      <c r="D517" s="2"/>
      <c r="E517" s="2"/>
      <c r="F517" s="2"/>
      <c r="G517" s="2"/>
      <c r="H517" s="2"/>
      <c r="I517" s="2"/>
      <c r="J517" s="2"/>
      <c r="K517" s="71"/>
    </row>
    <row r="518" spans="1:11">
      <c r="A518" s="50">
        <f t="shared" ref="A518:A534" si="260">Pg1Row+ROW(A518)</f>
        <v>966</v>
      </c>
      <c r="B518" s="30" t="str">
        <f>"Line "&amp;A243</f>
        <v>Line 691</v>
      </c>
      <c r="K518" s="71"/>
    </row>
    <row r="519" spans="1:11">
      <c r="A519" s="50">
        <f t="shared" si="260"/>
        <v>967</v>
      </c>
      <c r="B519" t="s">
        <v>209</v>
      </c>
      <c r="C519" s="2">
        <f>SUM(D519:I519)</f>
        <v>47182386.992409408</v>
      </c>
      <c r="D519" s="2">
        <f>D$424-D$60*Detail!BJ$42</f>
        <v>45576713.02338402</v>
      </c>
      <c r="E519" s="2">
        <f>E$424-E$60*Detail!BK$42</f>
        <v>1463761.5759024152</v>
      </c>
      <c r="F519" s="2">
        <f>F$424-F$60*Detail!BL$42</f>
        <v>0</v>
      </c>
      <c r="G519" s="2">
        <f>G$424-G$60*Detail!BM$42</f>
        <v>9805.2054641177492</v>
      </c>
      <c r="H519" s="2">
        <f>H$424-H$60*Detail!BN$42</f>
        <v>132107.18765885447</v>
      </c>
      <c r="I519" s="2">
        <f>I$424-I$60*Detail!BO$42</f>
        <v>0</v>
      </c>
      <c r="J519" s="2"/>
      <c r="K519" s="71" t="str">
        <f>A$424&amp;"-"&amp;A60&amp;"*"&amp;Detail!BO$1&amp;Detail!A42</f>
        <v>872-508*BO42</v>
      </c>
    </row>
    <row r="520" spans="1:11">
      <c r="A520" s="50">
        <f t="shared" si="260"/>
        <v>968</v>
      </c>
      <c r="B520" t="s">
        <v>143</v>
      </c>
      <c r="C520" s="2">
        <f>SUM(D520:I520)</f>
        <v>2552005.8795824545</v>
      </c>
      <c r="D520" s="2">
        <f t="shared" ref="D520:I520" si="261">$C$100*D521</f>
        <v>2434211.4060179116</v>
      </c>
      <c r="E520" s="2">
        <f t="shared" si="261"/>
        <v>104955.97525970575</v>
      </c>
      <c r="F520" s="2">
        <f t="shared" si="261"/>
        <v>0</v>
      </c>
      <c r="G520" s="2">
        <f t="shared" si="261"/>
        <v>900.10084116284941</v>
      </c>
      <c r="H520" s="2">
        <f t="shared" si="261"/>
        <v>11938.397463674286</v>
      </c>
      <c r="I520" s="2">
        <f t="shared" si="261"/>
        <v>0</v>
      </c>
      <c r="J520" s="2"/>
      <c r="K520" s="71" t="str">
        <f>C$1&amp;$A$100&amp;"*"&amp;A521</f>
        <v>C548*969</v>
      </c>
    </row>
    <row r="521" spans="1:11">
      <c r="A521" s="50">
        <f t="shared" si="260"/>
        <v>969</v>
      </c>
      <c r="B521" t="s">
        <v>163</v>
      </c>
      <c r="C521" s="2">
        <f>SUM(D521:I521)</f>
        <v>16799149.99048328</v>
      </c>
      <c r="D521" s="2">
        <f t="shared" ref="D521:I521" si="262">$C$83*D$400</f>
        <v>16023741.498954043</v>
      </c>
      <c r="E521" s="2">
        <f t="shared" si="262"/>
        <v>690896.20243105781</v>
      </c>
      <c r="F521" s="2">
        <f t="shared" si="262"/>
        <v>0</v>
      </c>
      <c r="G521" s="2">
        <f t="shared" si="262"/>
        <v>5925.1152821516534</v>
      </c>
      <c r="H521" s="2">
        <f t="shared" si="262"/>
        <v>78587.173816027105</v>
      </c>
      <c r="I521" s="2">
        <f t="shared" si="262"/>
        <v>0</v>
      </c>
      <c r="J521" s="2"/>
      <c r="K521" s="71" t="str">
        <f>C$1&amp;A83&amp;"*"&amp;A$400</f>
        <v>C531*848</v>
      </c>
    </row>
    <row r="522" spans="1:11">
      <c r="A522" s="50">
        <f t="shared" si="260"/>
        <v>970</v>
      </c>
      <c r="B522" t="s">
        <v>162</v>
      </c>
      <c r="C522" s="2">
        <f>SUM(D522:I522)</f>
        <v>3056294.7349278894</v>
      </c>
      <c r="D522" s="2">
        <f t="shared" ref="D522:I522" si="263">SUM(D519:D521)*$C$97</f>
        <v>2941505.9518810064</v>
      </c>
      <c r="E522" s="2">
        <f t="shared" si="263"/>
        <v>103797.9539486162</v>
      </c>
      <c r="F522" s="2">
        <f t="shared" si="263"/>
        <v>0</v>
      </c>
      <c r="G522" s="2">
        <f t="shared" si="263"/>
        <v>763.93752309809668</v>
      </c>
      <c r="H522" s="2">
        <f t="shared" si="263"/>
        <v>10226.891575168784</v>
      </c>
      <c r="I522" s="2">
        <f t="shared" si="263"/>
        <v>0</v>
      </c>
      <c r="J522" s="2"/>
      <c r="K522" s="71" t="str">
        <f>A519&amp;":"&amp;A521&amp;"*"&amp;C$1&amp;$A$97</f>
        <v>967:969*C545</v>
      </c>
    </row>
    <row r="523" spans="1:11">
      <c r="A523" s="50">
        <f t="shared" si="260"/>
        <v>971</v>
      </c>
      <c r="B523" s="28" t="s">
        <v>197</v>
      </c>
      <c r="C523" s="4">
        <f>IF(ROUND(SUM(C519:C522),3)&lt;&gt;ROUND(SUM(D523:I523),3),#VALUE!,SUM(C519:C522))</f>
        <v>69589837.597403035</v>
      </c>
      <c r="D523" s="4">
        <f t="shared" ref="D523:I523" si="264">SUM(D519:D522)</f>
        <v>66976171.880236983</v>
      </c>
      <c r="E523" s="4">
        <f t="shared" si="264"/>
        <v>2363411.7075417945</v>
      </c>
      <c r="F523" s="4">
        <f t="shared" si="264"/>
        <v>0</v>
      </c>
      <c r="G523" s="4">
        <f t="shared" si="264"/>
        <v>17394.359110530349</v>
      </c>
      <c r="H523" s="4">
        <f t="shared" si="264"/>
        <v>232859.65051372463</v>
      </c>
      <c r="I523" s="4">
        <f t="shared" si="264"/>
        <v>0</v>
      </c>
      <c r="J523" s="5"/>
      <c r="K523" s="71" t="str">
        <f>A519&amp;":"&amp;A522</f>
        <v>967:970</v>
      </c>
    </row>
    <row r="524" spans="1:11">
      <c r="A524" s="50">
        <f t="shared" si="260"/>
        <v>972</v>
      </c>
      <c r="B524" s="28"/>
      <c r="C524" s="2"/>
      <c r="D524" s="2"/>
      <c r="E524" s="2"/>
      <c r="F524" s="2"/>
      <c r="G524" s="2"/>
      <c r="H524" s="2"/>
      <c r="I524" s="2"/>
      <c r="J524" s="2"/>
      <c r="K524" s="71"/>
    </row>
    <row r="525" spans="1:11">
      <c r="A525" s="50">
        <f t="shared" si="260"/>
        <v>973</v>
      </c>
      <c r="B525" s="30" t="s">
        <v>120</v>
      </c>
      <c r="C525" s="2"/>
      <c r="K525" s="71"/>
    </row>
    <row r="526" spans="1:11">
      <c r="A526" s="50">
        <f t="shared" si="260"/>
        <v>974</v>
      </c>
      <c r="B526" t="s">
        <v>207</v>
      </c>
      <c r="C526" s="2">
        <f>SUM(D526:I526)</f>
        <v>72737559.999999985</v>
      </c>
      <c r="D526" s="2">
        <f t="shared" ref="D526:I526" si="265">D505+D512+D519</f>
        <v>62526043.376522258</v>
      </c>
      <c r="E526" s="2">
        <f t="shared" si="265"/>
        <v>7776006.0199211827</v>
      </c>
      <c r="F526" s="2">
        <f t="shared" si="265"/>
        <v>0</v>
      </c>
      <c r="G526" s="2">
        <f t="shared" si="265"/>
        <v>99242.125987347448</v>
      </c>
      <c r="H526" s="2">
        <f t="shared" si="265"/>
        <v>2336268.4775691996</v>
      </c>
      <c r="I526" s="2">
        <f t="shared" si="265"/>
        <v>0</v>
      </c>
      <c r="J526" s="2"/>
      <c r="K526" s="71" t="str">
        <f>A505&amp;"+"&amp;A512&amp;"+"&amp;A519</f>
        <v>953+960+967</v>
      </c>
    </row>
    <row r="527" spans="1:11">
      <c r="A527" s="50">
        <f t="shared" si="260"/>
        <v>975</v>
      </c>
      <c r="B527" t="s">
        <v>143</v>
      </c>
      <c r="C527" s="2">
        <f>SUM(D527:I527)</f>
        <v>5059000</v>
      </c>
      <c r="D527" s="2">
        <f t="shared" ref="D527:I527" si="266">$C$100*D528</f>
        <v>4083429.6455907947</v>
      </c>
      <c r="E527" s="2">
        <f t="shared" si="266"/>
        <v>715304.09179953602</v>
      </c>
      <c r="F527" s="2">
        <f t="shared" si="266"/>
        <v>0</v>
      </c>
      <c r="G527" s="2">
        <f t="shared" si="266"/>
        <v>9453.3607195234526</v>
      </c>
      <c r="H527" s="2">
        <f t="shared" si="266"/>
        <v>250812.90189014573</v>
      </c>
      <c r="I527" s="2">
        <f t="shared" si="266"/>
        <v>0</v>
      </c>
      <c r="J527" s="2"/>
      <c r="K527" s="71" t="str">
        <f>C$1&amp;$A$100&amp;"*"&amp;A528</f>
        <v>C548*976</v>
      </c>
    </row>
    <row r="528" spans="1:11">
      <c r="A528" s="50">
        <f t="shared" si="260"/>
        <v>976</v>
      </c>
      <c r="B528" t="s">
        <v>163</v>
      </c>
      <c r="C528" s="2">
        <f>SUM(D528:I528)</f>
        <v>33302000.000000004</v>
      </c>
      <c r="D528" s="2">
        <f t="shared" ref="D528:I528" si="267">D507+D514+D521</f>
        <v>26880089.752414443</v>
      </c>
      <c r="E528" s="2">
        <f t="shared" si="267"/>
        <v>4708649.31115006</v>
      </c>
      <c r="F528" s="2">
        <f t="shared" si="267"/>
        <v>0</v>
      </c>
      <c r="G528" s="2">
        <f t="shared" si="267"/>
        <v>62228.863151130667</v>
      </c>
      <c r="H528" s="2">
        <f t="shared" si="267"/>
        <v>1651032.0732843713</v>
      </c>
      <c r="I528" s="2">
        <f t="shared" si="267"/>
        <v>0</v>
      </c>
      <c r="J528" s="2"/>
      <c r="K528" s="71" t="str">
        <f>A507&amp;"+"&amp;A514&amp;"+"&amp;A521</f>
        <v>955+962+969</v>
      </c>
    </row>
    <row r="529" spans="1:11">
      <c r="A529" s="50">
        <f t="shared" si="260"/>
        <v>977</v>
      </c>
      <c r="B529" t="s">
        <v>162</v>
      </c>
      <c r="C529" s="2">
        <f>SUM(D529:I529)</f>
        <v>5103440.0000000019</v>
      </c>
      <c r="D529" s="2">
        <f t="shared" ref="D529:I529" si="268">D508+D515+D522</f>
        <v>4294550.480636606</v>
      </c>
      <c r="E529" s="2">
        <f t="shared" si="268"/>
        <v>606355.30214843166</v>
      </c>
      <c r="F529" s="2">
        <f t="shared" si="268"/>
        <v>0</v>
      </c>
      <c r="G529" s="2">
        <f t="shared" si="268"/>
        <v>7851.6063938121224</v>
      </c>
      <c r="H529" s="2">
        <f t="shared" si="268"/>
        <v>194682.61082115193</v>
      </c>
      <c r="I529" s="2">
        <f t="shared" si="268"/>
        <v>0</v>
      </c>
      <c r="J529" s="2"/>
      <c r="K529" s="71" t="str">
        <f>A508&amp;"+"&amp;A515&amp;"+"&amp;A522</f>
        <v>956+963+970</v>
      </c>
    </row>
    <row r="530" spans="1:11">
      <c r="A530" s="50">
        <f t="shared" si="260"/>
        <v>978</v>
      </c>
      <c r="B530" s="28" t="s">
        <v>208</v>
      </c>
      <c r="C530" s="4">
        <f>IF(ROUND(SUM(C526:C529),3)&lt;&gt;ROUND(SUM(D530:I530),3),#VALUE!,SUM(C526:C529))</f>
        <v>116201999.99999999</v>
      </c>
      <c r="D530" s="4">
        <f t="shared" ref="D530:I530" si="269">SUM(D526:D529)</f>
        <v>97784113.255164102</v>
      </c>
      <c r="E530" s="4">
        <f t="shared" si="269"/>
        <v>13806314.725019209</v>
      </c>
      <c r="F530" s="4">
        <f t="shared" si="269"/>
        <v>0</v>
      </c>
      <c r="G530" s="4">
        <f t="shared" si="269"/>
        <v>178775.95625181368</v>
      </c>
      <c r="H530" s="4">
        <f t="shared" si="269"/>
        <v>4432796.0635648686</v>
      </c>
      <c r="I530" s="4">
        <f t="shared" si="269"/>
        <v>0</v>
      </c>
      <c r="J530" s="5"/>
      <c r="K530" s="71" t="str">
        <f>A526&amp;":"&amp;A529</f>
        <v>974:977</v>
      </c>
    </row>
    <row r="531" spans="1:11">
      <c r="A531" s="50">
        <f t="shared" si="260"/>
        <v>979</v>
      </c>
      <c r="K531" s="71"/>
    </row>
    <row r="532" spans="1:11">
      <c r="A532" s="50">
        <f t="shared" si="260"/>
        <v>980</v>
      </c>
      <c r="K532" s="71"/>
    </row>
    <row r="533" spans="1:11">
      <c r="A533" s="50">
        <f t="shared" si="260"/>
        <v>981</v>
      </c>
      <c r="K533" s="71"/>
    </row>
    <row r="534" spans="1:11">
      <c r="A534" s="50">
        <f t="shared" si="260"/>
        <v>982</v>
      </c>
      <c r="K534" s="71"/>
    </row>
  </sheetData>
  <phoneticPr fontId="8" type="noConversion"/>
  <conditionalFormatting sqref="C431">
    <cfRule type="expression" dxfId="6" priority="1" stopIfTrue="1">
      <formula>ABS(C431)&gt;1</formula>
    </cfRule>
  </conditionalFormatting>
  <conditionalFormatting sqref="C116 C151 C167 C132 C11 C18 C23 C27 C37">
    <cfRule type="cellIs" dxfId="5" priority="2" stopIfTrue="1" operator="notEqual">
      <formula>0</formula>
    </cfRule>
  </conditionalFormatting>
  <pageMargins left="0.5" right="0.5" top="0.5" bottom="0.5" header="0.25" footer="0.25"/>
  <pageSetup scale="73" pageOrder="overThenDown" orientation="portrait" useFirstPageNumber="1" r:id="rId1"/>
  <headerFooter alignWithMargins="0">
    <oddHeader>&amp;LAVISTA UTILITIES --  Base Case
Cost of Service General Summary&amp;RWA Gas</oddHeader>
    <oddFooter>&amp;L2019 Avista - WA Cost of Service (NG) - Base Case 10.20.2020.xlsm  Summary&amp;C10/21/2020&amp;RPage &amp;P of 35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Print_SUM1">
                <anchor moveWithCells="1" sizeWithCells="1">
                  <from>
                    <xdr:col>1</xdr:col>
                    <xdr:colOff>1851660</xdr:colOff>
                    <xdr:row>4</xdr:row>
                    <xdr:rowOff>38100</xdr:rowOff>
                  </from>
                  <to>
                    <xdr:col>1</xdr:col>
                    <xdr:colOff>2362200</xdr:colOff>
                    <xdr:row>5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A1:X115"/>
  <sheetViews>
    <sheetView view="pageLayout" topLeftCell="A22" zoomScaleNormal="85" workbookViewId="0">
      <selection activeCell="P47" sqref="P47"/>
    </sheetView>
  </sheetViews>
  <sheetFormatPr defaultRowHeight="13.2"/>
  <cols>
    <col min="1" max="1" width="4.77734375" customWidth="1"/>
    <col min="2" max="2" width="30" customWidth="1"/>
    <col min="4" max="9" width="12.77734375" customWidth="1"/>
    <col min="10" max="10" width="12.77734375" hidden="1" customWidth="1"/>
    <col min="11" max="17" width="8.77734375" customWidth="1"/>
    <col min="18" max="18" width="25" bestFit="1" customWidth="1"/>
    <col min="19" max="20" width="11.21875" bestFit="1" customWidth="1"/>
    <col min="21" max="21" width="10.21875" bestFit="1" customWidth="1"/>
    <col min="22" max="22" width="9.21875" bestFit="1" customWidth="1"/>
    <col min="23" max="23" width="8" bestFit="1" customWidth="1"/>
    <col min="24" max="24" width="10.21875" bestFit="1" customWidth="1"/>
  </cols>
  <sheetData>
    <row r="1" spans="1:24">
      <c r="A1" s="50" t="str">
        <f>ColHdr</f>
        <v>A</v>
      </c>
      <c r="B1" s="50" t="str">
        <f t="shared" ref="B1:T1" si="0">ColHdr</f>
        <v>B</v>
      </c>
      <c r="C1" s="50" t="str">
        <f t="shared" si="0"/>
        <v>C</v>
      </c>
      <c r="D1" s="50" t="str">
        <f t="shared" si="0"/>
        <v>D</v>
      </c>
      <c r="E1" s="50" t="str">
        <f t="shared" si="0"/>
        <v>E</v>
      </c>
      <c r="F1" s="50" t="str">
        <f t="shared" si="0"/>
        <v>F</v>
      </c>
      <c r="G1" s="50" t="str">
        <f t="shared" si="0"/>
        <v>G</v>
      </c>
      <c r="H1" s="50" t="str">
        <f t="shared" si="0"/>
        <v>H</v>
      </c>
      <c r="I1" s="50" t="str">
        <f t="shared" si="0"/>
        <v>I</v>
      </c>
      <c r="J1" s="50" t="str">
        <f t="shared" si="0"/>
        <v>J</v>
      </c>
      <c r="K1" s="50" t="str">
        <f t="shared" si="0"/>
        <v>K</v>
      </c>
      <c r="L1" s="50" t="str">
        <f t="shared" si="0"/>
        <v>L</v>
      </c>
      <c r="M1" s="50" t="str">
        <f t="shared" si="0"/>
        <v>M</v>
      </c>
      <c r="N1" s="50" t="str">
        <f t="shared" si="0"/>
        <v>N</v>
      </c>
      <c r="O1" s="50" t="str">
        <f t="shared" si="0"/>
        <v>O</v>
      </c>
      <c r="P1" s="50" t="str">
        <f t="shared" si="0"/>
        <v>P</v>
      </c>
      <c r="Q1" s="50" t="str">
        <f t="shared" si="0"/>
        <v>Q</v>
      </c>
      <c r="R1" s="50" t="str">
        <f t="shared" si="0"/>
        <v>R</v>
      </c>
      <c r="S1" s="50" t="str">
        <f t="shared" si="0"/>
        <v>S</v>
      </c>
      <c r="T1" s="50" t="str">
        <f t="shared" si="0"/>
        <v>T</v>
      </c>
    </row>
    <row r="2" spans="1:24">
      <c r="A2" s="50">
        <f t="shared" ref="A2:A67" si="1">Pg2Row+ROW(A2)</f>
        <v>984</v>
      </c>
      <c r="B2" s="50"/>
      <c r="E2" s="36">
        <v>1</v>
      </c>
      <c r="F2" s="36">
        <v>2</v>
      </c>
      <c r="G2" s="36">
        <v>3</v>
      </c>
      <c r="H2" s="36">
        <v>4</v>
      </c>
      <c r="I2" s="36">
        <v>5</v>
      </c>
      <c r="J2" s="36">
        <v>6</v>
      </c>
    </row>
    <row r="3" spans="1:24">
      <c r="A3" s="50">
        <f t="shared" si="1"/>
        <v>985</v>
      </c>
      <c r="B3" s="73" t="s">
        <v>232</v>
      </c>
      <c r="C3" s="34" t="s">
        <v>233</v>
      </c>
      <c r="D3" s="26" t="s">
        <v>120</v>
      </c>
      <c r="E3" s="26" t="s">
        <v>398</v>
      </c>
      <c r="F3" s="26" t="s">
        <v>399</v>
      </c>
      <c r="G3" s="26" t="s">
        <v>400</v>
      </c>
      <c r="H3" s="26" t="s">
        <v>401</v>
      </c>
      <c r="I3" s="26" t="s">
        <v>402</v>
      </c>
      <c r="J3" s="26" t="s">
        <v>282</v>
      </c>
      <c r="K3" s="29" t="s">
        <v>134</v>
      </c>
    </row>
    <row r="4" spans="1:24">
      <c r="A4" s="50">
        <f t="shared" si="1"/>
        <v>986</v>
      </c>
      <c r="B4" s="28" t="s">
        <v>1116</v>
      </c>
      <c r="C4" s="34" t="s">
        <v>397</v>
      </c>
      <c r="D4" s="2">
        <f>SUM(E4:J4)</f>
        <v>237364083.87534994</v>
      </c>
      <c r="E4" s="82">
        <f t="shared" ref="E4:J4" si="2">E$41</f>
        <v>137563490.95253</v>
      </c>
      <c r="F4" s="82">
        <f t="shared" si="2"/>
        <v>61637160.764819965</v>
      </c>
      <c r="G4" s="82">
        <f t="shared" si="2"/>
        <v>0</v>
      </c>
      <c r="H4" s="82">
        <f t="shared" si="2"/>
        <v>993200.28999999806</v>
      </c>
      <c r="I4" s="82">
        <f t="shared" si="2"/>
        <v>37170231.868000001</v>
      </c>
      <c r="J4" s="82">
        <f t="shared" si="2"/>
        <v>0</v>
      </c>
      <c r="K4" s="28" t="str">
        <f>K41</f>
        <v>Input from Proforma Revenue Study</v>
      </c>
    </row>
    <row r="5" spans="1:24">
      <c r="A5" s="50">
        <f t="shared" si="1"/>
        <v>987</v>
      </c>
      <c r="B5" s="28" t="s">
        <v>1117</v>
      </c>
      <c r="C5" s="34" t="s">
        <v>405</v>
      </c>
      <c r="D5" s="2">
        <f t="shared" ref="D5:D18" si="3">SUM(E5:J5)</f>
        <v>200193852.00734994</v>
      </c>
      <c r="E5" s="82">
        <f>E$41</f>
        <v>137563490.95253</v>
      </c>
      <c r="F5" s="82">
        <f>F$41</f>
        <v>61637160.764819965</v>
      </c>
      <c r="G5" s="82">
        <f>G$41</f>
        <v>0</v>
      </c>
      <c r="H5" s="82">
        <f>H$41</f>
        <v>993200.28999999806</v>
      </c>
      <c r="I5" s="23">
        <v>0</v>
      </c>
      <c r="J5" s="82">
        <f>J$41</f>
        <v>0</v>
      </c>
      <c r="K5" s="28" t="s">
        <v>570</v>
      </c>
    </row>
    <row r="6" spans="1:24">
      <c r="A6" s="50">
        <f t="shared" si="1"/>
        <v>988</v>
      </c>
      <c r="B6" s="501" t="s">
        <v>1459</v>
      </c>
      <c r="C6" s="34" t="s">
        <v>407</v>
      </c>
      <c r="D6" s="2">
        <f t="shared" si="3"/>
        <v>151746919.44365001</v>
      </c>
      <c r="E6" s="436">
        <f>'Winter Therm - Summary'!R36</f>
        <v>95095038.370880008</v>
      </c>
      <c r="F6" s="436">
        <f>'Winter Therm - Summary'!R37</f>
        <v>39714540.426770002</v>
      </c>
      <c r="G6" s="436">
        <f>'Winter Therm - Summary'!R38</f>
        <v>0</v>
      </c>
      <c r="H6" s="436">
        <f>'Winter Therm - Summary'!R39</f>
        <v>574377.64599999995</v>
      </c>
      <c r="I6" s="436">
        <f>'Winter Therm - Summary'!R40</f>
        <v>16362963</v>
      </c>
      <c r="J6" s="82">
        <f>J$41</f>
        <v>0</v>
      </c>
      <c r="K6" s="28" t="s">
        <v>1118</v>
      </c>
    </row>
    <row r="7" spans="1:24">
      <c r="A7" s="50">
        <f t="shared" si="1"/>
        <v>989</v>
      </c>
      <c r="B7" s="501" t="s">
        <v>1460</v>
      </c>
      <c r="C7" s="34" t="s">
        <v>425</v>
      </c>
      <c r="D7" s="2">
        <f>SUM(E7:J7)</f>
        <v>21783040.441075001</v>
      </c>
      <c r="E7" s="436">
        <f>'Winter Therm - Summary'!V36</f>
        <v>16185512.3886935</v>
      </c>
      <c r="F7" s="436">
        <f>'Winter Therm - Summary'!V37</f>
        <v>5517583.4964314997</v>
      </c>
      <c r="G7" s="436">
        <f>'Winter Therm - Summary'!V38</f>
        <v>0</v>
      </c>
      <c r="H7" s="436">
        <f>'Winter Therm - Summary'!V39</f>
        <v>79944.55594999998</v>
      </c>
      <c r="I7" s="436">
        <f>'Winter Therm - Summary'!V40</f>
        <v>0</v>
      </c>
      <c r="J7" s="23">
        <v>0</v>
      </c>
      <c r="K7" s="28" t="s">
        <v>1118</v>
      </c>
    </row>
    <row r="8" spans="1:24">
      <c r="A8" s="50">
        <f t="shared" si="1"/>
        <v>990</v>
      </c>
      <c r="B8" s="28" t="s">
        <v>431</v>
      </c>
      <c r="C8" s="34" t="s">
        <v>430</v>
      </c>
      <c r="D8" s="2">
        <f>SUM(E8:J8)</f>
        <v>88355.057919520681</v>
      </c>
      <c r="E8" s="436">
        <f>GTI!E9</f>
        <v>64654.840747689093</v>
      </c>
      <c r="F8" s="436">
        <f>GTI!E10</f>
        <v>23422.121090631586</v>
      </c>
      <c r="G8" s="436">
        <f>+GTI!E11</f>
        <v>0</v>
      </c>
      <c r="H8" s="436">
        <f>GTI!E12</f>
        <v>278.09608119999945</v>
      </c>
      <c r="I8" s="436">
        <v>0</v>
      </c>
      <c r="J8" s="23">
        <v>0</v>
      </c>
      <c r="K8" s="28" t="s">
        <v>542</v>
      </c>
    </row>
    <row r="9" spans="1:24">
      <c r="A9" s="50">
        <f t="shared" si="1"/>
        <v>991</v>
      </c>
      <c r="B9" s="28" t="s">
        <v>410</v>
      </c>
      <c r="C9" s="34" t="s">
        <v>125</v>
      </c>
      <c r="D9" s="2">
        <f t="shared" si="3"/>
        <v>1934527.76271567</v>
      </c>
      <c r="E9" s="82">
        <f t="shared" ref="E9:J9" si="4">E$42</f>
        <v>1320911.469613963</v>
      </c>
      <c r="F9" s="82">
        <f t="shared" si="4"/>
        <v>447095.24286160164</v>
      </c>
      <c r="G9" s="82">
        <f t="shared" si="4"/>
        <v>0</v>
      </c>
      <c r="H9" s="82">
        <f t="shared" si="4"/>
        <v>5616.7605313307513</v>
      </c>
      <c r="I9" s="82">
        <f t="shared" si="4"/>
        <v>160904.28970877451</v>
      </c>
      <c r="J9" s="39">
        <f t="shared" si="4"/>
        <v>0</v>
      </c>
      <c r="K9" s="28" t="s">
        <v>543</v>
      </c>
    </row>
    <row r="10" spans="1:24">
      <c r="A10" s="50">
        <f t="shared" si="1"/>
        <v>992</v>
      </c>
      <c r="B10" s="28" t="s">
        <v>409</v>
      </c>
      <c r="C10" s="34" t="s">
        <v>112</v>
      </c>
      <c r="D10" s="2">
        <f t="shared" si="3"/>
        <v>1768006.7124755648</v>
      </c>
      <c r="E10" s="82">
        <f>E$9</f>
        <v>1320911.469613963</v>
      </c>
      <c r="F10" s="82">
        <f>F$9</f>
        <v>447095.24286160164</v>
      </c>
      <c r="G10" s="82">
        <f>G$9</f>
        <v>0</v>
      </c>
      <c r="H10" s="23">
        <v>0</v>
      </c>
      <c r="I10" s="150">
        <v>0</v>
      </c>
      <c r="J10" s="39">
        <f>J$9</f>
        <v>0</v>
      </c>
      <c r="K10" s="481" t="s">
        <v>1161</v>
      </c>
    </row>
    <row r="11" spans="1:24">
      <c r="A11" s="50">
        <f t="shared" si="1"/>
        <v>993</v>
      </c>
      <c r="B11" s="28" t="s">
        <v>427</v>
      </c>
      <c r="C11" s="34" t="s">
        <v>428</v>
      </c>
      <c r="D11" s="2">
        <f>SUM(E11:J11)</f>
        <v>0.04</v>
      </c>
      <c r="E11" s="23">
        <v>0.04</v>
      </c>
      <c r="F11" s="23">
        <v>0</v>
      </c>
      <c r="G11" s="23">
        <v>0</v>
      </c>
      <c r="H11" s="23">
        <v>0</v>
      </c>
      <c r="I11" s="23">
        <v>0</v>
      </c>
      <c r="J11" s="8">
        <v>0</v>
      </c>
      <c r="K11" s="481" t="s">
        <v>1161</v>
      </c>
    </row>
    <row r="12" spans="1:24">
      <c r="A12" s="50">
        <f t="shared" si="1"/>
        <v>994</v>
      </c>
      <c r="B12" s="501" t="s">
        <v>1207</v>
      </c>
      <c r="C12" s="34" t="s">
        <v>126</v>
      </c>
      <c r="D12" s="2">
        <f t="shared" si="3"/>
        <v>100</v>
      </c>
      <c r="E12" s="23"/>
      <c r="F12" s="23">
        <v>0</v>
      </c>
      <c r="G12" s="23">
        <v>0</v>
      </c>
      <c r="H12" s="23">
        <v>100</v>
      </c>
      <c r="I12" s="23">
        <v>0</v>
      </c>
      <c r="J12" s="8">
        <v>0</v>
      </c>
      <c r="K12" s="501" t="s">
        <v>1208</v>
      </c>
    </row>
    <row r="13" spans="1:24">
      <c r="A13" s="50">
        <f t="shared" si="1"/>
        <v>995</v>
      </c>
      <c r="B13" s="28" t="s">
        <v>412</v>
      </c>
      <c r="C13" s="34" t="s">
        <v>127</v>
      </c>
      <c r="D13" s="2">
        <f t="shared" si="3"/>
        <v>100</v>
      </c>
      <c r="E13" s="23">
        <v>0</v>
      </c>
      <c r="F13" s="23">
        <v>0</v>
      </c>
      <c r="G13" s="23">
        <v>0</v>
      </c>
      <c r="H13" s="23">
        <v>0</v>
      </c>
      <c r="I13" s="23">
        <v>100</v>
      </c>
      <c r="J13" s="8">
        <v>0</v>
      </c>
      <c r="K13" s="28" t="s">
        <v>544</v>
      </c>
    </row>
    <row r="14" spans="1:24">
      <c r="A14" s="50">
        <f t="shared" si="1"/>
        <v>996</v>
      </c>
      <c r="B14" s="28" t="s">
        <v>355</v>
      </c>
      <c r="C14" s="34" t="s">
        <v>114</v>
      </c>
      <c r="D14" s="2">
        <f t="shared" si="3"/>
        <v>2022073</v>
      </c>
      <c r="E14" s="21">
        <f>E$43*E46</f>
        <v>1984339</v>
      </c>
      <c r="F14" s="21">
        <f t="shared" ref="F14:J17" si="5">F$43*F46</f>
        <v>37254</v>
      </c>
      <c r="G14" s="21">
        <f t="shared" si="5"/>
        <v>0</v>
      </c>
      <c r="H14" s="21">
        <f t="shared" si="5"/>
        <v>24</v>
      </c>
      <c r="I14" s="21">
        <f t="shared" si="5"/>
        <v>456</v>
      </c>
      <c r="J14" s="2">
        <f t="shared" si="5"/>
        <v>0</v>
      </c>
      <c r="K14" s="28" t="s">
        <v>545</v>
      </c>
      <c r="R14" s="488" t="s">
        <v>1160</v>
      </c>
      <c r="S14" s="489"/>
      <c r="T14" s="489"/>
      <c r="U14" s="489"/>
      <c r="V14" s="489"/>
      <c r="W14" s="489"/>
      <c r="X14" s="490"/>
    </row>
    <row r="15" spans="1:24">
      <c r="A15" s="50">
        <f t="shared" si="1"/>
        <v>997</v>
      </c>
      <c r="B15" s="28" t="s">
        <v>413</v>
      </c>
      <c r="C15" s="34" t="s">
        <v>128</v>
      </c>
      <c r="D15" s="2">
        <f>SUM(E15:J15)</f>
        <v>2028995.7740974496</v>
      </c>
      <c r="E15" s="21">
        <f>E$43*E47</f>
        <v>1984339</v>
      </c>
      <c r="F15" s="21">
        <f>F$43*F47</f>
        <v>37254</v>
      </c>
      <c r="G15" s="21">
        <f t="shared" si="5"/>
        <v>0</v>
      </c>
      <c r="H15" s="21">
        <f t="shared" si="5"/>
        <v>90.497576324827122</v>
      </c>
      <c r="I15" s="21">
        <f>I$43*I47</f>
        <v>7312.2765211247606</v>
      </c>
      <c r="J15" s="2">
        <f t="shared" si="5"/>
        <v>0</v>
      </c>
      <c r="K15" s="28" t="s">
        <v>546</v>
      </c>
      <c r="R15" s="491"/>
      <c r="S15" s="86"/>
      <c r="T15" s="86"/>
      <c r="U15" s="86"/>
      <c r="V15" s="86"/>
      <c r="W15" s="86"/>
      <c r="X15" s="492"/>
    </row>
    <row r="16" spans="1:24">
      <c r="A16" s="50">
        <f t="shared" si="1"/>
        <v>998</v>
      </c>
      <c r="B16" s="28" t="s">
        <v>414</v>
      </c>
      <c r="C16" s="34" t="s">
        <v>129</v>
      </c>
      <c r="D16" s="2">
        <f t="shared" si="3"/>
        <v>2202646.0291886092</v>
      </c>
      <c r="E16" s="21">
        <f>E$43*E48</f>
        <v>1984339</v>
      </c>
      <c r="F16" s="21">
        <f t="shared" si="5"/>
        <v>198392.20064815605</v>
      </c>
      <c r="G16" s="21">
        <f t="shared" si="5"/>
        <v>0</v>
      </c>
      <c r="H16" s="21">
        <f t="shared" si="5"/>
        <v>2100.0047401032043</v>
      </c>
      <c r="I16" s="21">
        <f t="shared" si="5"/>
        <v>17814.823800349859</v>
      </c>
      <c r="J16" s="2">
        <f t="shared" si="5"/>
        <v>0</v>
      </c>
      <c r="K16" s="28" t="s">
        <v>547</v>
      </c>
      <c r="R16" s="491"/>
      <c r="S16" s="86"/>
      <c r="T16" s="86"/>
      <c r="U16" s="86"/>
      <c r="V16" s="86"/>
      <c r="W16" s="86"/>
      <c r="X16" s="492"/>
    </row>
    <row r="17" spans="1:24">
      <c r="A17" s="50">
        <f t="shared" si="1"/>
        <v>999</v>
      </c>
      <c r="B17" s="501" t="s">
        <v>415</v>
      </c>
      <c r="C17" s="486" t="s">
        <v>130</v>
      </c>
      <c r="D17" s="39">
        <f t="shared" si="3"/>
        <v>2022073</v>
      </c>
      <c r="E17" s="82">
        <f>E43*E49</f>
        <v>1984339</v>
      </c>
      <c r="F17" s="82">
        <f>F43*F49</f>
        <v>37254</v>
      </c>
      <c r="G17" s="82">
        <f>G43*G49</f>
        <v>0</v>
      </c>
      <c r="H17" s="82">
        <f>H43*H49</f>
        <v>24</v>
      </c>
      <c r="I17" s="82">
        <f>I43*I49</f>
        <v>456</v>
      </c>
      <c r="J17" s="475">
        <f t="shared" si="5"/>
        <v>0</v>
      </c>
      <c r="K17" s="481" t="s">
        <v>1161</v>
      </c>
      <c r="R17" s="491"/>
      <c r="S17" s="493" t="s">
        <v>120</v>
      </c>
      <c r="T17" s="493" t="s">
        <v>398</v>
      </c>
      <c r="U17" s="493" t="s">
        <v>399</v>
      </c>
      <c r="V17" s="493" t="s">
        <v>400</v>
      </c>
      <c r="W17" s="493" t="s">
        <v>401</v>
      </c>
      <c r="X17" s="494" t="s">
        <v>402</v>
      </c>
    </row>
    <row r="18" spans="1:24">
      <c r="A18" s="50">
        <f t="shared" si="1"/>
        <v>1000</v>
      </c>
      <c r="B18" s="28" t="s">
        <v>417</v>
      </c>
      <c r="C18" s="34" t="s">
        <v>131</v>
      </c>
      <c r="D18" s="2">
        <f t="shared" si="3"/>
        <v>42851.380599824304</v>
      </c>
      <c r="E18" s="21">
        <f t="shared" ref="E18:J18" si="6">E$43*E51</f>
        <v>0</v>
      </c>
      <c r="F18" s="21">
        <f t="shared" si="6"/>
        <v>37254</v>
      </c>
      <c r="G18" s="21">
        <f t="shared" si="6"/>
        <v>0</v>
      </c>
      <c r="H18" s="21">
        <f t="shared" si="6"/>
        <v>591.08228108868184</v>
      </c>
      <c r="I18" s="21">
        <f t="shared" si="6"/>
        <v>5006.2983187356258</v>
      </c>
      <c r="J18" s="2">
        <f t="shared" si="6"/>
        <v>0</v>
      </c>
      <c r="K18" s="28" t="s">
        <v>132</v>
      </c>
      <c r="R18" s="491" t="s">
        <v>1153</v>
      </c>
      <c r="S18" s="5">
        <f>Detail!H43+Detail!H89</f>
        <v>410455999.99999988</v>
      </c>
      <c r="T18" s="5">
        <f>Detail!I43+Detail!I89</f>
        <v>322471577.58589399</v>
      </c>
      <c r="U18" s="5">
        <f>Detail!J43+Detail!J89</f>
        <v>63457704.018423304</v>
      </c>
      <c r="V18" s="5">
        <f>Detail!K43+Detail!K89</f>
        <v>0</v>
      </c>
      <c r="W18" s="5">
        <f>Detail!L43+Detail!L89</f>
        <v>844383.87752426276</v>
      </c>
      <c r="X18" s="495">
        <f>Detail!M43+Detail!M89</f>
        <v>23682334.518158369</v>
      </c>
    </row>
    <row r="19" spans="1:24">
      <c r="A19" s="50">
        <f t="shared" si="1"/>
        <v>1001</v>
      </c>
      <c r="B19" s="28" t="s">
        <v>424</v>
      </c>
      <c r="C19" s="34" t="s">
        <v>423</v>
      </c>
      <c r="D19" s="2">
        <f>SUM(E19:J19)</f>
        <v>100</v>
      </c>
      <c r="E19" s="23">
        <v>100</v>
      </c>
      <c r="F19" s="23">
        <v>0</v>
      </c>
      <c r="G19" s="23">
        <v>0</v>
      </c>
      <c r="H19" s="23">
        <v>0</v>
      </c>
      <c r="I19" s="23">
        <v>0</v>
      </c>
      <c r="J19" s="8">
        <v>0</v>
      </c>
      <c r="K19" s="28" t="s">
        <v>537</v>
      </c>
      <c r="R19" s="491" t="s">
        <v>1154</v>
      </c>
      <c r="S19" s="5">
        <f>Detail!H252-Detail!CL252</f>
        <v>13231352.516414309</v>
      </c>
      <c r="T19" s="5">
        <f>Detail!I252-Detail!CM252</f>
        <v>11345271.617944863</v>
      </c>
      <c r="U19" s="5">
        <f>Detail!J252-Detail!CN252</f>
        <v>1499299.1990490719</v>
      </c>
      <c r="V19" s="5">
        <f>Detail!K252-Detail!CO252</f>
        <v>0</v>
      </c>
      <c r="W19" s="5">
        <f>Detail!L252-Detail!CP252</f>
        <v>19514.782956959796</v>
      </c>
      <c r="X19" s="495">
        <f>Detail!M252-Detail!CQ252</f>
        <v>367266.916463412</v>
      </c>
    </row>
    <row r="20" spans="1:24">
      <c r="A20" s="50">
        <f t="shared" si="1"/>
        <v>1002</v>
      </c>
      <c r="B20" s="28" t="s">
        <v>351</v>
      </c>
      <c r="C20" s="34" t="s">
        <v>113</v>
      </c>
      <c r="D20" s="2">
        <f>SUM(E20:J20)</f>
        <v>103411715.17656001</v>
      </c>
      <c r="E20" s="23">
        <v>79468390.430000007</v>
      </c>
      <c r="F20" s="23">
        <v>20145480.680000003</v>
      </c>
      <c r="G20" s="23">
        <v>0</v>
      </c>
      <c r="H20" s="23">
        <v>216983.43000000002</v>
      </c>
      <c r="I20" s="23">
        <v>3580860.63656</v>
      </c>
      <c r="J20" s="8">
        <v>0</v>
      </c>
      <c r="K20" s="28" t="s">
        <v>133</v>
      </c>
      <c r="R20" s="491" t="s">
        <v>1155</v>
      </c>
      <c r="S20" s="5">
        <f>Detail!CL252</f>
        <v>10681647.483585691</v>
      </c>
      <c r="T20" s="5">
        <f>Detail!CM252</f>
        <v>9362081.6500725038</v>
      </c>
      <c r="U20" s="5">
        <f>Detail!CN252</f>
        <v>991915.0287275851</v>
      </c>
      <c r="V20" s="5">
        <f>Detail!CO252</f>
        <v>0</v>
      </c>
      <c r="W20" s="5">
        <f>Detail!CP252</f>
        <v>12295.969396112143</v>
      </c>
      <c r="X20" s="495">
        <f>Detail!CQ252</f>
        <v>315354.83538948873</v>
      </c>
    </row>
    <row r="21" spans="1:24">
      <c r="A21" s="50">
        <f t="shared" si="1"/>
        <v>1003</v>
      </c>
      <c r="B21" s="50"/>
      <c r="C21" s="36"/>
      <c r="D21" s="8"/>
      <c r="E21" s="49"/>
      <c r="F21" s="49"/>
      <c r="G21" s="49"/>
      <c r="H21" s="49"/>
      <c r="I21" s="49"/>
      <c r="R21" s="491" t="s">
        <v>1156</v>
      </c>
      <c r="S21" s="5">
        <f t="shared" ref="S21:X21" si="7">D14</f>
        <v>2022073</v>
      </c>
      <c r="T21" s="5">
        <f t="shared" si="7"/>
        <v>1984339</v>
      </c>
      <c r="U21" s="5">
        <f t="shared" si="7"/>
        <v>37254</v>
      </c>
      <c r="V21" s="5">
        <f t="shared" si="7"/>
        <v>0</v>
      </c>
      <c r="W21" s="5">
        <f t="shared" si="7"/>
        <v>24</v>
      </c>
      <c r="X21" s="495">
        <f t="shared" si="7"/>
        <v>456</v>
      </c>
    </row>
    <row r="22" spans="1:24">
      <c r="A22" s="50">
        <f t="shared" si="1"/>
        <v>1004</v>
      </c>
      <c r="B22" s="28" t="s">
        <v>353</v>
      </c>
      <c r="C22" s="34" t="s">
        <v>397</v>
      </c>
      <c r="D22" s="27">
        <f>SUM(E22:J22)</f>
        <v>1</v>
      </c>
      <c r="E22" s="132">
        <f>E4/$D4</f>
        <v>0.57954636062282483</v>
      </c>
      <c r="F22" s="132">
        <f t="shared" ref="E22:J31" si="8">F4/$D4</f>
        <v>0.25967349296698267</v>
      </c>
      <c r="G22" s="132">
        <f t="shared" si="8"/>
        <v>0</v>
      </c>
      <c r="H22" s="132">
        <f t="shared" si="8"/>
        <v>4.1842905370703433E-3</v>
      </c>
      <c r="I22" s="132">
        <f t="shared" si="8"/>
        <v>0.15659585587312225</v>
      </c>
      <c r="J22" s="27">
        <f t="shared" si="8"/>
        <v>0</v>
      </c>
      <c r="R22" s="491"/>
      <c r="S22" s="86"/>
      <c r="T22" s="86"/>
      <c r="U22" s="86"/>
      <c r="V22" s="86"/>
      <c r="W22" s="86"/>
      <c r="X22" s="492"/>
    </row>
    <row r="23" spans="1:24">
      <c r="A23" s="50">
        <f t="shared" si="1"/>
        <v>1005</v>
      </c>
      <c r="B23" s="28" t="s">
        <v>406</v>
      </c>
      <c r="C23" s="34" t="s">
        <v>405</v>
      </c>
      <c r="D23" s="27">
        <f t="shared" ref="D23:D38" si="9">SUM(E23:J23)</f>
        <v>1</v>
      </c>
      <c r="E23" s="132">
        <f>E5/$D5</f>
        <v>0.68715142634589732</v>
      </c>
      <c r="F23" s="132">
        <f t="shared" si="8"/>
        <v>0.30788738088998363</v>
      </c>
      <c r="G23" s="132">
        <f t="shared" si="8"/>
        <v>0</v>
      </c>
      <c r="H23" s="132">
        <f t="shared" si="8"/>
        <v>4.9611927641191175E-3</v>
      </c>
      <c r="I23" s="132">
        <f t="shared" si="8"/>
        <v>0</v>
      </c>
      <c r="J23" s="27">
        <f t="shared" si="8"/>
        <v>0</v>
      </c>
      <c r="R23" s="491"/>
      <c r="S23" s="86"/>
      <c r="T23" s="86"/>
      <c r="U23" s="86"/>
      <c r="V23" s="86"/>
      <c r="W23" s="86"/>
      <c r="X23" s="492"/>
    </row>
    <row r="24" spans="1:24">
      <c r="A24" s="50">
        <f t="shared" si="1"/>
        <v>1006</v>
      </c>
      <c r="B24" s="501" t="s">
        <v>1459</v>
      </c>
      <c r="C24" s="34" t="s">
        <v>407</v>
      </c>
      <c r="D24" s="27">
        <f t="shared" si="9"/>
        <v>1</v>
      </c>
      <c r="E24" s="132">
        <f>E6/$D6</f>
        <v>0.62666865804938321</v>
      </c>
      <c r="F24" s="132">
        <f t="shared" si="8"/>
        <v>0.26171562870848047</v>
      </c>
      <c r="G24" s="132">
        <f t="shared" si="8"/>
        <v>0</v>
      </c>
      <c r="H24" s="132">
        <f t="shared" si="8"/>
        <v>3.7851025121685613E-3</v>
      </c>
      <c r="I24" s="132">
        <f t="shared" si="8"/>
        <v>0.10783061072996776</v>
      </c>
      <c r="J24" s="27">
        <f t="shared" si="8"/>
        <v>0</v>
      </c>
      <c r="R24" s="491" t="s">
        <v>1153</v>
      </c>
      <c r="S24" s="496">
        <f>SUM(T24:X24)</f>
        <v>1.0000000000000002</v>
      </c>
      <c r="T24" s="496">
        <f>T18/$S$18</f>
        <v>0.78564225540836063</v>
      </c>
      <c r="U24" s="496">
        <f>U18/$S$18</f>
        <v>0.15460293921497875</v>
      </c>
      <c r="V24" s="496">
        <f>V18/$S$18</f>
        <v>0</v>
      </c>
      <c r="W24" s="496">
        <f>W18/$S$18</f>
        <v>2.0571848810207747E-3</v>
      </c>
      <c r="X24" s="497">
        <f>X18/$S$18</f>
        <v>5.7697620495639909E-2</v>
      </c>
    </row>
    <row r="25" spans="1:24">
      <c r="A25" s="50">
        <f t="shared" si="1"/>
        <v>1007</v>
      </c>
      <c r="B25" s="501" t="s">
        <v>1460</v>
      </c>
      <c r="C25" s="34" t="s">
        <v>425</v>
      </c>
      <c r="D25" s="27">
        <f t="shared" si="9"/>
        <v>0.99999999999999989</v>
      </c>
      <c r="E25" s="132">
        <f t="shared" si="8"/>
        <v>0.7430327475393852</v>
      </c>
      <c r="F25" s="132">
        <f t="shared" si="8"/>
        <v>0.25329721584812909</v>
      </c>
      <c r="G25" s="132">
        <f t="shared" si="8"/>
        <v>0</v>
      </c>
      <c r="H25" s="132">
        <f t="shared" si="8"/>
        <v>3.6700366124856115E-3</v>
      </c>
      <c r="I25" s="132">
        <f t="shared" si="8"/>
        <v>0</v>
      </c>
      <c r="J25" s="27">
        <f t="shared" si="8"/>
        <v>0</v>
      </c>
      <c r="R25" s="491" t="s">
        <v>1154</v>
      </c>
      <c r="S25" s="496">
        <f>SUM(T25:X25)</f>
        <v>0.99999999999999967</v>
      </c>
      <c r="T25" s="496">
        <f>T19/$S$19</f>
        <v>0.85745365818576391</v>
      </c>
      <c r="U25" s="496">
        <f>U19/$S$19</f>
        <v>0.11331412999457907</v>
      </c>
      <c r="V25" s="496">
        <f>V19/$S$19</f>
        <v>0</v>
      </c>
      <c r="W25" s="496">
        <f>W19/$S$19</f>
        <v>1.4748895045121431E-3</v>
      </c>
      <c r="X25" s="497">
        <f>X19/$S$19</f>
        <v>2.7757322315144634E-2</v>
      </c>
    </row>
    <row r="26" spans="1:24">
      <c r="A26" s="50">
        <f t="shared" si="1"/>
        <v>1008</v>
      </c>
      <c r="B26" s="28" t="s">
        <v>431</v>
      </c>
      <c r="C26" s="34" t="s">
        <v>430</v>
      </c>
      <c r="D26" s="27">
        <f t="shared" si="9"/>
        <v>1</v>
      </c>
      <c r="E26" s="132">
        <f t="shared" si="8"/>
        <v>0.73176162485888208</v>
      </c>
      <c r="F26" s="132">
        <f t="shared" si="8"/>
        <v>0.26509089170611966</v>
      </c>
      <c r="G26" s="132">
        <f t="shared" si="8"/>
        <v>0</v>
      </c>
      <c r="H26" s="132">
        <f t="shared" si="8"/>
        <v>3.147483434998218E-3</v>
      </c>
      <c r="I26" s="132">
        <f t="shared" si="8"/>
        <v>0</v>
      </c>
      <c r="J26" s="27">
        <f t="shared" si="8"/>
        <v>0</v>
      </c>
      <c r="R26" s="491" t="s">
        <v>1155</v>
      </c>
      <c r="S26" s="496">
        <f>SUM(T26:X26)</f>
        <v>0.99999999999999989</v>
      </c>
      <c r="T26" s="496">
        <f>T20/$S$20</f>
        <v>0.87646420315396645</v>
      </c>
      <c r="U26" s="496">
        <f>U20/$S$20</f>
        <v>9.2861614301711817E-2</v>
      </c>
      <c r="V26" s="496">
        <f>V20/$S$20</f>
        <v>0</v>
      </c>
      <c r="W26" s="496">
        <f>W20/$S$20</f>
        <v>1.1511304239357415E-3</v>
      </c>
      <c r="X26" s="497">
        <f>X20/$S$20</f>
        <v>2.9523052120385852E-2</v>
      </c>
    </row>
    <row r="27" spans="1:24">
      <c r="A27" s="50">
        <f t="shared" si="1"/>
        <v>1009</v>
      </c>
      <c r="B27" s="28" t="s">
        <v>410</v>
      </c>
      <c r="C27" s="34" t="s">
        <v>125</v>
      </c>
      <c r="D27" s="27">
        <f t="shared" si="9"/>
        <v>1</v>
      </c>
      <c r="E27" s="132">
        <f t="shared" si="8"/>
        <v>0.68280822589988643</v>
      </c>
      <c r="F27" s="132">
        <f t="shared" si="8"/>
        <v>0.2311133763384062</v>
      </c>
      <c r="G27" s="132">
        <f t="shared" si="8"/>
        <v>0</v>
      </c>
      <c r="H27" s="132">
        <f t="shared" si="8"/>
        <v>2.9034272030534218E-3</v>
      </c>
      <c r="I27" s="132">
        <f t="shared" si="8"/>
        <v>8.317497055865393E-2</v>
      </c>
      <c r="J27" s="27">
        <f t="shared" si="8"/>
        <v>0</v>
      </c>
      <c r="R27" s="491" t="s">
        <v>1156</v>
      </c>
      <c r="S27" s="496">
        <f>SUM(T27:X27)</f>
        <v>1</v>
      </c>
      <c r="T27" s="496">
        <f>T21/$S$21</f>
        <v>0.98133895264908833</v>
      </c>
      <c r="U27" s="496">
        <f>U21/$S$21</f>
        <v>1.8423667196980523E-2</v>
      </c>
      <c r="V27" s="496">
        <f>V21/$S$21</f>
        <v>0</v>
      </c>
      <c r="W27" s="496">
        <f>W21/$S$21</f>
        <v>1.186900769655695E-5</v>
      </c>
      <c r="X27" s="497">
        <f>X21/$S$21</f>
        <v>2.2551114623458202E-4</v>
      </c>
    </row>
    <row r="28" spans="1:24">
      <c r="A28" s="50">
        <f t="shared" si="1"/>
        <v>1010</v>
      </c>
      <c r="B28" s="28" t="s">
        <v>409</v>
      </c>
      <c r="C28" s="34" t="s">
        <v>112</v>
      </c>
      <c r="D28" s="27">
        <f t="shared" si="9"/>
        <v>1</v>
      </c>
      <c r="E28" s="132">
        <f t="shared" si="8"/>
        <v>0.74711903540480429</v>
      </c>
      <c r="F28" s="132">
        <f t="shared" si="8"/>
        <v>0.25288096459519571</v>
      </c>
      <c r="G28" s="132">
        <f t="shared" si="8"/>
        <v>0</v>
      </c>
      <c r="H28" s="132">
        <f t="shared" si="8"/>
        <v>0</v>
      </c>
      <c r="I28" s="132">
        <f t="shared" si="8"/>
        <v>0</v>
      </c>
      <c r="J28" s="27">
        <f t="shared" si="8"/>
        <v>0</v>
      </c>
      <c r="R28" s="491"/>
      <c r="S28" s="86"/>
      <c r="T28" s="86"/>
      <c r="U28" s="86"/>
      <c r="V28" s="86"/>
      <c r="W28" s="86"/>
      <c r="X28" s="492"/>
    </row>
    <row r="29" spans="1:24">
      <c r="A29" s="50">
        <f t="shared" si="1"/>
        <v>1011</v>
      </c>
      <c r="B29" s="28" t="s">
        <v>427</v>
      </c>
      <c r="C29" s="34" t="s">
        <v>428</v>
      </c>
      <c r="D29" s="27">
        <f t="shared" si="9"/>
        <v>1</v>
      </c>
      <c r="E29" s="132">
        <f t="shared" si="8"/>
        <v>1</v>
      </c>
      <c r="F29" s="132">
        <f t="shared" si="8"/>
        <v>0</v>
      </c>
      <c r="G29" s="132">
        <f t="shared" si="8"/>
        <v>0</v>
      </c>
      <c r="H29" s="132">
        <f t="shared" si="8"/>
        <v>0</v>
      </c>
      <c r="I29" s="132">
        <f t="shared" si="8"/>
        <v>0</v>
      </c>
      <c r="J29" s="27">
        <f t="shared" si="8"/>
        <v>0</v>
      </c>
      <c r="R29" s="491" t="s">
        <v>1100</v>
      </c>
      <c r="S29" s="66">
        <f>SUM(T29:X29)</f>
        <v>0.99999999999999989</v>
      </c>
      <c r="T29" s="66">
        <f>AVERAGE(T24:T27)</f>
        <v>0.87522476734929477</v>
      </c>
      <c r="U29" s="66">
        <f>AVERAGE(U24:U27)</f>
        <v>9.4800587677062537E-2</v>
      </c>
      <c r="V29" s="66">
        <f>AVERAGE(V24:V27)</f>
        <v>0</v>
      </c>
      <c r="W29" s="66">
        <f>AVERAGE(W24:W27)</f>
        <v>1.1737684542913042E-3</v>
      </c>
      <c r="X29" s="92">
        <f>AVERAGE(X24:X27)</f>
        <v>2.8800876519351242E-2</v>
      </c>
    </row>
    <row r="30" spans="1:24">
      <c r="A30" s="50">
        <f t="shared" si="1"/>
        <v>1012</v>
      </c>
      <c r="B30" s="28" t="s">
        <v>1170</v>
      </c>
      <c r="C30" s="34" t="s">
        <v>126</v>
      </c>
      <c r="D30" s="27">
        <f t="shared" si="9"/>
        <v>1</v>
      </c>
      <c r="E30" s="132">
        <f t="shared" si="8"/>
        <v>0</v>
      </c>
      <c r="F30" s="132">
        <f t="shared" si="8"/>
        <v>0</v>
      </c>
      <c r="G30" s="132">
        <f t="shared" si="8"/>
        <v>0</v>
      </c>
      <c r="H30" s="132">
        <f t="shared" si="8"/>
        <v>1</v>
      </c>
      <c r="I30" s="132">
        <f t="shared" si="8"/>
        <v>0</v>
      </c>
      <c r="J30" s="27">
        <f t="shared" si="8"/>
        <v>0</v>
      </c>
      <c r="R30" s="491"/>
      <c r="S30" s="86"/>
      <c r="T30" s="86"/>
      <c r="U30" s="86"/>
      <c r="V30" s="86"/>
      <c r="W30" s="86"/>
      <c r="X30" s="492"/>
    </row>
    <row r="31" spans="1:24">
      <c r="A31" s="50">
        <f t="shared" si="1"/>
        <v>1013</v>
      </c>
      <c r="B31" s="28" t="s">
        <v>412</v>
      </c>
      <c r="C31" s="34" t="s">
        <v>127</v>
      </c>
      <c r="D31" s="27">
        <f t="shared" si="9"/>
        <v>1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1</v>
      </c>
      <c r="J31" s="27">
        <f t="shared" si="8"/>
        <v>0</v>
      </c>
      <c r="R31" s="491" t="s">
        <v>1157</v>
      </c>
      <c r="S31" s="502">
        <f>SUM(T31:X31)</f>
        <v>1000</v>
      </c>
      <c r="T31" s="502">
        <f>T29*1000</f>
        <v>875.22476734929478</v>
      </c>
      <c r="U31" s="502">
        <f>U29*1000</f>
        <v>94.800587677062538</v>
      </c>
      <c r="V31" s="502">
        <f>V29*1000</f>
        <v>0</v>
      </c>
      <c r="W31" s="502">
        <f>W29*1000</f>
        <v>1.1737684542913043</v>
      </c>
      <c r="X31" s="503">
        <f>X29*1000</f>
        <v>28.800876519351242</v>
      </c>
    </row>
    <row r="32" spans="1:24">
      <c r="A32" s="50">
        <f t="shared" si="1"/>
        <v>1014</v>
      </c>
      <c r="B32" s="28" t="s">
        <v>355</v>
      </c>
      <c r="C32" s="34" t="s">
        <v>114</v>
      </c>
      <c r="D32" s="27">
        <f t="shared" si="9"/>
        <v>1</v>
      </c>
      <c r="E32" s="132">
        <f t="shared" ref="E32:J35" si="10">E14/$D14</f>
        <v>0.98133895264908833</v>
      </c>
      <c r="F32" s="132">
        <f t="shared" si="10"/>
        <v>1.8423667196980523E-2</v>
      </c>
      <c r="G32" s="132">
        <f t="shared" si="10"/>
        <v>0</v>
      </c>
      <c r="H32" s="132">
        <f t="shared" si="10"/>
        <v>1.186900769655695E-5</v>
      </c>
      <c r="I32" s="132">
        <f t="shared" si="10"/>
        <v>2.2551114623458202E-4</v>
      </c>
      <c r="J32" s="27">
        <f t="shared" si="10"/>
        <v>0</v>
      </c>
      <c r="R32" s="498"/>
      <c r="S32" s="499"/>
      <c r="T32" s="499"/>
      <c r="U32" s="499"/>
      <c r="V32" s="499"/>
      <c r="W32" s="499"/>
      <c r="X32" s="500"/>
    </row>
    <row r="33" spans="1:18">
      <c r="A33" s="50">
        <f t="shared" si="1"/>
        <v>1015</v>
      </c>
      <c r="B33" s="28" t="s">
        <v>413</v>
      </c>
      <c r="C33" s="34" t="s">
        <v>128</v>
      </c>
      <c r="D33" s="27">
        <f t="shared" si="9"/>
        <v>1</v>
      </c>
      <c r="E33" s="132">
        <f>E15/$D15</f>
        <v>0.97799070127816601</v>
      </c>
      <c r="F33" s="132">
        <f t="shared" si="10"/>
        <v>1.8360807092647372E-2</v>
      </c>
      <c r="G33" s="132">
        <f t="shared" si="10"/>
        <v>0</v>
      </c>
      <c r="H33" s="132">
        <f t="shared" si="10"/>
        <v>4.4602151212011673E-5</v>
      </c>
      <c r="I33" s="132">
        <f t="shared" si="10"/>
        <v>3.6038894779746164E-3</v>
      </c>
      <c r="J33" s="27">
        <f t="shared" si="10"/>
        <v>0</v>
      </c>
    </row>
    <row r="34" spans="1:18">
      <c r="A34" s="50">
        <f t="shared" si="1"/>
        <v>1016</v>
      </c>
      <c r="B34" s="28" t="s">
        <v>414</v>
      </c>
      <c r="C34" s="34" t="s">
        <v>129</v>
      </c>
      <c r="D34" s="27">
        <f t="shared" si="9"/>
        <v>1</v>
      </c>
      <c r="E34" s="132">
        <f t="shared" si="10"/>
        <v>0.90088873732061836</v>
      </c>
      <c r="F34" s="132">
        <f t="shared" si="10"/>
        <v>9.0069942250883578E-2</v>
      </c>
      <c r="G34" s="132">
        <f t="shared" si="10"/>
        <v>0</v>
      </c>
      <c r="H34" s="132">
        <f t="shared" si="10"/>
        <v>9.534009152059648E-4</v>
      </c>
      <c r="I34" s="132">
        <f t="shared" si="10"/>
        <v>8.0879195132920762E-3</v>
      </c>
      <c r="J34" s="27">
        <f t="shared" si="10"/>
        <v>0</v>
      </c>
      <c r="R34" t="s">
        <v>1169</v>
      </c>
    </row>
    <row r="35" spans="1:18">
      <c r="A35" s="50">
        <f t="shared" si="1"/>
        <v>1017</v>
      </c>
      <c r="B35" s="28" t="s">
        <v>415</v>
      </c>
      <c r="C35" s="34" t="s">
        <v>130</v>
      </c>
      <c r="D35" s="27">
        <f t="shared" si="9"/>
        <v>1</v>
      </c>
      <c r="E35" s="132">
        <f t="shared" si="10"/>
        <v>0.98133895264908833</v>
      </c>
      <c r="F35" s="132">
        <f t="shared" si="10"/>
        <v>1.8423667196980523E-2</v>
      </c>
      <c r="G35" s="132">
        <f t="shared" si="10"/>
        <v>0</v>
      </c>
      <c r="H35" s="132">
        <f t="shared" si="10"/>
        <v>1.186900769655695E-5</v>
      </c>
      <c r="I35" s="132">
        <f t="shared" si="10"/>
        <v>2.2551114623458202E-4</v>
      </c>
      <c r="J35" s="27">
        <f t="shared" si="10"/>
        <v>0</v>
      </c>
    </row>
    <row r="36" spans="1:18">
      <c r="A36" s="50">
        <f t="shared" si="1"/>
        <v>1018</v>
      </c>
      <c r="B36" s="28" t="s">
        <v>417</v>
      </c>
      <c r="C36" s="34" t="s">
        <v>131</v>
      </c>
      <c r="D36" s="27">
        <f t="shared" si="9"/>
        <v>1</v>
      </c>
      <c r="E36" s="132">
        <f t="shared" ref="E36:J36" si="11">E18/$D18</f>
        <v>0</v>
      </c>
      <c r="F36" s="132">
        <f t="shared" si="11"/>
        <v>0.86937689004476892</v>
      </c>
      <c r="G36" s="132">
        <f t="shared" si="11"/>
        <v>0</v>
      </c>
      <c r="H36" s="132">
        <f t="shared" si="11"/>
        <v>1.379377450189097E-2</v>
      </c>
      <c r="I36" s="132">
        <f t="shared" si="11"/>
        <v>0.11682933545334015</v>
      </c>
      <c r="J36" s="27">
        <f t="shared" si="11"/>
        <v>0</v>
      </c>
    </row>
    <row r="37" spans="1:18">
      <c r="A37" s="50">
        <f t="shared" si="1"/>
        <v>1019</v>
      </c>
      <c r="B37" s="28" t="s">
        <v>424</v>
      </c>
      <c r="C37" s="34" t="s">
        <v>423</v>
      </c>
      <c r="D37" s="27">
        <f t="shared" si="9"/>
        <v>1</v>
      </c>
      <c r="E37" s="132">
        <f t="shared" ref="E37:J37" si="12">E19/$D19</f>
        <v>1</v>
      </c>
      <c r="F37" s="132">
        <f t="shared" si="12"/>
        <v>0</v>
      </c>
      <c r="G37" s="132">
        <f t="shared" si="12"/>
        <v>0</v>
      </c>
      <c r="H37" s="132">
        <f t="shared" si="12"/>
        <v>0</v>
      </c>
      <c r="I37" s="132">
        <f t="shared" si="12"/>
        <v>0</v>
      </c>
      <c r="J37" s="27">
        <f t="shared" si="12"/>
        <v>0</v>
      </c>
    </row>
    <row r="38" spans="1:18">
      <c r="A38" s="50">
        <f t="shared" si="1"/>
        <v>1020</v>
      </c>
      <c r="B38" s="28" t="s">
        <v>351</v>
      </c>
      <c r="C38" s="34" t="s">
        <v>113</v>
      </c>
      <c r="D38" s="27">
        <f t="shared" si="9"/>
        <v>1</v>
      </c>
      <c r="E38" s="132">
        <f t="shared" ref="E38:J38" si="13">E20/$D20</f>
        <v>0.76846603205758302</v>
      </c>
      <c r="F38" s="132">
        <f t="shared" si="13"/>
        <v>0.19480849578410545</v>
      </c>
      <c r="G38" s="132">
        <f t="shared" si="13"/>
        <v>0</v>
      </c>
      <c r="H38" s="132">
        <f t="shared" si="13"/>
        <v>2.0982480527427026E-3</v>
      </c>
      <c r="I38" s="132">
        <f t="shared" si="13"/>
        <v>3.4627224105568857E-2</v>
      </c>
      <c r="J38" s="27">
        <f t="shared" si="13"/>
        <v>0</v>
      </c>
    </row>
    <row r="39" spans="1:18">
      <c r="A39" s="50">
        <f t="shared" si="1"/>
        <v>1021</v>
      </c>
      <c r="B39" s="50"/>
      <c r="E39" s="49"/>
      <c r="F39" s="49"/>
      <c r="G39" s="49"/>
      <c r="H39" s="49"/>
      <c r="I39" s="49"/>
    </row>
    <row r="40" spans="1:18">
      <c r="A40" s="50">
        <f t="shared" si="1"/>
        <v>1022</v>
      </c>
      <c r="B40" s="50"/>
      <c r="E40" s="49"/>
      <c r="F40" s="49"/>
      <c r="G40" s="49"/>
      <c r="H40" s="49"/>
      <c r="I40" s="49"/>
    </row>
    <row r="41" spans="1:18">
      <c r="A41" s="50">
        <f t="shared" si="1"/>
        <v>1023</v>
      </c>
      <c r="B41" s="50"/>
      <c r="C41" t="s">
        <v>521</v>
      </c>
      <c r="E41" s="23">
        <v>137563490.95253</v>
      </c>
      <c r="F41" s="23">
        <v>61637160.764819965</v>
      </c>
      <c r="G41" s="23">
        <v>0</v>
      </c>
      <c r="H41" s="23">
        <v>993200.28999999806</v>
      </c>
      <c r="I41" s="23">
        <v>37170231.868000001</v>
      </c>
      <c r="J41" s="8">
        <v>0</v>
      </c>
      <c r="K41" s="28" t="s">
        <v>541</v>
      </c>
    </row>
    <row r="42" spans="1:18">
      <c r="A42" s="50">
        <f t="shared" si="1"/>
        <v>1024</v>
      </c>
      <c r="B42" s="50"/>
      <c r="C42" t="s">
        <v>523</v>
      </c>
      <c r="E42" s="436">
        <f>'Demand - Pk-Avg'!Q8</f>
        <v>1320911.469613963</v>
      </c>
      <c r="F42" s="436">
        <f>'Demand - Pk-Avg'!Q9</f>
        <v>447095.24286160164</v>
      </c>
      <c r="G42" s="436">
        <f>'Demand - Pk-Avg'!Q10</f>
        <v>0</v>
      </c>
      <c r="H42" s="436">
        <f>'Demand - Pk-Avg'!Q16</f>
        <v>5616.7605313307513</v>
      </c>
      <c r="I42" s="436">
        <f>'Demand - Pk-Avg'!Q19</f>
        <v>160904.28970877451</v>
      </c>
      <c r="J42" s="23">
        <v>0</v>
      </c>
      <c r="K42" s="28" t="s">
        <v>543</v>
      </c>
    </row>
    <row r="43" spans="1:18">
      <c r="A43" s="50">
        <f t="shared" si="1"/>
        <v>1025</v>
      </c>
      <c r="B43" s="50"/>
      <c r="C43" t="s">
        <v>524</v>
      </c>
      <c r="E43" s="23">
        <v>1984339</v>
      </c>
      <c r="F43" s="23">
        <v>37254</v>
      </c>
      <c r="G43" s="23">
        <v>0.01</v>
      </c>
      <c r="H43" s="23">
        <v>24</v>
      </c>
      <c r="I43" s="23">
        <v>456</v>
      </c>
      <c r="J43" s="8"/>
      <c r="K43" s="28" t="s">
        <v>541</v>
      </c>
    </row>
    <row r="44" spans="1:18">
      <c r="A44" s="50">
        <f t="shared" si="1"/>
        <v>1026</v>
      </c>
      <c r="B44" s="50"/>
      <c r="E44" s="49"/>
      <c r="F44" s="49"/>
      <c r="G44" s="49"/>
      <c r="H44" s="49"/>
      <c r="I44" s="49"/>
    </row>
    <row r="45" spans="1:18">
      <c r="A45" s="50">
        <f t="shared" si="1"/>
        <v>1027</v>
      </c>
      <c r="B45" s="50"/>
      <c r="C45" s="30" t="s">
        <v>135</v>
      </c>
      <c r="E45" s="49"/>
      <c r="F45" s="49"/>
      <c r="G45" s="49"/>
      <c r="H45" s="49"/>
      <c r="I45" s="49"/>
    </row>
    <row r="46" spans="1:18">
      <c r="A46" s="50">
        <f t="shared" si="1"/>
        <v>1028</v>
      </c>
      <c r="B46" s="50"/>
      <c r="C46" t="s">
        <v>355</v>
      </c>
      <c r="E46" s="133">
        <v>1</v>
      </c>
      <c r="F46" s="133">
        <v>1</v>
      </c>
      <c r="G46" s="133">
        <v>0</v>
      </c>
      <c r="H46" s="133">
        <v>1</v>
      </c>
      <c r="I46" s="133">
        <v>1</v>
      </c>
      <c r="J46" s="11"/>
    </row>
    <row r="47" spans="1:18">
      <c r="A47" s="50">
        <f t="shared" si="1"/>
        <v>1029</v>
      </c>
      <c r="B47" s="50"/>
      <c r="C47" t="s">
        <v>413</v>
      </c>
      <c r="E47" s="772">
        <f>'Typical Service Cost'!D20</f>
        <v>1</v>
      </c>
      <c r="F47" s="772">
        <f>'Typical Service Cost'!F20</f>
        <v>1</v>
      </c>
      <c r="G47" s="772">
        <f>'Typical Service Cost'!H20</f>
        <v>0</v>
      </c>
      <c r="H47" s="772">
        <f>'Typical Service Cost'!J20</f>
        <v>3.7707323468677965</v>
      </c>
      <c r="I47" s="772">
        <f>'Typical Service Cost'!L20</f>
        <v>16.035694125273597</v>
      </c>
      <c r="J47" s="735">
        <f>'Typical Service Cost'!L18</f>
        <v>44031.29</v>
      </c>
      <c r="K47" s="28" t="s">
        <v>691</v>
      </c>
    </row>
    <row r="48" spans="1:18">
      <c r="A48" s="50">
        <f t="shared" si="1"/>
        <v>1030</v>
      </c>
      <c r="B48" s="50"/>
      <c r="C48" t="s">
        <v>414</v>
      </c>
      <c r="E48" s="773">
        <f>'Average Meter Type'!H15</f>
        <v>1</v>
      </c>
      <c r="F48" s="773">
        <f>'Average Meter Type'!H23</f>
        <v>5.325393263761101</v>
      </c>
      <c r="G48" s="437">
        <f>'Average Meter Type'!H31</f>
        <v>0</v>
      </c>
      <c r="H48" s="437">
        <f>'Average Meter Type'!H39</f>
        <v>87.500197504300175</v>
      </c>
      <c r="I48" s="772">
        <f>'Average Meter Type'!H47</f>
        <v>39.067596053398816</v>
      </c>
      <c r="J48" s="11"/>
      <c r="K48" s="28" t="s">
        <v>688</v>
      </c>
    </row>
    <row r="49" spans="1:21">
      <c r="A49" s="50">
        <f t="shared" si="1"/>
        <v>1031</v>
      </c>
      <c r="B49" s="50"/>
      <c r="C49" t="s">
        <v>415</v>
      </c>
      <c r="E49" s="133">
        <v>1</v>
      </c>
      <c r="F49" s="133">
        <v>1</v>
      </c>
      <c r="G49" s="133">
        <v>0</v>
      </c>
      <c r="H49" s="133">
        <v>1</v>
      </c>
      <c r="I49" s="133">
        <v>1</v>
      </c>
      <c r="J49" s="11"/>
    </row>
    <row r="50" spans="1:21">
      <c r="A50" s="50">
        <f t="shared" si="1"/>
        <v>1032</v>
      </c>
      <c r="B50" s="50"/>
      <c r="C50" t="s">
        <v>416</v>
      </c>
      <c r="E50" s="133">
        <v>1</v>
      </c>
      <c r="F50" s="133">
        <v>1</v>
      </c>
      <c r="G50" s="133">
        <v>0</v>
      </c>
      <c r="H50" s="133">
        <v>1</v>
      </c>
      <c r="I50" s="133">
        <v>1</v>
      </c>
      <c r="J50" s="11"/>
    </row>
    <row r="51" spans="1:21">
      <c r="A51" s="50">
        <f t="shared" si="1"/>
        <v>1033</v>
      </c>
      <c r="B51" s="50"/>
      <c r="C51" t="s">
        <v>417</v>
      </c>
      <c r="E51" s="438">
        <f>'Industrial Meter Installations'!H15</f>
        <v>0</v>
      </c>
      <c r="F51" s="437">
        <f>'Industrial Meter Installations'!H23</f>
        <v>1</v>
      </c>
      <c r="G51" s="437">
        <f>'Industrial Meter Installations'!H31</f>
        <v>0</v>
      </c>
      <c r="H51" s="437">
        <f>'Industrial Meter Installations'!H39</f>
        <v>24.628428378695077</v>
      </c>
      <c r="I51" s="437">
        <f>'Industrial Meter Installations'!H47</f>
        <v>10.978724383192162</v>
      </c>
      <c r="J51" s="11"/>
      <c r="K51" s="28" t="s">
        <v>688</v>
      </c>
    </row>
    <row r="52" spans="1:21">
      <c r="A52" s="50">
        <f t="shared" si="1"/>
        <v>1034</v>
      </c>
      <c r="B52" s="50"/>
    </row>
    <row r="53" spans="1:21">
      <c r="A53" s="50">
        <f t="shared" si="1"/>
        <v>1035</v>
      </c>
      <c r="B53" s="25"/>
    </row>
    <row r="54" spans="1:21">
      <c r="A54" s="50">
        <f t="shared" si="1"/>
        <v>1036</v>
      </c>
      <c r="B54" s="50"/>
    </row>
    <row r="55" spans="1:21">
      <c r="A55" s="50">
        <f t="shared" si="1"/>
        <v>1037</v>
      </c>
      <c r="B55" s="50"/>
    </row>
    <row r="56" spans="1:21">
      <c r="A56" s="50">
        <f t="shared" si="1"/>
        <v>1038</v>
      </c>
      <c r="B56" s="50"/>
    </row>
    <row r="57" spans="1:21">
      <c r="A57" s="50">
        <f t="shared" si="1"/>
        <v>1039</v>
      </c>
      <c r="B57" s="50"/>
      <c r="C57" s="478"/>
      <c r="D57" s="26" t="s">
        <v>397</v>
      </c>
      <c r="E57" s="26" t="s">
        <v>405</v>
      </c>
      <c r="F57" s="26" t="s">
        <v>407</v>
      </c>
      <c r="G57" s="26" t="s">
        <v>425</v>
      </c>
      <c r="H57" s="26" t="s">
        <v>430</v>
      </c>
      <c r="I57" s="26" t="s">
        <v>125</v>
      </c>
      <c r="J57" s="26" t="s">
        <v>112</v>
      </c>
      <c r="K57" s="26" t="s">
        <v>428</v>
      </c>
      <c r="L57" s="26" t="s">
        <v>126</v>
      </c>
      <c r="M57" s="26" t="s">
        <v>127</v>
      </c>
      <c r="N57" s="26" t="s">
        <v>114</v>
      </c>
      <c r="O57" s="26" t="s">
        <v>128</v>
      </c>
      <c r="P57" s="26" t="s">
        <v>129</v>
      </c>
      <c r="Q57" s="26" t="s">
        <v>130</v>
      </c>
      <c r="R57" s="26" t="s">
        <v>131</v>
      </c>
      <c r="S57" s="26" t="s">
        <v>423</v>
      </c>
      <c r="T57" s="26" t="s">
        <v>113</v>
      </c>
    </row>
    <row r="58" spans="1:21">
      <c r="A58" s="50">
        <f t="shared" si="1"/>
        <v>1040</v>
      </c>
      <c r="B58" s="50"/>
      <c r="C58" s="74" t="s">
        <v>398</v>
      </c>
      <c r="D58" s="89">
        <f>INDEX($E$22:$J$38,COLUMN(D57)-COLUMN($C57),ROW(C58)-ROW(C$57))</f>
        <v>0.57954636062282483</v>
      </c>
      <c r="E58" s="46">
        <f>INDEX($E$22:$J$38,COLUMN(E57)-COLUMN($C57),ROW(D58)-ROW(D$57))</f>
        <v>0.68715142634589732</v>
      </c>
      <c r="F58" s="46">
        <f>INDEX($E$22:$J$38,COLUMN(F57)-COLUMN($C57),ROW(E58)-ROW(E$57))</f>
        <v>0.62666865804938321</v>
      </c>
      <c r="G58" s="46">
        <f t="shared" ref="D58:M63" si="14">INDEX($E$22:$J$38,COLUMN(G57)-COLUMN($C57),ROW(F58)-ROW(F$57))</f>
        <v>0.7430327475393852</v>
      </c>
      <c r="H58" s="90">
        <f t="shared" si="14"/>
        <v>0.73176162485888208</v>
      </c>
      <c r="I58" s="89">
        <f t="shared" si="14"/>
        <v>0.68280822589988643</v>
      </c>
      <c r="J58" s="46">
        <f t="shared" si="14"/>
        <v>0.74711903540480429</v>
      </c>
      <c r="K58" s="46">
        <f t="shared" si="14"/>
        <v>1</v>
      </c>
      <c r="L58" s="46">
        <f t="shared" si="14"/>
        <v>0</v>
      </c>
      <c r="M58" s="90">
        <f t="shared" si="14"/>
        <v>0</v>
      </c>
      <c r="N58" s="89">
        <f>INDEX($E$22:$J$38,COLUMN(N57)-COLUMN($C57),ROW(M58)-ROW(M$57))</f>
        <v>0.98133895264908833</v>
      </c>
      <c r="O58" s="46">
        <f t="shared" ref="N58:T63" si="15">INDEX($E$22:$J$38,COLUMN(O57)-COLUMN($C57),ROW(N58)-ROW(N$57))</f>
        <v>0.97799070127816601</v>
      </c>
      <c r="P58" s="46">
        <f t="shared" si="15"/>
        <v>0.90088873732061836</v>
      </c>
      <c r="Q58" s="46">
        <f t="shared" si="15"/>
        <v>0.98133895264908833</v>
      </c>
      <c r="R58" s="46">
        <f t="shared" si="15"/>
        <v>0</v>
      </c>
      <c r="S58" s="90">
        <f t="shared" si="15"/>
        <v>1</v>
      </c>
      <c r="T58" s="90">
        <f t="shared" si="15"/>
        <v>0.76846603205758302</v>
      </c>
    </row>
    <row r="59" spans="1:21">
      <c r="A59" s="50">
        <f t="shared" si="1"/>
        <v>1041</v>
      </c>
      <c r="B59" s="50"/>
      <c r="C59" s="74" t="s">
        <v>399</v>
      </c>
      <c r="D59" s="91">
        <f t="shared" si="14"/>
        <v>0.25967349296698267</v>
      </c>
      <c r="E59" s="66">
        <f t="shared" si="14"/>
        <v>0.30788738088998363</v>
      </c>
      <c r="F59" s="66">
        <f t="shared" si="14"/>
        <v>0.26171562870848047</v>
      </c>
      <c r="G59" s="66">
        <f t="shared" si="14"/>
        <v>0.25329721584812909</v>
      </c>
      <c r="H59" s="92">
        <f t="shared" si="14"/>
        <v>0.26509089170611966</v>
      </c>
      <c r="I59" s="91">
        <f t="shared" si="14"/>
        <v>0.2311133763384062</v>
      </c>
      <c r="J59" s="66">
        <f t="shared" si="14"/>
        <v>0.25288096459519571</v>
      </c>
      <c r="K59" s="66">
        <f t="shared" si="14"/>
        <v>0</v>
      </c>
      <c r="L59" s="66">
        <f t="shared" si="14"/>
        <v>0</v>
      </c>
      <c r="M59" s="92">
        <f t="shared" si="14"/>
        <v>0</v>
      </c>
      <c r="N59" s="91">
        <f t="shared" si="15"/>
        <v>1.8423667196980523E-2</v>
      </c>
      <c r="O59" s="66">
        <f t="shared" si="15"/>
        <v>1.8360807092647372E-2</v>
      </c>
      <c r="P59" s="66">
        <f t="shared" si="15"/>
        <v>9.0069942250883578E-2</v>
      </c>
      <c r="Q59" s="66">
        <f t="shared" si="15"/>
        <v>1.8423667196980523E-2</v>
      </c>
      <c r="R59" s="66">
        <f t="shared" si="15"/>
        <v>0.86937689004476892</v>
      </c>
      <c r="S59" s="92">
        <f t="shared" si="15"/>
        <v>0</v>
      </c>
      <c r="T59" s="92">
        <f t="shared" si="15"/>
        <v>0.19480849578410545</v>
      </c>
    </row>
    <row r="60" spans="1:21">
      <c r="A60" s="50">
        <f t="shared" si="1"/>
        <v>1042</v>
      </c>
      <c r="B60" s="50"/>
      <c r="C60" s="74" t="s">
        <v>400</v>
      </c>
      <c r="D60" s="91">
        <f t="shared" si="14"/>
        <v>0</v>
      </c>
      <c r="E60" s="66">
        <f t="shared" si="14"/>
        <v>0</v>
      </c>
      <c r="F60" s="66">
        <f t="shared" si="14"/>
        <v>0</v>
      </c>
      <c r="G60" s="66">
        <f t="shared" si="14"/>
        <v>0</v>
      </c>
      <c r="H60" s="92">
        <f t="shared" si="14"/>
        <v>0</v>
      </c>
      <c r="I60" s="91">
        <f t="shared" si="14"/>
        <v>0</v>
      </c>
      <c r="J60" s="66">
        <f t="shared" si="14"/>
        <v>0</v>
      </c>
      <c r="K60" s="66">
        <f t="shared" si="14"/>
        <v>0</v>
      </c>
      <c r="L60" s="66">
        <f t="shared" si="14"/>
        <v>0</v>
      </c>
      <c r="M60" s="92">
        <f t="shared" si="14"/>
        <v>0</v>
      </c>
      <c r="N60" s="91">
        <f t="shared" si="15"/>
        <v>0</v>
      </c>
      <c r="O60" s="66">
        <f t="shared" si="15"/>
        <v>0</v>
      </c>
      <c r="P60" s="66">
        <f t="shared" si="15"/>
        <v>0</v>
      </c>
      <c r="Q60" s="66">
        <f t="shared" si="15"/>
        <v>0</v>
      </c>
      <c r="R60" s="66">
        <f t="shared" si="15"/>
        <v>0</v>
      </c>
      <c r="S60" s="92">
        <f t="shared" si="15"/>
        <v>0</v>
      </c>
      <c r="T60" s="92">
        <f t="shared" si="15"/>
        <v>0</v>
      </c>
    </row>
    <row r="61" spans="1:21">
      <c r="A61" s="50">
        <f t="shared" si="1"/>
        <v>1043</v>
      </c>
      <c r="B61" s="50"/>
      <c r="C61" s="74" t="s">
        <v>401</v>
      </c>
      <c r="D61" s="91">
        <f t="shared" si="14"/>
        <v>4.1842905370703433E-3</v>
      </c>
      <c r="E61" s="66">
        <f t="shared" si="14"/>
        <v>4.9611927641191175E-3</v>
      </c>
      <c r="F61" s="66">
        <f t="shared" si="14"/>
        <v>3.7851025121685613E-3</v>
      </c>
      <c r="G61" s="66">
        <f t="shared" si="14"/>
        <v>3.6700366124856115E-3</v>
      </c>
      <c r="H61" s="92">
        <f t="shared" si="14"/>
        <v>3.147483434998218E-3</v>
      </c>
      <c r="I61" s="91">
        <f t="shared" si="14"/>
        <v>2.9034272030534218E-3</v>
      </c>
      <c r="J61" s="66">
        <f t="shared" si="14"/>
        <v>0</v>
      </c>
      <c r="K61" s="66">
        <f t="shared" si="14"/>
        <v>0</v>
      </c>
      <c r="L61" s="66">
        <f t="shared" si="14"/>
        <v>1</v>
      </c>
      <c r="M61" s="92">
        <f t="shared" si="14"/>
        <v>0</v>
      </c>
      <c r="N61" s="91">
        <f t="shared" si="15"/>
        <v>1.186900769655695E-5</v>
      </c>
      <c r="O61" s="66">
        <f t="shared" si="15"/>
        <v>4.4602151212011673E-5</v>
      </c>
      <c r="P61" s="66">
        <f t="shared" si="15"/>
        <v>9.534009152059648E-4</v>
      </c>
      <c r="Q61" s="66">
        <f t="shared" si="15"/>
        <v>1.186900769655695E-5</v>
      </c>
      <c r="R61" s="66">
        <f t="shared" si="15"/>
        <v>1.379377450189097E-2</v>
      </c>
      <c r="S61" s="92">
        <f t="shared" si="15"/>
        <v>0</v>
      </c>
      <c r="T61" s="92">
        <f t="shared" si="15"/>
        <v>2.0982480527427026E-3</v>
      </c>
    </row>
    <row r="62" spans="1:21">
      <c r="A62" s="50">
        <f t="shared" si="1"/>
        <v>1044</v>
      </c>
      <c r="B62" s="50"/>
      <c r="C62" s="74" t="s">
        <v>402</v>
      </c>
      <c r="D62" s="91">
        <f t="shared" si="14"/>
        <v>0.15659585587312225</v>
      </c>
      <c r="E62" s="66">
        <f t="shared" si="14"/>
        <v>0</v>
      </c>
      <c r="F62" s="66">
        <f t="shared" si="14"/>
        <v>0.10783061072996776</v>
      </c>
      <c r="G62" s="66">
        <f t="shared" si="14"/>
        <v>0</v>
      </c>
      <c r="H62" s="92">
        <f t="shared" si="14"/>
        <v>0</v>
      </c>
      <c r="I62" s="91">
        <f>INDEX($E$22:$J$38,COLUMN(I61)-COLUMN($C61),ROW(H62)-ROW(H$57))</f>
        <v>8.317497055865393E-2</v>
      </c>
      <c r="J62" s="66">
        <f t="shared" si="14"/>
        <v>0</v>
      </c>
      <c r="K62" s="66">
        <f t="shared" si="14"/>
        <v>0</v>
      </c>
      <c r="L62" s="66">
        <f t="shared" si="14"/>
        <v>0</v>
      </c>
      <c r="M62" s="92">
        <f t="shared" si="14"/>
        <v>1</v>
      </c>
      <c r="N62" s="91">
        <f t="shared" si="15"/>
        <v>2.2551114623458202E-4</v>
      </c>
      <c r="O62" s="66">
        <f t="shared" si="15"/>
        <v>3.6038894779746164E-3</v>
      </c>
      <c r="P62" s="66">
        <f>INDEX($E$22:$J$38,COLUMN(P61)-COLUMN($C61),ROW(O62)-ROW(O$57))</f>
        <v>8.0879195132920762E-3</v>
      </c>
      <c r="Q62" s="66">
        <f t="shared" si="15"/>
        <v>2.2551114623458202E-4</v>
      </c>
      <c r="R62" s="66">
        <f t="shared" si="15"/>
        <v>0.11682933545334015</v>
      </c>
      <c r="S62" s="92">
        <f t="shared" si="15"/>
        <v>0</v>
      </c>
      <c r="T62" s="92">
        <f t="shared" si="15"/>
        <v>3.4627224105568857E-2</v>
      </c>
    </row>
    <row r="63" spans="1:21">
      <c r="A63" s="50">
        <f t="shared" si="1"/>
        <v>1045</v>
      </c>
      <c r="B63" s="50"/>
      <c r="C63" s="74" t="s">
        <v>282</v>
      </c>
      <c r="D63" s="91">
        <f t="shared" si="14"/>
        <v>0</v>
      </c>
      <c r="E63" s="66">
        <f t="shared" si="14"/>
        <v>0</v>
      </c>
      <c r="F63" s="66">
        <f t="shared" si="14"/>
        <v>0</v>
      </c>
      <c r="G63" s="66">
        <f t="shared" si="14"/>
        <v>0</v>
      </c>
      <c r="H63" s="92">
        <f t="shared" si="14"/>
        <v>0</v>
      </c>
      <c r="I63" s="91">
        <f t="shared" si="14"/>
        <v>0</v>
      </c>
      <c r="J63" s="66">
        <f t="shared" si="14"/>
        <v>0</v>
      </c>
      <c r="K63" s="66">
        <f t="shared" si="14"/>
        <v>0</v>
      </c>
      <c r="L63" s="66">
        <f t="shared" si="14"/>
        <v>0</v>
      </c>
      <c r="M63" s="92">
        <f t="shared" si="14"/>
        <v>0</v>
      </c>
      <c r="N63" s="91">
        <f t="shared" si="15"/>
        <v>0</v>
      </c>
      <c r="O63" s="66">
        <f t="shared" si="15"/>
        <v>0</v>
      </c>
      <c r="P63" s="66">
        <f t="shared" si="15"/>
        <v>0</v>
      </c>
      <c r="Q63" s="66">
        <f t="shared" si="15"/>
        <v>0</v>
      </c>
      <c r="R63" s="66">
        <f t="shared" si="15"/>
        <v>0</v>
      </c>
      <c r="S63" s="92">
        <f t="shared" si="15"/>
        <v>0</v>
      </c>
      <c r="T63" s="92">
        <f t="shared" si="15"/>
        <v>0</v>
      </c>
    </row>
    <row r="64" spans="1:21">
      <c r="A64" s="50">
        <f t="shared" si="1"/>
        <v>1046</v>
      </c>
      <c r="B64" s="50"/>
      <c r="D64" s="93"/>
      <c r="E64" s="94"/>
      <c r="F64" s="94"/>
      <c r="G64" s="94"/>
      <c r="H64" s="95"/>
      <c r="I64" s="93"/>
      <c r="J64" s="94"/>
      <c r="K64" s="94"/>
      <c r="L64" s="94"/>
      <c r="M64" s="95"/>
      <c r="N64" s="93"/>
      <c r="O64" s="94"/>
      <c r="P64" s="94"/>
      <c r="Q64" s="94"/>
      <c r="R64" s="94"/>
      <c r="S64" s="95"/>
      <c r="T64" s="95"/>
      <c r="U64" s="27"/>
    </row>
    <row r="65" spans="1:14">
      <c r="A65" s="50">
        <f t="shared" si="1"/>
        <v>1047</v>
      </c>
      <c r="B65" s="50"/>
      <c r="D65" t="s">
        <v>538</v>
      </c>
      <c r="I65" t="s">
        <v>539</v>
      </c>
      <c r="N65" t="s">
        <v>540</v>
      </c>
    </row>
    <row r="66" spans="1:14">
      <c r="A66" s="50">
        <f t="shared" si="1"/>
        <v>1048</v>
      </c>
      <c r="B66" s="50"/>
      <c r="D66" t="s">
        <v>548</v>
      </c>
    </row>
    <row r="67" spans="1:14">
      <c r="A67" s="50">
        <f t="shared" si="1"/>
        <v>1049</v>
      </c>
      <c r="B67" s="73" t="s">
        <v>234</v>
      </c>
    </row>
    <row r="68" spans="1:14">
      <c r="A68" s="50">
        <f t="shared" ref="A68:A114" si="16">Pg2Row+ROW(A68)</f>
        <v>1050</v>
      </c>
      <c r="B68" s="28" t="s">
        <v>353</v>
      </c>
      <c r="C68" s="1" t="s">
        <v>397</v>
      </c>
      <c r="D68" s="2">
        <f>Detail!$E$130*INDEX(Detail!$R$130:$AH$130,$A68-$A$67)</f>
        <v>67931019.428773671</v>
      </c>
      <c r="E68" s="2">
        <f>$D68*INDEX(AllocFactors,E$2,$A68-$A$67)</f>
        <v>39369175.083344184</v>
      </c>
      <c r="F68" s="2">
        <f t="shared" ref="E68:J77" si="17">$D68*INDEX(AllocFactors,F$2,$A68-$A$67)</f>
        <v>17639885.095877621</v>
      </c>
      <c r="G68" s="2">
        <f t="shared" si="17"/>
        <v>0</v>
      </c>
      <c r="H68" s="2">
        <f t="shared" si="17"/>
        <v>284243.12176935934</v>
      </c>
      <c r="I68" s="2">
        <f t="shared" si="17"/>
        <v>10637716.127782509</v>
      </c>
      <c r="J68" s="2">
        <f t="shared" si="17"/>
        <v>0</v>
      </c>
    </row>
    <row r="69" spans="1:14">
      <c r="A69" s="50">
        <f t="shared" si="16"/>
        <v>1051</v>
      </c>
      <c r="B69" s="28" t="s">
        <v>406</v>
      </c>
      <c r="C69" s="1" t="s">
        <v>405</v>
      </c>
      <c r="D69" s="2">
        <f>Detail!$E$130*INDEX(Detail!$R$130:$AH$130,$A69-$A$67)</f>
        <v>1484473.8571179318</v>
      </c>
      <c r="E69" s="2">
        <f>$D69*INDEX(AllocFactors,E$2,$A69-$A$67)</f>
        <v>1020058.3282917826</v>
      </c>
      <c r="F69" s="2">
        <f t="shared" si="17"/>
        <v>457050.76786769181</v>
      </c>
      <c r="G69" s="2">
        <f t="shared" si="17"/>
        <v>0</v>
      </c>
      <c r="H69" s="2">
        <f t="shared" si="17"/>
        <v>7364.7609584574802</v>
      </c>
      <c r="I69" s="2">
        <f t="shared" si="17"/>
        <v>0</v>
      </c>
      <c r="J69" s="2">
        <f t="shared" si="17"/>
        <v>0</v>
      </c>
    </row>
    <row r="70" spans="1:14">
      <c r="A70" s="50">
        <f t="shared" si="16"/>
        <v>1052</v>
      </c>
      <c r="B70" s="501" t="s">
        <v>1459</v>
      </c>
      <c r="C70" s="1" t="s">
        <v>407</v>
      </c>
      <c r="D70" s="2">
        <f>Detail!$E$130*INDEX(Detail!$R$130:$AH$130,$A70-$A$67)</f>
        <v>4026724.3502078466</v>
      </c>
      <c r="E70" s="2">
        <f t="shared" si="17"/>
        <v>2523421.9448795258</v>
      </c>
      <c r="F70" s="2">
        <f t="shared" si="17"/>
        <v>1053856.6949503941</v>
      </c>
      <c r="G70" s="2">
        <f t="shared" si="17"/>
        <v>0</v>
      </c>
      <c r="H70" s="2">
        <f t="shared" si="17"/>
        <v>15241.564453782037</v>
      </c>
      <c r="I70" s="2">
        <f t="shared" si="17"/>
        <v>434204.14592414466</v>
      </c>
      <c r="J70" s="2">
        <f t="shared" si="17"/>
        <v>0</v>
      </c>
    </row>
    <row r="71" spans="1:14">
      <c r="A71" s="50">
        <f t="shared" si="16"/>
        <v>1053</v>
      </c>
      <c r="B71" s="501" t="s">
        <v>1460</v>
      </c>
      <c r="C71" s="1" t="s">
        <v>425</v>
      </c>
      <c r="D71" s="2">
        <f>Detail!$E$130*INDEX(Detail!$R$130:$AH$130,$A71-$A$67)</f>
        <v>26948078.343698669</v>
      </c>
      <c r="E71" s="2">
        <f t="shared" si="17"/>
        <v>20023304.692625027</v>
      </c>
      <c r="F71" s="2">
        <f t="shared" si="17"/>
        <v>6825873.2169161346</v>
      </c>
      <c r="G71" s="2">
        <f t="shared" si="17"/>
        <v>0</v>
      </c>
      <c r="H71" s="2">
        <f t="shared" si="17"/>
        <v>98900.434157504729</v>
      </c>
      <c r="I71" s="2">
        <f t="shared" si="17"/>
        <v>0</v>
      </c>
      <c r="J71" s="2">
        <f t="shared" si="17"/>
        <v>0</v>
      </c>
    </row>
    <row r="72" spans="1:14">
      <c r="A72" s="50">
        <f t="shared" si="16"/>
        <v>1054</v>
      </c>
      <c r="B72" s="28" t="s">
        <v>431</v>
      </c>
      <c r="C72" s="1" t="s">
        <v>430</v>
      </c>
      <c r="D72" s="2">
        <f>Detail!$E$130*INDEX(Detail!$R$130:$AH$130,$A72-$A$67)</f>
        <v>0</v>
      </c>
      <c r="E72" s="2">
        <f t="shared" si="17"/>
        <v>0</v>
      </c>
      <c r="F72" s="2">
        <f t="shared" si="17"/>
        <v>0</v>
      </c>
      <c r="G72" s="2">
        <f t="shared" si="17"/>
        <v>0</v>
      </c>
      <c r="H72" s="2">
        <f t="shared" si="17"/>
        <v>0</v>
      </c>
      <c r="I72" s="2">
        <f t="shared" si="17"/>
        <v>0</v>
      </c>
      <c r="J72" s="2">
        <f t="shared" si="17"/>
        <v>0</v>
      </c>
    </row>
    <row r="73" spans="1:14">
      <c r="A73" s="50">
        <f t="shared" si="16"/>
        <v>1055</v>
      </c>
      <c r="B73" s="28" t="s">
        <v>410</v>
      </c>
      <c r="C73" s="1" t="s">
        <v>125</v>
      </c>
      <c r="D73" s="2">
        <f>Detail!$E$130*INDEX(Detail!$R$130:$AH$130,$A73-$A$67)</f>
        <v>124411604.15584444</v>
      </c>
      <c r="E73" s="2">
        <f t="shared" si="17"/>
        <v>84949266.715011075</v>
      </c>
      <c r="F73" s="2">
        <f t="shared" si="17"/>
        <v>28753185.892134495</v>
      </c>
      <c r="G73" s="2">
        <f t="shared" si="17"/>
        <v>0</v>
      </c>
      <c r="H73" s="2">
        <f t="shared" si="17"/>
        <v>361220.03588159289</v>
      </c>
      <c r="I73" s="2">
        <f t="shared" si="17"/>
        <v>10347931.512817267</v>
      </c>
      <c r="J73" s="2">
        <f t="shared" si="17"/>
        <v>0</v>
      </c>
    </row>
    <row r="74" spans="1:14">
      <c r="A74" s="50">
        <f t="shared" si="16"/>
        <v>1056</v>
      </c>
      <c r="B74" s="28" t="s">
        <v>409</v>
      </c>
      <c r="C74" s="1" t="s">
        <v>112</v>
      </c>
      <c r="D74" s="2">
        <f>Detail!$E$130*INDEX(Detail!$R$130:$AH$130,$A74-$A$67)</f>
        <v>0</v>
      </c>
      <c r="E74" s="2">
        <f t="shared" si="17"/>
        <v>0</v>
      </c>
      <c r="F74" s="2">
        <f t="shared" si="17"/>
        <v>0</v>
      </c>
      <c r="G74" s="2">
        <f t="shared" si="17"/>
        <v>0</v>
      </c>
      <c r="H74" s="2">
        <f t="shared" si="17"/>
        <v>0</v>
      </c>
      <c r="I74" s="2">
        <f t="shared" si="17"/>
        <v>0</v>
      </c>
      <c r="J74" s="2">
        <f t="shared" si="17"/>
        <v>0</v>
      </c>
    </row>
    <row r="75" spans="1:14">
      <c r="A75" s="50">
        <f t="shared" si="16"/>
        <v>1057</v>
      </c>
      <c r="B75" s="28" t="s">
        <v>427</v>
      </c>
      <c r="C75" s="1" t="s">
        <v>428</v>
      </c>
      <c r="D75" s="2">
        <f>Detail!$E$130*INDEX(Detail!$R$130:$AH$130,$A75-$A$67)</f>
        <v>0</v>
      </c>
      <c r="E75" s="2">
        <f t="shared" si="17"/>
        <v>0</v>
      </c>
      <c r="F75" s="2">
        <f t="shared" si="17"/>
        <v>0</v>
      </c>
      <c r="G75" s="2">
        <f t="shared" si="17"/>
        <v>0</v>
      </c>
      <c r="H75" s="2">
        <f t="shared" si="17"/>
        <v>0</v>
      </c>
      <c r="I75" s="2">
        <f t="shared" si="17"/>
        <v>0</v>
      </c>
      <c r="J75" s="2">
        <f t="shared" si="17"/>
        <v>0</v>
      </c>
    </row>
    <row r="76" spans="1:14">
      <c r="A76" s="50">
        <f t="shared" si="16"/>
        <v>1058</v>
      </c>
      <c r="B76" s="28" t="s">
        <v>411</v>
      </c>
      <c r="C76" s="1" t="s">
        <v>126</v>
      </c>
      <c r="D76" s="2">
        <f>Detail!$E$130*INDEX(Detail!$R$130:$AH$130,$A76-$A$67)</f>
        <v>0</v>
      </c>
      <c r="E76" s="2">
        <f t="shared" si="17"/>
        <v>0</v>
      </c>
      <c r="F76" s="2">
        <f t="shared" si="17"/>
        <v>0</v>
      </c>
      <c r="G76" s="2">
        <f t="shared" si="17"/>
        <v>0</v>
      </c>
      <c r="H76" s="2">
        <f t="shared" si="17"/>
        <v>0</v>
      </c>
      <c r="I76" s="2">
        <f t="shared" si="17"/>
        <v>0</v>
      </c>
      <c r="J76" s="2">
        <f t="shared" si="17"/>
        <v>0</v>
      </c>
    </row>
    <row r="77" spans="1:14">
      <c r="A77" s="50">
        <f t="shared" si="16"/>
        <v>1059</v>
      </c>
      <c r="B77" s="28" t="s">
        <v>412</v>
      </c>
      <c r="C77" s="1" t="s">
        <v>127</v>
      </c>
      <c r="D77" s="2">
        <f>Detail!$E$130*INDEX(Detail!$R$130:$AH$130,$A77-$A$67)</f>
        <v>0</v>
      </c>
      <c r="E77" s="2">
        <f t="shared" si="17"/>
        <v>0</v>
      </c>
      <c r="F77" s="2">
        <f t="shared" si="17"/>
        <v>0</v>
      </c>
      <c r="G77" s="2">
        <f t="shared" si="17"/>
        <v>0</v>
      </c>
      <c r="H77" s="2">
        <f t="shared" si="17"/>
        <v>0</v>
      </c>
      <c r="I77" s="2">
        <f t="shared" si="17"/>
        <v>0</v>
      </c>
      <c r="J77" s="2">
        <f t="shared" si="17"/>
        <v>0</v>
      </c>
    </row>
    <row r="78" spans="1:14">
      <c r="A78" s="50">
        <f t="shared" si="16"/>
        <v>1060</v>
      </c>
      <c r="B78" s="28" t="s">
        <v>355</v>
      </c>
      <c r="C78" s="1" t="s">
        <v>114</v>
      </c>
      <c r="D78" s="2">
        <f>Detail!$E$130*INDEX(Detail!$R$130:$AH$130,$A78-$A$67)</f>
        <v>45605278.563669421</v>
      </c>
      <c r="E78" s="2">
        <f t="shared" ref="E78:J84" si="18">$D78*INDEX(AllocFactors,E$2,$A78-$A$67)</f>
        <v>44754236.300941266</v>
      </c>
      <c r="F78" s="2">
        <f t="shared" si="18"/>
        <v>840216.47468263539</v>
      </c>
      <c r="G78" s="2">
        <f t="shared" si="18"/>
        <v>0</v>
      </c>
      <c r="H78" s="2">
        <f t="shared" si="18"/>
        <v>541.28940227581597</v>
      </c>
      <c r="I78" s="2">
        <f t="shared" si="18"/>
        <v>10284.498643240504</v>
      </c>
      <c r="J78" s="2">
        <f t="shared" si="18"/>
        <v>0</v>
      </c>
    </row>
    <row r="79" spans="1:14">
      <c r="A79" s="50">
        <f t="shared" si="16"/>
        <v>1061</v>
      </c>
      <c r="B79" s="28" t="s">
        <v>413</v>
      </c>
      <c r="C79" s="1" t="s">
        <v>128</v>
      </c>
      <c r="D79" s="2">
        <f>Detail!$E$130*INDEX(Detail!$R$130:$AH$130,$A79-$A$67)</f>
        <v>117938436.7642426</v>
      </c>
      <c r="E79" s="2">
        <f t="shared" si="18"/>
        <v>115342694.47871226</v>
      </c>
      <c r="F79" s="2">
        <f t="shared" si="18"/>
        <v>2165444.886236649</v>
      </c>
      <c r="G79" s="2">
        <f t="shared" si="18"/>
        <v>0</v>
      </c>
      <c r="H79" s="2">
        <f t="shared" si="18"/>
        <v>5260.3079902670252</v>
      </c>
      <c r="I79" s="2">
        <f t="shared" si="18"/>
        <v>425037.09130342858</v>
      </c>
      <c r="J79" s="2">
        <f t="shared" si="18"/>
        <v>0</v>
      </c>
    </row>
    <row r="80" spans="1:14">
      <c r="A80" s="50">
        <f t="shared" si="16"/>
        <v>1062</v>
      </c>
      <c r="B80" s="28" t="s">
        <v>414</v>
      </c>
      <c r="C80" s="1" t="s">
        <v>129</v>
      </c>
      <c r="D80" s="2">
        <f>Detail!$E$130*INDEX(Detail!$R$130:$AH$130,$A80-$A$67)</f>
        <v>56182910.146376148</v>
      </c>
      <c r="E80" s="2">
        <f t="shared" si="18"/>
        <v>50614550.980766565</v>
      </c>
      <c r="F80" s="2">
        <f t="shared" si="18"/>
        <v>5060391.4723706804</v>
      </c>
      <c r="G80" s="2">
        <f t="shared" si="18"/>
        <v>0</v>
      </c>
      <c r="H80" s="2">
        <f t="shared" si="18"/>
        <v>53564.837952489506</v>
      </c>
      <c r="I80" s="2">
        <f t="shared" si="18"/>
        <v>454402.85528641101</v>
      </c>
      <c r="J80" s="2">
        <f t="shared" si="18"/>
        <v>0</v>
      </c>
    </row>
    <row r="81" spans="1:10">
      <c r="A81" s="50">
        <f t="shared" si="16"/>
        <v>1063</v>
      </c>
      <c r="B81" s="28" t="s">
        <v>415</v>
      </c>
      <c r="C81" s="1" t="s">
        <v>130</v>
      </c>
      <c r="D81" s="2">
        <f>Detail!$E$130*INDEX(Detail!$R$130:$AH$130,$A81-$A$67)</f>
        <v>0</v>
      </c>
      <c r="E81" s="2">
        <f t="shared" si="18"/>
        <v>0</v>
      </c>
      <c r="F81" s="2">
        <f t="shared" si="18"/>
        <v>0</v>
      </c>
      <c r="G81" s="2">
        <f t="shared" si="18"/>
        <v>0</v>
      </c>
      <c r="H81" s="2">
        <f t="shared" si="18"/>
        <v>0</v>
      </c>
      <c r="I81" s="2">
        <f t="shared" si="18"/>
        <v>0</v>
      </c>
      <c r="J81" s="2">
        <f t="shared" si="18"/>
        <v>0</v>
      </c>
    </row>
    <row r="82" spans="1:10">
      <c r="A82" s="50">
        <f t="shared" si="16"/>
        <v>1064</v>
      </c>
      <c r="B82" s="28" t="s">
        <v>417</v>
      </c>
      <c r="C82" s="1" t="s">
        <v>131</v>
      </c>
      <c r="D82" s="2">
        <f>Detail!$E$130*INDEX(Detail!$R$130:$AH$130,$A82-$A$67)</f>
        <v>1547474.3900693043</v>
      </c>
      <c r="E82" s="2">
        <f t="shared" si="18"/>
        <v>0</v>
      </c>
      <c r="F82" s="2">
        <f t="shared" si="18"/>
        <v>1345338.4726623774</v>
      </c>
      <c r="G82" s="2">
        <f t="shared" si="18"/>
        <v>0</v>
      </c>
      <c r="H82" s="2">
        <f t="shared" si="18"/>
        <v>21345.51278406725</v>
      </c>
      <c r="I82" s="2">
        <f t="shared" si="18"/>
        <v>180790.4046228597</v>
      </c>
      <c r="J82" s="2">
        <f t="shared" si="18"/>
        <v>0</v>
      </c>
    </row>
    <row r="83" spans="1:10">
      <c r="A83" s="50">
        <f t="shared" si="16"/>
        <v>1065</v>
      </c>
      <c r="B83" s="28" t="s">
        <v>424</v>
      </c>
      <c r="C83" s="1" t="s">
        <v>423</v>
      </c>
      <c r="D83" s="2">
        <f>Detail!$E$130*INDEX(Detail!$R$130:$AH$130,$A83-$A$67)</f>
        <v>7564000</v>
      </c>
      <c r="E83" s="2">
        <f t="shared" si="18"/>
        <v>7564000</v>
      </c>
      <c r="F83" s="2">
        <f t="shared" si="18"/>
        <v>0</v>
      </c>
      <c r="G83" s="2">
        <f t="shared" si="18"/>
        <v>0</v>
      </c>
      <c r="H83" s="2">
        <f t="shared" si="18"/>
        <v>0</v>
      </c>
      <c r="I83" s="2">
        <f t="shared" si="18"/>
        <v>0</v>
      </c>
      <c r="J83" s="2">
        <f t="shared" si="18"/>
        <v>0</v>
      </c>
    </row>
    <row r="84" spans="1:10">
      <c r="A84" s="50">
        <f t="shared" si="16"/>
        <v>1066</v>
      </c>
      <c r="B84" s="28" t="s">
        <v>351</v>
      </c>
      <c r="C84" s="1" t="s">
        <v>113</v>
      </c>
      <c r="D84" s="2">
        <f>Detail!$E$130*INDEX(Detail!$R$130:$AH$130,$A84-$A$67)</f>
        <v>0</v>
      </c>
      <c r="E84" s="2">
        <f t="shared" si="18"/>
        <v>0</v>
      </c>
      <c r="F84" s="2">
        <f t="shared" si="18"/>
        <v>0</v>
      </c>
      <c r="G84" s="2">
        <f t="shared" si="18"/>
        <v>0</v>
      </c>
      <c r="H84" s="2">
        <f t="shared" si="18"/>
        <v>0</v>
      </c>
      <c r="I84" s="2">
        <f t="shared" si="18"/>
        <v>0</v>
      </c>
      <c r="J84" s="2">
        <f t="shared" si="18"/>
        <v>0</v>
      </c>
    </row>
    <row r="85" spans="1:10">
      <c r="A85" s="50">
        <f t="shared" si="16"/>
        <v>1067</v>
      </c>
      <c r="B85" s="50"/>
    </row>
    <row r="86" spans="1:10">
      <c r="A86" s="50">
        <f t="shared" si="16"/>
        <v>1068</v>
      </c>
      <c r="B86" s="28" t="s">
        <v>120</v>
      </c>
      <c r="D86" s="4">
        <f>IF(ROUND(SUM(D68:D85),3)&lt;&gt;ROUND(SUM(E86:J86),3),#VALUE!,SUM(E86:J86))</f>
        <v>453639999.99999994</v>
      </c>
      <c r="E86" s="4">
        <f t="shared" ref="E86:J86" si="19">SUM(E68:E85)</f>
        <v>366160708.52457166</v>
      </c>
      <c r="F86" s="4">
        <f t="shared" si="19"/>
        <v>64141242.973698676</v>
      </c>
      <c r="G86" s="4">
        <f t="shared" si="19"/>
        <v>0</v>
      </c>
      <c r="H86" s="4">
        <f t="shared" si="19"/>
        <v>847681.86534979613</v>
      </c>
      <c r="I86" s="4">
        <f t="shared" si="19"/>
        <v>22490366.636379864</v>
      </c>
      <c r="J86" s="4">
        <f t="shared" si="19"/>
        <v>0</v>
      </c>
    </row>
    <row r="87" spans="1:10">
      <c r="A87" s="50">
        <f t="shared" si="16"/>
        <v>1069</v>
      </c>
      <c r="B87" s="50"/>
    </row>
    <row r="88" spans="1:10">
      <c r="A88" s="50">
        <f t="shared" si="16"/>
        <v>1070</v>
      </c>
      <c r="B88" s="73" t="s">
        <v>236</v>
      </c>
    </row>
    <row r="89" spans="1:10">
      <c r="A89" s="50">
        <f t="shared" si="16"/>
        <v>1071</v>
      </c>
      <c r="B89" s="28" t="s">
        <v>353</v>
      </c>
      <c r="C89" s="1" t="s">
        <v>397</v>
      </c>
      <c r="D89" s="2">
        <f>Detail!$E$406*INDEX(Detail!$R$406:$AH$406,$A89-$A$88)</f>
        <v>7592069.3698655292</v>
      </c>
      <c r="E89" s="2">
        <f t="shared" ref="E89:J98" si="20">$D89*INDEX(AllocFactors,E$2,$A89-$A$88)</f>
        <v>4399956.1729015904</v>
      </c>
      <c r="F89" s="2">
        <f t="shared" si="20"/>
        <v>1971459.172120621</v>
      </c>
      <c r="G89" s="2">
        <f t="shared" si="20"/>
        <v>0</v>
      </c>
      <c r="H89" s="2">
        <f t="shared" si="20"/>
        <v>31767.424021109939</v>
      </c>
      <c r="I89" s="2">
        <f t="shared" si="20"/>
        <v>1188886.6008222084</v>
      </c>
      <c r="J89" s="2">
        <f t="shared" si="20"/>
        <v>0</v>
      </c>
    </row>
    <row r="90" spans="1:10">
      <c r="A90" s="50">
        <f t="shared" si="16"/>
        <v>1072</v>
      </c>
      <c r="B90" s="28" t="s">
        <v>406</v>
      </c>
      <c r="C90" s="1" t="s">
        <v>405</v>
      </c>
      <c r="D90" s="2">
        <f>Detail!$E$406*INDEX(Detail!$R$406:$AH$406,$A90-$A$88)</f>
        <v>1154784.864838514</v>
      </c>
      <c r="E90" s="2">
        <f t="shared" si="20"/>
        <v>793512.06699643913</v>
      </c>
      <c r="F90" s="2">
        <f t="shared" si="20"/>
        <v>355543.68752652383</v>
      </c>
      <c r="G90" s="2">
        <f t="shared" si="20"/>
        <v>0</v>
      </c>
      <c r="H90" s="2">
        <f t="shared" si="20"/>
        <v>5729.1103155511091</v>
      </c>
      <c r="I90" s="2">
        <f t="shared" si="20"/>
        <v>0</v>
      </c>
      <c r="J90" s="2">
        <f t="shared" si="20"/>
        <v>0</v>
      </c>
    </row>
    <row r="91" spans="1:10">
      <c r="A91" s="50">
        <f t="shared" si="16"/>
        <v>1073</v>
      </c>
      <c r="B91" s="501" t="s">
        <v>1459</v>
      </c>
      <c r="C91" s="1" t="s">
        <v>407</v>
      </c>
      <c r="D91" s="2">
        <f>Detail!$E$406*INDEX(Detail!$R$406:$AH$406,$A91-$A$88)</f>
        <v>516430.80021968437</v>
      </c>
      <c r="E91" s="2">
        <f t="shared" si="20"/>
        <v>323630.99654903874</v>
      </c>
      <c r="F91" s="2">
        <f t="shared" si="20"/>
        <v>135158.01156391838</v>
      </c>
      <c r="G91" s="2">
        <f t="shared" si="20"/>
        <v>0</v>
      </c>
      <c r="H91" s="2">
        <f t="shared" si="20"/>
        <v>1954.7435192727478</v>
      </c>
      <c r="I91" s="2">
        <f t="shared" si="20"/>
        <v>55687.048587454534</v>
      </c>
      <c r="J91" s="2">
        <f t="shared" si="20"/>
        <v>0</v>
      </c>
    </row>
    <row r="92" spans="1:10">
      <c r="A92" s="50">
        <f t="shared" si="16"/>
        <v>1074</v>
      </c>
      <c r="B92" s="501" t="s">
        <v>1460</v>
      </c>
      <c r="C92" s="1" t="s">
        <v>425</v>
      </c>
      <c r="D92" s="2">
        <f>Detail!$E$406*INDEX(Detail!$R$406:$AH$406,$A92-$A$88)</f>
        <v>3457113.8168548108</v>
      </c>
      <c r="E92" s="2">
        <f t="shared" si="20"/>
        <v>2568748.777894001</v>
      </c>
      <c r="F92" s="2">
        <f t="shared" si="20"/>
        <v>875677.30467942241</v>
      </c>
      <c r="G92" s="2">
        <f t="shared" si="20"/>
        <v>0</v>
      </c>
      <c r="H92" s="2">
        <f t="shared" si="20"/>
        <v>12687.734281387033</v>
      </c>
      <c r="I92" s="2">
        <f t="shared" si="20"/>
        <v>0</v>
      </c>
      <c r="J92" s="2">
        <f t="shared" si="20"/>
        <v>0</v>
      </c>
    </row>
    <row r="93" spans="1:10">
      <c r="A93" s="50">
        <f t="shared" si="16"/>
        <v>1075</v>
      </c>
      <c r="B93" s="28" t="s">
        <v>431</v>
      </c>
      <c r="C93" s="1" t="s">
        <v>430</v>
      </c>
      <c r="D93" s="2">
        <f>Detail!$E$406*INDEX(Detail!$R$406:$AH$406,$A93-$A$88)</f>
        <v>84000</v>
      </c>
      <c r="E93" s="2">
        <f t="shared" si="20"/>
        <v>61467.976488146094</v>
      </c>
      <c r="F93" s="2">
        <f t="shared" si="20"/>
        <v>22267.63490331405</v>
      </c>
      <c r="G93" s="2">
        <f t="shared" si="20"/>
        <v>0</v>
      </c>
      <c r="H93" s="2">
        <f t="shared" si="20"/>
        <v>264.38860853985028</v>
      </c>
      <c r="I93" s="2">
        <f t="shared" si="20"/>
        <v>0</v>
      </c>
      <c r="J93" s="2">
        <f t="shared" si="20"/>
        <v>0</v>
      </c>
    </row>
    <row r="94" spans="1:10">
      <c r="A94" s="50">
        <f t="shared" si="16"/>
        <v>1076</v>
      </c>
      <c r="B94" s="28" t="s">
        <v>410</v>
      </c>
      <c r="C94" s="1" t="s">
        <v>125</v>
      </c>
      <c r="D94" s="2">
        <f>Detail!$E$406*INDEX(Detail!$R$406:$AH$406,$A94-$A$88)</f>
        <v>13346200.058933683</v>
      </c>
      <c r="E94" s="2">
        <f t="shared" si="20"/>
        <v>9112895.1847454682</v>
      </c>
      <c r="F94" s="2">
        <f t="shared" si="20"/>
        <v>3084485.3569079991</v>
      </c>
      <c r="G94" s="2">
        <f t="shared" si="20"/>
        <v>0</v>
      </c>
      <c r="H94" s="2">
        <f t="shared" si="20"/>
        <v>38749.720308501237</v>
      </c>
      <c r="I94" s="2">
        <f>$D94*INDEX(AllocFactors,I$2,$A94-$A$88)</f>
        <v>1110069.7969717144</v>
      </c>
      <c r="J94" s="2">
        <f t="shared" si="20"/>
        <v>0</v>
      </c>
    </row>
    <row r="95" spans="1:10">
      <c r="A95" s="50">
        <f t="shared" si="16"/>
        <v>1077</v>
      </c>
      <c r="B95" s="28" t="s">
        <v>409</v>
      </c>
      <c r="C95" s="1" t="s">
        <v>112</v>
      </c>
      <c r="D95" s="2">
        <f>Detail!$E$406*INDEX(Detail!$R$406:$AH$406,$A95-$A$88)</f>
        <v>0</v>
      </c>
      <c r="E95" s="2">
        <f t="shared" si="20"/>
        <v>0</v>
      </c>
      <c r="F95" s="2">
        <f t="shared" si="20"/>
        <v>0</v>
      </c>
      <c r="G95" s="2">
        <f t="shared" si="20"/>
        <v>0</v>
      </c>
      <c r="H95" s="2">
        <f t="shared" si="20"/>
        <v>0</v>
      </c>
      <c r="I95" s="2">
        <f t="shared" si="20"/>
        <v>0</v>
      </c>
      <c r="J95" s="2">
        <f t="shared" si="20"/>
        <v>0</v>
      </c>
    </row>
    <row r="96" spans="1:10">
      <c r="A96" s="50">
        <f t="shared" si="16"/>
        <v>1078</v>
      </c>
      <c r="B96" s="28" t="s">
        <v>427</v>
      </c>
      <c r="C96" s="1" t="s">
        <v>428</v>
      </c>
      <c r="D96" s="2">
        <f>Detail!$E$406*INDEX(Detail!$R$406:$AH$406,$A96-$A$88)</f>
        <v>0</v>
      </c>
      <c r="E96" s="2">
        <f t="shared" si="20"/>
        <v>0</v>
      </c>
      <c r="F96" s="2">
        <f t="shared" si="20"/>
        <v>0</v>
      </c>
      <c r="G96" s="2">
        <f t="shared" si="20"/>
        <v>0</v>
      </c>
      <c r="H96" s="2">
        <f t="shared" si="20"/>
        <v>0</v>
      </c>
      <c r="I96" s="2">
        <f t="shared" si="20"/>
        <v>0</v>
      </c>
      <c r="J96" s="2">
        <f t="shared" si="20"/>
        <v>0</v>
      </c>
    </row>
    <row r="97" spans="1:10">
      <c r="A97" s="50">
        <f t="shared" si="16"/>
        <v>1079</v>
      </c>
      <c r="B97" s="28" t="s">
        <v>411</v>
      </c>
      <c r="C97" s="1" t="s">
        <v>126</v>
      </c>
      <c r="D97" s="2">
        <f>Detail!$E$406*INDEX(Detail!$R$406:$AH$406,$A97-$A$88)</f>
        <v>0</v>
      </c>
      <c r="E97" s="2">
        <f t="shared" si="20"/>
        <v>0</v>
      </c>
      <c r="F97" s="2">
        <f t="shared" si="20"/>
        <v>0</v>
      </c>
      <c r="G97" s="2">
        <f t="shared" si="20"/>
        <v>0</v>
      </c>
      <c r="H97" s="2">
        <f t="shared" si="20"/>
        <v>0</v>
      </c>
      <c r="I97" s="2">
        <f t="shared" si="20"/>
        <v>0</v>
      </c>
      <c r="J97" s="2">
        <f t="shared" si="20"/>
        <v>0</v>
      </c>
    </row>
    <row r="98" spans="1:10">
      <c r="A98" s="50">
        <f t="shared" si="16"/>
        <v>1080</v>
      </c>
      <c r="B98" s="28" t="s">
        <v>412</v>
      </c>
      <c r="C98" s="1" t="s">
        <v>127</v>
      </c>
      <c r="D98" s="2">
        <f>Detail!$E$406*INDEX(Detail!$R$406:$AH$406,$A98-$A$88)</f>
        <v>0</v>
      </c>
      <c r="E98" s="2">
        <f t="shared" si="20"/>
        <v>0</v>
      </c>
      <c r="F98" s="2">
        <f t="shared" si="20"/>
        <v>0</v>
      </c>
      <c r="G98" s="2">
        <f t="shared" si="20"/>
        <v>0</v>
      </c>
      <c r="H98" s="2">
        <f t="shared" si="20"/>
        <v>0</v>
      </c>
      <c r="I98" s="2">
        <f t="shared" si="20"/>
        <v>0</v>
      </c>
      <c r="J98" s="2">
        <f t="shared" si="20"/>
        <v>0</v>
      </c>
    </row>
    <row r="99" spans="1:10">
      <c r="A99" s="50">
        <f t="shared" si="16"/>
        <v>1081</v>
      </c>
      <c r="B99" s="28" t="s">
        <v>355</v>
      </c>
      <c r="C99" s="1" t="s">
        <v>114</v>
      </c>
      <c r="D99" s="2">
        <f>Detail!$E$406*INDEX(Detail!$R$406:$AH$406,$A99-$A$88)</f>
        <v>23567261.862139884</v>
      </c>
      <c r="E99" s="2">
        <f>$D99*INDEX(AllocFactors,E$2,$A99-$A$88)</f>
        <v>23127472.072599158</v>
      </c>
      <c r="F99" s="2">
        <f t="shared" ref="E99:J105" si="21">$D99*INDEX(AllocFactors,F$2,$A99-$A$88)</f>
        <v>434195.38929215673</v>
      </c>
      <c r="G99" s="2">
        <f t="shared" si="21"/>
        <v>0</v>
      </c>
      <c r="H99" s="2">
        <f t="shared" si="21"/>
        <v>279.72001242851138</v>
      </c>
      <c r="I99" s="2">
        <f t="shared" si="21"/>
        <v>5314.6802361417149</v>
      </c>
      <c r="J99" s="2">
        <f t="shared" si="21"/>
        <v>0</v>
      </c>
    </row>
    <row r="100" spans="1:10">
      <c r="A100" s="50">
        <f t="shared" si="16"/>
        <v>1082</v>
      </c>
      <c r="B100" s="28" t="s">
        <v>413</v>
      </c>
      <c r="C100" s="1" t="s">
        <v>128</v>
      </c>
      <c r="D100" s="2">
        <f>Detail!$E$406*INDEX(Detail!$R$406:$AH$406,$A100-$A$88)</f>
        <v>15197166.933293711</v>
      </c>
      <c r="E100" s="2">
        <f t="shared" si="21"/>
        <v>14862687.946533272</v>
      </c>
      <c r="F100" s="2">
        <f t="shared" si="21"/>
        <v>279032.25041696528</v>
      </c>
      <c r="G100" s="2">
        <f t="shared" si="21"/>
        <v>0</v>
      </c>
      <c r="H100" s="2">
        <f t="shared" si="21"/>
        <v>677.82633755294978</v>
      </c>
      <c r="I100" s="2">
        <f t="shared" si="21"/>
        <v>54768.910005920974</v>
      </c>
      <c r="J100" s="2">
        <f t="shared" si="21"/>
        <v>0</v>
      </c>
    </row>
    <row r="101" spans="1:10">
      <c r="A101" s="50">
        <f t="shared" si="16"/>
        <v>1083</v>
      </c>
      <c r="B101" s="28" t="s">
        <v>414</v>
      </c>
      <c r="C101" s="1" t="s">
        <v>129</v>
      </c>
      <c r="D101" s="2">
        <f>Detail!$E$406*INDEX(Detail!$R$406:$AH$406,$A101-$A$88)</f>
        <v>7555827.3101069843</v>
      </c>
      <c r="E101" s="2">
        <f t="shared" si="21"/>
        <v>6806959.7248149253</v>
      </c>
      <c r="F101" s="2">
        <f t="shared" si="21"/>
        <v>680552.92947898502</v>
      </c>
      <c r="G101" s="2">
        <f t="shared" si="21"/>
        <v>0</v>
      </c>
      <c r="H101" s="2">
        <f t="shared" si="21"/>
        <v>7203.7326725942221</v>
      </c>
      <c r="I101" s="2">
        <f t="shared" si="21"/>
        <v>61110.923140479455</v>
      </c>
      <c r="J101" s="2">
        <f t="shared" si="21"/>
        <v>0</v>
      </c>
    </row>
    <row r="102" spans="1:10">
      <c r="A102" s="50">
        <f t="shared" si="16"/>
        <v>1084</v>
      </c>
      <c r="B102" s="28" t="s">
        <v>415</v>
      </c>
      <c r="C102" s="1" t="s">
        <v>130</v>
      </c>
      <c r="D102" s="2">
        <f>Detail!$E$406*INDEX(Detail!$R$406:$AH$406,$A102-$A$88)</f>
        <v>0</v>
      </c>
      <c r="E102" s="2">
        <f t="shared" si="21"/>
        <v>0</v>
      </c>
      <c r="F102" s="2">
        <f t="shared" si="21"/>
        <v>0</v>
      </c>
      <c r="G102" s="2">
        <f t="shared" si="21"/>
        <v>0</v>
      </c>
      <c r="H102" s="2">
        <f t="shared" si="21"/>
        <v>0</v>
      </c>
      <c r="I102" s="2">
        <f t="shared" si="21"/>
        <v>0</v>
      </c>
      <c r="J102" s="2">
        <f t="shared" si="21"/>
        <v>0</v>
      </c>
    </row>
    <row r="103" spans="1:10">
      <c r="A103" s="50">
        <f t="shared" si="16"/>
        <v>1085</v>
      </c>
      <c r="B103" s="28" t="s">
        <v>417</v>
      </c>
      <c r="C103" s="1" t="s">
        <v>131</v>
      </c>
      <c r="D103" s="2">
        <f>Detail!$E$406*INDEX(Detail!$R$406:$AH$406,$A103-$A$88)</f>
        <v>164704.9837471958</v>
      </c>
      <c r="E103" s="2">
        <f t="shared" si="21"/>
        <v>0</v>
      </c>
      <c r="F103" s="2">
        <f t="shared" si="21"/>
        <v>143190.70654501129</v>
      </c>
      <c r="G103" s="2">
        <f t="shared" si="21"/>
        <v>0</v>
      </c>
      <c r="H103" s="2">
        <f t="shared" si="21"/>
        <v>2271.9034051464359</v>
      </c>
      <c r="I103" s="2">
        <f t="shared" si="21"/>
        <v>19242.373797038075</v>
      </c>
      <c r="J103" s="2">
        <f t="shared" si="21"/>
        <v>0</v>
      </c>
    </row>
    <row r="104" spans="1:10">
      <c r="A104" s="50">
        <f t="shared" si="16"/>
        <v>1086</v>
      </c>
      <c r="B104" s="28" t="s">
        <v>424</v>
      </c>
      <c r="C104" s="1" t="s">
        <v>423</v>
      </c>
      <c r="D104" s="2">
        <f>Detail!$E$406*INDEX(Detail!$R$406:$AH$406,$A104-$A$88)</f>
        <v>2477000</v>
      </c>
      <c r="E104" s="2">
        <f t="shared" si="21"/>
        <v>2477000</v>
      </c>
      <c r="F104" s="2">
        <f t="shared" si="21"/>
        <v>0</v>
      </c>
      <c r="G104" s="2">
        <f t="shared" si="21"/>
        <v>0</v>
      </c>
      <c r="H104" s="2">
        <f t="shared" si="21"/>
        <v>0</v>
      </c>
      <c r="I104" s="2">
        <f t="shared" si="21"/>
        <v>0</v>
      </c>
      <c r="J104" s="2">
        <f t="shared" si="21"/>
        <v>0</v>
      </c>
    </row>
    <row r="105" spans="1:10">
      <c r="A105" s="50">
        <f t="shared" si="16"/>
        <v>1087</v>
      </c>
      <c r="B105" s="28" t="s">
        <v>351</v>
      </c>
      <c r="C105" s="1" t="s">
        <v>113</v>
      </c>
      <c r="D105" s="2">
        <f>Detail!$E$406*INDEX(Detail!$R$406:$AH$406,$A105-$A$88)</f>
        <v>4543440</v>
      </c>
      <c r="E105" s="2">
        <f t="shared" si="21"/>
        <v>3491479.3086917051</v>
      </c>
      <c r="F105" s="2">
        <f t="shared" si="21"/>
        <v>885100.7120853361</v>
      </c>
      <c r="G105" s="2">
        <f t="shared" si="21"/>
        <v>0</v>
      </c>
      <c r="H105" s="2">
        <f t="shared" si="21"/>
        <v>9533.2641327533056</v>
      </c>
      <c r="I105" s="2">
        <f t="shared" si="21"/>
        <v>157326.71509020578</v>
      </c>
      <c r="J105" s="2">
        <f t="shared" si="21"/>
        <v>0</v>
      </c>
    </row>
    <row r="106" spans="1:10">
      <c r="A106" s="50">
        <f t="shared" si="16"/>
        <v>1088</v>
      </c>
      <c r="B106" s="50"/>
    </row>
    <row r="107" spans="1:10">
      <c r="A107" s="50">
        <f t="shared" si="16"/>
        <v>1089</v>
      </c>
      <c r="B107" s="28" t="s">
        <v>120</v>
      </c>
      <c r="D107" s="4">
        <f>IF(ROUND(SUM(D89:D106),3)&lt;&gt;ROUND(SUM(E107:J107),3),#VALUE!,SUM(E107:J107))</f>
        <v>79655999.999999985</v>
      </c>
      <c r="E107" s="4">
        <f t="shared" ref="E107:J107" si="22">SUM(E89:E106)</f>
        <v>68025810.228213742</v>
      </c>
      <c r="F107" s="4">
        <f t="shared" si="22"/>
        <v>8866663.1555202529</v>
      </c>
      <c r="G107" s="4">
        <f t="shared" si="22"/>
        <v>0</v>
      </c>
      <c r="H107" s="4">
        <f t="shared" si="22"/>
        <v>111119.56761483736</v>
      </c>
      <c r="I107" s="4">
        <f t="shared" si="22"/>
        <v>2652407.048651163</v>
      </c>
      <c r="J107" s="4">
        <f t="shared" si="22"/>
        <v>0</v>
      </c>
    </row>
    <row r="108" spans="1:10">
      <c r="A108" s="50">
        <f t="shared" si="16"/>
        <v>1090</v>
      </c>
      <c r="B108" s="50"/>
    </row>
    <row r="109" spans="1:10">
      <c r="A109" s="50">
        <f t="shared" si="16"/>
        <v>1091</v>
      </c>
      <c r="B109" s="50"/>
    </row>
    <row r="110" spans="1:10">
      <c r="A110" s="50">
        <f t="shared" si="16"/>
        <v>1092</v>
      </c>
      <c r="B110" s="50"/>
    </row>
    <row r="111" spans="1:10">
      <c r="A111" s="50">
        <f t="shared" si="16"/>
        <v>1093</v>
      </c>
      <c r="B111" s="50"/>
    </row>
    <row r="112" spans="1:10">
      <c r="A112" s="50">
        <f t="shared" si="16"/>
        <v>1094</v>
      </c>
      <c r="B112" s="50"/>
    </row>
    <row r="113" spans="1:2">
      <c r="A113" s="50">
        <f t="shared" si="16"/>
        <v>1095</v>
      </c>
      <c r="B113" s="50"/>
    </row>
    <row r="114" spans="1:2">
      <c r="A114" s="50">
        <f t="shared" si="16"/>
        <v>1096</v>
      </c>
      <c r="B114" s="50"/>
    </row>
    <row r="115" spans="1:2">
      <c r="A115" s="50"/>
      <c r="B115" s="50"/>
    </row>
  </sheetData>
  <phoneticPr fontId="8" type="noConversion"/>
  <pageMargins left="0.5" right="0.5" top="0.5" bottom="0.5" header="0.25" footer="0.25"/>
  <pageSetup scale="72" firstPageNumber="34" orientation="landscape" useFirstPageNumber="1" r:id="rId1"/>
  <headerFooter alignWithMargins="0">
    <oddHeader>&amp;LAVISTA UTILITIES --  Base Case
Allocation Percentages&amp;RWA Gas</oddHeader>
    <oddFooter>&amp;LAvista - WA Cost of Service (NG) - Base Case.xlsm  Factors&amp;C4/24/2019&amp;RPage &amp;P of 35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3" r:id="rId4" name="Button 35">
              <controlPr defaultSize="0" print="0" autoFill="0" autoPict="0" macro="[0]!Print_SUM2">
                <anchor moveWithCells="1" sizeWithCells="1">
                  <from>
                    <xdr:col>1</xdr:col>
                    <xdr:colOff>1295400</xdr:colOff>
                    <xdr:row>3</xdr:row>
                    <xdr:rowOff>38100</xdr:rowOff>
                  </from>
                  <to>
                    <xdr:col>1</xdr:col>
                    <xdr:colOff>1813560</xdr:colOff>
                    <xdr:row>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5" name="Button 36">
              <controlPr defaultSize="0" print="0" autoFill="0" autoPict="0" macro="[0]!Print_SUM3">
                <anchor moveWithCells="1" sizeWithCells="1">
                  <from>
                    <xdr:col>1</xdr:col>
                    <xdr:colOff>68580</xdr:colOff>
                    <xdr:row>63</xdr:row>
                    <xdr:rowOff>38100</xdr:rowOff>
                  </from>
                  <to>
                    <xdr:col>1</xdr:col>
                    <xdr:colOff>586740</xdr:colOff>
                    <xdr:row>64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F7D18-0924-4DBE-860E-BFC0206E6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F3C275-925D-462F-98DD-0EE47875C36D}"/>
</file>

<file path=customXml/itemProps3.xml><?xml version="1.0" encoding="utf-8"?>
<ds:datastoreItem xmlns:ds="http://schemas.openxmlformats.org/officeDocument/2006/customXml" ds:itemID="{988E3659-DE5F-44C0-9BFD-D0D10394B073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faeb077-6201-49d7-984f-06cbdf2cbea4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A34A443-130C-4CCA-8CA8-BC90A2F7D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59</vt:i4>
      </vt:variant>
    </vt:vector>
  </HeadingPairs>
  <TitlesOfParts>
    <vt:vector size="85" baseType="lpstr">
      <vt:lpstr>A-RR Cross Reference</vt:lpstr>
      <vt:lpstr>B-COS Results</vt:lpstr>
      <vt:lpstr>C-COS Allocation Factors</vt:lpstr>
      <vt:lpstr>D-Summary of Adjustments</vt:lpstr>
      <vt:lpstr>E-Summary of Results</vt:lpstr>
      <vt:lpstr>Print</vt:lpstr>
      <vt:lpstr>Detail</vt:lpstr>
      <vt:lpstr>Summary</vt:lpstr>
      <vt:lpstr>Factors</vt:lpstr>
      <vt:lpstr>Avg Cust Unit Costs</vt:lpstr>
      <vt:lpstr>AMI Costs and Benefits</vt:lpstr>
      <vt:lpstr>PROFORMA</vt:lpstr>
      <vt:lpstr>Demand Documentation</vt:lpstr>
      <vt:lpstr>Demand Sch 146 adj</vt:lpstr>
      <vt:lpstr>Demand - Firm Peak</vt:lpstr>
      <vt:lpstr>Demand - Firm Peak by Sch</vt:lpstr>
      <vt:lpstr>Demand - Pk-Avg</vt:lpstr>
      <vt:lpstr>Winter Therm - Summary</vt:lpstr>
      <vt:lpstr>Winter Therm - Usage</vt:lpstr>
      <vt:lpstr>Meters 121_131_146</vt:lpstr>
      <vt:lpstr>Typical Service Cost</vt:lpstr>
      <vt:lpstr>Average Meter Type</vt:lpstr>
      <vt:lpstr>Industrial Meter Installations</vt:lpstr>
      <vt:lpstr>Acct 928</vt:lpstr>
      <vt:lpstr>Acct 813</vt:lpstr>
      <vt:lpstr>GTI</vt:lpstr>
      <vt:lpstr>_RB1</vt:lpstr>
      <vt:lpstr>_RB2</vt:lpstr>
      <vt:lpstr>_RB3</vt:lpstr>
      <vt:lpstr>_RB4</vt:lpstr>
      <vt:lpstr>_RR1</vt:lpstr>
      <vt:lpstr>_RR2</vt:lpstr>
      <vt:lpstr>_RR3</vt:lpstr>
      <vt:lpstr>_RR4</vt:lpstr>
      <vt:lpstr>_RR5</vt:lpstr>
      <vt:lpstr>_RR6</vt:lpstr>
      <vt:lpstr>_SUM1</vt:lpstr>
      <vt:lpstr>_SUM2</vt:lpstr>
      <vt:lpstr>_WA132</vt:lpstr>
      <vt:lpstr>_WA146</vt:lpstr>
      <vt:lpstr>_WA148</vt:lpstr>
      <vt:lpstr>AllocFactors</vt:lpstr>
      <vt:lpstr>AllocFactors_C</vt:lpstr>
      <vt:lpstr>AllocFactors_D</vt:lpstr>
      <vt:lpstr>AllocFactors_E</vt:lpstr>
      <vt:lpstr>check</vt:lpstr>
      <vt:lpstr>'Industrial Meter Installations'!Cost</vt:lpstr>
      <vt:lpstr>Cost</vt:lpstr>
      <vt:lpstr>Expense_Page1</vt:lpstr>
      <vt:lpstr>Expense_Page2</vt:lpstr>
      <vt:lpstr>Expense_Page3</vt:lpstr>
      <vt:lpstr>Expense_Page4</vt:lpstr>
      <vt:lpstr>PkAvg_D</vt:lpstr>
      <vt:lpstr>PkAvg_E</vt:lpstr>
      <vt:lpstr>PkDys</vt:lpstr>
      <vt:lpstr>'AMI Costs and Benefits'!Print_Area</vt:lpstr>
      <vt:lpstr>'Avg Cust Unit Costs'!Print_Area</vt:lpstr>
      <vt:lpstr>'Demand - Firm Peak'!Print_Area</vt:lpstr>
      <vt:lpstr>'Demand - Pk-Avg'!Print_Area</vt:lpstr>
      <vt:lpstr>'Demand Sch 146 adj'!Print_Area</vt:lpstr>
      <vt:lpstr>Detail!Print_Area</vt:lpstr>
      <vt:lpstr>'E-Summary of Results'!Print_Area</vt:lpstr>
      <vt:lpstr>Factors!Print_Area</vt:lpstr>
      <vt:lpstr>GTI!Print_Area</vt:lpstr>
      <vt:lpstr>PROFORMA!Print_Area</vt:lpstr>
      <vt:lpstr>Summary!Print_Area</vt:lpstr>
      <vt:lpstr>'Typical Service Cost'!Print_Area</vt:lpstr>
      <vt:lpstr>Print_Complete</vt:lpstr>
      <vt:lpstr>'Demand - Firm Peak'!Print_Titles</vt:lpstr>
      <vt:lpstr>'Demand - Firm Peak by Sch'!Print_Titles</vt:lpstr>
      <vt:lpstr>'Demand Sch 146 adj'!Print_Titles</vt:lpstr>
      <vt:lpstr>Detail!Print_Titles</vt:lpstr>
      <vt:lpstr>Factors!Print_Titles</vt:lpstr>
      <vt:lpstr>PROFORMA!Print_Titles</vt:lpstr>
      <vt:lpstr>Summary!Print_Titles</vt:lpstr>
      <vt:lpstr>RateBase_Page1</vt:lpstr>
      <vt:lpstr>RateBase_Page2</vt:lpstr>
      <vt:lpstr>RateBase_Page3</vt:lpstr>
      <vt:lpstr>Scen</vt:lpstr>
      <vt:lpstr>TransferL</vt:lpstr>
      <vt:lpstr>TransferL1</vt:lpstr>
      <vt:lpstr>WABase</vt:lpstr>
      <vt:lpstr>WACoeff</vt:lpstr>
      <vt:lpstr>WAFirm</vt:lpstr>
      <vt:lpstr>WAMonthData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Joe</dc:creator>
  <cp:lastModifiedBy>Kimball, Paul</cp:lastModifiedBy>
  <cp:lastPrinted>2020-10-27T17:06:50Z</cp:lastPrinted>
  <dcterms:created xsi:type="dcterms:W3CDTF">2006-12-20T22:09:29Z</dcterms:created>
  <dcterms:modified xsi:type="dcterms:W3CDTF">2020-10-30T20:33:43Z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