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codeName="ThisWorkbook" defaultThemeVersion="124226"/>
  <bookViews>
    <workbookView xWindow="15315" yWindow="45" windowWidth="13440" windowHeight="16200" activeTab="0"/>
  </bookViews>
  <sheets>
    <sheet name="PF Adjustment" sheetId="17" r:id="rId1"/>
    <sheet name="Reconcile ROO to CB" sheetId="13" r:id="rId2"/>
  </sheets>
  <externalReferences>
    <externalReference r:id="rId5"/>
  </externalReferences>
  <definedNames>
    <definedName name="_xlnm.Print_Area" localSheetId="0">'PF Adjustment'!$A$1:$J$46</definedName>
    <definedName name="_xlnm.Print_Area" localSheetId="1">'Reconcile ROO to CB'!$A$1:$L$51</definedName>
  </definedNames>
  <calcPr calcId="191029"/>
  <extLst/>
</workbook>
</file>

<file path=xl/sharedStrings.xml><?xml version="1.0" encoding="utf-8"?>
<sst xmlns="http://schemas.openxmlformats.org/spreadsheetml/2006/main" count="191" uniqueCount="124">
  <si>
    <t>Actuals</t>
  </si>
  <si>
    <t>Pro-Forma</t>
  </si>
  <si>
    <t>Adjust</t>
  </si>
  <si>
    <t>Uncollectibles</t>
  </si>
  <si>
    <t>Commission Fees</t>
  </si>
  <si>
    <t>Total</t>
  </si>
  <si>
    <t>Operating Income before FIT</t>
  </si>
  <si>
    <t>B&amp;O Tax</t>
  </si>
  <si>
    <t>State Excise Tax</t>
  </si>
  <si>
    <t>Net Operating Income</t>
  </si>
  <si>
    <t>Revenue</t>
  </si>
  <si>
    <t>FIT Expense</t>
  </si>
  <si>
    <t>Norm. Adj.</t>
  </si>
  <si>
    <t>Nominal Rate</t>
  </si>
  <si>
    <t>Effective Rate</t>
  </si>
  <si>
    <t>Rev related exp.</t>
  </si>
  <si>
    <t>check</t>
  </si>
  <si>
    <t>Weather Normalization</t>
  </si>
  <si>
    <t>* zero in Pro-forma revenues</t>
  </si>
  <si>
    <t>Unbilled Revenue</t>
  </si>
  <si>
    <t>Public Purpose Rider</t>
  </si>
  <si>
    <t>Public Purpose Rider Unbilled</t>
  </si>
  <si>
    <t>Conver. Factor b4 FIT</t>
  </si>
  <si>
    <t>Tariffed Sales</t>
  </si>
  <si>
    <t>Sales for Resale</t>
  </si>
  <si>
    <t>Gas Purchases</t>
  </si>
  <si>
    <t>Net Natural Gas Storage Transactions</t>
  </si>
  <si>
    <t>B&amp;O Tax, Transportation</t>
  </si>
  <si>
    <t>Base Revenue, Transportation</t>
  </si>
  <si>
    <t>General Business Revenue</t>
  </si>
  <si>
    <t>Revenue Run Total Washington</t>
  </si>
  <si>
    <t>Rate Revenue</t>
  </si>
  <si>
    <t>Includes Adjustment Schedules 150, 155, and 191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</si>
  <si>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</si>
  <si>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</si>
  <si>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</si>
  <si>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</si>
  <si>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</si>
  <si>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</si>
  <si>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</si>
  <si>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Schedule 146</t>
  </si>
  <si>
    <t>Schedule 147</t>
  </si>
  <si>
    <t>Schedule 148</t>
  </si>
  <si>
    <t>WSU capital payments charge</t>
  </si>
  <si>
    <t>less:</t>
  </si>
  <si>
    <t>Misc Service Revenues</t>
  </si>
  <si>
    <t>Sales for Resale Revenue</t>
  </si>
  <si>
    <t>Other Gas Revenues</t>
  </si>
  <si>
    <t>less: Misc Service Revenues</t>
  </si>
  <si>
    <t>plus: Revenue Recorded by Journal (WSU capital pmts)</t>
  </si>
  <si>
    <t>Transportation For Others**</t>
  </si>
  <si>
    <t>Sales to Ultimate Consumers / Genl Bus. Rev</t>
  </si>
  <si>
    <t>Total Gas Revenues, WA (Direct + Allocated)</t>
  </si>
  <si>
    <t>Expense</t>
  </si>
  <si>
    <t>Product Extraction sales in PGA</t>
  </si>
  <si>
    <t>Exclude Sch 158 B&amp;O Taxes</t>
  </si>
  <si>
    <t>addback Comm/Ind refund (net of tax)</t>
  </si>
  <si>
    <t>WASH</t>
  </si>
  <si>
    <t>Rent from Gas Property</t>
  </si>
  <si>
    <t>Deferred Exchange</t>
  </si>
  <si>
    <t>B&amp;O Tax - Sch 158</t>
  </si>
  <si>
    <t>Prior Period Gas Cost Amortization</t>
  </si>
  <si>
    <t>GTI Funding 813</t>
  </si>
  <si>
    <t xml:space="preserve">Base Revenue </t>
  </si>
  <si>
    <t>Gas Rate Adjustment - Sch 155</t>
  </si>
  <si>
    <t>WP Source</t>
  </si>
  <si>
    <t>Calc</t>
  </si>
  <si>
    <t>Decoupling Deferred Revenue</t>
  </si>
  <si>
    <t>Normalized CB</t>
  </si>
  <si>
    <t>Base Revenue</t>
  </si>
  <si>
    <t>and Gas Cost</t>
  </si>
  <si>
    <t>Eliminate</t>
  </si>
  <si>
    <t>B&amp;O Taxes</t>
  </si>
  <si>
    <t>Weather</t>
  </si>
  <si>
    <t>Normalization</t>
  </si>
  <si>
    <t>Adder Sched</t>
  </si>
  <si>
    <t>** includes Special Contract revenue (Sch 148); moved to "Other Revenue" in Cost of Service</t>
  </si>
  <si>
    <t>ROO</t>
  </si>
  <si>
    <t>ROO / Calc</t>
  </si>
  <si>
    <t>B&amp;O</t>
  </si>
  <si>
    <t>EAS</t>
  </si>
  <si>
    <t>CF</t>
  </si>
  <si>
    <t>Expense Gross Up Factor</t>
  </si>
  <si>
    <t xml:space="preserve">    Total Expenses</t>
  </si>
  <si>
    <t>Net Revenue Less Gas Costs</t>
  </si>
  <si>
    <t>Unbilled Revenue Transportation *</t>
  </si>
  <si>
    <t>"Total Transp Rev" for COS</t>
  </si>
  <si>
    <t>Transportation For Others</t>
  </si>
  <si>
    <t>* Transportation Unbilled Revenue is included in Sales to Ultimate Consumers per Results of Operations</t>
  </si>
  <si>
    <t>CB Restated</t>
  </si>
  <si>
    <t>G-PREV-2</t>
  </si>
  <si>
    <t>Gas Cost Revenue - Sch 150</t>
  </si>
  <si>
    <t>WN</t>
  </si>
  <si>
    <t>Gas Cost Revenue</t>
  </si>
  <si>
    <t>Total Revenue Adjustment</t>
  </si>
  <si>
    <t xml:space="preserve"> Weather Normalization adjustment excluded base rate revenue captured in the Decoupling deferred revenue (mechanism began January 2015)</t>
  </si>
  <si>
    <t xml:space="preserve"> Decoupling Deferred Revenue is net of revenue related expenses that will be incurred upon amortization</t>
  </si>
  <si>
    <t>G-PREV-5</t>
  </si>
  <si>
    <t>GTI Funding 813010</t>
  </si>
  <si>
    <t>WN/EAS</t>
  </si>
  <si>
    <t>Other Revenue - Decoupling Amortization</t>
  </si>
  <si>
    <t>Other Revenue - Decoupling Deferred Revenue</t>
  </si>
  <si>
    <t>$000's</t>
  </si>
  <si>
    <t xml:space="preserve">Base Rate Revenue </t>
  </si>
  <si>
    <t>Tax Reform Refund - Sch 174</t>
  </si>
  <si>
    <t>Public Purpose Rider - Sch 189/191/192</t>
  </si>
  <si>
    <t>Provision for Rate Refund - Decoupling</t>
  </si>
  <si>
    <t>Provision for Rate Refund - Tax Reform</t>
  </si>
  <si>
    <t>Decoupling Amortization - Sch 175</t>
  </si>
  <si>
    <t>Misc</t>
  </si>
  <si>
    <t>Restating</t>
  </si>
  <si>
    <t>Tax Reform Amortization</t>
  </si>
  <si>
    <t>Other Revenue - Miscellaneous</t>
  </si>
  <si>
    <t>Total Gas Revenue</t>
  </si>
  <si>
    <t xml:space="preserve">     Total Other Revenue</t>
  </si>
  <si>
    <t>Provision For Rate Refund - Decoupling</t>
  </si>
  <si>
    <t>Provision For Rate Refund - Tax Reform</t>
  </si>
  <si>
    <t>DFIT Flow Through Tax Reform Amortization</t>
  </si>
  <si>
    <t>Elim Decoupling Earnings Sharing in Test Period</t>
  </si>
  <si>
    <t>WA Gas PF Revenue Normalization Adjustment--12-months Ended December 31, 2019</t>
  </si>
  <si>
    <t>Rates Effective April 1st, 2019</t>
  </si>
  <si>
    <t>WA Gas Normalized Revenue --12 months ended December 31, 2019</t>
  </si>
  <si>
    <t>Elim 2019 Decoupling deferrals - GRC resets Base</t>
  </si>
  <si>
    <t>Elim Tax Reform Deferral true-up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</si>
</sst>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,"/>
    <numFmt numFmtId="165" formatCode="0.000000"/>
    <numFmt numFmtId="166" formatCode="0.0000%"/>
    <numFmt numFmtId="167" formatCode="&quot;$&quot;#,##0"/>
    <numFmt numFmtId="168" formatCode="#,##0;\-#,##0;"/>
    <numFmt numFmtId="169" formatCode="&quot;$&quot;#,##0.00000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sz val="10"/>
      <color rgb="FF00B05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10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165" fontId="0" fillId="0" borderId="0" xfId="0" applyNumberFormat="1"/>
    <xf numFmtId="164" fontId="0" fillId="0" borderId="0" xfId="0" applyNumberFormat="1" applyBorder="1"/>
    <xf numFmtId="9" fontId="3" fillId="0" borderId="0" xfId="0" applyNumberFormat="1" applyFont="1"/>
    <xf numFmtId="3" fontId="0" fillId="0" borderId="0" xfId="0" applyNumberFormat="1" applyFont="1" applyFill="1"/>
    <xf numFmtId="3" fontId="3" fillId="0" borderId="0" xfId="0" applyNumberFormat="1" applyFont="1" applyFill="1" applyBorder="1"/>
    <xf numFmtId="3" fontId="0" fillId="0" borderId="1" xfId="0" applyNumberFormat="1" applyFont="1" applyBorder="1"/>
    <xf numFmtId="3" fontId="0" fillId="0" borderId="0" xfId="0" applyNumberFormat="1" applyFill="1"/>
    <xf numFmtId="3" fontId="0" fillId="0" borderId="0" xfId="0" applyNumberFormat="1" applyFont="1" applyBorder="1"/>
    <xf numFmtId="3" fontId="3" fillId="2" borderId="0" xfId="0" applyNumberFormat="1" applyFont="1" applyFill="1"/>
    <xf numFmtId="3" fontId="3" fillId="2" borderId="0" xfId="0" applyNumberFormat="1" applyFont="1" applyFill="1" applyBorder="1"/>
    <xf numFmtId="3" fontId="0" fillId="2" borderId="0" xfId="0" applyNumberFormat="1" applyFont="1" applyFill="1" applyBorder="1"/>
    <xf numFmtId="3" fontId="0" fillId="0" borderId="1" xfId="0" applyNumberFormat="1" applyBorder="1"/>
    <xf numFmtId="0" fontId="5" fillId="0" borderId="0" xfId="0" applyFont="1"/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166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Border="1"/>
    <xf numFmtId="3" fontId="0" fillId="0" borderId="3" xfId="0" applyNumberFormat="1" applyBorder="1"/>
    <xf numFmtId="3" fontId="0" fillId="0" borderId="2" xfId="0" applyNumberFormat="1" applyFont="1" applyBorder="1"/>
    <xf numFmtId="3" fontId="0" fillId="0" borderId="4" xfId="0" applyNumberFormat="1" applyBorder="1"/>
    <xf numFmtId="0" fontId="0" fillId="0" borderId="5" xfId="0" applyBorder="1"/>
    <xf numFmtId="0" fontId="0" fillId="0" borderId="0" xfId="0" applyAlignment="1">
      <alignment horizontal="center"/>
    </xf>
    <xf numFmtId="167" fontId="0" fillId="0" borderId="0" xfId="0" applyNumberFormat="1"/>
    <xf numFmtId="0" fontId="7" fillId="0" borderId="0" xfId="0" applyFont="1"/>
    <xf numFmtId="3" fontId="0" fillId="0" borderId="3" xfId="0" applyNumberFormat="1" applyFill="1" applyBorder="1"/>
    <xf numFmtId="3" fontId="0" fillId="0" borderId="3" xfId="0" applyNumberFormat="1" applyFont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0" xfId="0" applyNumberFormat="1" applyFill="1" applyBorder="1"/>
    <xf numFmtId="0" fontId="4" fillId="0" borderId="0" xfId="0" applyFont="1"/>
    <xf numFmtId="3" fontId="3" fillId="0" borderId="1" xfId="0" applyNumberFormat="1" applyFont="1" applyFill="1" applyBorder="1"/>
    <xf numFmtId="3" fontId="0" fillId="0" borderId="2" xfId="0" applyNumberFormat="1" applyFont="1" applyFill="1" applyBorder="1"/>
    <xf numFmtId="3" fontId="3" fillId="0" borderId="0" xfId="0" applyNumberFormat="1" applyFont="1" applyFill="1"/>
    <xf numFmtId="0" fontId="0" fillId="0" borderId="0" xfId="0" applyFill="1"/>
    <xf numFmtId="0" fontId="0" fillId="0" borderId="0" xfId="0" applyFill="1" applyBorder="1"/>
    <xf numFmtId="168" fontId="0" fillId="0" borderId="0" xfId="0" applyNumberFormat="1" applyFont="1" applyFill="1" applyBorder="1"/>
    <xf numFmtId="0" fontId="7" fillId="0" borderId="0" xfId="0" applyFont="1" applyAlignment="1">
      <alignment horizontal="left" indent="1"/>
    </xf>
    <xf numFmtId="5" fontId="0" fillId="0" borderId="6" xfId="0" applyNumberFormat="1" applyBorder="1"/>
    <xf numFmtId="0" fontId="7" fillId="0" borderId="7" xfId="0" applyFont="1" applyBorder="1" applyAlignment="1">
      <alignment/>
    </xf>
    <xf numFmtId="3" fontId="0" fillId="0" borderId="0" xfId="0" applyNumberFormat="1" applyBorder="1"/>
    <xf numFmtId="166" fontId="6" fillId="0" borderId="0" xfId="0" applyNumberFormat="1" applyFont="1" applyBorder="1"/>
    <xf numFmtId="3" fontId="6" fillId="0" borderId="0" xfId="0" applyNumberFormat="1" applyFont="1" applyBorder="1"/>
    <xf numFmtId="0" fontId="0" fillId="0" borderId="8" xfId="0" applyBorder="1"/>
    <xf numFmtId="0" fontId="6" fillId="0" borderId="0" xfId="0" applyFont="1" applyAlignment="1">
      <alignment horizontal="right"/>
    </xf>
    <xf numFmtId="3" fontId="6" fillId="0" borderId="0" xfId="0" applyNumberFormat="1" applyFont="1"/>
    <xf numFmtId="166" fontId="3" fillId="0" borderId="0" xfId="0" applyNumberFormat="1" applyFont="1" applyFill="1"/>
    <xf numFmtId="169" fontId="3" fillId="0" borderId="0" xfId="0" applyNumberFormat="1" applyFont="1" applyFill="1"/>
    <xf numFmtId="44" fontId="0" fillId="0" borderId="0" xfId="16" applyFont="1"/>
    <xf numFmtId="44" fontId="0" fillId="0" borderId="0" xfId="0" applyNumberFormat="1"/>
    <xf numFmtId="3" fontId="0" fillId="0" borderId="0" xfId="0" applyNumberFormat="1" applyFont="1" applyFill="1" applyBorder="1"/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/>
    <xf numFmtId="3" fontId="9" fillId="0" borderId="0" xfId="0" applyNumberFormat="1" applyFont="1" applyFill="1"/>
    <xf numFmtId="3" fontId="11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Font="1"/>
    <xf numFmtId="3" fontId="0" fillId="0" borderId="1" xfId="0" applyNumberFormat="1" applyFont="1" applyFill="1" applyBorder="1"/>
    <xf numFmtId="0" fontId="0" fillId="0" borderId="0" xfId="0" applyAlignment="1">
      <alignment horizontal="left" vertical="center" inden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3" borderId="0" xfId="0" applyNumberFormat="1" applyFont="1" applyFill="1"/>
    <xf numFmtId="3" fontId="0" fillId="3" borderId="0" xfId="0" applyNumberFormat="1" applyFont="1" applyFill="1"/>
    <xf numFmtId="3" fontId="8" fillId="0" borderId="0" xfId="0" applyNumberFormat="1" applyFont="1" applyFill="1"/>
    <xf numFmtId="166" fontId="0" fillId="0" borderId="0" xfId="15" applyNumberFormat="1" applyFont="1"/>
    <xf numFmtId="3" fontId="8" fillId="0" borderId="0" xfId="0" applyNumberFormat="1" applyFont="1" applyFill="1" applyBorder="1"/>
    <xf numFmtId="0" fontId="0" fillId="0" borderId="0" xfId="0" applyFont="1" applyAlignment="1">
      <alignment/>
    </xf>
    <xf numFmtId="3" fontId="0" fillId="0" borderId="9" xfId="0" applyNumberFormat="1" applyBorder="1"/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3" fontId="3" fillId="4" borderId="0" xfId="0" applyNumberFormat="1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3" fontId="8" fillId="0" borderId="7" xfId="0" applyNumberFormat="1" applyFont="1" applyFill="1" applyBorder="1"/>
    <xf numFmtId="3" fontId="0" fillId="0" borderId="7" xfId="0" applyNumberFormat="1" applyFont="1" applyFill="1" applyBorder="1"/>
    <xf numFmtId="3" fontId="0" fillId="0" borderId="8" xfId="0" applyNumberFormat="1" applyFont="1" applyFill="1" applyBorder="1"/>
    <xf numFmtId="3" fontId="12" fillId="0" borderId="0" xfId="0" applyNumberFormat="1" applyFont="1" applyFill="1" applyBorder="1"/>
    <xf numFmtId="5" fontId="12" fillId="0" borderId="0" xfId="0" applyNumberFormat="1" applyFont="1" applyFill="1"/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60</xdr:row>
      <xdr:rowOff>76200</xdr:rowOff>
    </xdr:from>
    <xdr:to>
      <xdr:col>3</xdr:col>
      <xdr:colOff>714375</xdr:colOff>
      <xdr:row>65</xdr:row>
      <xdr:rowOff>66675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4324350" y="8391525"/>
          <a:ext cx="76200" cy="0"/>
        </a:xfrm>
        <a:prstGeom prst="lef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</xdr:spPr>
    </xdr:sp>
    <xdr:clientData/>
  </xdr:twoCellAnchor>
  <xdr:twoCellAnchor>
    <xdr:from>
      <xdr:col>3</xdr:col>
      <xdr:colOff>638175</xdr:colOff>
      <xdr:row>70</xdr:row>
      <xdr:rowOff>76200</xdr:rowOff>
    </xdr:from>
    <xdr:to>
      <xdr:col>3</xdr:col>
      <xdr:colOff>723900</xdr:colOff>
      <xdr:row>84</xdr:row>
      <xdr:rowOff>104775</xdr:rowOff>
    </xdr:to>
    <xdr:sp macro="" textlink="">
      <xdr:nvSpPr>
        <xdr:cNvPr id="5" name="AutoShape 3"/>
        <xdr:cNvSpPr>
          <a:spLocks/>
        </xdr:cNvSpPr>
      </xdr:nvSpPr>
      <xdr:spPr bwMode="auto">
        <a:xfrm>
          <a:off x="4324350" y="8391525"/>
          <a:ext cx="85725" cy="0"/>
        </a:xfrm>
        <a:prstGeom prst="lef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2020%20WA%20Elec%20and%20Gas%20GRC\Adjustments\2019%20WA%20Natural%20Gas%20RR%20Model%20AMA%2010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0SED RATES"/>
      <sheetName val="RR SUMMARY"/>
      <sheetName val="ADJ DETAIL INPUT"/>
      <sheetName val="CF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 refreshError="1"/>
      <sheetData sheetId="1" refreshError="1"/>
      <sheetData sheetId="2" refreshError="1"/>
      <sheetData sheetId="3">
        <row r="15">
          <cell r="E15">
            <v>0.003326050427244104</v>
          </cell>
        </row>
        <row r="17">
          <cell r="E17">
            <v>0.002</v>
          </cell>
        </row>
        <row r="19">
          <cell r="E19">
            <v>0.038391880537542555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4"/>
  <sheetViews>
    <sheetView tabSelected="1" workbookViewId="0" topLeftCell="A4">
      <selection activeCell="I29" sqref="I29"/>
    </sheetView>
  </sheetViews>
  <sheetFormatPr defaultColWidth="9.140625" defaultRowHeight="12.75"/>
  <cols>
    <col min="1" max="1" width="2.28125" style="0" customWidth="1"/>
    <col min="2" max="2" width="35.28125" style="0" customWidth="1"/>
    <col min="3" max="3" width="10.140625" style="0" customWidth="1"/>
    <col min="4" max="5" width="11.7109375" style="0" customWidth="1"/>
    <col min="6" max="6" width="10.140625" style="0" customWidth="1"/>
    <col min="7" max="7" width="11.7109375" style="0" customWidth="1"/>
    <col min="8" max="8" width="12.57421875" style="0" customWidth="1"/>
    <col min="9" max="9" width="9.28125" style="0" customWidth="1"/>
    <col min="10" max="10" width="32.7109375" style="0" customWidth="1"/>
    <col min="11" max="11" width="2.28125" style="40" customWidth="1"/>
    <col min="12" max="12" width="37.140625" style="0" bestFit="1" customWidth="1"/>
    <col min="13" max="19" width="12.28125" style="0" customWidth="1"/>
    <col min="20" max="20" width="11.8515625" style="0" customWidth="1"/>
  </cols>
  <sheetData>
    <row r="1" ht="12.75">
      <c r="A1" s="36" t="s">
        <v>119</v>
      </c>
    </row>
    <row r="2" ht="12.75">
      <c r="A2" s="36"/>
    </row>
    <row r="3" spans="1:8" ht="12.75">
      <c r="A3" s="36"/>
      <c r="G3" s="2" t="s">
        <v>5</v>
      </c>
      <c r="H3" s="21" t="s">
        <v>10</v>
      </c>
    </row>
    <row r="4" spans="1:8" ht="12.75">
      <c r="A4" s="66" t="s">
        <v>120</v>
      </c>
      <c r="D4" s="2" t="s">
        <v>89</v>
      </c>
      <c r="E4" s="2"/>
      <c r="F4" s="2" t="s">
        <v>1</v>
      </c>
      <c r="G4" s="2" t="s">
        <v>2</v>
      </c>
      <c r="H4" s="22" t="s">
        <v>12</v>
      </c>
    </row>
    <row r="5" spans="2:8" ht="12.75">
      <c r="B5" s="16" t="s">
        <v>10</v>
      </c>
      <c r="C5" s="16" t="s">
        <v>65</v>
      </c>
      <c r="E5" s="16" t="s">
        <v>65</v>
      </c>
      <c r="F5" s="1"/>
      <c r="G5" s="1"/>
      <c r="H5" s="94"/>
    </row>
    <row r="6" spans="2:8" ht="12.75">
      <c r="B6" s="20" t="s">
        <v>63</v>
      </c>
      <c r="C6" s="82" t="s">
        <v>90</v>
      </c>
      <c r="D6" s="7">
        <f>'Reconcile ROO to CB'!J6</f>
        <v>93055</v>
      </c>
      <c r="E6" s="82" t="s">
        <v>97</v>
      </c>
      <c r="F6" s="102">
        <f>108082-F12</f>
        <v>102740</v>
      </c>
      <c r="G6" s="7">
        <f aca="true" t="shared" si="0" ref="G6:G10">F6-D6</f>
        <v>9685</v>
      </c>
      <c r="H6" s="31">
        <f>G6</f>
        <v>9685</v>
      </c>
    </row>
    <row r="7" spans="2:8" ht="12.75" customHeight="1">
      <c r="B7" s="92" t="s">
        <v>93</v>
      </c>
      <c r="C7" s="82" t="s">
        <v>90</v>
      </c>
      <c r="D7" s="7">
        <f>'Reconcile ROO to CB'!J7</f>
        <v>53468.33908562176</v>
      </c>
      <c r="E7" s="82"/>
      <c r="F7" s="102"/>
      <c r="G7" s="7">
        <f t="shared" si="0"/>
        <v>-53468.33908562176</v>
      </c>
      <c r="H7" s="31">
        <f>G7</f>
        <v>-53468.33908562176</v>
      </c>
    </row>
    <row r="8" spans="2:8" ht="12.75">
      <c r="B8" s="66" t="s">
        <v>17</v>
      </c>
      <c r="C8" s="82" t="s">
        <v>90</v>
      </c>
      <c r="D8" s="7">
        <f>'Reconcile ROO to CB'!J8</f>
        <v>-2200.3390856217575</v>
      </c>
      <c r="E8" s="82" t="s">
        <v>97</v>
      </c>
      <c r="F8" s="102">
        <v>-2444</v>
      </c>
      <c r="G8" s="7">
        <f t="shared" si="0"/>
        <v>-243.66091437824252</v>
      </c>
      <c r="H8" s="31">
        <f>G8</f>
        <v>-243.66091437824252</v>
      </c>
    </row>
    <row r="9" spans="2:8" ht="12.75">
      <c r="B9" t="s">
        <v>19</v>
      </c>
      <c r="C9" s="82" t="s">
        <v>90</v>
      </c>
      <c r="D9" s="7">
        <f>'Reconcile ROO to CB'!J14</f>
        <v>-2758</v>
      </c>
      <c r="E9" s="82" t="s">
        <v>97</v>
      </c>
      <c r="F9" s="102">
        <v>-465</v>
      </c>
      <c r="G9" s="7">
        <f t="shared" si="0"/>
        <v>2293</v>
      </c>
      <c r="H9" s="31">
        <f>G9</f>
        <v>2293</v>
      </c>
    </row>
    <row r="10" spans="2:8" ht="12.75">
      <c r="B10" s="68" t="s">
        <v>51</v>
      </c>
      <c r="C10" s="82"/>
      <c r="D10" s="67">
        <f>SUM(D6:D9)</f>
        <v>141565</v>
      </c>
      <c r="E10" s="87"/>
      <c r="F10" s="9">
        <f>SUM(F6:F9)</f>
        <v>99831</v>
      </c>
      <c r="G10" s="9">
        <f t="shared" si="0"/>
        <v>-41734</v>
      </c>
      <c r="H10" s="38">
        <f>SUM(H6:H9)</f>
        <v>-41734</v>
      </c>
    </row>
    <row r="11" spans="2:8" ht="12.75">
      <c r="B11" s="18"/>
      <c r="C11" s="83"/>
      <c r="D11" s="7"/>
      <c r="E11" s="88"/>
      <c r="F11" s="42"/>
      <c r="G11" s="7"/>
      <c r="H11" s="31"/>
    </row>
    <row r="12" spans="2:8" ht="12.75">
      <c r="B12" s="80" t="s">
        <v>28</v>
      </c>
      <c r="C12" s="82" t="s">
        <v>90</v>
      </c>
      <c r="D12" s="7">
        <f>'Reconcile ROO to CB'!J17</f>
        <v>5052</v>
      </c>
      <c r="E12" s="82" t="s">
        <v>97</v>
      </c>
      <c r="F12" s="102">
        <f>3581+1336+425</f>
        <v>5342</v>
      </c>
      <c r="G12" s="7">
        <f>F12-D12</f>
        <v>290</v>
      </c>
      <c r="H12" s="31">
        <f>G12</f>
        <v>290</v>
      </c>
    </row>
    <row r="13" spans="3:8" ht="12.75">
      <c r="C13" s="28"/>
      <c r="E13" s="28"/>
      <c r="H13" s="31"/>
    </row>
    <row r="14" spans="2:8" ht="12.75">
      <c r="B14" s="66" t="s">
        <v>85</v>
      </c>
      <c r="C14" s="84"/>
      <c r="D14" s="56">
        <f>'Reconcile ROO to CB'!J19</f>
        <v>0</v>
      </c>
      <c r="E14" s="89"/>
      <c r="F14" s="8">
        <v>0</v>
      </c>
      <c r="G14" s="7">
        <f>F14-D14</f>
        <v>0</v>
      </c>
      <c r="H14" s="31">
        <f>G14</f>
        <v>0</v>
      </c>
    </row>
    <row r="15" spans="2:8" ht="12.75">
      <c r="B15" s="18" t="s">
        <v>50</v>
      </c>
      <c r="C15" s="85"/>
      <c r="D15" s="67">
        <f>SUM(D12:D14)</f>
        <v>5052</v>
      </c>
      <c r="E15" s="87"/>
      <c r="F15" s="9">
        <f>SUM(F12:F14)</f>
        <v>5342</v>
      </c>
      <c r="G15" s="9">
        <f>F15-D15</f>
        <v>290</v>
      </c>
      <c r="H15" s="38">
        <f>SUM(H12:H14)</f>
        <v>290</v>
      </c>
    </row>
    <row r="16" spans="2:8" ht="12.75">
      <c r="B16" s="18"/>
      <c r="C16" s="85"/>
      <c r="D16" s="37"/>
      <c r="E16" s="87"/>
      <c r="F16" s="9"/>
      <c r="G16" s="9"/>
      <c r="H16" s="38"/>
    </row>
    <row r="17" spans="2:8" ht="12.75">
      <c r="B17" t="s">
        <v>23</v>
      </c>
      <c r="C17" s="85" t="s">
        <v>66</v>
      </c>
      <c r="D17" s="35">
        <f>'Reconcile ROO to CB'!J22</f>
        <v>146617</v>
      </c>
      <c r="E17" s="90"/>
      <c r="F17" s="35">
        <f>F10+F15</f>
        <v>105173</v>
      </c>
      <c r="G17" s="35">
        <f>G10+G15</f>
        <v>-41444</v>
      </c>
      <c r="H17" s="31">
        <f>H10+H15</f>
        <v>-41444</v>
      </c>
    </row>
    <row r="18" spans="2:9" ht="12.75">
      <c r="B18" s="66" t="s">
        <v>115</v>
      </c>
      <c r="C18" s="84" t="s">
        <v>90</v>
      </c>
      <c r="D18" s="35">
        <f>'Reconcile ROO to CB'!J25</f>
        <v>0</v>
      </c>
      <c r="E18" s="89"/>
      <c r="F18" s="8">
        <v>0</v>
      </c>
      <c r="G18" s="7">
        <f>F18-D18</f>
        <v>0</v>
      </c>
      <c r="H18" s="31">
        <f>G18</f>
        <v>0</v>
      </c>
      <c r="I18" s="66" t="s">
        <v>118</v>
      </c>
    </row>
    <row r="19" spans="2:9" ht="12.75">
      <c r="B19" s="66" t="s">
        <v>116</v>
      </c>
      <c r="C19" s="84" t="s">
        <v>90</v>
      </c>
      <c r="D19" s="35">
        <f>'Reconcile ROO to CB'!J26</f>
        <v>-35</v>
      </c>
      <c r="E19" s="89"/>
      <c r="F19" s="8">
        <v>0</v>
      </c>
      <c r="G19" s="7">
        <f>F19-D19</f>
        <v>35</v>
      </c>
      <c r="H19" s="31">
        <f>G19</f>
        <v>35</v>
      </c>
      <c r="I19" s="66" t="s">
        <v>123</v>
      </c>
    </row>
    <row r="20" spans="2:9" ht="12.75">
      <c r="B20" s="66" t="s">
        <v>67</v>
      </c>
      <c r="C20" s="84" t="s">
        <v>90</v>
      </c>
      <c r="D20" s="35">
        <f>'Reconcile ROO to CB'!J28</f>
        <v>1188</v>
      </c>
      <c r="E20" s="89"/>
      <c r="F20" s="8">
        <v>0</v>
      </c>
      <c r="G20" s="7">
        <f>F20-D20</f>
        <v>-1188</v>
      </c>
      <c r="H20" s="31">
        <f>G20</f>
        <v>-1188</v>
      </c>
      <c r="I20" s="66" t="s">
        <v>122</v>
      </c>
    </row>
    <row r="21" spans="2:8" ht="12.75">
      <c r="B21" s="93" t="s">
        <v>94</v>
      </c>
      <c r="C21" s="84"/>
      <c r="D21" s="33">
        <f>SUM(D17:D20)</f>
        <v>147770</v>
      </c>
      <c r="E21" s="87"/>
      <c r="F21" s="33">
        <f>+SUM(F17:F20)</f>
        <v>105173</v>
      </c>
      <c r="G21" s="33">
        <f>SUM(G17:G20)</f>
        <v>-42597</v>
      </c>
      <c r="H21" s="34">
        <f>SUM(H17:H20)</f>
        <v>-42597</v>
      </c>
    </row>
    <row r="22" spans="3:8" ht="12.75">
      <c r="C22" s="85"/>
      <c r="D22" s="35"/>
      <c r="E22" s="90"/>
      <c r="F22" s="42"/>
      <c r="G22" s="35"/>
      <c r="H22" s="31"/>
    </row>
    <row r="23" spans="2:8" ht="12.75">
      <c r="B23" s="16" t="s">
        <v>53</v>
      </c>
      <c r="C23" s="86"/>
      <c r="D23" s="10"/>
      <c r="E23" s="91"/>
      <c r="F23" s="11"/>
      <c r="G23" s="11"/>
      <c r="H23" s="24"/>
    </row>
    <row r="24" spans="2:8" ht="12.75">
      <c r="B24" s="3" t="s">
        <v>25</v>
      </c>
      <c r="C24" s="82" t="s">
        <v>90</v>
      </c>
      <c r="D24" s="7">
        <f>'Reconcile ROO to CB'!J35</f>
        <v>51148</v>
      </c>
      <c r="E24" s="82"/>
      <c r="F24" s="11">
        <v>0</v>
      </c>
      <c r="G24" s="11">
        <f>F24-D24</f>
        <v>-51148</v>
      </c>
      <c r="H24" s="24">
        <f aca="true" t="shared" si="1" ref="H24:H25">G24</f>
        <v>-51148</v>
      </c>
    </row>
    <row r="25" spans="2:8" ht="12.75">
      <c r="B25" s="3" t="s">
        <v>62</v>
      </c>
      <c r="C25" s="82" t="s">
        <v>90</v>
      </c>
      <c r="D25" s="7">
        <f>'Reconcile ROO to CB'!J37</f>
        <v>84</v>
      </c>
      <c r="E25" s="82"/>
      <c r="F25" s="11">
        <f>D25</f>
        <v>84</v>
      </c>
      <c r="G25" s="11">
        <f>F25-D25</f>
        <v>0</v>
      </c>
      <c r="H25" s="24">
        <f t="shared" si="1"/>
        <v>0</v>
      </c>
    </row>
    <row r="26" spans="2:10" ht="12.75">
      <c r="B26" s="3" t="s">
        <v>8</v>
      </c>
      <c r="C26" s="62"/>
      <c r="D26" s="12"/>
      <c r="E26" s="12"/>
      <c r="F26" s="13"/>
      <c r="G26" s="14"/>
      <c r="H26" s="24">
        <f>ROUND(H$17*$I26,0)</f>
        <v>-1591</v>
      </c>
      <c r="I26" s="52">
        <f>'Reconcile ROO to CB'!K43</f>
        <v>0.038391880537542555</v>
      </c>
      <c r="J26" s="66" t="s">
        <v>14</v>
      </c>
    </row>
    <row r="27" spans="2:10" ht="12.75">
      <c r="B27" s="3" t="s">
        <v>3</v>
      </c>
      <c r="C27" s="62"/>
      <c r="D27" s="12"/>
      <c r="E27" s="12"/>
      <c r="F27" s="13"/>
      <c r="G27" s="14"/>
      <c r="H27" s="32">
        <f>ROUND(H$17*$I27,0)</f>
        <v>-138</v>
      </c>
      <c r="I27" s="52">
        <f>'Reconcile ROO to CB'!K44</f>
        <v>0.003326050427244104</v>
      </c>
      <c r="J27" t="s">
        <v>14</v>
      </c>
    </row>
    <row r="28" spans="2:10" ht="12.75">
      <c r="B28" s="3" t="s">
        <v>4</v>
      </c>
      <c r="C28" s="62"/>
      <c r="D28" s="12"/>
      <c r="E28" s="12"/>
      <c r="F28" s="13"/>
      <c r="G28" s="14"/>
      <c r="H28" s="24">
        <f>ROUND(H$17*$I28,0)</f>
        <v>-83</v>
      </c>
      <c r="I28" s="52">
        <f>'Reconcile ROO to CB'!K45</f>
        <v>0.002</v>
      </c>
      <c r="J28" t="s">
        <v>13</v>
      </c>
    </row>
    <row r="29" spans="3:10" ht="12.75">
      <c r="C29" s="40"/>
      <c r="D29" s="12"/>
      <c r="E29" s="12"/>
      <c r="F29" s="13"/>
      <c r="G29" s="14"/>
      <c r="H29" s="25">
        <f>SUM(H24:H28)</f>
        <v>-52960</v>
      </c>
      <c r="I29" s="19">
        <f>SUM(I26:I28)</f>
        <v>0.04371793096478666</v>
      </c>
      <c r="J29" t="s">
        <v>22</v>
      </c>
    </row>
    <row r="30" spans="3:8" ht="12.75">
      <c r="C30" s="40"/>
      <c r="D30" s="12"/>
      <c r="E30" s="12"/>
      <c r="F30" s="13"/>
      <c r="G30" s="14"/>
      <c r="H30" s="24"/>
    </row>
    <row r="31" spans="2:8" ht="12.75">
      <c r="B31" s="17" t="s">
        <v>6</v>
      </c>
      <c r="C31" s="81"/>
      <c r="D31" s="12"/>
      <c r="E31" s="12"/>
      <c r="F31" s="13"/>
      <c r="G31" s="14"/>
      <c r="H31" s="24">
        <f>H21-H29</f>
        <v>10363</v>
      </c>
    </row>
    <row r="32" spans="2:9" ht="12.75">
      <c r="B32" s="18" t="s">
        <v>11</v>
      </c>
      <c r="C32" s="62"/>
      <c r="D32" s="12"/>
      <c r="E32" s="12"/>
      <c r="F32" s="13"/>
      <c r="G32" s="14"/>
      <c r="H32" s="24">
        <f>ROUND(H31*$I32,0)</f>
        <v>2176</v>
      </c>
      <c r="I32" s="6">
        <v>0.21</v>
      </c>
    </row>
    <row r="33" spans="2:8" ht="13.5" thickBot="1">
      <c r="B33" s="17" t="s">
        <v>9</v>
      </c>
      <c r="C33" s="17"/>
      <c r="D33" s="12"/>
      <c r="E33" s="12"/>
      <c r="F33" s="13"/>
      <c r="G33" s="14"/>
      <c r="H33" s="26">
        <f>H31-H32</f>
        <v>8187</v>
      </c>
    </row>
    <row r="34" spans="7:8" ht="13.5" thickTop="1">
      <c r="G34" s="5"/>
      <c r="H34" s="27"/>
    </row>
    <row r="35" spans="2:10" ht="12.75">
      <c r="B35" s="30" t="s">
        <v>18</v>
      </c>
      <c r="C35" s="30"/>
      <c r="D35" s="1"/>
      <c r="E35" s="1"/>
      <c r="F35" s="1"/>
      <c r="G35" s="1"/>
      <c r="I35" s="1">
        <f>H17</f>
        <v>-41444</v>
      </c>
      <c r="J35" t="s">
        <v>10</v>
      </c>
    </row>
    <row r="36" spans="2:10" ht="12.75">
      <c r="B36" s="104" t="s">
        <v>76</v>
      </c>
      <c r="C36" s="30"/>
      <c r="D36" s="4"/>
      <c r="E36" s="62"/>
      <c r="F36" s="103">
        <f>1336+425</f>
        <v>1761</v>
      </c>
      <c r="I36" s="47">
        <f>I29</f>
        <v>0.04371793096478666</v>
      </c>
      <c r="J36" t="s">
        <v>22</v>
      </c>
    </row>
    <row r="37" spans="2:10" ht="12.75">
      <c r="B37" s="104"/>
      <c r="C37" s="43"/>
      <c r="F37" s="44">
        <f>F15-F36</f>
        <v>3581</v>
      </c>
      <c r="G37" s="45" t="s">
        <v>86</v>
      </c>
      <c r="H37" s="49"/>
      <c r="I37" s="46">
        <f>ROUND(I35*I36,0)</f>
        <v>-1812</v>
      </c>
      <c r="J37" t="s">
        <v>15</v>
      </c>
    </row>
    <row r="38" spans="4:10" ht="12.75">
      <c r="D38" s="4"/>
      <c r="E38" s="4"/>
      <c r="I38" s="48">
        <f>SUM(H26:H28)</f>
        <v>-1812</v>
      </c>
      <c r="J38" t="s">
        <v>16</v>
      </c>
    </row>
    <row r="39" ht="12.75">
      <c r="I39" s="46">
        <f>I37-I38</f>
        <v>0</v>
      </c>
    </row>
    <row r="40" ht="12.75">
      <c r="I40" s="40"/>
    </row>
    <row r="41" spans="7:10" ht="12.75">
      <c r="G41" s="41"/>
      <c r="H41" s="41"/>
      <c r="I41" s="40"/>
      <c r="J41" s="50"/>
    </row>
    <row r="42" spans="7:10" ht="12.75">
      <c r="G42" s="41"/>
      <c r="H42" s="41"/>
      <c r="I42" s="40"/>
      <c r="J42" s="29"/>
    </row>
    <row r="43" spans="7:10" ht="12.75">
      <c r="G43" s="65"/>
      <c r="H43" s="41"/>
      <c r="I43" s="40"/>
      <c r="J43" s="1"/>
    </row>
    <row r="44" spans="7:10" ht="12.75">
      <c r="G44" s="41"/>
      <c r="H44" s="41"/>
      <c r="I44" s="40"/>
      <c r="J44" s="51"/>
    </row>
    <row r="45" spans="7:10" ht="12.75">
      <c r="G45" s="65"/>
      <c r="H45" s="41"/>
      <c r="I45" s="40"/>
      <c r="J45" s="29"/>
    </row>
    <row r="46" spans="7:9" ht="12.75">
      <c r="G46" s="65"/>
      <c r="H46" s="41"/>
      <c r="I46" s="40"/>
    </row>
    <row r="47" spans="7:9" ht="12.75">
      <c r="G47" s="65"/>
      <c r="H47" s="41"/>
      <c r="I47" s="40"/>
    </row>
    <row r="48" spans="7:9" ht="12.75">
      <c r="G48" s="65"/>
      <c r="H48" s="41"/>
      <c r="I48" s="40"/>
    </row>
    <row r="49" spans="7:17" ht="12.75">
      <c r="G49" s="65"/>
      <c r="H49" s="41"/>
      <c r="I49" s="40"/>
      <c r="N49" s="53"/>
      <c r="O49" s="53"/>
      <c r="P49" s="53"/>
      <c r="Q49" s="53"/>
    </row>
    <row r="50" spans="7:9" ht="12.75">
      <c r="G50" s="41"/>
      <c r="H50" s="41"/>
      <c r="I50" s="40"/>
    </row>
    <row r="51" spans="7:17" ht="12.75">
      <c r="G51" s="41"/>
      <c r="H51" s="41"/>
      <c r="I51" s="40"/>
      <c r="M51" s="55"/>
      <c r="N51" s="54"/>
      <c r="O51" s="54"/>
      <c r="P51" s="54"/>
      <c r="Q51" s="54"/>
    </row>
    <row r="52" spans="7:11" ht="12.75">
      <c r="G52" s="65"/>
      <c r="H52" s="41"/>
      <c r="I52" s="40"/>
      <c r="K52"/>
    </row>
    <row r="53" spans="7:11" ht="12.75">
      <c r="G53" s="65"/>
      <c r="H53" s="41"/>
      <c r="I53" s="40"/>
      <c r="K53" s="55"/>
    </row>
    <row r="54" spans="7:11" ht="12.75">
      <c r="G54" s="65"/>
      <c r="H54" s="41"/>
      <c r="I54" s="40"/>
      <c r="K54"/>
    </row>
    <row r="55" spans="7:11" ht="12.75">
      <c r="G55" s="35"/>
      <c r="H55" s="41"/>
      <c r="I55" s="40"/>
      <c r="K55"/>
    </row>
    <row r="56" spans="7:11" ht="12.75">
      <c r="G56" s="41"/>
      <c r="H56" s="41"/>
      <c r="I56" s="40"/>
      <c r="K56"/>
    </row>
    <row r="57" spans="7:11" ht="12.75">
      <c r="G57" s="41"/>
      <c r="H57" s="41"/>
      <c r="I57" s="40"/>
      <c r="K57"/>
    </row>
    <row r="58" spans="7:11" ht="12.75">
      <c r="G58" s="65"/>
      <c r="H58" s="41"/>
      <c r="I58" s="40"/>
      <c r="K58"/>
    </row>
    <row r="59" spans="7:11" ht="12.75">
      <c r="G59" s="65"/>
      <c r="H59" s="41"/>
      <c r="I59" s="40"/>
      <c r="K59"/>
    </row>
    <row r="60" spans="7:11" ht="12.75">
      <c r="G60" s="41"/>
      <c r="H60" s="41"/>
      <c r="I60" s="40"/>
      <c r="K60"/>
    </row>
    <row r="61" spans="7:11" ht="12.75">
      <c r="G61" s="41"/>
      <c r="H61" s="41"/>
      <c r="I61" s="40"/>
      <c r="K61"/>
    </row>
    <row r="62" spans="7:11" ht="12.75">
      <c r="G62" s="41"/>
      <c r="H62" s="41"/>
      <c r="I62" s="40"/>
      <c r="K62"/>
    </row>
    <row r="63" spans="7:11" ht="12.75">
      <c r="G63" s="41"/>
      <c r="H63" s="41"/>
      <c r="I63" s="40"/>
      <c r="K63"/>
    </row>
    <row r="64" spans="7:11" ht="12.75">
      <c r="G64" s="41"/>
      <c r="H64" s="41"/>
      <c r="I64" s="40"/>
      <c r="K64"/>
    </row>
    <row r="65" spans="7:11" ht="12.75">
      <c r="G65" s="41"/>
      <c r="H65" s="41"/>
      <c r="I65" s="40"/>
      <c r="K65"/>
    </row>
    <row r="66" spans="7:11" ht="12.75">
      <c r="G66" s="41"/>
      <c r="H66" s="41"/>
      <c r="I66" s="40"/>
      <c r="K66"/>
    </row>
    <row r="67" spans="7:11" ht="12.75">
      <c r="G67" s="41"/>
      <c r="H67" s="41"/>
      <c r="K67"/>
    </row>
    <row r="68" spans="7:11" ht="12.75">
      <c r="G68" s="41"/>
      <c r="H68" s="41"/>
      <c r="I68" s="64"/>
      <c r="J68" s="41"/>
      <c r="K68"/>
    </row>
    <row r="69" spans="7:11" ht="12.75">
      <c r="G69" s="41"/>
      <c r="H69" s="41"/>
      <c r="I69" s="41"/>
      <c r="J69" s="41"/>
      <c r="K69"/>
    </row>
    <row r="70" spans="7:11" ht="12.75">
      <c r="G70" s="41"/>
      <c r="H70" s="41"/>
      <c r="I70" s="8"/>
      <c r="J70" s="41"/>
      <c r="K70"/>
    </row>
    <row r="71" spans="7:11" ht="12.75">
      <c r="G71" s="41"/>
      <c r="H71" s="41"/>
      <c r="I71" s="8"/>
      <c r="J71" s="41"/>
      <c r="K71"/>
    </row>
    <row r="72" spans="7:11" ht="12.75">
      <c r="G72" s="41"/>
      <c r="H72" s="41"/>
      <c r="I72" s="8"/>
      <c r="J72" s="41"/>
      <c r="K72"/>
    </row>
    <row r="73" spans="7:11" ht="12.75">
      <c r="G73" s="65"/>
      <c r="H73" s="41"/>
      <c r="I73" s="8"/>
      <c r="J73" s="41"/>
      <c r="K73"/>
    </row>
    <row r="74" spans="7:11" ht="12.75">
      <c r="G74" s="35"/>
      <c r="H74" s="41"/>
      <c r="I74" s="8"/>
      <c r="J74" s="41"/>
      <c r="K74"/>
    </row>
    <row r="75" spans="7:11" ht="12.75">
      <c r="G75" s="41"/>
      <c r="H75" s="41"/>
      <c r="I75" s="8"/>
      <c r="J75" s="41"/>
      <c r="K75"/>
    </row>
    <row r="76" spans="6:11" ht="12.75">
      <c r="F76" s="1"/>
      <c r="I76" s="8"/>
      <c r="J76" s="41"/>
      <c r="K76"/>
    </row>
    <row r="77" spans="6:11" ht="12.75">
      <c r="F77" s="1"/>
      <c r="I77" s="35"/>
      <c r="J77" s="41"/>
      <c r="K77"/>
    </row>
    <row r="78" spans="6:11" ht="12.75">
      <c r="F78" s="1"/>
      <c r="I78" s="35"/>
      <c r="J78" s="41"/>
      <c r="K78"/>
    </row>
    <row r="79" spans="6:10" ht="12.75">
      <c r="F79" s="1"/>
      <c r="I79" s="8"/>
      <c r="J79" s="41"/>
    </row>
    <row r="80" spans="6:10" ht="12.75">
      <c r="F80" s="1"/>
      <c r="I80" s="35"/>
      <c r="J80" s="41"/>
    </row>
    <row r="81" spans="6:10" ht="12.75">
      <c r="F81" s="1"/>
      <c r="I81" s="8"/>
      <c r="J81" s="41"/>
    </row>
    <row r="82" spans="6:10" ht="12.75">
      <c r="F82" s="1"/>
      <c r="I82" s="35"/>
      <c r="J82" s="41"/>
    </row>
    <row r="83" spans="9:10" ht="12.75">
      <c r="I83" s="35"/>
      <c r="J83" s="41"/>
    </row>
    <row r="84" spans="9:10" ht="12.75">
      <c r="I84" s="35"/>
      <c r="J84" s="41"/>
    </row>
    <row r="85" spans="9:10" ht="12.75">
      <c r="I85" s="8"/>
      <c r="J85" s="41"/>
    </row>
    <row r="86" spans="9:10" ht="12.75">
      <c r="I86" s="8"/>
      <c r="J86" s="41"/>
    </row>
    <row r="87" spans="9:10" ht="12.75">
      <c r="I87" s="35"/>
      <c r="J87" s="41"/>
    </row>
    <row r="88" spans="9:10" ht="12.75">
      <c r="I88" s="35"/>
      <c r="J88" s="41"/>
    </row>
    <row r="89" spans="9:10" ht="12.75">
      <c r="I89" s="35"/>
      <c r="J89" s="41"/>
    </row>
    <row r="90" spans="9:10" ht="12.75">
      <c r="I90" s="8"/>
      <c r="J90" s="35"/>
    </row>
    <row r="91" spans="9:10" ht="12.75">
      <c r="I91" s="8"/>
      <c r="J91" s="35"/>
    </row>
    <row r="92" spans="9:10" ht="12.75">
      <c r="I92" s="8"/>
      <c r="J92" s="35"/>
    </row>
    <row r="93" spans="9:10" ht="12.75">
      <c r="I93" s="8"/>
      <c r="J93" s="35"/>
    </row>
    <row r="94" spans="9:10" ht="12.75">
      <c r="I94" s="8"/>
      <c r="J94" s="35"/>
    </row>
    <row r="95" spans="9:10" ht="12.75">
      <c r="I95" s="8"/>
      <c r="J95" s="35"/>
    </row>
    <row r="96" spans="9:10" ht="12.75">
      <c r="I96" s="8"/>
      <c r="J96" s="35"/>
    </row>
    <row r="97" spans="9:10" ht="12.75">
      <c r="I97" s="8"/>
      <c r="J97" s="35"/>
    </row>
    <row r="98" spans="9:10" ht="12.75">
      <c r="I98" s="8"/>
      <c r="J98" s="35"/>
    </row>
    <row r="99" spans="9:10" ht="12.75">
      <c r="I99" s="8"/>
      <c r="J99" s="35"/>
    </row>
    <row r="100" spans="9:10" ht="12.75">
      <c r="I100" s="35"/>
      <c r="J100" s="35"/>
    </row>
    <row r="101" spans="9:10" ht="12.75">
      <c r="I101" s="35"/>
      <c r="J101" s="41"/>
    </row>
    <row r="102" spans="9:10" ht="12.75">
      <c r="I102" s="35"/>
      <c r="J102" s="41"/>
    </row>
    <row r="103" ht="12.75">
      <c r="I103" s="1"/>
    </row>
    <row r="104" ht="12.75">
      <c r="I104" s="1"/>
    </row>
  </sheetData>
  <mergeCells count="1">
    <mergeCell ref="B36:B37"/>
  </mergeCells>
  <printOptions horizontalCentered="1" verticalCentered="1"/>
  <pageMargins left="0.45" right="0.45" top="0.96" bottom="0.75" header="0.6" footer="0.3"/>
  <pageSetup fitToHeight="1" fitToWidth="1" horizontalDpi="600" verticalDpi="600" orientation="landscape" scale="85" r:id="rId1"/>
  <headerFooter>
    <oddHeader>&amp;RAdjustment No.&amp;U   &amp;"Arial,Bold"&amp;12 3.02&amp;"Arial,Regular"&amp;10&amp;U
Workpaper Ref G-PREV-1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19"/>
  <sheetViews>
    <sheetView workbookViewId="0" topLeftCell="E1">
      <selection activeCell="K28" sqref="K28:L32"/>
    </sheetView>
  </sheetViews>
  <sheetFormatPr defaultColWidth="9.140625" defaultRowHeight="12.75"/>
  <cols>
    <col min="1" max="1" width="3.140625" style="0" customWidth="1"/>
    <col min="2" max="2" width="41.00390625" style="0" customWidth="1"/>
    <col min="3" max="3" width="11.140625" style="0" bestFit="1" customWidth="1"/>
    <col min="4" max="5" width="11.7109375" style="0" customWidth="1"/>
    <col min="6" max="6" width="13.8515625" style="0" customWidth="1"/>
    <col min="7" max="9" width="11.7109375" style="0" customWidth="1"/>
    <col min="10" max="10" width="17.140625" style="0" customWidth="1"/>
    <col min="11" max="11" width="10.28125" style="0" customWidth="1"/>
    <col min="12" max="12" width="22.8515625" style="0" customWidth="1"/>
    <col min="13" max="13" width="1.28515625" style="40" customWidth="1"/>
    <col min="14" max="14" width="37.140625" style="0" bestFit="1" customWidth="1"/>
    <col min="15" max="21" width="12.28125" style="0" customWidth="1"/>
  </cols>
  <sheetData>
    <row r="1" spans="1:13" ht="12.75">
      <c r="A1" s="36" t="s">
        <v>121</v>
      </c>
      <c r="M1"/>
    </row>
    <row r="2" spans="2:13" ht="12.75">
      <c r="B2" s="93" t="s">
        <v>102</v>
      </c>
      <c r="E2" s="71" t="s">
        <v>71</v>
      </c>
      <c r="F2" s="71" t="s">
        <v>73</v>
      </c>
      <c r="G2" s="71" t="s">
        <v>71</v>
      </c>
      <c r="H2" s="71" t="s">
        <v>109</v>
      </c>
      <c r="I2" s="2" t="s">
        <v>5</v>
      </c>
      <c r="J2" s="69" t="s">
        <v>68</v>
      </c>
      <c r="M2"/>
    </row>
    <row r="3" spans="1:13" ht="12.75">
      <c r="A3" s="66"/>
      <c r="D3" s="2" t="s">
        <v>0</v>
      </c>
      <c r="E3" s="71" t="s">
        <v>72</v>
      </c>
      <c r="F3" s="71" t="s">
        <v>74</v>
      </c>
      <c r="G3" s="71" t="s">
        <v>75</v>
      </c>
      <c r="H3" s="71" t="s">
        <v>110</v>
      </c>
      <c r="I3" s="2" t="s">
        <v>2</v>
      </c>
      <c r="J3" s="70" t="s">
        <v>69</v>
      </c>
      <c r="M3"/>
    </row>
    <row r="4" spans="4:13" ht="12.75">
      <c r="D4" s="72">
        <v>1</v>
      </c>
      <c r="E4" s="97">
        <v>2.01</v>
      </c>
      <c r="F4" s="96">
        <v>2.1</v>
      </c>
      <c r="G4" s="96">
        <v>2.11</v>
      </c>
      <c r="H4" s="96">
        <v>2.12</v>
      </c>
      <c r="I4" s="2"/>
      <c r="J4" s="70" t="s">
        <v>70</v>
      </c>
      <c r="M4"/>
    </row>
    <row r="5" spans="2:13" ht="12.75">
      <c r="B5" s="16" t="s">
        <v>10</v>
      </c>
      <c r="C5" s="16" t="s">
        <v>65</v>
      </c>
      <c r="G5" s="16"/>
      <c r="H5" s="16"/>
      <c r="I5" s="1"/>
      <c r="J5" s="23"/>
      <c r="M5"/>
    </row>
    <row r="6" spans="2:13" ht="13.15" customHeight="1">
      <c r="B6" s="92" t="s">
        <v>103</v>
      </c>
      <c r="C6" s="57" t="s">
        <v>66</v>
      </c>
      <c r="D6" s="7">
        <f>D15-SUM(D7:D14)</f>
        <v>93055</v>
      </c>
      <c r="E6" s="7"/>
      <c r="F6" s="7"/>
      <c r="G6" s="62"/>
      <c r="H6" s="62"/>
      <c r="I6" s="7">
        <f aca="true" t="shared" si="0" ref="I6:I12">SUM(E6:H6)</f>
        <v>0</v>
      </c>
      <c r="J6" s="31">
        <f>D6+I6</f>
        <v>93055</v>
      </c>
      <c r="M6"/>
    </row>
    <row r="7" spans="2:13" ht="12.75">
      <c r="B7" s="20" t="s">
        <v>91</v>
      </c>
      <c r="C7" s="57" t="s">
        <v>80</v>
      </c>
      <c r="D7" s="75">
        <v>55199</v>
      </c>
      <c r="E7" s="7"/>
      <c r="F7" s="7">
        <f>F35*K47</f>
        <v>-1730.6609143782425</v>
      </c>
      <c r="G7" s="62"/>
      <c r="H7" s="62"/>
      <c r="I7" s="7">
        <f t="shared" si="0"/>
        <v>-1730.6609143782425</v>
      </c>
      <c r="J7" s="31">
        <f>D7+I7</f>
        <v>53468.33908562176</v>
      </c>
      <c r="M7"/>
    </row>
    <row r="8" spans="2:13" ht="12.75" customHeight="1">
      <c r="B8" t="s">
        <v>17</v>
      </c>
      <c r="C8" s="58" t="s">
        <v>92</v>
      </c>
      <c r="D8" s="39"/>
      <c r="E8" s="39"/>
      <c r="F8" s="39">
        <f>-3931-F7</f>
        <v>-2200.3390856217575</v>
      </c>
      <c r="G8" s="62"/>
      <c r="H8" s="62"/>
      <c r="I8" s="7">
        <f t="shared" si="0"/>
        <v>-2200.3390856217575</v>
      </c>
      <c r="J8" s="31">
        <f aca="true" t="shared" si="1" ref="J8:J10">D8+I8</f>
        <v>-2200.3390856217575</v>
      </c>
      <c r="K8" s="105" t="s">
        <v>95</v>
      </c>
      <c r="L8" s="106"/>
      <c r="M8"/>
    </row>
    <row r="9" spans="2:13" ht="12.75">
      <c r="B9" t="s">
        <v>64</v>
      </c>
      <c r="C9" s="58" t="s">
        <v>66</v>
      </c>
      <c r="D9" s="7">
        <f>-I9</f>
        <v>-12859</v>
      </c>
      <c r="E9" s="56"/>
      <c r="F9" s="56"/>
      <c r="G9" s="7">
        <f>ROUND(G36*$K$47,0)</f>
        <v>12859</v>
      </c>
      <c r="H9" s="7"/>
      <c r="I9" s="7">
        <f t="shared" si="0"/>
        <v>12859</v>
      </c>
      <c r="J9" s="31">
        <f t="shared" si="1"/>
        <v>0</v>
      </c>
      <c r="K9" s="107"/>
      <c r="L9" s="106"/>
      <c r="M9"/>
    </row>
    <row r="10" spans="2:13" ht="12.75">
      <c r="B10" s="3" t="s">
        <v>60</v>
      </c>
      <c r="C10" s="62" t="s">
        <v>79</v>
      </c>
      <c r="D10" s="7">
        <f>-I10</f>
        <v>5116</v>
      </c>
      <c r="E10" s="39">
        <v>-5116</v>
      </c>
      <c r="F10" s="39"/>
      <c r="G10" s="63"/>
      <c r="H10" s="63"/>
      <c r="I10" s="7">
        <f t="shared" si="0"/>
        <v>-5116</v>
      </c>
      <c r="J10" s="31">
        <f t="shared" si="1"/>
        <v>0</v>
      </c>
      <c r="K10" s="107"/>
      <c r="L10" s="106"/>
      <c r="M10"/>
    </row>
    <row r="11" spans="2:13" ht="12.75">
      <c r="B11" s="98" t="s">
        <v>104</v>
      </c>
      <c r="C11" s="59" t="s">
        <v>66</v>
      </c>
      <c r="D11" s="7">
        <f>-I11</f>
        <v>-2122</v>
      </c>
      <c r="E11" s="39"/>
      <c r="F11" s="39"/>
      <c r="G11" s="7">
        <f>ROUND((G42+G49/0.79)*$K$47,0)</f>
        <v>2122</v>
      </c>
      <c r="H11" s="63"/>
      <c r="I11" s="7">
        <f t="shared" si="0"/>
        <v>2122</v>
      </c>
      <c r="J11" s="31">
        <f aca="true" t="shared" si="2" ref="J11">D11+I11</f>
        <v>0</v>
      </c>
      <c r="K11" s="107"/>
      <c r="L11" s="106"/>
      <c r="M11"/>
    </row>
    <row r="12" spans="2:13" ht="12.75">
      <c r="B12" s="98" t="s">
        <v>108</v>
      </c>
      <c r="C12" s="59" t="s">
        <v>80</v>
      </c>
      <c r="D12" s="7">
        <f>-I12</f>
        <v>-1953</v>
      </c>
      <c r="E12" s="7"/>
      <c r="F12" s="7"/>
      <c r="G12" s="7">
        <f>ROUND(-G27*$K$47,0)</f>
        <v>1953</v>
      </c>
      <c r="H12" s="7"/>
      <c r="I12" s="7">
        <f t="shared" si="0"/>
        <v>1953</v>
      </c>
      <c r="J12" s="31">
        <f>D12+I12</f>
        <v>0</v>
      </c>
      <c r="K12" s="107"/>
      <c r="L12" s="106"/>
      <c r="M12"/>
    </row>
    <row r="13" spans="2:13" ht="12.75">
      <c r="B13" s="98" t="s">
        <v>105</v>
      </c>
      <c r="C13" s="59" t="s">
        <v>66</v>
      </c>
      <c r="D13" s="7">
        <f>-I13</f>
        <v>8904</v>
      </c>
      <c r="E13" s="7"/>
      <c r="F13" s="7"/>
      <c r="G13" s="7">
        <f>ROUND(G40*$K$47,0)</f>
        <v>-8904</v>
      </c>
      <c r="H13" s="7"/>
      <c r="I13" s="7">
        <f>SUM(E13:H13)</f>
        <v>-8904</v>
      </c>
      <c r="J13" s="31">
        <f>D13+I13</f>
        <v>0</v>
      </c>
      <c r="K13" s="107"/>
      <c r="L13" s="106"/>
      <c r="M13"/>
    </row>
    <row r="14" spans="2:13" ht="12.75">
      <c r="B14" t="s">
        <v>19</v>
      </c>
      <c r="C14" s="62" t="s">
        <v>78</v>
      </c>
      <c r="D14" s="39">
        <v>-2788</v>
      </c>
      <c r="E14" s="39"/>
      <c r="F14" s="39"/>
      <c r="G14" s="7">
        <f>ROUND(G41*$K$47,0)-1</f>
        <v>30</v>
      </c>
      <c r="H14" s="7"/>
      <c r="I14" s="7">
        <f>SUM(E14:H14)</f>
        <v>30</v>
      </c>
      <c r="J14" s="31">
        <f>D14+I14</f>
        <v>-2758</v>
      </c>
      <c r="M14"/>
    </row>
    <row r="15" spans="2:13" ht="12.75">
      <c r="B15" s="18" t="s">
        <v>51</v>
      </c>
      <c r="C15" s="62" t="s">
        <v>77</v>
      </c>
      <c r="D15" s="37">
        <v>142552</v>
      </c>
      <c r="E15" s="67">
        <f aca="true" t="shared" si="3" ref="E15:J15">SUM(E6:E14)</f>
        <v>-5116</v>
      </c>
      <c r="F15" s="67">
        <f t="shared" si="3"/>
        <v>-3931</v>
      </c>
      <c r="G15" s="67">
        <f t="shared" si="3"/>
        <v>8060</v>
      </c>
      <c r="H15" s="67">
        <f t="shared" si="3"/>
        <v>0</v>
      </c>
      <c r="I15" s="67">
        <f t="shared" si="3"/>
        <v>-987</v>
      </c>
      <c r="J15" s="38">
        <f t="shared" si="3"/>
        <v>141565</v>
      </c>
      <c r="M15"/>
    </row>
    <row r="16" spans="2:13" ht="12.75">
      <c r="B16" s="18"/>
      <c r="C16" s="60"/>
      <c r="D16" s="7"/>
      <c r="E16" s="7"/>
      <c r="F16" s="7"/>
      <c r="G16" s="7"/>
      <c r="H16" s="7"/>
      <c r="I16" s="7"/>
      <c r="J16" s="31"/>
      <c r="M16"/>
    </row>
    <row r="17" spans="2:13" ht="12.75">
      <c r="B17" s="20" t="s">
        <v>28</v>
      </c>
      <c r="C17" s="57" t="s">
        <v>66</v>
      </c>
      <c r="D17" s="7">
        <f>D20-D18-D19</f>
        <v>5052</v>
      </c>
      <c r="E17" s="7"/>
      <c r="F17" s="7"/>
      <c r="G17" s="62"/>
      <c r="H17" s="62"/>
      <c r="I17" s="7">
        <f aca="true" t="shared" si="4" ref="I17:I19">SUM(E17:H17)</f>
        <v>0</v>
      </c>
      <c r="J17" s="31">
        <f aca="true" t="shared" si="5" ref="J17:J19">D17+I17</f>
        <v>5052</v>
      </c>
      <c r="M17"/>
    </row>
    <row r="18" spans="2:13" ht="12.75">
      <c r="B18" s="3" t="s">
        <v>27</v>
      </c>
      <c r="C18" s="62" t="s">
        <v>79</v>
      </c>
      <c r="D18" s="7">
        <f>-E18</f>
        <v>131</v>
      </c>
      <c r="E18" s="39">
        <v>-131</v>
      </c>
      <c r="F18" s="39"/>
      <c r="G18" s="39"/>
      <c r="H18" s="39"/>
      <c r="I18" s="7">
        <f t="shared" si="4"/>
        <v>-131</v>
      </c>
      <c r="J18" s="31">
        <f t="shared" si="5"/>
        <v>0</v>
      </c>
      <c r="M18"/>
    </row>
    <row r="19" spans="2:13" ht="12.75">
      <c r="B19" t="s">
        <v>85</v>
      </c>
      <c r="C19" s="62"/>
      <c r="D19" s="8">
        <v>0</v>
      </c>
      <c r="E19" s="8"/>
      <c r="F19" s="8"/>
      <c r="G19" s="8"/>
      <c r="H19" s="8"/>
      <c r="I19" s="7">
        <f t="shared" si="4"/>
        <v>0</v>
      </c>
      <c r="J19" s="31">
        <f t="shared" si="5"/>
        <v>0</v>
      </c>
      <c r="M19"/>
    </row>
    <row r="20" spans="2:13" ht="12.75">
      <c r="B20" s="18" t="s">
        <v>87</v>
      </c>
      <c r="C20" s="60"/>
      <c r="D20" s="37">
        <v>5183</v>
      </c>
      <c r="E20" s="67">
        <f>SUM(E17:E19)</f>
        <v>-131</v>
      </c>
      <c r="F20" s="67">
        <f aca="true" t="shared" si="6" ref="F20:I20">SUM(F17:F19)</f>
        <v>0</v>
      </c>
      <c r="G20" s="67">
        <f t="shared" si="6"/>
        <v>0</v>
      </c>
      <c r="H20" s="67"/>
      <c r="I20" s="67">
        <f t="shared" si="6"/>
        <v>-131</v>
      </c>
      <c r="J20" s="38">
        <f>SUM(J17:J19)</f>
        <v>5052</v>
      </c>
      <c r="M20"/>
    </row>
    <row r="21" spans="2:13" ht="12.75">
      <c r="B21" s="18"/>
      <c r="C21" s="60"/>
      <c r="D21" s="37"/>
      <c r="E21" s="37"/>
      <c r="F21" s="37"/>
      <c r="G21" s="37"/>
      <c r="H21" s="37"/>
      <c r="I21" s="9"/>
      <c r="J21" s="38"/>
      <c r="M21"/>
    </row>
    <row r="22" spans="2:13" ht="12.75">
      <c r="B22" t="s">
        <v>23</v>
      </c>
      <c r="C22" s="58" t="s">
        <v>66</v>
      </c>
      <c r="D22" s="35">
        <f>D15+D20</f>
        <v>147735</v>
      </c>
      <c r="E22" s="35">
        <f aca="true" t="shared" si="7" ref="E22:G22">E15+E20</f>
        <v>-5247</v>
      </c>
      <c r="F22" s="35">
        <f t="shared" si="7"/>
        <v>-3931</v>
      </c>
      <c r="G22" s="35">
        <f t="shared" si="7"/>
        <v>8060</v>
      </c>
      <c r="H22" s="35"/>
      <c r="I22" s="7">
        <f aca="true" t="shared" si="8" ref="I22:I29">SUM(E22:H22)</f>
        <v>-1118</v>
      </c>
      <c r="J22" s="31">
        <f>J15+J20</f>
        <v>146617</v>
      </c>
      <c r="M22"/>
    </row>
    <row r="23" spans="2:13" ht="23.45" customHeight="1">
      <c r="B23" t="s">
        <v>24</v>
      </c>
      <c r="C23" s="62" t="s">
        <v>80</v>
      </c>
      <c r="D23" s="7">
        <f>-I23</f>
        <v>55067</v>
      </c>
      <c r="E23" s="8"/>
      <c r="F23" s="8"/>
      <c r="G23" s="8">
        <v>-55067</v>
      </c>
      <c r="H23" s="8"/>
      <c r="I23" s="7">
        <f t="shared" si="8"/>
        <v>-55067</v>
      </c>
      <c r="J23" s="31">
        <f aca="true" t="shared" si="9" ref="J23:J24">D23+I23</f>
        <v>0</v>
      </c>
      <c r="M23"/>
    </row>
    <row r="24" spans="2:13" ht="12.75">
      <c r="B24" t="s">
        <v>59</v>
      </c>
      <c r="C24" s="62" t="s">
        <v>80</v>
      </c>
      <c r="D24" s="7">
        <f>-I24</f>
        <v>3039</v>
      </c>
      <c r="E24" s="8"/>
      <c r="F24" s="8"/>
      <c r="G24" s="8">
        <v>-3039</v>
      </c>
      <c r="H24" s="8"/>
      <c r="I24" s="7">
        <f t="shared" si="8"/>
        <v>-3039</v>
      </c>
      <c r="J24" s="31">
        <f t="shared" si="9"/>
        <v>0</v>
      </c>
      <c r="M24"/>
    </row>
    <row r="25" spans="2:13" ht="12.75">
      <c r="B25" s="66" t="s">
        <v>106</v>
      </c>
      <c r="C25" s="62" t="s">
        <v>77</v>
      </c>
      <c r="D25" s="75">
        <v>444</v>
      </c>
      <c r="E25" s="8"/>
      <c r="F25" s="8"/>
      <c r="G25" s="8"/>
      <c r="H25" s="8">
        <v>-444</v>
      </c>
      <c r="I25" s="7">
        <f t="shared" si="8"/>
        <v>-444</v>
      </c>
      <c r="J25" s="31">
        <f aca="true" t="shared" si="10" ref="J25">D25+I25</f>
        <v>0</v>
      </c>
      <c r="M25"/>
    </row>
    <row r="26" spans="2:13" ht="12.75">
      <c r="B26" s="66" t="s">
        <v>107</v>
      </c>
      <c r="C26" s="62" t="s">
        <v>77</v>
      </c>
      <c r="D26" s="75">
        <v>-35</v>
      </c>
      <c r="E26" s="8"/>
      <c r="F26" s="8"/>
      <c r="G26" s="8"/>
      <c r="H26" s="8"/>
      <c r="I26" s="7">
        <f t="shared" si="8"/>
        <v>0</v>
      </c>
      <c r="J26" s="31">
        <f aca="true" t="shared" si="11" ref="J26">D26+I26</f>
        <v>-35</v>
      </c>
      <c r="M26"/>
    </row>
    <row r="27" spans="2:13" ht="12.75">
      <c r="B27" t="s">
        <v>100</v>
      </c>
      <c r="C27" s="62" t="s">
        <v>99</v>
      </c>
      <c r="D27" s="7">
        <f>-I27</f>
        <v>1868</v>
      </c>
      <c r="E27" s="8"/>
      <c r="F27" s="8"/>
      <c r="G27" s="8">
        <f>-2440+572</f>
        <v>-1868</v>
      </c>
      <c r="H27" s="8"/>
      <c r="I27" s="7">
        <f t="shared" si="8"/>
        <v>-1868</v>
      </c>
      <c r="J27" s="31">
        <f>D27+I27</f>
        <v>0</v>
      </c>
      <c r="M27"/>
    </row>
    <row r="28" spans="2:13" ht="12.75">
      <c r="B28" t="s">
        <v>101</v>
      </c>
      <c r="C28" s="62" t="s">
        <v>77</v>
      </c>
      <c r="D28" s="75">
        <f>-977+70</f>
        <v>-907</v>
      </c>
      <c r="E28" s="8"/>
      <c r="F28" s="8">
        <v>2095</v>
      </c>
      <c r="G28" s="8">
        <v>0</v>
      </c>
      <c r="H28" s="8"/>
      <c r="I28" s="7">
        <f t="shared" si="8"/>
        <v>2095</v>
      </c>
      <c r="J28" s="31">
        <f>D28+I28</f>
        <v>1188</v>
      </c>
      <c r="K28" s="108" t="s">
        <v>96</v>
      </c>
      <c r="L28" s="109"/>
      <c r="M28"/>
    </row>
    <row r="29" spans="2:13" ht="12.75">
      <c r="B29" s="66" t="s">
        <v>112</v>
      </c>
      <c r="C29" s="62" t="s">
        <v>66</v>
      </c>
      <c r="D29" s="75">
        <f>D30-SUM(D23:D28)</f>
        <v>614</v>
      </c>
      <c r="E29" s="8"/>
      <c r="F29" s="8"/>
      <c r="G29" s="8"/>
      <c r="H29" s="8"/>
      <c r="I29" s="7">
        <f t="shared" si="8"/>
        <v>0</v>
      </c>
      <c r="J29" s="31">
        <f>D29+I29</f>
        <v>614</v>
      </c>
      <c r="K29" s="108"/>
      <c r="L29" s="109"/>
      <c r="M29"/>
    </row>
    <row r="30" spans="2:13" ht="12.75">
      <c r="B30" s="66" t="s">
        <v>114</v>
      </c>
      <c r="C30" s="62" t="s">
        <v>77</v>
      </c>
      <c r="D30" s="99">
        <v>60090</v>
      </c>
      <c r="E30" s="100">
        <f>SUM(E23:E29)</f>
        <v>0</v>
      </c>
      <c r="F30" s="100">
        <f aca="true" t="shared" si="12" ref="F30:J30">SUM(F23:F29)</f>
        <v>2095</v>
      </c>
      <c r="G30" s="100">
        <f t="shared" si="12"/>
        <v>-59974</v>
      </c>
      <c r="H30" s="100">
        <f t="shared" si="12"/>
        <v>-444</v>
      </c>
      <c r="I30" s="100">
        <f t="shared" si="12"/>
        <v>-58323</v>
      </c>
      <c r="J30" s="101">
        <f t="shared" si="12"/>
        <v>1767</v>
      </c>
      <c r="K30" s="108"/>
      <c r="L30" s="109"/>
      <c r="M30"/>
    </row>
    <row r="31" spans="2:13" ht="12.75">
      <c r="B31" s="66" t="s">
        <v>113</v>
      </c>
      <c r="C31" s="58" t="s">
        <v>66</v>
      </c>
      <c r="D31" s="33">
        <f>D22+D30</f>
        <v>207825</v>
      </c>
      <c r="E31" s="33">
        <f aca="true" t="shared" si="13" ref="E31:J31">E22+E30</f>
        <v>-5247</v>
      </c>
      <c r="F31" s="33">
        <f>F22+F30</f>
        <v>-1836</v>
      </c>
      <c r="G31" s="33">
        <f>G22+G30</f>
        <v>-51914</v>
      </c>
      <c r="H31" s="33">
        <f t="shared" si="13"/>
        <v>-444</v>
      </c>
      <c r="I31" s="33">
        <f t="shared" si="13"/>
        <v>-59441</v>
      </c>
      <c r="J31" s="34">
        <f t="shared" si="13"/>
        <v>148384</v>
      </c>
      <c r="K31" s="108"/>
      <c r="L31" s="109"/>
      <c r="M31"/>
    </row>
    <row r="32" spans="3:13" ht="12.75">
      <c r="C32" s="58"/>
      <c r="D32" s="35"/>
      <c r="E32" s="35"/>
      <c r="F32" s="35"/>
      <c r="G32" s="35"/>
      <c r="H32" s="35"/>
      <c r="I32" s="35"/>
      <c r="J32" s="31"/>
      <c r="K32" s="108"/>
      <c r="L32" s="109"/>
      <c r="M32"/>
    </row>
    <row r="33" spans="2:13" ht="12.75">
      <c r="B33" s="16" t="s">
        <v>53</v>
      </c>
      <c r="C33" s="61"/>
      <c r="D33" s="10"/>
      <c r="E33" s="10"/>
      <c r="F33" s="10"/>
      <c r="G33" s="10"/>
      <c r="H33" s="10"/>
      <c r="I33" s="11"/>
      <c r="J33" s="24"/>
      <c r="M33"/>
    </row>
    <row r="34" spans="2:13" ht="12.75">
      <c r="B34" s="3" t="s">
        <v>7</v>
      </c>
      <c r="C34" s="62" t="s">
        <v>79</v>
      </c>
      <c r="D34" s="75">
        <v>5235</v>
      </c>
      <c r="E34" s="7">
        <f>-D34</f>
        <v>-5235</v>
      </c>
      <c r="F34" s="39"/>
      <c r="G34" s="39"/>
      <c r="H34" s="39"/>
      <c r="I34" s="7">
        <f aca="true" t="shared" si="14" ref="I34:I45">SUM(E34:G34)</f>
        <v>-5235</v>
      </c>
      <c r="J34" s="31">
        <f aca="true" t="shared" si="15" ref="J34:J45">D34+I34</f>
        <v>0</v>
      </c>
      <c r="M34"/>
    </row>
    <row r="35" spans="2:13" ht="12.75">
      <c r="B35" s="3" t="s">
        <v>25</v>
      </c>
      <c r="C35" s="62" t="s">
        <v>80</v>
      </c>
      <c r="D35" s="75">
        <f>100541-D36</f>
        <v>112838</v>
      </c>
      <c r="E35" s="39"/>
      <c r="F35" s="39">
        <v>-1655</v>
      </c>
      <c r="G35" s="77">
        <f>-47738-G36</f>
        <v>-60035</v>
      </c>
      <c r="H35" s="77"/>
      <c r="I35" s="7">
        <f t="shared" si="14"/>
        <v>-61690</v>
      </c>
      <c r="J35" s="31">
        <f>D35+I35</f>
        <v>51148</v>
      </c>
      <c r="M35"/>
    </row>
    <row r="36" spans="2:13" ht="12.75">
      <c r="B36" s="3" t="s">
        <v>61</v>
      </c>
      <c r="C36" s="62" t="s">
        <v>80</v>
      </c>
      <c r="D36" s="75">
        <v>-12297</v>
      </c>
      <c r="E36" s="39"/>
      <c r="F36" s="39"/>
      <c r="G36" s="7">
        <f>-D36</f>
        <v>12297</v>
      </c>
      <c r="H36" s="7"/>
      <c r="I36" s="7">
        <f t="shared" si="14"/>
        <v>12297</v>
      </c>
      <c r="J36" s="31">
        <f t="shared" si="15"/>
        <v>0</v>
      </c>
      <c r="M36"/>
    </row>
    <row r="37" spans="2:13" ht="12.75">
      <c r="B37" s="3" t="s">
        <v>98</v>
      </c>
      <c r="C37" s="62" t="s">
        <v>77</v>
      </c>
      <c r="D37" s="75">
        <v>87</v>
      </c>
      <c r="E37" s="39"/>
      <c r="F37" s="39">
        <v>-3</v>
      </c>
      <c r="G37" s="62"/>
      <c r="H37" s="62"/>
      <c r="I37" s="7">
        <f t="shared" si="14"/>
        <v>-3</v>
      </c>
      <c r="J37" s="31">
        <f t="shared" si="15"/>
        <v>84</v>
      </c>
      <c r="M37"/>
    </row>
    <row r="38" spans="2:13" ht="12.75">
      <c r="B38" s="3" t="s">
        <v>26</v>
      </c>
      <c r="C38" s="62" t="s">
        <v>80</v>
      </c>
      <c r="D38" s="75">
        <v>-1600</v>
      </c>
      <c r="E38" s="39"/>
      <c r="F38" s="39"/>
      <c r="G38" s="7">
        <f>-D38</f>
        <v>1600</v>
      </c>
      <c r="H38" s="7"/>
      <c r="I38" s="7">
        <f t="shared" si="14"/>
        <v>1600</v>
      </c>
      <c r="J38" s="31">
        <f t="shared" si="15"/>
        <v>0</v>
      </c>
      <c r="M38"/>
    </row>
    <row r="39" spans="2:13" ht="12.75">
      <c r="B39" s="3" t="s">
        <v>54</v>
      </c>
      <c r="C39" s="62" t="s">
        <v>80</v>
      </c>
      <c r="D39" s="75">
        <v>-328</v>
      </c>
      <c r="E39" s="39"/>
      <c r="F39" s="39"/>
      <c r="G39" s="7">
        <f aca="true" t="shared" si="16" ref="G39:G42">-D39</f>
        <v>328</v>
      </c>
      <c r="H39" s="7"/>
      <c r="I39" s="7">
        <f t="shared" si="14"/>
        <v>328</v>
      </c>
      <c r="J39" s="31">
        <f t="shared" si="15"/>
        <v>0</v>
      </c>
      <c r="M39"/>
    </row>
    <row r="40" spans="2:13" ht="12.75">
      <c r="B40" s="3" t="s">
        <v>20</v>
      </c>
      <c r="C40" s="62" t="s">
        <v>80</v>
      </c>
      <c r="D40" s="75">
        <v>8515</v>
      </c>
      <c r="E40" s="39"/>
      <c r="F40" s="39"/>
      <c r="G40" s="7">
        <f t="shared" si="16"/>
        <v>-8515</v>
      </c>
      <c r="H40" s="7"/>
      <c r="I40" s="7">
        <f t="shared" si="14"/>
        <v>-8515</v>
      </c>
      <c r="J40" s="31">
        <f t="shared" si="15"/>
        <v>0</v>
      </c>
      <c r="M40"/>
    </row>
    <row r="41" spans="2:13" ht="12.75">
      <c r="B41" s="3" t="s">
        <v>21</v>
      </c>
      <c r="C41" s="62" t="s">
        <v>80</v>
      </c>
      <c r="D41" s="75">
        <v>-30</v>
      </c>
      <c r="E41" s="39"/>
      <c r="F41" s="39"/>
      <c r="G41" s="7">
        <f t="shared" si="16"/>
        <v>30</v>
      </c>
      <c r="H41" s="7"/>
      <c r="I41" s="7">
        <f t="shared" si="14"/>
        <v>30</v>
      </c>
      <c r="J41" s="31">
        <f t="shared" si="15"/>
        <v>0</v>
      </c>
      <c r="M41"/>
    </row>
    <row r="42" spans="2:13" ht="12.75">
      <c r="B42" s="78" t="s">
        <v>111</v>
      </c>
      <c r="C42" s="62" t="s">
        <v>80</v>
      </c>
      <c r="D42" s="75">
        <v>-1205</v>
      </c>
      <c r="E42" s="39"/>
      <c r="F42" s="39"/>
      <c r="G42" s="7">
        <f t="shared" si="16"/>
        <v>1205</v>
      </c>
      <c r="H42" s="7"/>
      <c r="I42" s="7">
        <f aca="true" t="shared" si="17" ref="I42">SUM(E42:G42)</f>
        <v>1205</v>
      </c>
      <c r="J42" s="31">
        <f aca="true" t="shared" si="18" ref="J42">D42+I42</f>
        <v>0</v>
      </c>
      <c r="M42"/>
    </row>
    <row r="43" spans="2:13" ht="12.75">
      <c r="B43" s="3" t="s">
        <v>8</v>
      </c>
      <c r="C43" s="62" t="s">
        <v>81</v>
      </c>
      <c r="D43" s="74">
        <f>ROUND(D$22*$K43,0)</f>
        <v>5672</v>
      </c>
      <c r="E43" s="73"/>
      <c r="F43" s="74">
        <f aca="true" t="shared" si="19" ref="F43:H45">ROUND(F$22*$K43,0)</f>
        <v>-151</v>
      </c>
      <c r="G43" s="74">
        <f>ROUND(G$22*$K43,0)-0</f>
        <v>309</v>
      </c>
      <c r="H43" s="74">
        <f t="shared" si="19"/>
        <v>0</v>
      </c>
      <c r="I43" s="74">
        <f t="shared" si="14"/>
        <v>158</v>
      </c>
      <c r="J43" s="31">
        <f>D43+I43</f>
        <v>5830</v>
      </c>
      <c r="K43" s="52">
        <f>'[1]CF'!$E$19</f>
        <v>0.038391880537542555</v>
      </c>
      <c r="L43" t="s">
        <v>13</v>
      </c>
      <c r="M43"/>
    </row>
    <row r="44" spans="2:13" ht="12.75">
      <c r="B44" s="3" t="s">
        <v>3</v>
      </c>
      <c r="C44" s="62" t="s">
        <v>81</v>
      </c>
      <c r="D44" s="74">
        <f>ROUND(D$22*$K44,0)</f>
        <v>491</v>
      </c>
      <c r="E44" s="73"/>
      <c r="F44" s="74">
        <f t="shared" si="19"/>
        <v>-13</v>
      </c>
      <c r="G44" s="74">
        <f t="shared" si="19"/>
        <v>27</v>
      </c>
      <c r="H44" s="74">
        <f t="shared" si="19"/>
        <v>0</v>
      </c>
      <c r="I44" s="74">
        <f t="shared" si="14"/>
        <v>14</v>
      </c>
      <c r="J44" s="31">
        <f t="shared" si="15"/>
        <v>505</v>
      </c>
      <c r="K44" s="52">
        <f>'[1]CF'!$E$15</f>
        <v>0.003326050427244104</v>
      </c>
      <c r="L44" t="s">
        <v>14</v>
      </c>
      <c r="M44"/>
    </row>
    <row r="45" spans="2:13" ht="12.75">
      <c r="B45" s="3" t="s">
        <v>4</v>
      </c>
      <c r="C45" s="62" t="s">
        <v>81</v>
      </c>
      <c r="D45" s="74">
        <f>ROUND(D$22*$K45,0)</f>
        <v>295</v>
      </c>
      <c r="E45" s="73"/>
      <c r="F45" s="74">
        <f t="shared" si="19"/>
        <v>-8</v>
      </c>
      <c r="G45" s="74">
        <f t="shared" si="19"/>
        <v>16</v>
      </c>
      <c r="H45" s="74">
        <f t="shared" si="19"/>
        <v>0</v>
      </c>
      <c r="I45" s="74">
        <f t="shared" si="14"/>
        <v>8</v>
      </c>
      <c r="J45" s="31">
        <f t="shared" si="15"/>
        <v>303</v>
      </c>
      <c r="K45" s="52">
        <f>'[1]CF'!$E$17</f>
        <v>0.002</v>
      </c>
      <c r="L45" t="s">
        <v>13</v>
      </c>
      <c r="M45"/>
    </row>
    <row r="46" spans="2:13" ht="12.75">
      <c r="B46" s="78" t="s">
        <v>83</v>
      </c>
      <c r="D46" s="67">
        <f>SUM(D34:D45)</f>
        <v>117673</v>
      </c>
      <c r="E46" s="67">
        <f aca="true" t="shared" si="20" ref="E46:G46">SUM(E34:E45)</f>
        <v>-5235</v>
      </c>
      <c r="F46" s="67">
        <f t="shared" si="20"/>
        <v>-1830</v>
      </c>
      <c r="G46" s="67">
        <f t="shared" si="20"/>
        <v>-52738</v>
      </c>
      <c r="H46" s="67">
        <f aca="true" t="shared" si="21" ref="H46">SUM(H34:H45)</f>
        <v>0</v>
      </c>
      <c r="I46" s="67">
        <f>SUM(I34:I45)</f>
        <v>-59803</v>
      </c>
      <c r="J46" s="25">
        <f>SUM(J35:J45)</f>
        <v>57870</v>
      </c>
      <c r="K46" s="19">
        <f>SUM(K43:K45)</f>
        <v>0.04371793096478666</v>
      </c>
      <c r="L46" t="s">
        <v>22</v>
      </c>
      <c r="M46"/>
    </row>
    <row r="47" spans="4:13" ht="12.75">
      <c r="D47" s="39"/>
      <c r="E47" s="39"/>
      <c r="F47" s="39"/>
      <c r="G47" s="39"/>
      <c r="H47" s="39"/>
      <c r="I47" s="56"/>
      <c r="J47" s="31"/>
      <c r="K47" s="76">
        <f>1/(1-K46)</f>
        <v>1.0457165645789985</v>
      </c>
      <c r="L47" s="66" t="s">
        <v>82</v>
      </c>
      <c r="M47"/>
    </row>
    <row r="48" spans="2:13" ht="12.75">
      <c r="B48" s="66" t="s">
        <v>84</v>
      </c>
      <c r="D48" s="1">
        <f>D31-D46</f>
        <v>90152</v>
      </c>
      <c r="E48" s="1">
        <f>E31-E46</f>
        <v>-12</v>
      </c>
      <c r="F48" s="1">
        <f>F31-F46</f>
        <v>-6</v>
      </c>
      <c r="G48" s="1">
        <f>G31-G46</f>
        <v>824</v>
      </c>
      <c r="H48" s="1">
        <f>H31-H46</f>
        <v>-444</v>
      </c>
      <c r="I48" s="7">
        <f>SUM(E48:H48)</f>
        <v>362</v>
      </c>
      <c r="J48" s="79">
        <f>J31-J46</f>
        <v>90514</v>
      </c>
      <c r="M48"/>
    </row>
    <row r="49" spans="2:13" ht="12.75">
      <c r="B49" s="30" t="s">
        <v>117</v>
      </c>
      <c r="C49" s="30"/>
      <c r="D49" s="75">
        <v>-339</v>
      </c>
      <c r="E49" s="1"/>
      <c r="F49" s="1"/>
      <c r="G49" s="1">
        <v>651</v>
      </c>
      <c r="H49" s="1"/>
      <c r="I49" s="1"/>
      <c r="M49"/>
    </row>
    <row r="50" ht="12.75">
      <c r="M50"/>
    </row>
    <row r="51" spans="2:13" ht="12.75">
      <c r="B51" s="66" t="s">
        <v>88</v>
      </c>
      <c r="M51"/>
    </row>
    <row r="52" spans="6:8" ht="12.75" hidden="1">
      <c r="F52" s="28" t="s">
        <v>57</v>
      </c>
      <c r="G52" s="4"/>
      <c r="H52" s="4"/>
    </row>
    <row r="53" ht="12.75" hidden="1"/>
    <row r="54" spans="2:19" ht="12.75" hidden="1">
      <c r="B54" t="s">
        <v>52</v>
      </c>
      <c r="F54" s="95">
        <v>261694309</v>
      </c>
      <c r="P54" s="53"/>
      <c r="Q54" s="53"/>
      <c r="R54" s="53"/>
      <c r="S54" s="53"/>
    </row>
    <row r="55" spans="2:6" ht="12.75" hidden="1">
      <c r="B55" t="s">
        <v>44</v>
      </c>
      <c r="F55" s="95"/>
    </row>
    <row r="56" spans="2:19" ht="12.75" hidden="1">
      <c r="B56" s="18" t="s">
        <v>19</v>
      </c>
      <c r="C56" s="18"/>
      <c r="F56" s="95">
        <v>88066</v>
      </c>
      <c r="O56" s="55"/>
      <c r="P56" s="54"/>
      <c r="Q56" s="54"/>
      <c r="R56" s="54"/>
      <c r="S56" s="54"/>
    </row>
    <row r="57" spans="2:6" ht="12.75" hidden="1">
      <c r="B57" s="18" t="s">
        <v>45</v>
      </c>
      <c r="C57" s="18"/>
      <c r="F57" s="95">
        <v>7633</v>
      </c>
    </row>
    <row r="58" spans="2:15" ht="12.75" hidden="1">
      <c r="B58" s="18" t="s">
        <v>58</v>
      </c>
      <c r="C58" s="18"/>
      <c r="F58" s="95">
        <v>2428</v>
      </c>
      <c r="L58" s="50"/>
      <c r="O58" s="55"/>
    </row>
    <row r="59" spans="2:12" ht="12.75" hidden="1">
      <c r="B59" s="18" t="s">
        <v>46</v>
      </c>
      <c r="C59" s="18"/>
      <c r="F59" s="95">
        <v>96364261</v>
      </c>
      <c r="L59" s="29"/>
    </row>
    <row r="60" spans="2:12" ht="12.75" hidden="1">
      <c r="B60" s="18" t="s">
        <v>47</v>
      </c>
      <c r="C60" s="18"/>
      <c r="F60" s="95">
        <v>8713935</v>
      </c>
      <c r="L60" s="1"/>
    </row>
    <row r="61" spans="2:12" ht="12.75" hidden="1">
      <c r="B61" t="s">
        <v>29</v>
      </c>
      <c r="F61" s="33">
        <f>F54-SUM(F56:F60)</f>
        <v>156517986</v>
      </c>
      <c r="L61" s="51"/>
    </row>
    <row r="62" spans="6:12" ht="12.75" hidden="1">
      <c r="F62" s="10"/>
      <c r="L62" s="29"/>
    </row>
    <row r="63" spans="2:6" ht="12.75" hidden="1">
      <c r="B63" t="s">
        <v>30</v>
      </c>
      <c r="F63" s="95">
        <f>156212088</f>
        <v>156212088</v>
      </c>
    </row>
    <row r="64" spans="2:8" ht="12.75" hidden="1">
      <c r="B64" s="18" t="s">
        <v>48</v>
      </c>
      <c r="C64" s="18"/>
      <c r="F64" s="10">
        <f>F57</f>
        <v>7633</v>
      </c>
      <c r="G64" s="66">
        <f>3518+152+3963</f>
        <v>7633</v>
      </c>
      <c r="H64" s="66"/>
    </row>
    <row r="65" spans="2:8" ht="12.75" hidden="1">
      <c r="B65" s="18" t="s">
        <v>49</v>
      </c>
      <c r="C65" s="18"/>
      <c r="F65" s="95">
        <f>26132*12</f>
        <v>313584</v>
      </c>
      <c r="G65" s="39"/>
      <c r="H65" s="39"/>
    </row>
    <row r="66" spans="2:6" ht="12.75" hidden="1">
      <c r="B66" t="s">
        <v>29</v>
      </c>
      <c r="F66" s="15">
        <f>F63-F64+F65</f>
        <v>156518039</v>
      </c>
    </row>
    <row r="67" ht="12.75" hidden="1">
      <c r="F67" s="1">
        <f>F66-F61</f>
        <v>53</v>
      </c>
    </row>
    <row r="68" ht="12.75" hidden="1">
      <c r="F68" s="1"/>
    </row>
    <row r="69" spans="2:6" ht="12.75" hidden="1">
      <c r="B69" t="s">
        <v>55</v>
      </c>
      <c r="F69" s="95">
        <f>-(3207892-8371+2426338)</f>
        <v>-5625859</v>
      </c>
    </row>
    <row r="70" spans="2:6" ht="12.75" hidden="1">
      <c r="B70" t="s">
        <v>56</v>
      </c>
      <c r="F70" s="95">
        <f>-(-79734+3133)</f>
        <v>76601</v>
      </c>
    </row>
    <row r="71" spans="2:6" ht="12.75" hidden="1">
      <c r="B71" t="s">
        <v>31</v>
      </c>
      <c r="F71" s="15">
        <f>SUM(F66:F70)</f>
        <v>150968834</v>
      </c>
    </row>
    <row r="72" ht="12.75" hidden="1">
      <c r="F72" s="1"/>
    </row>
    <row r="73" spans="2:6" ht="12.75" hidden="1">
      <c r="B73" t="s">
        <v>32</v>
      </c>
      <c r="F73" s="1"/>
    </row>
    <row r="74" spans="2:6" ht="12.75" hidden="1">
      <c r="B74" s="18" t="s">
        <v>33</v>
      </c>
      <c r="C74" s="18"/>
      <c r="F74" s="95">
        <f>59964740.48+48000501.79</f>
        <v>107965242.27</v>
      </c>
    </row>
    <row r="75" spans="2:6" ht="12.75" hidden="1">
      <c r="B75" s="18" t="s">
        <v>34</v>
      </c>
      <c r="C75" s="18"/>
      <c r="F75" s="95">
        <f>20135647.48+14450863.77</f>
        <v>34586511.25</v>
      </c>
    </row>
    <row r="76" spans="2:6" ht="12.75" hidden="1">
      <c r="B76" s="18" t="s">
        <v>35</v>
      </c>
      <c r="C76" s="18"/>
      <c r="F76" s="95">
        <v>0</v>
      </c>
    </row>
    <row r="77" spans="2:6" ht="12.75" hidden="1">
      <c r="B77" s="18" t="s">
        <v>36</v>
      </c>
      <c r="C77" s="18"/>
      <c r="F77" s="95">
        <f>2156259.82+1280529.46</f>
        <v>3436789.28</v>
      </c>
    </row>
    <row r="78" spans="2:6" ht="12.75" hidden="1">
      <c r="B78" s="18" t="s">
        <v>37</v>
      </c>
      <c r="C78" s="18"/>
      <c r="F78" s="95">
        <f>249328.84+125566.33</f>
        <v>374895.17</v>
      </c>
    </row>
    <row r="79" spans="2:6" ht="12.75" hidden="1">
      <c r="B79" s="18" t="s">
        <v>38</v>
      </c>
      <c r="C79" s="18"/>
      <c r="F79" s="95">
        <v>0</v>
      </c>
    </row>
    <row r="80" spans="2:6" ht="12.75" hidden="1">
      <c r="B80" s="18" t="s">
        <v>39</v>
      </c>
      <c r="C80" s="18"/>
      <c r="F80" s="95">
        <f>392692.4+204339.49</f>
        <v>597031.89</v>
      </c>
    </row>
    <row r="81" spans="2:6" ht="12.75" hidden="1">
      <c r="B81" s="18" t="s">
        <v>40</v>
      </c>
      <c r="C81" s="18"/>
      <c r="F81" s="95">
        <f>1589710.31+831802.98</f>
        <v>2421513.29</v>
      </c>
    </row>
    <row r="82" spans="2:11" ht="12.75" hidden="1">
      <c r="B82" s="18" t="s">
        <v>41</v>
      </c>
      <c r="C82" s="18"/>
      <c r="F82" s="95">
        <f>40151.06+8529.32</f>
        <v>48680.38</v>
      </c>
      <c r="K82" s="64"/>
    </row>
    <row r="83" spans="2:11" ht="12.75" hidden="1">
      <c r="B83" s="18" t="s">
        <v>42</v>
      </c>
      <c r="C83" s="18"/>
      <c r="F83" s="95">
        <f>795013.28+429526.89</f>
        <v>1224540.17</v>
      </c>
      <c r="K83" s="41"/>
    </row>
    <row r="84" spans="2:11" ht="12.75" hidden="1">
      <c r="B84" s="18" t="s">
        <v>43</v>
      </c>
      <c r="C84" s="18"/>
      <c r="F84" s="95">
        <v>313584</v>
      </c>
      <c r="G84" s="39"/>
      <c r="H84" s="39"/>
      <c r="K84" s="8"/>
    </row>
    <row r="85" spans="2:12" ht="12.75" hidden="1">
      <c r="B85" t="s">
        <v>31</v>
      </c>
      <c r="F85" s="15">
        <f>SUM(F74:F84)</f>
        <v>150968787.69999993</v>
      </c>
      <c r="K85" s="8"/>
      <c r="L85" s="41"/>
    </row>
    <row r="86" spans="6:12" ht="12.75" hidden="1">
      <c r="F86" s="1">
        <f>F85-F71</f>
        <v>-46.300000071525574</v>
      </c>
      <c r="K86" s="8"/>
      <c r="L86" s="41"/>
    </row>
    <row r="87" spans="11:12" ht="12.75">
      <c r="K87" s="8"/>
      <c r="L87" s="41"/>
    </row>
    <row r="88" spans="9:12" ht="12.75">
      <c r="I88" s="65"/>
      <c r="J88" s="41"/>
      <c r="K88" s="8"/>
      <c r="L88" s="41"/>
    </row>
    <row r="89" spans="9:12" ht="12.75">
      <c r="I89" s="65"/>
      <c r="J89" s="41"/>
      <c r="K89" s="8"/>
      <c r="L89" s="41"/>
    </row>
    <row r="90" spans="9:12" ht="12.75">
      <c r="I90" s="65"/>
      <c r="J90" s="41"/>
      <c r="K90" s="8"/>
      <c r="L90" s="41"/>
    </row>
    <row r="91" spans="9:12" ht="12.75">
      <c r="I91" s="41"/>
      <c r="J91" s="41"/>
      <c r="K91" s="35"/>
      <c r="L91" s="41"/>
    </row>
    <row r="92" spans="9:12" ht="12.75">
      <c r="I92" s="41"/>
      <c r="J92" s="41"/>
      <c r="K92" s="35"/>
      <c r="L92" s="41"/>
    </row>
    <row r="93" spans="9:12" ht="12.75">
      <c r="I93" s="65"/>
      <c r="J93" s="41"/>
      <c r="K93" s="8"/>
      <c r="L93" s="41"/>
    </row>
    <row r="94" spans="9:12" ht="12.75">
      <c r="I94" s="65"/>
      <c r="J94" s="41"/>
      <c r="K94" s="35"/>
      <c r="L94" s="41"/>
    </row>
    <row r="95" spans="9:12" ht="12.75">
      <c r="I95" s="65"/>
      <c r="J95" s="41"/>
      <c r="K95" s="8"/>
      <c r="L95" s="41"/>
    </row>
    <row r="96" spans="9:12" ht="12.75">
      <c r="I96" s="35"/>
      <c r="J96" s="41"/>
      <c r="K96" s="35"/>
      <c r="L96" s="41"/>
    </row>
    <row r="97" spans="9:12" ht="12.75">
      <c r="I97" s="41"/>
      <c r="J97" s="41"/>
      <c r="K97" s="35"/>
      <c r="L97" s="41"/>
    </row>
    <row r="98" spans="9:12" ht="12.75">
      <c r="I98" s="41"/>
      <c r="J98" s="41"/>
      <c r="K98" s="35"/>
      <c r="L98" s="41"/>
    </row>
    <row r="99" spans="9:12" ht="12.75">
      <c r="I99" s="65"/>
      <c r="J99" s="41"/>
      <c r="K99" s="8"/>
      <c r="L99" s="41"/>
    </row>
    <row r="100" spans="9:12" ht="12.75">
      <c r="I100" s="65"/>
      <c r="J100" s="41"/>
      <c r="K100" s="8"/>
      <c r="L100" s="41"/>
    </row>
    <row r="101" spans="9:12" ht="12.75">
      <c r="I101" s="41"/>
      <c r="J101" s="41"/>
      <c r="K101" s="35"/>
      <c r="L101" s="41"/>
    </row>
    <row r="102" spans="9:12" ht="12.75">
      <c r="I102" s="41"/>
      <c r="J102" s="41"/>
      <c r="K102" s="35"/>
      <c r="L102" s="41"/>
    </row>
    <row r="103" spans="9:12" ht="12.75">
      <c r="I103" s="41"/>
      <c r="J103" s="41"/>
      <c r="K103" s="35"/>
      <c r="L103" s="41"/>
    </row>
    <row r="104" spans="9:12" ht="12.75">
      <c r="I104" s="41"/>
      <c r="J104" s="41"/>
      <c r="K104" s="8"/>
      <c r="L104" s="41"/>
    </row>
    <row r="105" spans="9:12" ht="12.75">
      <c r="I105" s="41"/>
      <c r="J105" s="41"/>
      <c r="K105" s="8"/>
      <c r="L105" s="41"/>
    </row>
    <row r="106" spans="9:12" ht="12.75">
      <c r="I106" s="41"/>
      <c r="J106" s="41"/>
      <c r="K106" s="8"/>
      <c r="L106" s="41"/>
    </row>
    <row r="107" spans="9:12" ht="12.75">
      <c r="I107" s="41"/>
      <c r="J107" s="41"/>
      <c r="K107" s="8"/>
      <c r="L107" s="35"/>
    </row>
    <row r="108" spans="9:12" ht="12.75">
      <c r="I108" s="41"/>
      <c r="J108" s="41"/>
      <c r="K108" s="8"/>
      <c r="L108" s="35"/>
    </row>
    <row r="109" spans="9:12" ht="12.75">
      <c r="I109" s="41"/>
      <c r="J109" s="41"/>
      <c r="K109" s="8"/>
      <c r="L109" s="35"/>
    </row>
    <row r="110" spans="9:12" ht="12.75">
      <c r="I110" s="41"/>
      <c r="J110" s="41"/>
      <c r="K110" s="8"/>
      <c r="L110" s="35"/>
    </row>
    <row r="111" spans="9:12" ht="12.75">
      <c r="I111" s="41"/>
      <c r="J111" s="41"/>
      <c r="K111" s="8"/>
      <c r="L111" s="35"/>
    </row>
    <row r="112" spans="9:12" ht="12.75">
      <c r="I112" s="41"/>
      <c r="J112" s="41"/>
      <c r="K112" s="8"/>
      <c r="L112" s="35"/>
    </row>
    <row r="113" spans="9:12" ht="12.75">
      <c r="I113" s="41"/>
      <c r="J113" s="41"/>
      <c r="K113" s="8"/>
      <c r="L113" s="35"/>
    </row>
    <row r="114" spans="9:12" ht="12.75">
      <c r="I114" s="65"/>
      <c r="J114" s="41"/>
      <c r="K114" s="35"/>
      <c r="L114" s="35"/>
    </row>
    <row r="115" spans="9:12" ht="12.75">
      <c r="I115" s="35"/>
      <c r="J115" s="41"/>
      <c r="K115" s="35"/>
      <c r="L115" s="35"/>
    </row>
    <row r="116" spans="9:12" ht="12.75">
      <c r="I116" s="41"/>
      <c r="J116" s="41"/>
      <c r="K116" s="35"/>
      <c r="L116" s="35"/>
    </row>
    <row r="117" spans="11:12" ht="12.75">
      <c r="K117" s="1"/>
      <c r="L117" s="35"/>
    </row>
    <row r="118" spans="11:12" ht="12.75">
      <c r="K118" s="1"/>
      <c r="L118" s="41"/>
    </row>
    <row r="119" ht="12.75">
      <c r="L119" s="41"/>
    </row>
  </sheetData>
  <mergeCells count="2">
    <mergeCell ref="K8:L13"/>
    <mergeCell ref="K28:L32"/>
  </mergeCells>
  <printOptions/>
  <pageMargins left="0.45" right="0.35" top="0.96" bottom="0.75" header="0.45" footer="0.3"/>
  <pageSetup fitToHeight="1" fitToWidth="1" horizontalDpi="600" verticalDpi="600" orientation="landscape" scale="74" r:id="rId2"/>
  <headerFooter>
    <oddHeader>&amp;RAdjustment No.&amp;U   &amp;"Arial,Bold"&amp;12 3.02&amp;"Arial,Regular"&amp;10&amp;U
Workpaper Ref G-PREV-2</oddHeader>
    <oddFooter>&amp;L&amp;F&amp;RPrep by: ____________     1st Review:__________
          Date:  &amp;D           Mgr. Review:__________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KZX5DR</dc:creator>
  <cp:keywords/>
  <dc:description/>
  <cp:lastModifiedBy>Knox, Tara</cp:lastModifiedBy>
  <cp:lastPrinted>2020-09-24T19:08:21Z</cp:lastPrinted>
  <dcterms:created xsi:type="dcterms:W3CDTF">2007-03-14T20:24:40Z</dcterms:created>
  <dcterms:modified xsi:type="dcterms:W3CDTF">2020-09-24T19:13:22Z</dcterms:modified>
  <cp:category/>
  <cp:version/>
  <cp:contentType/>
  <cp:contentStatus/>
</cp:coreProperties>
</file>